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3.xml" ContentType="application/vnd.openxmlformats-officedocument.drawing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Z:\01_Proposals\2025 Proposals\F25-00184_Inpost,Poland_Loop CBS\05_Cost Calculation\Solution 5\"/>
    </mc:Choice>
  </mc:AlternateContent>
  <xr:revisionPtr revIDLastSave="0" documentId="13_ncr:1_{6F3D1B76-A55B-4971-B6EF-F6B769D9B50E}" xr6:coauthVersionLast="47" xr6:coauthVersionMax="47" xr10:uidLastSave="{00000000-0000-0000-0000-000000000000}"/>
  <bookViews>
    <workbookView xWindow="-120" yWindow="-120" windowWidth="29040" windowHeight="15840" tabRatio="832" firstSheet="7" activeTab="7" xr2:uid="{00000000-000D-0000-FFFF-FFFF00000000}"/>
  </bookViews>
  <sheets>
    <sheet name="Final " sheetId="78" state="hidden" r:id="rId1"/>
    <sheet name="Inpost Sheet" sheetId="73" state="hidden" r:id="rId2"/>
    <sheet name="Support Rampup" sheetId="77" state="hidden" r:id="rId3"/>
    <sheet name="I&amp;C Cost" sheetId="74" state="hidden" r:id="rId4"/>
    <sheet name="Local I&amp;C" sheetId="72" state="hidden" r:id="rId5"/>
    <sheet name="FAPL SAT" sheetId="71" state="hidden" r:id="rId6"/>
    <sheet name="FAPL I&amp;C" sheetId="70" state="hidden" r:id="rId7"/>
    <sheet name="Overall Costing" sheetId="39" r:id="rId8"/>
    <sheet name="Safety Cost Calc" sheetId="79" r:id="rId9"/>
    <sheet name="Data" sheetId="80" r:id="rId10"/>
    <sheet name="Section Identification" sheetId="81" r:id="rId11"/>
    <sheet name="Loop CBS" sheetId="35" r:id="rId12"/>
    <sheet name="Inducts" sheetId="5" state="hidden" r:id="rId13"/>
    <sheet name="Linear CBS" sheetId="65" state="hidden" r:id="rId14"/>
    <sheet name="Budgetary Costing" sheetId="68" state="hidden" r:id="rId15"/>
    <sheet name="NEO New rate data" sheetId="69" state="hidden" r:id="rId16"/>
    <sheet name="Linear" sheetId="66" state="hidden" r:id="rId17"/>
    <sheet name="Final Rate card" sheetId="67" state="hidden" r:id="rId18"/>
    <sheet name="Arm Sorter" sheetId="46" r:id="rId19"/>
    <sheet name="Swedi sorter" sheetId="47" state="hidden" r:id="rId20"/>
    <sheet name="Conveyors" sheetId="36" r:id="rId21"/>
    <sheet name="Conveyor Costing" sheetId="54" r:id="rId22"/>
    <sheet name="NormalConveyorLeg" sheetId="55" r:id="rId23"/>
    <sheet name="Loop" sheetId="1" state="hidden" r:id="rId24"/>
    <sheet name="Bag Sorter Induct" sheetId="32" state="hidden" r:id="rId25"/>
    <sheet name="Leg Guards" sheetId="58" r:id="rId26"/>
    <sheet name="EndJoints" sheetId="57" r:id="rId27"/>
    <sheet name="Sample Inducts" sheetId="6" state="hidden" r:id="rId28"/>
    <sheet name="Selection" sheetId="4" state="hidden" r:id="rId29"/>
    <sheet name="Induct line for Arm" sheetId="51" state="hidden" r:id="rId30"/>
    <sheet name="Induct Line for Swedi" sheetId="52" state="hidden" r:id="rId31"/>
    <sheet name="Destinations" sheetId="44" r:id="rId32"/>
    <sheet name="RECOMMEDED DESIGNS" sheetId="64" state="hidden" r:id="rId33"/>
    <sheet name="PTL" sheetId="45" state="hidden" r:id="rId34"/>
    <sheet name="Steelworks" sheetId="43" r:id="rId35"/>
    <sheet name="Software Packages" sheetId="50" r:id="rId36"/>
    <sheet name="Quote Master" sheetId="40" r:id="rId37"/>
    <sheet name="Weighing Conveyors" sheetId="53" state="hidden" r:id="rId38"/>
    <sheet name="Mezzanien Description" sheetId="56" r:id="rId39"/>
    <sheet name="Chute Costing " sheetId="75" r:id="rId40"/>
  </sheets>
  <externalReferences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_xlnm._FilterDatabase" localSheetId="20" hidden="1">Conveyors!$A$2:$T$63</definedName>
    <definedName name="_xlnm._FilterDatabase" localSheetId="22" hidden="1">NormalConveyorLeg!$A$1:$S$162</definedName>
    <definedName name="_xlnm._FilterDatabase" localSheetId="7" hidden="1">'Overall Costing'!$A$1:$M$26</definedName>
    <definedName name="_xlnm._FilterDatabase" localSheetId="32" hidden="1">'RECOMMEDED DESIGNS'!$A$2:$P$43</definedName>
    <definedName name="Base_Cost_180deg_Belt_Curve" localSheetId="22">#REF!</definedName>
    <definedName name="Base_Cost_180deg_Belt_Curve">#REF!</definedName>
    <definedName name="Base_Cost_180deg_Roller_Curve" localSheetId="22">#REF!</definedName>
    <definedName name="Base_Cost_180deg_Roller_Curve">#REF!</definedName>
    <definedName name="Base_Cost_30deg_Belt_Curve" localSheetId="22">#REF!</definedName>
    <definedName name="Base_Cost_30deg_Belt_Curve">#REF!</definedName>
    <definedName name="Base_Cost_30deg_Roller_Curve" localSheetId="22">#REF!</definedName>
    <definedName name="Base_Cost_30deg_Roller_Curve">#REF!</definedName>
    <definedName name="Base_Cost_45deg_Belt_Curve" localSheetId="22">#REF!</definedName>
    <definedName name="Base_Cost_45deg_Belt_Curve">#REF!</definedName>
    <definedName name="Base_Cost_45deg_Roller_Curve" localSheetId="22">#REF!</definedName>
    <definedName name="Base_Cost_45deg_Roller_Curve">#REF!</definedName>
    <definedName name="Base_Cost_60deg_Belt_Merge" localSheetId="22">#REF!</definedName>
    <definedName name="Base_Cost_60deg_Belt_Merge">#REF!</definedName>
    <definedName name="Base_Cost_60deg_Roller_Curve" localSheetId="22">#REF!</definedName>
    <definedName name="Base_Cost_60deg_Roller_Curve">#REF!</definedName>
    <definedName name="Base_Cost_90deg_Belt_Merge" localSheetId="22">#REF!</definedName>
    <definedName name="Base_Cost_90deg_Belt_Merge">#REF!</definedName>
    <definedName name="Base_Cost_90deg_Roller_Curve" localSheetId="22">#REF!</definedName>
    <definedName name="Base_Cost_90deg_Roller_Curve">#REF!</definedName>
    <definedName name="Base_Cost_Accumulation_Roller" localSheetId="22">#REF!</definedName>
    <definedName name="Base_Cost_Accumulation_Roller">#REF!</definedName>
    <definedName name="Base_Cost_Belt_Decline" localSheetId="22">#REF!</definedName>
    <definedName name="Base_Cost_Belt_Decline">#REF!</definedName>
    <definedName name="Base_Cost_Belt_Incline" localSheetId="22">#REF!</definedName>
    <definedName name="Base_Cost_Belt_Incline">#REF!</definedName>
    <definedName name="Base_Cost_Belt_Merge" localSheetId="22">#REF!</definedName>
    <definedName name="Base_Cost_Belt_Merge">#REF!</definedName>
    <definedName name="Base_Cost_Belt_Transport" localSheetId="22">#REF!</definedName>
    <definedName name="Base_Cost_Belt_Transport">#REF!</definedName>
    <definedName name="Base_Cost_Belt_Under_Roller" localSheetId="22">#REF!</definedName>
    <definedName name="Base_Cost_Belt_Under_Roller">#REF!</definedName>
    <definedName name="Base_Cost_Gravity_Roller" localSheetId="22">#REF!</definedName>
    <definedName name="Base_Cost_Gravity_Roller">#REF!</definedName>
    <definedName name="Base_Cost_Gravity_Spur" localSheetId="22">#REF!</definedName>
    <definedName name="Base_Cost_Gravity_Spur">#REF!</definedName>
    <definedName name="Base_Cost_Lineshaft_Roller" localSheetId="22">#REF!</definedName>
    <definedName name="Base_Cost_Lineshaft_Roller">#REF!</definedName>
    <definedName name="Base_Cost_Metering_Belt" localSheetId="22">#REF!</definedName>
    <definedName name="Base_Cost_Metering_Belt">#REF!</definedName>
    <definedName name="Base_Cost_Photo_Eyes" localSheetId="22">#REF!</definedName>
    <definedName name="Base_Cost_Photo_Eyes">#REF!</definedName>
    <definedName name="Base_Cost_Power_Feeder" localSheetId="22">#REF!</definedName>
    <definedName name="Base_Cost_Power_Feeder">#REF!</definedName>
    <definedName name="Base_Cost_Powered_Roller_Spur" localSheetId="22">#REF!</definedName>
    <definedName name="Base_Cost_Powered_Roller_Spur">#REF!</definedName>
    <definedName name="Belt_Width" localSheetId="22">#REF!</definedName>
    <definedName name="Belt_Width">#REF!</definedName>
    <definedName name="BeltCost" localSheetId="22">#REF!</definedName>
    <definedName name="BeltCost">#REF!</definedName>
    <definedName name="BeltType">'[1]Main Page'!$J$3</definedName>
    <definedName name="BodyHeight" localSheetId="22">#REF!</definedName>
    <definedName name="BodyHeight">#REF!</definedName>
    <definedName name="BodySection">'[1]Main Page'!$D$3</definedName>
    <definedName name="BTP10Price">[2]Sheet4!$G$115</definedName>
    <definedName name="BTP11Price">[2]Sheet4!$G$125</definedName>
    <definedName name="BTP1Price">[2]Sheet4!$G$21</definedName>
    <definedName name="BTP2Price">[2]Sheet4!$G$33</definedName>
    <definedName name="BTP3Price">[2]Sheet4!$G$43</definedName>
    <definedName name="BTP4Price">[2]Sheet4!$G$53</definedName>
    <definedName name="BTP5Price">[2]Sheet4!$G$63</definedName>
    <definedName name="BTP6Price">[2]Sheet4!$G$75</definedName>
    <definedName name="BTP7Price">[2]Sheet4!$G$87</definedName>
    <definedName name="BTP8Price">[2]Sheet4!$G$96</definedName>
    <definedName name="BTP9Price">[2]Sheet4!$G$105</definedName>
    <definedName name="CarrierSize" localSheetId="21">[3]Selection!#REF!</definedName>
    <definedName name="CarrierSize" localSheetId="22">[4]Selection!#REF!</definedName>
    <definedName name="CarrierSize">Selection!#REF!</definedName>
    <definedName name="Cost_of_Standard_Support" localSheetId="22">#REF!</definedName>
    <definedName name="Cost_of_Standard_Support">#REF!</definedName>
    <definedName name="DistanceBetweenGuards">'[1]Main Page'!$H$3</definedName>
    <definedName name="Drive_Diameter" localSheetId="22">#REF!</definedName>
    <definedName name="Drive_Diameter">#REF!</definedName>
    <definedName name="DriveCutoutPrice" localSheetId="22">#REF!</definedName>
    <definedName name="DriveCutoutPrice">#REF!</definedName>
    <definedName name="DriveRollerAssyCost" localSheetId="22">#REF!</definedName>
    <definedName name="DriveRollerAssyCost">#REF!</definedName>
    <definedName name="DriveRollerShaftAndTubeCost" localSheetId="22">#REF!</definedName>
    <definedName name="DriveRollerShaftAndTubeCost">#REF!</definedName>
    <definedName name="DualBelt1100" localSheetId="21">[3]Selection!#REF!</definedName>
    <definedName name="DualBelt1100" localSheetId="22">[4]Selection!#REF!</definedName>
    <definedName name="DualBelt1100">Selection!#REF!</definedName>
    <definedName name="DualBelt1200" localSheetId="21">[3]Selection!#REF!</definedName>
    <definedName name="DualBelt1200" localSheetId="22">[4]Selection!#REF!</definedName>
    <definedName name="DualBelt1200">Selection!#REF!</definedName>
    <definedName name="Electrical_Labour" localSheetId="22">#REF!</definedName>
    <definedName name="Electrical_Labour">#REF!</definedName>
    <definedName name="FingerGuardCost" localSheetId="22">#REF!</definedName>
    <definedName name="FingerGuardCost">#REF!</definedName>
    <definedName name="fuck" localSheetId="22">#REF!</definedName>
    <definedName name="fuck">#REF!</definedName>
    <definedName name="Grav1">[2]Sheet4!$G$6</definedName>
    <definedName name="Grav2">[2]Sheet4!$G$12</definedName>
    <definedName name="GuardHeightLeft">'[1]Main Page'!$F$3</definedName>
    <definedName name="GuardHeightRight">'[1]Main Page'!$G$3</definedName>
    <definedName name="HeadRollerAssyCost" localSheetId="22">#REF!</definedName>
    <definedName name="HeadRollerAssyCost">#REF!</definedName>
    <definedName name="HeadRollerShaftAndTubeCost" localSheetId="22">#REF!</definedName>
    <definedName name="HeadRollerShaftAndTubeCost">#REF!</definedName>
    <definedName name="HeadSection">'[1]Main Page'!$C$3</definedName>
    <definedName name="HeadSectionCutoutCost" localSheetId="22">#REF!</definedName>
    <definedName name="HeadSectionCutoutCost">#REF!</definedName>
    <definedName name="JoiningPlateCost" localSheetId="22">#REF!</definedName>
    <definedName name="JoiningPlateCost">#REF!</definedName>
    <definedName name="junk" localSheetId="22">#REF!</definedName>
    <definedName name="junk">#REF!</definedName>
    <definedName name="junk4" localSheetId="22">#REF!</definedName>
    <definedName name="junk4">#REF!</definedName>
    <definedName name="junk5" localSheetId="22">#REF!</definedName>
    <definedName name="junk5">#REF!</definedName>
    <definedName name="junk8" localSheetId="22">#REF!</definedName>
    <definedName name="junk8">#REF!</definedName>
    <definedName name="Load_Per_Metre" localSheetId="22">#REF!</definedName>
    <definedName name="Load_Per_Metre">#REF!</definedName>
    <definedName name="Mechanical_Labour" localSheetId="22">#REF!</definedName>
    <definedName name="Mechanical_Labour">#REF!</definedName>
    <definedName name="MetalSliderBedCost" localSheetId="22">#REF!</definedName>
    <definedName name="MetalSliderBedCost">#REF!</definedName>
    <definedName name="Per_Metre_Accumulation_Roller" localSheetId="22">#REF!</definedName>
    <definedName name="Per_Metre_Accumulation_Roller">#REF!</definedName>
    <definedName name="Per_Metre_Belt__Belt_Incline" localSheetId="22">#REF!</definedName>
    <definedName name="Per_Metre_Belt__Belt_Incline">#REF!</definedName>
    <definedName name="Per_Metre_Belt_Belt_Decline" localSheetId="22">#REF!</definedName>
    <definedName name="Per_Metre_Belt_Belt_Decline">#REF!</definedName>
    <definedName name="Per_Metre_Belt_Belt_Merge" localSheetId="22">#REF!</definedName>
    <definedName name="Per_Metre_Belt_Belt_Merge">#REF!</definedName>
    <definedName name="Per_Metre_Belt_Belt_Transport" localSheetId="22">#REF!</definedName>
    <definedName name="Per_Metre_Belt_Belt_Transport">#REF!</definedName>
    <definedName name="Per_Metre_Belt_Belt_Under_Roller" localSheetId="22">#REF!</definedName>
    <definedName name="Per_Metre_Belt_Belt_Under_Roller">#REF!</definedName>
    <definedName name="Per_Metre_Belt_Decline" localSheetId="22">#REF!</definedName>
    <definedName name="Per_Metre_Belt_Decline">#REF!</definedName>
    <definedName name="Per_Metre_Belt_Incline" localSheetId="22">#REF!</definedName>
    <definedName name="Per_Metre_Belt_Incline">#REF!</definedName>
    <definedName name="Per_Metre_Belt_Merge" localSheetId="22">#REF!</definedName>
    <definedName name="Per_Metre_Belt_Merge">#REF!</definedName>
    <definedName name="Per_Metre_Belt_Metering_Belt" localSheetId="22">#REF!</definedName>
    <definedName name="Per_Metre_Belt_Metering_Belt">#REF!</definedName>
    <definedName name="Per_Metre_Belt_Power_Feeder" localSheetId="22">#REF!</definedName>
    <definedName name="Per_Metre_Belt_Power_Feeder">#REF!</definedName>
    <definedName name="Per_Metre_Belt_Transport" localSheetId="22">#REF!</definedName>
    <definedName name="Per_Metre_Belt_Transport">#REF!</definedName>
    <definedName name="Per_Metre_Belt_Under_Roller" localSheetId="22">#REF!</definedName>
    <definedName name="Per_Metre_Belt_Under_Roller">#REF!</definedName>
    <definedName name="Per_Metre_Gravity_Roller" localSheetId="22">#REF!</definedName>
    <definedName name="Per_Metre_Gravity_Roller">#REF!</definedName>
    <definedName name="Per_Metre_Gravity_Spur" localSheetId="22">#REF!</definedName>
    <definedName name="Per_Metre_Gravity_Spur">#REF!</definedName>
    <definedName name="Per_Metre_Lineshaft_Roller" localSheetId="22">#REF!</definedName>
    <definedName name="Per_Metre_Lineshaft_Roller">#REF!</definedName>
    <definedName name="Per_Metre_Metering_Belt" localSheetId="22">#REF!</definedName>
    <definedName name="Per_Metre_Metering_Belt">#REF!</definedName>
    <definedName name="Per_Metre_Power_Feeder" localSheetId="22">#REF!</definedName>
    <definedName name="Per_Metre_Power_Feeder">#REF!</definedName>
    <definedName name="Per_Metre_Powered_Roller_Spur" localSheetId="22">#REF!</definedName>
    <definedName name="Per_Metre_Powered_Roller_Spur">#REF!</definedName>
    <definedName name="Photo_Eye_Price" localSheetId="22">#REF!</definedName>
    <definedName name="Photo_Eye_Price">#REF!</definedName>
    <definedName name="_xlnm.Print_Area" localSheetId="32">'RECOMMEDED DESIGNS'!$A$1:$P$43</definedName>
    <definedName name="q" localSheetId="22">#REF!</definedName>
    <definedName name="q">#REF!</definedName>
    <definedName name="RHS30x40Cost" localSheetId="22">#REF!</definedName>
    <definedName name="RHS30x40Cost">#REF!</definedName>
    <definedName name="SectionLength">'[1]Main Page'!$I$3</definedName>
    <definedName name="SideFrameCost" localSheetId="22">#REF!</definedName>
    <definedName name="SideFrameCost">#REF!</definedName>
    <definedName name="SingleBelt600" localSheetId="21">[3]Selection!#REF!</definedName>
    <definedName name="SingleBelt600" localSheetId="22">[4]Selection!#REF!</definedName>
    <definedName name="SingleBelt600">Selection!#REF!</definedName>
    <definedName name="Summary" localSheetId="21">#REF!</definedName>
    <definedName name="Summary" localSheetId="22">#REF!</definedName>
    <definedName name="Summary">#REF!</definedName>
    <definedName name="SupportRollerAssyCost" localSheetId="22">#REF!</definedName>
    <definedName name="SupportRollerAssyCost">#REF!</definedName>
    <definedName name="SupportRollerShaftAndTubeCost" localSheetId="22">#REF!</definedName>
    <definedName name="SupportRollerShaftAndTubeCost">#REF!</definedName>
    <definedName name="TailSection">'[1]Main Page'!$E$3</definedName>
    <definedName name="TakeUpRollerAssyCost" localSheetId="22">#REF!</definedName>
    <definedName name="TakeUpRollerAssyCost">#REF!</definedName>
    <definedName name="TakeUpRollerShaftAndTubeCost" localSheetId="22">#REF!</definedName>
    <definedName name="TakeUpRollerShaftAndTubeCost">#REF!</definedName>
    <definedName name="TimberSliderBedCost" localSheetId="22">#REF!</definedName>
    <definedName name="TimberSliderBedCost">#REF!</definedName>
    <definedName name="Underguard">'[1]Main Page'!$K$3</definedName>
    <definedName name="UnderGuardCost" localSheetId="22">#REF!</definedName>
    <definedName name="UnderGuardCost">#REF!</definedName>
  </definedNames>
  <calcPr calcId="191028"/>
  <pivotCaches>
    <pivotCache cacheId="1" r:id="rId5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39" l="1"/>
  <c r="F22" i="80"/>
  <c r="F21" i="80"/>
  <c r="E21" i="80"/>
  <c r="F20" i="80"/>
  <c r="F19" i="80"/>
  <c r="F18" i="80"/>
  <c r="K15" i="80"/>
  <c r="N15" i="80" s="1"/>
  <c r="J15" i="80"/>
  <c r="K14" i="80"/>
  <c r="N14" i="80" s="1"/>
  <c r="J14" i="80"/>
  <c r="K13" i="80"/>
  <c r="N13" i="80" s="1"/>
  <c r="J13" i="80"/>
  <c r="F13" i="80"/>
  <c r="K12" i="80"/>
  <c r="N12" i="80" s="1"/>
  <c r="K11" i="80"/>
  <c r="M11" i="80" s="1"/>
  <c r="F11" i="80"/>
  <c r="K10" i="80"/>
  <c r="M10" i="80" s="1"/>
  <c r="F10" i="80"/>
  <c r="K9" i="80"/>
  <c r="M9" i="80" s="1"/>
  <c r="F9" i="80"/>
  <c r="K8" i="80"/>
  <c r="M8" i="80" s="1"/>
  <c r="F8" i="80"/>
  <c r="K7" i="80"/>
  <c r="M7" i="80" s="1"/>
  <c r="J7" i="80"/>
  <c r="F7" i="80"/>
  <c r="K6" i="80"/>
  <c r="M6" i="80" s="1"/>
  <c r="F6" i="80"/>
  <c r="K5" i="80"/>
  <c r="M5" i="80" s="1"/>
  <c r="F5" i="80"/>
  <c r="F12" i="80" s="1"/>
  <c r="F7" i="44"/>
  <c r="D31" i="80" l="1"/>
  <c r="F14" i="80"/>
  <c r="D32" i="80" s="1"/>
  <c r="D30" i="80" s="1"/>
  <c r="N8" i="80" s="1"/>
  <c r="D4" i="43"/>
  <c r="D3" i="43"/>
  <c r="D2" i="43"/>
  <c r="F2" i="44"/>
  <c r="J60" i="36"/>
  <c r="J59" i="36"/>
  <c r="K24" i="36"/>
  <c r="K25" i="36"/>
  <c r="K26" i="36"/>
  <c r="K27" i="36"/>
  <c r="K28" i="36"/>
  <c r="K29" i="36"/>
  <c r="K30" i="36"/>
  <c r="K31" i="36"/>
  <c r="K32" i="36"/>
  <c r="K33" i="36"/>
  <c r="K34" i="36"/>
  <c r="K35" i="36"/>
  <c r="K36" i="36"/>
  <c r="K37" i="36"/>
  <c r="K38" i="36"/>
  <c r="K39" i="36"/>
  <c r="K40" i="36"/>
  <c r="K41" i="36"/>
  <c r="K42" i="36"/>
  <c r="K43" i="36"/>
  <c r="K44" i="36"/>
  <c r="K45" i="36"/>
  <c r="K46" i="36"/>
  <c r="K47" i="36"/>
  <c r="K48" i="36"/>
  <c r="K49" i="36"/>
  <c r="K50" i="36"/>
  <c r="K51" i="36"/>
  <c r="K52" i="36"/>
  <c r="K53" i="36"/>
  <c r="K54" i="36"/>
  <c r="K55" i="36"/>
  <c r="K56" i="36"/>
  <c r="K57" i="36"/>
  <c r="K58" i="36"/>
  <c r="K23" i="36"/>
  <c r="X38" i="54"/>
  <c r="O6" i="36"/>
  <c r="O7" i="36"/>
  <c r="O8" i="36"/>
  <c r="O9" i="36"/>
  <c r="O10" i="36"/>
  <c r="O11" i="36"/>
  <c r="O12" i="36"/>
  <c r="O13" i="36"/>
  <c r="O14" i="36"/>
  <c r="O15" i="36"/>
  <c r="O16" i="36"/>
  <c r="O17" i="36"/>
  <c r="O18" i="36"/>
  <c r="O19" i="36"/>
  <c r="O20" i="36"/>
  <c r="O21" i="36"/>
  <c r="O22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Y38" i="54"/>
  <c r="AB38" i="54" s="1"/>
  <c r="F293" i="55"/>
  <c r="G293" i="55"/>
  <c r="F294" i="55"/>
  <c r="G294" i="55"/>
  <c r="F295" i="55"/>
  <c r="G295" i="55"/>
  <c r="F296" i="55"/>
  <c r="G296" i="55"/>
  <c r="F297" i="55"/>
  <c r="G297" i="55"/>
  <c r="F298" i="55"/>
  <c r="G298" i="55"/>
  <c r="F299" i="55"/>
  <c r="G299" i="55"/>
  <c r="F300" i="55"/>
  <c r="G300" i="55"/>
  <c r="F301" i="55"/>
  <c r="G301" i="55"/>
  <c r="G66" i="36"/>
  <c r="N9" i="80" l="1"/>
  <c r="N6" i="80"/>
  <c r="N11" i="80"/>
  <c r="N7" i="80"/>
  <c r="N5" i="80"/>
  <c r="N10" i="80"/>
  <c r="E2" i="46"/>
  <c r="C2" i="46"/>
  <c r="O4" i="36"/>
  <c r="M4" i="36"/>
  <c r="O3" i="36"/>
  <c r="M3" i="36"/>
  <c r="O24" i="36"/>
  <c r="O25" i="36"/>
  <c r="O26" i="36"/>
  <c r="O27" i="36"/>
  <c r="O28" i="36"/>
  <c r="O29" i="36"/>
  <c r="O30" i="36"/>
  <c r="O31" i="36"/>
  <c r="O32" i="36"/>
  <c r="O33" i="36"/>
  <c r="O34" i="36"/>
  <c r="O35" i="36"/>
  <c r="O36" i="36"/>
  <c r="O37" i="36"/>
  <c r="O38" i="36"/>
  <c r="O39" i="36"/>
  <c r="O40" i="36"/>
  <c r="O41" i="36"/>
  <c r="O42" i="36"/>
  <c r="O43" i="36"/>
  <c r="O44" i="36"/>
  <c r="O45" i="36"/>
  <c r="O46" i="36"/>
  <c r="O47" i="36"/>
  <c r="O48" i="36"/>
  <c r="O49" i="36"/>
  <c r="O50" i="36"/>
  <c r="O51" i="36"/>
  <c r="O52" i="36"/>
  <c r="O53" i="36"/>
  <c r="O54" i="36"/>
  <c r="O55" i="36"/>
  <c r="O56" i="36"/>
  <c r="O57" i="36"/>
  <c r="O58" i="36"/>
  <c r="O23" i="36"/>
  <c r="G29" i="36"/>
  <c r="Q29" i="36" s="1"/>
  <c r="S29" i="36" s="1"/>
  <c r="G30" i="36"/>
  <c r="G31" i="36"/>
  <c r="G32" i="36"/>
  <c r="G33" i="36"/>
  <c r="Q33" i="36" s="1"/>
  <c r="S33" i="36" s="1"/>
  <c r="G34" i="36"/>
  <c r="Q34" i="36" s="1"/>
  <c r="S34" i="36" s="1"/>
  <c r="G35" i="36"/>
  <c r="G36" i="36"/>
  <c r="G37" i="36"/>
  <c r="Q37" i="36" s="1"/>
  <c r="S37" i="36" s="1"/>
  <c r="G38" i="36"/>
  <c r="G39" i="36"/>
  <c r="G40" i="36"/>
  <c r="G41" i="36"/>
  <c r="Q41" i="36" s="1"/>
  <c r="S41" i="36" s="1"/>
  <c r="G42" i="36"/>
  <c r="Q42" i="36" s="1"/>
  <c r="S42" i="36" s="1"/>
  <c r="G43" i="36"/>
  <c r="G44" i="36"/>
  <c r="G45" i="36"/>
  <c r="Q45" i="36" s="1"/>
  <c r="S45" i="36" s="1"/>
  <c r="G46" i="36"/>
  <c r="G47" i="36"/>
  <c r="G48" i="36"/>
  <c r="G49" i="36"/>
  <c r="Q49" i="36" s="1"/>
  <c r="S49" i="36" s="1"/>
  <c r="G50" i="36"/>
  <c r="G51" i="36"/>
  <c r="G52" i="36"/>
  <c r="G53" i="36"/>
  <c r="Q53" i="36" s="1"/>
  <c r="S53" i="36" s="1"/>
  <c r="G54" i="36"/>
  <c r="G55" i="36"/>
  <c r="G56" i="36"/>
  <c r="G57" i="36"/>
  <c r="Q57" i="36" s="1"/>
  <c r="S57" i="36" s="1"/>
  <c r="G58" i="36"/>
  <c r="Q58" i="36" s="1"/>
  <c r="S58" i="36" s="1"/>
  <c r="G24" i="36"/>
  <c r="G25" i="36"/>
  <c r="Q25" i="36" s="1"/>
  <c r="G26" i="36"/>
  <c r="G27" i="36"/>
  <c r="G28" i="36"/>
  <c r="M5" i="36"/>
  <c r="O5" i="36"/>
  <c r="L4" i="36"/>
  <c r="N4" i="36" s="1"/>
  <c r="L5" i="36"/>
  <c r="N5" i="36" s="1"/>
  <c r="L6" i="36"/>
  <c r="N6" i="36" s="1"/>
  <c r="N7" i="36"/>
  <c r="L8" i="36"/>
  <c r="N8" i="36" s="1"/>
  <c r="N9" i="36"/>
  <c r="L10" i="36"/>
  <c r="N10" i="36" s="1"/>
  <c r="L11" i="36"/>
  <c r="N11" i="36" s="1"/>
  <c r="L12" i="36"/>
  <c r="N12" i="36" s="1"/>
  <c r="L13" i="36"/>
  <c r="N13" i="36" s="1"/>
  <c r="N14" i="36"/>
  <c r="L15" i="36"/>
  <c r="N15" i="36" s="1"/>
  <c r="L16" i="36"/>
  <c r="N16" i="36" s="1"/>
  <c r="L17" i="36"/>
  <c r="N17" i="36" s="1"/>
  <c r="L18" i="36"/>
  <c r="N18" i="36" s="1"/>
  <c r="L19" i="36"/>
  <c r="N19" i="36" s="1"/>
  <c r="L20" i="36"/>
  <c r="N20" i="36" s="1"/>
  <c r="L21" i="36"/>
  <c r="N21" i="36" s="1"/>
  <c r="N22" i="36"/>
  <c r="L3" i="36"/>
  <c r="G17" i="36"/>
  <c r="G18" i="36"/>
  <c r="G19" i="36"/>
  <c r="G20" i="36"/>
  <c r="G21" i="36"/>
  <c r="G22" i="36"/>
  <c r="G3" i="57"/>
  <c r="F162" i="55"/>
  <c r="G162" i="55"/>
  <c r="F163" i="55"/>
  <c r="G163" i="55"/>
  <c r="F164" i="55"/>
  <c r="G164" i="55"/>
  <c r="F165" i="55"/>
  <c r="G165" i="55"/>
  <c r="F166" i="55"/>
  <c r="G166" i="55"/>
  <c r="F167" i="55"/>
  <c r="G167" i="55"/>
  <c r="F168" i="55"/>
  <c r="G168" i="55"/>
  <c r="F169" i="55"/>
  <c r="G169" i="55"/>
  <c r="F170" i="55"/>
  <c r="G170" i="55"/>
  <c r="F171" i="55"/>
  <c r="G171" i="55"/>
  <c r="F172" i="55"/>
  <c r="G172" i="55"/>
  <c r="F173" i="55"/>
  <c r="G173" i="55"/>
  <c r="F174" i="55"/>
  <c r="G174" i="55"/>
  <c r="F175" i="55"/>
  <c r="G175" i="55" s="1"/>
  <c r="F176" i="55"/>
  <c r="G176" i="55" s="1"/>
  <c r="F177" i="55"/>
  <c r="G177" i="55"/>
  <c r="F178" i="55"/>
  <c r="G178" i="55"/>
  <c r="F179" i="55"/>
  <c r="G179" i="55"/>
  <c r="F180" i="55"/>
  <c r="G180" i="55"/>
  <c r="F181" i="55"/>
  <c r="G181" i="55" s="1"/>
  <c r="F182" i="55"/>
  <c r="G182" i="55"/>
  <c r="F183" i="55"/>
  <c r="G183" i="55"/>
  <c r="F184" i="55"/>
  <c r="G184" i="55"/>
  <c r="F185" i="55"/>
  <c r="G185" i="55"/>
  <c r="F186" i="55"/>
  <c r="G186" i="55"/>
  <c r="F187" i="55"/>
  <c r="G187" i="55"/>
  <c r="F188" i="55"/>
  <c r="G188" i="55"/>
  <c r="F189" i="55"/>
  <c r="G189" i="55"/>
  <c r="F190" i="55"/>
  <c r="G190" i="55"/>
  <c r="F191" i="55"/>
  <c r="G191" i="55"/>
  <c r="F192" i="55"/>
  <c r="G192" i="55"/>
  <c r="F193" i="55"/>
  <c r="G193" i="55"/>
  <c r="F194" i="55"/>
  <c r="G194" i="55"/>
  <c r="F195" i="55"/>
  <c r="G195" i="55"/>
  <c r="F196" i="55"/>
  <c r="G196" i="55"/>
  <c r="F197" i="55"/>
  <c r="G197" i="55"/>
  <c r="F198" i="55"/>
  <c r="G198" i="55"/>
  <c r="F199" i="55"/>
  <c r="G199" i="55"/>
  <c r="F200" i="55"/>
  <c r="G200" i="55"/>
  <c r="F201" i="55"/>
  <c r="G201" i="55"/>
  <c r="F202" i="55"/>
  <c r="G202" i="55"/>
  <c r="F203" i="55"/>
  <c r="G203" i="55"/>
  <c r="F204" i="55"/>
  <c r="G204" i="55"/>
  <c r="F205" i="55"/>
  <c r="G205" i="55"/>
  <c r="F206" i="55"/>
  <c r="G206" i="55" s="1"/>
  <c r="F207" i="55"/>
  <c r="G207" i="55" s="1"/>
  <c r="F208" i="55"/>
  <c r="G208" i="55" s="1"/>
  <c r="F209" i="55"/>
  <c r="G209" i="55"/>
  <c r="F210" i="55"/>
  <c r="G210" i="55"/>
  <c r="F211" i="55"/>
  <c r="G211" i="55"/>
  <c r="F212" i="55"/>
  <c r="G212" i="55"/>
  <c r="F213" i="55"/>
  <c r="G213" i="55"/>
  <c r="F214" i="55"/>
  <c r="G214" i="55" s="1"/>
  <c r="F215" i="55"/>
  <c r="G215" i="55" s="1"/>
  <c r="F216" i="55"/>
  <c r="G216" i="55"/>
  <c r="F217" i="55"/>
  <c r="G217" i="55"/>
  <c r="F218" i="55"/>
  <c r="G218" i="55"/>
  <c r="F219" i="55"/>
  <c r="G219" i="55"/>
  <c r="F220" i="55"/>
  <c r="G220" i="55"/>
  <c r="F221" i="55"/>
  <c r="G221" i="55"/>
  <c r="F222" i="55"/>
  <c r="G222" i="55" s="1"/>
  <c r="F223" i="55"/>
  <c r="G223" i="55"/>
  <c r="F224" i="55"/>
  <c r="G224" i="55"/>
  <c r="F225" i="55"/>
  <c r="G225" i="55"/>
  <c r="F226" i="55"/>
  <c r="G226" i="55"/>
  <c r="F227" i="55"/>
  <c r="G227" i="55"/>
  <c r="F228" i="55"/>
  <c r="G228" i="55"/>
  <c r="F229" i="55"/>
  <c r="G229" i="55"/>
  <c r="F230" i="55"/>
  <c r="G230" i="55"/>
  <c r="F231" i="55"/>
  <c r="G231" i="55"/>
  <c r="F232" i="55"/>
  <c r="G232" i="55"/>
  <c r="F233" i="55"/>
  <c r="G233" i="55"/>
  <c r="F234" i="55"/>
  <c r="G234" i="55"/>
  <c r="F235" i="55"/>
  <c r="G235" i="55"/>
  <c r="F236" i="55"/>
  <c r="G236" i="55"/>
  <c r="F237" i="55"/>
  <c r="G237" i="55"/>
  <c r="F238" i="55"/>
  <c r="G238" i="55"/>
  <c r="F239" i="55"/>
  <c r="G239" i="55"/>
  <c r="F240" i="55"/>
  <c r="G240" i="55"/>
  <c r="F241" i="55"/>
  <c r="G241" i="55"/>
  <c r="F242" i="55"/>
  <c r="G242" i="55"/>
  <c r="F243" i="55"/>
  <c r="G243" i="55"/>
  <c r="F244" i="55"/>
  <c r="G244" i="55"/>
  <c r="F245" i="55"/>
  <c r="G245" i="55"/>
  <c r="F246" i="55"/>
  <c r="G246" i="55"/>
  <c r="F247" i="55"/>
  <c r="G247" i="55"/>
  <c r="F248" i="55"/>
  <c r="G248" i="55"/>
  <c r="F249" i="55"/>
  <c r="G249" i="55"/>
  <c r="F250" i="55"/>
  <c r="G250" i="55"/>
  <c r="F251" i="55"/>
  <c r="G251" i="55"/>
  <c r="F252" i="55"/>
  <c r="G252" i="55"/>
  <c r="F253" i="55"/>
  <c r="G253" i="55"/>
  <c r="F254" i="55"/>
  <c r="G254" i="55"/>
  <c r="F255" i="55"/>
  <c r="G255" i="55"/>
  <c r="F256" i="55"/>
  <c r="G256" i="55"/>
  <c r="F257" i="55"/>
  <c r="G257" i="55"/>
  <c r="F258" i="55"/>
  <c r="G258" i="55"/>
  <c r="F259" i="55"/>
  <c r="G259" i="55"/>
  <c r="F260" i="55"/>
  <c r="G260" i="55"/>
  <c r="F261" i="55"/>
  <c r="G261" i="55"/>
  <c r="F262" i="55"/>
  <c r="G262" i="55"/>
  <c r="F263" i="55"/>
  <c r="G263" i="55"/>
  <c r="F264" i="55"/>
  <c r="G264" i="55"/>
  <c r="F265" i="55"/>
  <c r="G265" i="55"/>
  <c r="F266" i="55"/>
  <c r="G266" i="55"/>
  <c r="F267" i="55"/>
  <c r="G267" i="55"/>
  <c r="F268" i="55"/>
  <c r="G268" i="55"/>
  <c r="F269" i="55"/>
  <c r="G269" i="55"/>
  <c r="F270" i="55"/>
  <c r="G270" i="55" s="1"/>
  <c r="F271" i="55"/>
  <c r="G271" i="55" s="1"/>
  <c r="F272" i="55"/>
  <c r="G272" i="55" s="1"/>
  <c r="F273" i="55"/>
  <c r="G273" i="55"/>
  <c r="F274" i="55"/>
  <c r="G274" i="55"/>
  <c r="F275" i="55"/>
  <c r="G275" i="55"/>
  <c r="F276" i="55"/>
  <c r="G276" i="55"/>
  <c r="F277" i="55"/>
  <c r="G277" i="55" s="1"/>
  <c r="F278" i="55"/>
  <c r="G278" i="55" s="1"/>
  <c r="F279" i="55"/>
  <c r="G279" i="55" s="1"/>
  <c r="F280" i="55"/>
  <c r="G280" i="55" s="1"/>
  <c r="F281" i="55"/>
  <c r="G281" i="55" s="1"/>
  <c r="F282" i="55"/>
  <c r="G282" i="55"/>
  <c r="F283" i="55"/>
  <c r="G283" i="55"/>
  <c r="F284" i="55"/>
  <c r="G284" i="55"/>
  <c r="F285" i="55"/>
  <c r="G285" i="55"/>
  <c r="F286" i="55"/>
  <c r="G286" i="55"/>
  <c r="F287" i="55"/>
  <c r="G287" i="55"/>
  <c r="F288" i="55"/>
  <c r="G288" i="55"/>
  <c r="F289" i="55"/>
  <c r="G289" i="55" s="1"/>
  <c r="F290" i="55"/>
  <c r="G290" i="55"/>
  <c r="F291" i="55"/>
  <c r="G291" i="55"/>
  <c r="F292" i="55"/>
  <c r="G292" i="55"/>
  <c r="C4" i="44"/>
  <c r="C3" i="44"/>
  <c r="C61" i="35"/>
  <c r="C65" i="35"/>
  <c r="N20" i="80" l="1"/>
  <c r="N21" i="80"/>
  <c r="N22" i="80"/>
  <c r="Q39" i="36"/>
  <c r="S39" i="36" s="1"/>
  <c r="Q32" i="36"/>
  <c r="S32" i="36" s="1"/>
  <c r="Q52" i="36"/>
  <c r="S52" i="36" s="1"/>
  <c r="Q40" i="36"/>
  <c r="S40" i="36" s="1"/>
  <c r="Q56" i="36"/>
  <c r="S56" i="36" s="1"/>
  <c r="Q50" i="36"/>
  <c r="S50" i="36" s="1"/>
  <c r="Q35" i="36"/>
  <c r="S35" i="36" s="1"/>
  <c r="Q43" i="36"/>
  <c r="S43" i="36" s="1"/>
  <c r="Q26" i="36"/>
  <c r="Q36" i="36"/>
  <c r="S36" i="36" s="1"/>
  <c r="Q46" i="36"/>
  <c r="S46" i="36" s="1"/>
  <c r="Q55" i="36"/>
  <c r="S55" i="36" s="1"/>
  <c r="Q38" i="36"/>
  <c r="S38" i="36" s="1"/>
  <c r="Q28" i="36"/>
  <c r="Q51" i="36"/>
  <c r="S51" i="36" s="1"/>
  <c r="Q48" i="36"/>
  <c r="S48" i="36" s="1"/>
  <c r="Q24" i="36"/>
  <c r="Q44" i="36"/>
  <c r="S44" i="36" s="1"/>
  <c r="Q31" i="36"/>
  <c r="S31" i="36" s="1"/>
  <c r="Q27" i="36"/>
  <c r="Q54" i="36"/>
  <c r="S54" i="36" s="1"/>
  <c r="Q47" i="36"/>
  <c r="S47" i="36" s="1"/>
  <c r="Q30" i="36"/>
  <c r="S30" i="36" s="1"/>
  <c r="P21" i="36"/>
  <c r="P20" i="36"/>
  <c r="P18" i="36"/>
  <c r="P19" i="36"/>
  <c r="P17" i="36"/>
  <c r="P22" i="36"/>
  <c r="C15" i="35"/>
  <c r="H4" i="50"/>
  <c r="G15" i="78"/>
  <c r="G14" i="78"/>
  <c r="N25" i="80" l="1"/>
  <c r="D19" i="79" s="1"/>
  <c r="G7" i="39" s="1"/>
  <c r="I7" i="39" s="1"/>
  <c r="J7" i="39" s="1"/>
  <c r="J4" i="74"/>
  <c r="A7" i="73" l="1"/>
  <c r="A8" i="73" s="1"/>
  <c r="A9" i="73" s="1"/>
  <c r="A10" i="73" s="1"/>
  <c r="A11" i="73" s="1"/>
  <c r="A12" i="73" s="1"/>
  <c r="A13" i="73" s="1"/>
  <c r="A14" i="73" s="1"/>
  <c r="A15" i="73" s="1"/>
  <c r="A16" i="73" s="1"/>
  <c r="A17" i="73" s="1"/>
  <c r="A18" i="73" s="1"/>
  <c r="A19" i="73" s="1"/>
  <c r="A20" i="73" s="1"/>
  <c r="A21" i="73" s="1"/>
  <c r="A22" i="73" s="1"/>
  <c r="F22" i="73" l="1"/>
  <c r="C9" i="71"/>
  <c r="C7" i="71"/>
  <c r="C6" i="71"/>
  <c r="C4" i="71"/>
  <c r="Q1" i="36"/>
  <c r="Q22" i="36" l="1"/>
  <c r="S22" i="36" s="1"/>
  <c r="Q19" i="36"/>
  <c r="S19" i="36" s="1"/>
  <c r="Q21" i="36"/>
  <c r="S21" i="36" s="1"/>
  <c r="Q18" i="36"/>
  <c r="S18" i="36" s="1"/>
  <c r="Q20" i="36"/>
  <c r="S20" i="36" s="1"/>
  <c r="Q17" i="36"/>
  <c r="S17" i="36" s="1"/>
  <c r="C63" i="35"/>
  <c r="G5" i="43"/>
  <c r="G7" i="43"/>
  <c r="G65" i="36"/>
  <c r="G16" i="36" l="1"/>
  <c r="G15" i="36"/>
  <c r="G14" i="36"/>
  <c r="G13" i="36"/>
  <c r="G12" i="36"/>
  <c r="G11" i="36"/>
  <c r="G10" i="36"/>
  <c r="G9" i="36"/>
  <c r="G8" i="36"/>
  <c r="G7" i="36"/>
  <c r="G6" i="36"/>
  <c r="G5" i="36"/>
  <c r="G4" i="36"/>
  <c r="G3" i="36"/>
  <c r="N3" i="36" s="1"/>
  <c r="G23" i="36"/>
  <c r="M4" i="78"/>
  <c r="F24" i="73"/>
  <c r="M2" i="78"/>
  <c r="M3" i="78" s="1"/>
  <c r="M5" i="78" s="1"/>
  <c r="J13" i="73"/>
  <c r="J14" i="73" s="1"/>
  <c r="H16" i="39"/>
  <c r="I16" i="39" s="1"/>
  <c r="J16" i="39" s="1"/>
  <c r="H13" i="43"/>
  <c r="F7" i="43"/>
  <c r="Q70" i="36"/>
  <c r="G12" i="78" l="1"/>
  <c r="F10" i="73"/>
  <c r="P6" i="36"/>
  <c r="P7" i="36"/>
  <c r="P12" i="36"/>
  <c r="P13" i="36"/>
  <c r="P15" i="36"/>
  <c r="P10" i="36"/>
  <c r="P4" i="36"/>
  <c r="P3" i="36"/>
  <c r="P9" i="36"/>
  <c r="P16" i="36"/>
  <c r="P8" i="36"/>
  <c r="P14" i="36"/>
  <c r="Q23" i="36"/>
  <c r="S23" i="36" s="1"/>
  <c r="S25" i="36"/>
  <c r="S27" i="36"/>
  <c r="S24" i="36"/>
  <c r="S26" i="36"/>
  <c r="S28" i="36"/>
  <c r="D27" i="77"/>
  <c r="D21" i="77"/>
  <c r="C21" i="77"/>
  <c r="F19" i="77"/>
  <c r="B19" i="77"/>
  <c r="B18" i="77"/>
  <c r="F18" i="77" s="1"/>
  <c r="B17" i="77"/>
  <c r="G17" i="77" s="1"/>
  <c r="B16" i="77"/>
  <c r="G16" i="77" s="1"/>
  <c r="H15" i="77"/>
  <c r="G15" i="77"/>
  <c r="E15" i="77"/>
  <c r="B15" i="77"/>
  <c r="F15" i="77" s="1"/>
  <c r="D14" i="77"/>
  <c r="C14" i="77"/>
  <c r="B14" i="77"/>
  <c r="E14" i="77" s="1"/>
  <c r="H6" i="77"/>
  <c r="H7" i="77" s="1"/>
  <c r="E6" i="77"/>
  <c r="E7" i="77" s="1"/>
  <c r="H5" i="77"/>
  <c r="F5" i="77"/>
  <c r="F6" i="77" s="1"/>
  <c r="F7" i="77" s="1"/>
  <c r="E5" i="77"/>
  <c r="D15" i="77" s="1"/>
  <c r="D5" i="77"/>
  <c r="D6" i="77" s="1"/>
  <c r="D21" i="70"/>
  <c r="C21" i="70"/>
  <c r="J15" i="70"/>
  <c r="D27" i="70"/>
  <c r="F20" i="44"/>
  <c r="I4" i="75"/>
  <c r="G4" i="44" s="1"/>
  <c r="H3" i="75"/>
  <c r="H4" i="75" s="1"/>
  <c r="E4" i="75"/>
  <c r="G3" i="44" s="1"/>
  <c r="D4" i="75"/>
  <c r="D3" i="75"/>
  <c r="D8" i="74"/>
  <c r="D7" i="74"/>
  <c r="D6" i="74"/>
  <c r="J2" i="74"/>
  <c r="J3" i="74" s="1"/>
  <c r="D18" i="70"/>
  <c r="C18" i="70"/>
  <c r="B18" i="70"/>
  <c r="G18" i="70" s="1"/>
  <c r="C3" i="72"/>
  <c r="E3" i="72" s="1"/>
  <c r="C2" i="72"/>
  <c r="E2" i="72" s="1"/>
  <c r="B19" i="70"/>
  <c r="B17" i="70"/>
  <c r="B16" i="70"/>
  <c r="B15" i="70"/>
  <c r="G15" i="70" s="1"/>
  <c r="D14" i="70"/>
  <c r="C14" i="70"/>
  <c r="B14" i="70"/>
  <c r="G14" i="70" s="1"/>
  <c r="H5" i="70"/>
  <c r="H6" i="70" s="1"/>
  <c r="H7" i="70" s="1"/>
  <c r="H9" i="70" s="1"/>
  <c r="F5" i="70"/>
  <c r="F6" i="70" s="1"/>
  <c r="F7" i="70" s="1"/>
  <c r="F9" i="70" s="1"/>
  <c r="E5" i="70"/>
  <c r="E6" i="70" s="1"/>
  <c r="D5" i="70"/>
  <c r="D6" i="70" s="1"/>
  <c r="D27" i="71"/>
  <c r="D21" i="71"/>
  <c r="C21" i="71"/>
  <c r="B19" i="71"/>
  <c r="F19" i="71" s="1"/>
  <c r="B18" i="71"/>
  <c r="F18" i="71" s="1"/>
  <c r="B17" i="71"/>
  <c r="F17" i="71" s="1"/>
  <c r="B16" i="71"/>
  <c r="G16" i="71" s="1"/>
  <c r="H15" i="71"/>
  <c r="B15" i="71"/>
  <c r="G15" i="71" s="1"/>
  <c r="D14" i="71"/>
  <c r="C14" i="71"/>
  <c r="B14" i="71"/>
  <c r="E14" i="71" s="1"/>
  <c r="H6" i="71"/>
  <c r="H7" i="71" s="1"/>
  <c r="H5" i="71"/>
  <c r="F5" i="71"/>
  <c r="F6" i="71" s="1"/>
  <c r="E5" i="71"/>
  <c r="E6" i="71" s="1"/>
  <c r="D5" i="71"/>
  <c r="D6" i="71" s="1"/>
  <c r="A3" i="73"/>
  <c r="A4" i="73" s="1"/>
  <c r="A5" i="73" s="1"/>
  <c r="A6" i="73" s="1"/>
  <c r="P11" i="36" l="1"/>
  <c r="P5" i="36"/>
  <c r="F14" i="71"/>
  <c r="F16" i="77"/>
  <c r="F20" i="77" s="1"/>
  <c r="F21" i="77" s="1"/>
  <c r="F14" i="77"/>
  <c r="G14" i="77"/>
  <c r="F8" i="77"/>
  <c r="F9" i="77"/>
  <c r="E19" i="77"/>
  <c r="C16" i="77"/>
  <c r="D7" i="77"/>
  <c r="H9" i="77"/>
  <c r="G19" i="77" s="1"/>
  <c r="H8" i="77"/>
  <c r="E9" i="77"/>
  <c r="D19" i="77" s="1"/>
  <c r="D17" i="77"/>
  <c r="E8" i="77"/>
  <c r="D18" i="77" s="1"/>
  <c r="E17" i="77"/>
  <c r="E20" i="77" s="1"/>
  <c r="G18" i="77"/>
  <c r="G20" i="77" s="1"/>
  <c r="G21" i="77" s="1"/>
  <c r="E18" i="77"/>
  <c r="C15" i="77"/>
  <c r="D16" i="77"/>
  <c r="F17" i="77"/>
  <c r="E16" i="77"/>
  <c r="F5" i="44"/>
  <c r="G5" i="44" s="1"/>
  <c r="J6" i="74"/>
  <c r="J7" i="74" s="1"/>
  <c r="G13" i="39" s="1"/>
  <c r="H13" i="39" s="1"/>
  <c r="I13" i="39" s="1"/>
  <c r="J13" i="39" s="1"/>
  <c r="G10" i="78" s="1"/>
  <c r="E18" i="70"/>
  <c r="I18" i="70" s="1"/>
  <c r="J18" i="70" s="1"/>
  <c r="F18" i="70"/>
  <c r="F8" i="70"/>
  <c r="H8" i="70"/>
  <c r="G17" i="70"/>
  <c r="E4" i="72"/>
  <c r="E6" i="72" s="1"/>
  <c r="D7" i="70"/>
  <c r="D8" i="70" s="1"/>
  <c r="C16" i="70"/>
  <c r="D16" i="70"/>
  <c r="E7" i="70"/>
  <c r="E8" i="70" s="1"/>
  <c r="G16" i="70"/>
  <c r="G19" i="70"/>
  <c r="C15" i="70"/>
  <c r="D15" i="70"/>
  <c r="E15" i="70"/>
  <c r="E16" i="70"/>
  <c r="E19" i="70"/>
  <c r="F14" i="70"/>
  <c r="F15" i="70"/>
  <c r="F16" i="70"/>
  <c r="F17" i="70"/>
  <c r="F19" i="70"/>
  <c r="E14" i="70"/>
  <c r="E17" i="70"/>
  <c r="D7" i="71"/>
  <c r="C16" i="71"/>
  <c r="H8" i="71"/>
  <c r="G18" i="71" s="1"/>
  <c r="G17" i="71"/>
  <c r="H9" i="71"/>
  <c r="G19" i="71" s="1"/>
  <c r="D16" i="71"/>
  <c r="E7" i="71"/>
  <c r="E16" i="71"/>
  <c r="F7" i="71"/>
  <c r="G14" i="71"/>
  <c r="C15" i="71"/>
  <c r="D15" i="71"/>
  <c r="E15" i="71"/>
  <c r="F16" i="71"/>
  <c r="F15" i="71"/>
  <c r="F20" i="71" l="1"/>
  <c r="F21" i="71" s="1"/>
  <c r="E21" i="77"/>
  <c r="C24" i="77" s="1"/>
  <c r="C26" i="77" s="1"/>
  <c r="D24" i="77"/>
  <c r="D26" i="77" s="1"/>
  <c r="D28" i="77" s="1"/>
  <c r="D8" i="77"/>
  <c r="C18" i="77" s="1"/>
  <c r="C17" i="77"/>
  <c r="D9" i="77"/>
  <c r="C19" i="77" s="1"/>
  <c r="I14" i="70"/>
  <c r="G20" i="70"/>
  <c r="G21" i="70" s="1"/>
  <c r="E7" i="72"/>
  <c r="E10" i="72" s="1"/>
  <c r="F10" i="72" s="1"/>
  <c r="I16" i="70"/>
  <c r="E9" i="70"/>
  <c r="D19" i="70" s="1"/>
  <c r="D17" i="70"/>
  <c r="D20" i="70" s="1"/>
  <c r="E20" i="70"/>
  <c r="E21" i="70" s="1"/>
  <c r="D9" i="70"/>
  <c r="C19" i="70" s="1"/>
  <c r="I19" i="70" s="1"/>
  <c r="C17" i="70"/>
  <c r="I17" i="70" s="1"/>
  <c r="F20" i="70"/>
  <c r="F21" i="70" s="1"/>
  <c r="I15" i="70"/>
  <c r="F8" i="71"/>
  <c r="E18" i="71" s="1"/>
  <c r="E17" i="71"/>
  <c r="F9" i="71"/>
  <c r="E19" i="71" s="1"/>
  <c r="E20" i="71" s="1"/>
  <c r="G20" i="71"/>
  <c r="G21" i="71" s="1"/>
  <c r="C17" i="71"/>
  <c r="D9" i="71"/>
  <c r="C19" i="71" s="1"/>
  <c r="D8" i="71"/>
  <c r="C18" i="71" s="1"/>
  <c r="E8" i="71"/>
  <c r="D18" i="71" s="1"/>
  <c r="D17" i="71"/>
  <c r="E9" i="71"/>
  <c r="D19" i="71" s="1"/>
  <c r="E28" i="77" l="1"/>
  <c r="G14" i="39"/>
  <c r="H14" i="39" s="1"/>
  <c r="I14" i="39" s="1"/>
  <c r="J14" i="39" s="1"/>
  <c r="F17" i="73" s="1"/>
  <c r="J17" i="70"/>
  <c r="C4" i="74" s="1"/>
  <c r="D4" i="74" s="1"/>
  <c r="F14" i="73" s="1"/>
  <c r="J19" i="70"/>
  <c r="C5" i="74" s="1"/>
  <c r="D5" i="74" s="1"/>
  <c r="J16" i="70"/>
  <c r="C3" i="74" s="1"/>
  <c r="D3" i="74" s="1"/>
  <c r="F13" i="73" s="1"/>
  <c r="J14" i="70"/>
  <c r="C2" i="74" s="1"/>
  <c r="D2" i="74" s="1"/>
  <c r="F12" i="73" s="1"/>
  <c r="F13" i="72"/>
  <c r="C20" i="70"/>
  <c r="E21" i="71"/>
  <c r="C24" i="71" s="1"/>
  <c r="C26" i="71" s="1"/>
  <c r="D24" i="71"/>
  <c r="D26" i="71" s="1"/>
  <c r="D28" i="71" s="1"/>
  <c r="G12" i="39" l="1"/>
  <c r="H12" i="39" s="1"/>
  <c r="I12" i="39" s="1"/>
  <c r="J12" i="39" s="1"/>
  <c r="F16" i="73" s="1"/>
  <c r="E28" i="71"/>
  <c r="C24" i="70"/>
  <c r="C26" i="70" s="1"/>
  <c r="C28" i="70" s="1"/>
  <c r="D24" i="70"/>
  <c r="D26" i="70" s="1"/>
  <c r="D28" i="70" s="1"/>
  <c r="G9" i="39" s="1"/>
  <c r="I2" i="43" l="1"/>
  <c r="I3" i="43"/>
  <c r="J5" i="58"/>
  <c r="J4" i="58"/>
  <c r="I9" i="43"/>
  <c r="J9" i="43" s="1"/>
  <c r="J11" i="43" s="1"/>
  <c r="G2" i="44"/>
  <c r="F6" i="44"/>
  <c r="G6" i="44" s="1"/>
  <c r="D7" i="44"/>
  <c r="F9" i="44"/>
  <c r="G9" i="44" s="1"/>
  <c r="Q60" i="36"/>
  <c r="S60" i="36" s="1"/>
  <c r="Q59" i="36"/>
  <c r="S59" i="36" s="1"/>
  <c r="F4" i="50"/>
  <c r="C131" i="35"/>
  <c r="G4" i="43"/>
  <c r="G3" i="43"/>
  <c r="C21" i="44"/>
  <c r="C7" i="44"/>
  <c r="C6" i="44"/>
  <c r="C5" i="44"/>
  <c r="C9" i="44"/>
  <c r="C2" i="44"/>
  <c r="C3" i="46"/>
  <c r="C6" i="46"/>
  <c r="C14" i="35"/>
  <c r="C10" i="68"/>
  <c r="G10" i="68" s="1"/>
  <c r="C9" i="68"/>
  <c r="G9" i="68" s="1"/>
  <c r="C122" i="35"/>
  <c r="I4" i="43" l="1"/>
  <c r="C20" i="44"/>
  <c r="C19" i="44"/>
  <c r="C104" i="35"/>
  <c r="E104" i="35" s="1"/>
  <c r="C105" i="35"/>
  <c r="C106" i="35"/>
  <c r="C107" i="35"/>
  <c r="C108" i="35"/>
  <c r="E108" i="35" s="1"/>
  <c r="C103" i="35"/>
  <c r="E103" i="35" s="1"/>
  <c r="C85" i="35"/>
  <c r="E85" i="35" s="1"/>
  <c r="C86" i="35"/>
  <c r="E86" i="35" s="1"/>
  <c r="C87" i="35"/>
  <c r="C88" i="35"/>
  <c r="C89" i="35"/>
  <c r="E89" i="35" s="1"/>
  <c r="C84" i="35"/>
  <c r="E84" i="35" s="1"/>
  <c r="C116" i="35" l="1"/>
  <c r="C115" i="35"/>
  <c r="C114" i="35"/>
  <c r="C113" i="35"/>
  <c r="C117" i="35"/>
  <c r="E105" i="35"/>
  <c r="C112" i="35"/>
  <c r="E20" i="69"/>
  <c r="D20" i="69"/>
  <c r="G19" i="68"/>
  <c r="G17" i="68"/>
  <c r="G16" i="68"/>
  <c r="F15" i="68"/>
  <c r="G15" i="68" s="1"/>
  <c r="F14" i="68"/>
  <c r="G14" i="68" s="1"/>
  <c r="F12" i="68"/>
  <c r="G12" i="68" s="1"/>
  <c r="F11" i="68"/>
  <c r="G11" i="68" s="1"/>
  <c r="F10" i="68"/>
  <c r="F9" i="68"/>
  <c r="F8" i="68"/>
  <c r="G8" i="68" s="1"/>
  <c r="C8" i="68"/>
  <c r="F7" i="68"/>
  <c r="G7" i="68" s="1"/>
  <c r="G6" i="68"/>
  <c r="F6" i="68"/>
  <c r="G5" i="68"/>
  <c r="F5" i="68"/>
  <c r="F4" i="68"/>
  <c r="G4" i="68" s="1"/>
  <c r="C4" i="68"/>
  <c r="F3" i="68"/>
  <c r="G3" i="68" s="1"/>
  <c r="F13" i="68" l="1"/>
  <c r="G13" i="68" s="1"/>
  <c r="F20" i="68" s="1"/>
  <c r="G20" i="68" s="1"/>
  <c r="F18" i="68" l="1"/>
  <c r="G18" i="68" s="1"/>
  <c r="F21" i="68" s="1"/>
  <c r="G21" i="68" s="1"/>
  <c r="G22" i="68" l="1"/>
  <c r="C48" i="65"/>
  <c r="G87" i="65" l="1"/>
  <c r="G88" i="65" s="1"/>
  <c r="G93" i="65"/>
  <c r="H87" i="65"/>
  <c r="H88" i="65" s="1"/>
  <c r="G89" i="65" l="1"/>
  <c r="H89" i="65"/>
  <c r="G90" i="65" l="1"/>
  <c r="H90" i="65"/>
  <c r="G91" i="65" l="1"/>
  <c r="H91" i="65"/>
  <c r="G92" i="65" l="1"/>
  <c r="H92" i="65"/>
  <c r="H93" i="65" l="1"/>
  <c r="D93" i="65" s="1" a="1"/>
  <c r="D93" i="65" s="1"/>
  <c r="F3" i="67" l="1"/>
  <c r="D40" i="66"/>
  <c r="D39" i="66"/>
  <c r="D38" i="66"/>
  <c r="D34" i="66"/>
  <c r="D33" i="66"/>
  <c r="D32" i="66"/>
  <c r="D30" i="66"/>
  <c r="D28" i="66"/>
  <c r="D26" i="66"/>
  <c r="D25" i="66"/>
  <c r="D23" i="66"/>
  <c r="D22" i="66"/>
  <c r="D20" i="66"/>
  <c r="D19" i="66"/>
  <c r="D17" i="66"/>
  <c r="D16" i="66"/>
  <c r="D13" i="66"/>
  <c r="D10" i="66"/>
  <c r="D8" i="66"/>
  <c r="D7" i="66"/>
  <c r="D4" i="66"/>
  <c r="D3" i="66"/>
  <c r="D2" i="66"/>
  <c r="C106" i="65"/>
  <c r="C100" i="65"/>
  <c r="C102" i="65" s="1"/>
  <c r="C93" i="65"/>
  <c r="F93" i="65" s="1" a="1"/>
  <c r="F93" i="65" s="1"/>
  <c r="C92" i="65"/>
  <c r="F92" i="65" s="1" a="1"/>
  <c r="F92" i="65" s="1"/>
  <c r="C91" i="65"/>
  <c r="C90" i="65"/>
  <c r="C89" i="65"/>
  <c r="C88" i="65"/>
  <c r="C87" i="65"/>
  <c r="C46" i="65"/>
  <c r="C44" i="65"/>
  <c r="C39" i="65"/>
  <c r="C40" i="65" s="1"/>
  <c r="C36" i="65"/>
  <c r="C37" i="65" s="1"/>
  <c r="C32" i="65"/>
  <c r="C33" i="65" s="1"/>
  <c r="C28" i="65"/>
  <c r="C27" i="65"/>
  <c r="C25" i="65"/>
  <c r="C23" i="65"/>
  <c r="C18" i="65"/>
  <c r="C19" i="65" s="1"/>
  <c r="C17" i="65"/>
  <c r="C15" i="65"/>
  <c r="C14" i="65"/>
  <c r="C12" i="65"/>
  <c r="C10" i="65"/>
  <c r="C11" i="65" s="1"/>
  <c r="C13" i="65" s="1"/>
  <c r="J5" i="65"/>
  <c r="C21" i="65" s="1"/>
  <c r="C1" i="65"/>
  <c r="F88" i="65" l="1" a="1"/>
  <c r="F88" i="65" s="1"/>
  <c r="F89" i="65" a="1"/>
  <c r="F89" i="65" s="1"/>
  <c r="F90" i="65" a="1"/>
  <c r="F90" i="65" s="1"/>
  <c r="F91" i="65" a="1"/>
  <c r="F91" i="65" s="1"/>
  <c r="E93" i="65"/>
  <c r="F87" i="65" a="1"/>
  <c r="F87" i="65" s="1"/>
  <c r="C29" i="65"/>
  <c r="C16" i="65"/>
  <c r="C22" i="65"/>
  <c r="C24" i="65" s="1"/>
  <c r="C41" i="65"/>
  <c r="C49" i="65" l="1"/>
  <c r="C50" i="65" s="1"/>
  <c r="F94" i="65" l="1"/>
  <c r="E4" i="47" l="1"/>
  <c r="E3" i="47"/>
  <c r="E5" i="46"/>
  <c r="E4" i="46"/>
  <c r="E3" i="46"/>
  <c r="L1" i="45"/>
  <c r="L8" i="45" s="1"/>
  <c r="P1" i="45"/>
  <c r="P8" i="45" s="1"/>
  <c r="H3" i="57"/>
  <c r="H2" i="57"/>
  <c r="P39" i="64"/>
  <c r="P38" i="64"/>
  <c r="P37" i="64"/>
  <c r="P36" i="64"/>
  <c r="P35" i="64"/>
  <c r="P34" i="64"/>
  <c r="P33" i="64"/>
  <c r="P31" i="64"/>
  <c r="P30" i="64"/>
  <c r="P29" i="64"/>
  <c r="P28" i="64"/>
  <c r="P27" i="64"/>
  <c r="P26" i="64"/>
  <c r="P23" i="64"/>
  <c r="P21" i="64"/>
  <c r="P20" i="64"/>
  <c r="P19" i="64"/>
  <c r="P17" i="64"/>
  <c r="P13" i="64"/>
  <c r="P12" i="64"/>
  <c r="P8" i="64"/>
  <c r="P7" i="64"/>
  <c r="P5" i="64"/>
  <c r="P4" i="64"/>
  <c r="P6" i="45" l="1"/>
  <c r="L6" i="45"/>
  <c r="C6" i="45" s="1"/>
  <c r="L7" i="45"/>
  <c r="C7" i="45" s="1"/>
  <c r="P7" i="45"/>
  <c r="C9" i="45"/>
  <c r="C8" i="45"/>
  <c r="J1" i="39" l="1"/>
  <c r="D36" i="1" l="1"/>
  <c r="D41" i="1"/>
  <c r="D34" i="1"/>
  <c r="L5" i="53"/>
  <c r="Y37" i="54" l="1"/>
  <c r="AB37" i="54" s="1"/>
  <c r="Y35" i="54"/>
  <c r="AB35" i="54" s="1"/>
  <c r="Y32" i="54"/>
  <c r="AB32" i="54" s="1"/>
  <c r="Y26" i="54"/>
  <c r="AB26" i="54" s="1"/>
  <c r="Y24" i="54"/>
  <c r="AB24" i="54" s="1"/>
  <c r="Y17" i="54"/>
  <c r="AB17" i="54" s="1"/>
  <c r="Y16" i="54"/>
  <c r="AB16" i="54" s="1"/>
  <c r="Y13" i="54"/>
  <c r="AB13" i="54" s="1"/>
  <c r="Y12" i="54"/>
  <c r="AB12" i="54" s="1"/>
  <c r="I120" i="40" l="1"/>
  <c r="I121" i="40"/>
  <c r="I122" i="40"/>
  <c r="I123" i="40"/>
  <c r="I119" i="40"/>
  <c r="I2" i="57"/>
  <c r="I3" i="57"/>
  <c r="L4" i="53"/>
  <c r="F17" i="5"/>
  <c r="F21" i="5"/>
  <c r="F22" i="5"/>
  <c r="F18" i="5"/>
  <c r="F26" i="5"/>
  <c r="F14" i="5"/>
  <c r="F10" i="5"/>
  <c r="C39" i="35"/>
  <c r="C35" i="35"/>
  <c r="C31" i="35"/>
  <c r="C27" i="35"/>
  <c r="C28" i="35" s="1"/>
  <c r="C25" i="35"/>
  <c r="C21" i="35"/>
  <c r="C22" i="35" s="1"/>
  <c r="D2" i="1"/>
  <c r="C12" i="35"/>
  <c r="C13" i="35" s="1"/>
  <c r="D37" i="1"/>
  <c r="D33" i="1"/>
  <c r="G22" i="55"/>
  <c r="G61" i="55"/>
  <c r="G62" i="55"/>
  <c r="G63" i="55"/>
  <c r="G81" i="55"/>
  <c r="G85" i="55"/>
  <c r="G86" i="55"/>
  <c r="G87" i="55"/>
  <c r="G88" i="55"/>
  <c r="G89" i="55"/>
  <c r="G94" i="55"/>
  <c r="G97" i="55"/>
  <c r="G100" i="55"/>
  <c r="G114" i="55"/>
  <c r="G132" i="55"/>
  <c r="G133" i="55"/>
  <c r="G137" i="55"/>
  <c r="G151" i="55"/>
  <c r="G152" i="55"/>
  <c r="G153" i="55"/>
  <c r="G154" i="55"/>
  <c r="G155" i="55"/>
  <c r="G156" i="55"/>
  <c r="G157" i="55"/>
  <c r="G158" i="55"/>
  <c r="Q5" i="36" l="1"/>
  <c r="S5" i="36" s="1"/>
  <c r="Q11" i="36"/>
  <c r="S11" i="36" s="1"/>
  <c r="Q4" i="36"/>
  <c r="S4" i="36" s="1"/>
  <c r="Q16" i="36"/>
  <c r="S16" i="36" s="1"/>
  <c r="Q9" i="36"/>
  <c r="S9" i="36" s="1"/>
  <c r="Q8" i="36"/>
  <c r="S8" i="36" s="1"/>
  <c r="Q15" i="36"/>
  <c r="S15" i="36" s="1"/>
  <c r="Q14" i="36"/>
  <c r="S14" i="36" s="1"/>
  <c r="Q6" i="36"/>
  <c r="S6" i="36" s="1"/>
  <c r="Q13" i="36"/>
  <c r="S13" i="36" s="1"/>
  <c r="Q10" i="36"/>
  <c r="S10" i="36" s="1"/>
  <c r="Q3" i="36"/>
  <c r="Q7" i="36"/>
  <c r="S7" i="36" s="1"/>
  <c r="Q12" i="36"/>
  <c r="S12" i="36" s="1"/>
  <c r="E107" i="35"/>
  <c r="E88" i="35"/>
  <c r="E106" i="35"/>
  <c r="E87" i="35"/>
  <c r="I4" i="57"/>
  <c r="G68" i="36" s="1"/>
  <c r="S3" i="36" l="1"/>
  <c r="Q61" i="36"/>
  <c r="N75" i="36"/>
  <c r="N76" i="36"/>
  <c r="F5" i="73" s="1"/>
  <c r="E109" i="35"/>
  <c r="E90" i="35"/>
  <c r="R2" i="55"/>
  <c r="F161" i="55"/>
  <c r="G161" i="55" s="1"/>
  <c r="F160" i="55"/>
  <c r="G160" i="55" s="1"/>
  <c r="F159" i="55"/>
  <c r="G159" i="55" s="1"/>
  <c r="F158" i="55"/>
  <c r="F157" i="55"/>
  <c r="F156" i="55"/>
  <c r="F155" i="55"/>
  <c r="F154" i="55"/>
  <c r="F153" i="55"/>
  <c r="F152" i="55"/>
  <c r="F151" i="55"/>
  <c r="F150" i="55"/>
  <c r="G150" i="55" s="1"/>
  <c r="F149" i="55"/>
  <c r="G149" i="55" s="1"/>
  <c r="F148" i="55"/>
  <c r="G148" i="55" s="1"/>
  <c r="F147" i="55"/>
  <c r="F146" i="55"/>
  <c r="G146" i="55" s="1"/>
  <c r="F145" i="55"/>
  <c r="F144" i="55"/>
  <c r="G144" i="55" s="1"/>
  <c r="F143" i="55"/>
  <c r="F142" i="55"/>
  <c r="G142" i="55" s="1"/>
  <c r="F141" i="55"/>
  <c r="F140" i="55"/>
  <c r="G140" i="55" s="1"/>
  <c r="F139" i="55"/>
  <c r="F138" i="55"/>
  <c r="G138" i="55" s="1"/>
  <c r="F137" i="55"/>
  <c r="F136" i="55"/>
  <c r="G136" i="55" s="1"/>
  <c r="F135" i="55"/>
  <c r="G135" i="55" s="1"/>
  <c r="F134" i="55"/>
  <c r="G134" i="55" s="1"/>
  <c r="F133" i="55"/>
  <c r="F132" i="55"/>
  <c r="F131" i="55"/>
  <c r="F130" i="55"/>
  <c r="G130" i="55" s="1"/>
  <c r="F129" i="55"/>
  <c r="F128" i="55"/>
  <c r="G128" i="55" s="1"/>
  <c r="F127" i="55"/>
  <c r="F126" i="55"/>
  <c r="G126" i="55" s="1"/>
  <c r="F125" i="55"/>
  <c r="G125" i="55" s="1"/>
  <c r="F124" i="55"/>
  <c r="G124" i="55" s="1"/>
  <c r="F123" i="55"/>
  <c r="F122" i="55"/>
  <c r="G122" i="55" s="1"/>
  <c r="F121" i="55"/>
  <c r="F120" i="55"/>
  <c r="G120" i="55" s="1"/>
  <c r="F119" i="55"/>
  <c r="G119" i="55" s="1"/>
  <c r="F118" i="55"/>
  <c r="G118" i="55" s="1"/>
  <c r="F117" i="55"/>
  <c r="F116" i="55"/>
  <c r="F115" i="55"/>
  <c r="F114" i="55"/>
  <c r="F113" i="55"/>
  <c r="G113" i="55" s="1"/>
  <c r="F112" i="55"/>
  <c r="G112" i="55" s="1"/>
  <c r="F111" i="55"/>
  <c r="G111" i="55" s="1"/>
  <c r="F110" i="55"/>
  <c r="G110" i="55" s="1"/>
  <c r="F109" i="55"/>
  <c r="G109" i="55" s="1"/>
  <c r="F108" i="55"/>
  <c r="F107" i="55"/>
  <c r="G107" i="55" s="1"/>
  <c r="F106" i="55"/>
  <c r="G106" i="55" s="1"/>
  <c r="F105" i="55"/>
  <c r="G105" i="55" s="1"/>
  <c r="F104" i="55"/>
  <c r="G104" i="55" s="1"/>
  <c r="F103" i="55"/>
  <c r="G103" i="55" s="1"/>
  <c r="F102" i="55"/>
  <c r="G102" i="55" s="1"/>
  <c r="F101" i="55"/>
  <c r="G101" i="55" s="1"/>
  <c r="F100" i="55"/>
  <c r="F99" i="55"/>
  <c r="G99" i="55" s="1"/>
  <c r="F98" i="55"/>
  <c r="G98" i="55" s="1"/>
  <c r="F97" i="55"/>
  <c r="F96" i="55"/>
  <c r="G96" i="55" s="1"/>
  <c r="F95" i="55"/>
  <c r="G95" i="55" s="1"/>
  <c r="F94" i="55"/>
  <c r="F93" i="55"/>
  <c r="G93" i="55" s="1"/>
  <c r="F92" i="55"/>
  <c r="G92" i="55" s="1"/>
  <c r="F91" i="55"/>
  <c r="F90" i="55"/>
  <c r="G90" i="55" s="1"/>
  <c r="F89" i="55"/>
  <c r="F88" i="55"/>
  <c r="F87" i="55"/>
  <c r="F86" i="55"/>
  <c r="F85" i="55"/>
  <c r="F84" i="55"/>
  <c r="G84" i="55" s="1"/>
  <c r="F83" i="55"/>
  <c r="G83" i="55" s="1"/>
  <c r="F82" i="55"/>
  <c r="G82" i="55" s="1"/>
  <c r="F81" i="55"/>
  <c r="F80" i="55"/>
  <c r="G80" i="55" s="1"/>
  <c r="F79" i="55"/>
  <c r="F78" i="55"/>
  <c r="G78" i="55" s="1"/>
  <c r="F77" i="55"/>
  <c r="F76" i="55"/>
  <c r="G76" i="55" s="1"/>
  <c r="F75" i="55"/>
  <c r="F74" i="55"/>
  <c r="G74" i="55" s="1"/>
  <c r="F73" i="55"/>
  <c r="G73" i="55" s="1"/>
  <c r="F72" i="55"/>
  <c r="G72" i="55" s="1"/>
  <c r="F71" i="55"/>
  <c r="F70" i="55"/>
  <c r="G70" i="55" s="1"/>
  <c r="F69" i="55"/>
  <c r="F68" i="55"/>
  <c r="G68" i="55" s="1"/>
  <c r="F67" i="55"/>
  <c r="F66" i="55"/>
  <c r="G66" i="55" s="1"/>
  <c r="F65" i="55"/>
  <c r="G65" i="55" s="1"/>
  <c r="F64" i="55"/>
  <c r="G64" i="55" s="1"/>
  <c r="F63" i="55"/>
  <c r="F62" i="55"/>
  <c r="F61" i="55"/>
  <c r="F60" i="55"/>
  <c r="F59" i="55"/>
  <c r="G59" i="55" s="1"/>
  <c r="F58" i="55"/>
  <c r="G58" i="55" s="1"/>
  <c r="F57" i="55"/>
  <c r="F56" i="55"/>
  <c r="G56" i="55" s="1"/>
  <c r="F55" i="55"/>
  <c r="G55" i="55" s="1"/>
  <c r="F54" i="55"/>
  <c r="F53" i="55"/>
  <c r="G53" i="55" s="1"/>
  <c r="F52" i="55"/>
  <c r="F51" i="55"/>
  <c r="F50" i="55"/>
  <c r="F49" i="55"/>
  <c r="G49" i="55" s="1"/>
  <c r="F48" i="55"/>
  <c r="F47" i="55"/>
  <c r="G47" i="55" s="1"/>
  <c r="F46" i="55"/>
  <c r="G46" i="55" s="1"/>
  <c r="F45" i="55"/>
  <c r="G45" i="55" s="1"/>
  <c r="F44" i="55"/>
  <c r="F43" i="55"/>
  <c r="G43" i="55" s="1"/>
  <c r="F42" i="55"/>
  <c r="F41" i="55"/>
  <c r="F40" i="55"/>
  <c r="F39" i="55"/>
  <c r="F38" i="55"/>
  <c r="G38" i="55" s="1"/>
  <c r="F37" i="55"/>
  <c r="F36" i="55"/>
  <c r="F35" i="55"/>
  <c r="G35" i="55" s="1"/>
  <c r="F34" i="55"/>
  <c r="G34" i="55" s="1"/>
  <c r="F33" i="55"/>
  <c r="F32" i="55"/>
  <c r="F31" i="55"/>
  <c r="F30" i="55"/>
  <c r="G30" i="55" s="1"/>
  <c r="F29" i="55"/>
  <c r="F28" i="55"/>
  <c r="G28" i="55" s="1"/>
  <c r="F27" i="55"/>
  <c r="G27" i="55" s="1"/>
  <c r="F26" i="55"/>
  <c r="G26" i="55" s="1"/>
  <c r="F25" i="55"/>
  <c r="F24" i="55"/>
  <c r="F23" i="55"/>
  <c r="F22" i="55"/>
  <c r="F21" i="55"/>
  <c r="F20" i="55"/>
  <c r="F19" i="55"/>
  <c r="G19" i="55" s="1"/>
  <c r="F18" i="55"/>
  <c r="G18" i="55" s="1"/>
  <c r="F17" i="55"/>
  <c r="F16" i="55"/>
  <c r="F15" i="55"/>
  <c r="F14" i="55"/>
  <c r="G14" i="55" s="1"/>
  <c r="F13" i="55"/>
  <c r="F12" i="55"/>
  <c r="F11" i="55"/>
  <c r="G11" i="55" s="1"/>
  <c r="F10" i="55"/>
  <c r="G10" i="55" s="1"/>
  <c r="F9" i="55"/>
  <c r="F8" i="55"/>
  <c r="F7" i="55"/>
  <c r="F6" i="55"/>
  <c r="G6" i="55" s="1"/>
  <c r="F5" i="55"/>
  <c r="F4" i="55"/>
  <c r="F3" i="55"/>
  <c r="G3" i="55" s="1"/>
  <c r="F2" i="55"/>
  <c r="Q25" i="54"/>
  <c r="N25" i="54"/>
  <c r="N24" i="54"/>
  <c r="Q24" i="54" s="1"/>
  <c r="Q23" i="54"/>
  <c r="Q22" i="54"/>
  <c r="Q21" i="54"/>
  <c r="Q20" i="54"/>
  <c r="Q16" i="54"/>
  <c r="Q15" i="54"/>
  <c r="Q14" i="54"/>
  <c r="F14" i="54"/>
  <c r="Q13" i="54"/>
  <c r="F13" i="54"/>
  <c r="Q12" i="54"/>
  <c r="Q11" i="54"/>
  <c r="F7" i="54"/>
  <c r="F6" i="54"/>
  <c r="F5" i="54"/>
  <c r="F4" i="54"/>
  <c r="F3" i="54"/>
  <c r="H299" i="55" l="1"/>
  <c r="H300" i="55"/>
  <c r="H296" i="55"/>
  <c r="H295" i="55"/>
  <c r="H298" i="55"/>
  <c r="H301" i="55"/>
  <c r="H192" i="55"/>
  <c r="H256" i="55"/>
  <c r="H263" i="55"/>
  <c r="H224" i="55"/>
  <c r="H257" i="55"/>
  <c r="H273" i="55"/>
  <c r="H239" i="55"/>
  <c r="H294" i="55"/>
  <c r="H167" i="55"/>
  <c r="H199" i="55"/>
  <c r="H226" i="55"/>
  <c r="H233" i="55"/>
  <c r="H200" i="55"/>
  <c r="H231" i="55"/>
  <c r="H238" i="55"/>
  <c r="H210" i="55"/>
  <c r="H297" i="55"/>
  <c r="H183" i="55"/>
  <c r="H190" i="55"/>
  <c r="H240" i="55"/>
  <c r="H247" i="55"/>
  <c r="H254" i="55"/>
  <c r="H293" i="55"/>
  <c r="H193" i="55"/>
  <c r="H287" i="55"/>
  <c r="H217" i="55"/>
  <c r="H241" i="55"/>
  <c r="H265" i="55"/>
  <c r="H288" i="55"/>
  <c r="H177" i="55"/>
  <c r="H184" i="55"/>
  <c r="H191" i="55"/>
  <c r="H255" i="55"/>
  <c r="H166" i="55"/>
  <c r="H169" i="55"/>
  <c r="H198" i="55"/>
  <c r="H225" i="55"/>
  <c r="H182" i="55"/>
  <c r="H201" i="55"/>
  <c r="H218" i="55"/>
  <c r="H249" i="55"/>
  <c r="H275" i="55"/>
  <c r="H173" i="55"/>
  <c r="H162" i="55"/>
  <c r="H252" i="55"/>
  <c r="H212" i="55"/>
  <c r="H227" i="55"/>
  <c r="H271" i="55"/>
  <c r="H280" i="55"/>
  <c r="H196" i="55"/>
  <c r="H245" i="55"/>
  <c r="H250" i="55"/>
  <c r="H272" i="55"/>
  <c r="H204" i="55"/>
  <c r="H243" i="55"/>
  <c r="H214" i="55"/>
  <c r="H291" i="55"/>
  <c r="H163" i="55"/>
  <c r="H260" i="55"/>
  <c r="H259" i="55"/>
  <c r="H289" i="55"/>
  <c r="H266" i="55"/>
  <c r="H235" i="55"/>
  <c r="H203" i="55"/>
  <c r="H197" i="55"/>
  <c r="H253" i="55"/>
  <c r="H258" i="55"/>
  <c r="H186" i="55"/>
  <c r="H278" i="55"/>
  <c r="H237" i="55"/>
  <c r="H223" i="55"/>
  <c r="H285" i="55"/>
  <c r="H194" i="55"/>
  <c r="H292" i="55"/>
  <c r="H244" i="55"/>
  <c r="H176" i="55"/>
  <c r="H178" i="55"/>
  <c r="H211" i="55"/>
  <c r="H281" i="55"/>
  <c r="H236" i="55"/>
  <c r="H228" i="55"/>
  <c r="H172" i="55"/>
  <c r="H279" i="55"/>
  <c r="H187" i="55"/>
  <c r="H283" i="55"/>
  <c r="H242" i="55"/>
  <c r="H284" i="55"/>
  <c r="H179" i="55"/>
  <c r="H268" i="55"/>
  <c r="H230" i="55"/>
  <c r="H206" i="55"/>
  <c r="H222" i="55"/>
  <c r="H189" i="55"/>
  <c r="H221" i="55"/>
  <c r="H246" i="55"/>
  <c r="H248" i="55"/>
  <c r="H180" i="55"/>
  <c r="H277" i="55"/>
  <c r="H229" i="55"/>
  <c r="H181" i="55"/>
  <c r="H175" i="55"/>
  <c r="H251" i="55"/>
  <c r="H219" i="55"/>
  <c r="H174" i="55"/>
  <c r="H267" i="55"/>
  <c r="H188" i="55"/>
  <c r="H274" i="55"/>
  <c r="H220" i="55"/>
  <c r="H171" i="55"/>
  <c r="H269" i="55"/>
  <c r="H282" i="55"/>
  <c r="H270" i="55"/>
  <c r="H213" i="55"/>
  <c r="H205" i="55"/>
  <c r="H209" i="55"/>
  <c r="H168" i="55"/>
  <c r="H264" i="55"/>
  <c r="H195" i="55"/>
  <c r="H234" i="55"/>
  <c r="H164" i="55"/>
  <c r="H290" i="55"/>
  <c r="H216" i="55"/>
  <c r="H170" i="55"/>
  <c r="H232" i="55"/>
  <c r="H261" i="55"/>
  <c r="H165" i="55"/>
  <c r="H208" i="55"/>
  <c r="H185" i="55"/>
  <c r="H215" i="55"/>
  <c r="H276" i="55"/>
  <c r="H202" i="55"/>
  <c r="H262" i="55"/>
  <c r="H286" i="55"/>
  <c r="H207" i="55"/>
  <c r="C120" i="35"/>
  <c r="H10" i="55"/>
  <c r="H18" i="55"/>
  <c r="H26" i="55"/>
  <c r="H34" i="55"/>
  <c r="H68" i="55"/>
  <c r="H76" i="55"/>
  <c r="H84" i="55"/>
  <c r="H92" i="55"/>
  <c r="H100" i="55"/>
  <c r="H124" i="55"/>
  <c r="H132" i="55"/>
  <c r="H140" i="55"/>
  <c r="H148" i="55"/>
  <c r="H156" i="55"/>
  <c r="H72" i="55"/>
  <c r="H96" i="55"/>
  <c r="H120" i="55"/>
  <c r="H136" i="55"/>
  <c r="H160" i="55"/>
  <c r="H49" i="55"/>
  <c r="H99" i="55"/>
  <c r="H155" i="55"/>
  <c r="H3" i="55"/>
  <c r="H11" i="55"/>
  <c r="H19" i="55"/>
  <c r="H27" i="55"/>
  <c r="H35" i="55"/>
  <c r="H61" i="55"/>
  <c r="H85" i="55"/>
  <c r="H93" i="55"/>
  <c r="H101" i="55"/>
  <c r="H109" i="55"/>
  <c r="H125" i="55"/>
  <c r="H133" i="55"/>
  <c r="H149" i="55"/>
  <c r="H157" i="55"/>
  <c r="H95" i="55"/>
  <c r="H119" i="55"/>
  <c r="H152" i="55"/>
  <c r="H45" i="55"/>
  <c r="H83" i="55"/>
  <c r="H28" i="55"/>
  <c r="H46" i="55"/>
  <c r="H62" i="55"/>
  <c r="H70" i="55"/>
  <c r="H78" i="55"/>
  <c r="H86" i="55"/>
  <c r="H94" i="55"/>
  <c r="H102" i="55"/>
  <c r="H110" i="55"/>
  <c r="H118" i="55"/>
  <c r="H126" i="55"/>
  <c r="H134" i="55"/>
  <c r="H142" i="55"/>
  <c r="H150" i="55"/>
  <c r="H158" i="55"/>
  <c r="H43" i="55"/>
  <c r="H63" i="55"/>
  <c r="H103" i="55"/>
  <c r="H151" i="55"/>
  <c r="H64" i="55"/>
  <c r="H47" i="55"/>
  <c r="H55" i="55"/>
  <c r="H87" i="55"/>
  <c r="H111" i="55"/>
  <c r="H135" i="55"/>
  <c r="H159" i="55"/>
  <c r="H80" i="55"/>
  <c r="H88" i="55"/>
  <c r="H112" i="55"/>
  <c r="H128" i="55"/>
  <c r="H144" i="55"/>
  <c r="H53" i="55"/>
  <c r="H6" i="55"/>
  <c r="H14" i="55"/>
  <c r="H22" i="55"/>
  <c r="H30" i="55"/>
  <c r="H38" i="55"/>
  <c r="H56" i="55"/>
  <c r="H104" i="55"/>
  <c r="H65" i="55"/>
  <c r="H73" i="55"/>
  <c r="H81" i="55"/>
  <c r="H89" i="55"/>
  <c r="H97" i="55"/>
  <c r="H105" i="55"/>
  <c r="H113" i="55"/>
  <c r="H137" i="55"/>
  <c r="H153" i="55"/>
  <c r="H161" i="55"/>
  <c r="H59" i="55"/>
  <c r="H107" i="55"/>
  <c r="H58" i="55"/>
  <c r="H66" i="55"/>
  <c r="H74" i="55"/>
  <c r="H82" i="55"/>
  <c r="H90" i="55"/>
  <c r="H98" i="55"/>
  <c r="H106" i="55"/>
  <c r="H114" i="55"/>
  <c r="H122" i="55"/>
  <c r="H130" i="55"/>
  <c r="H138" i="55"/>
  <c r="H146" i="55"/>
  <c r="H154" i="55"/>
  <c r="G48" i="55"/>
  <c r="H48" i="55" s="1"/>
  <c r="G91" i="55"/>
  <c r="H91" i="55" s="1"/>
  <c r="G9" i="55"/>
  <c r="H9" i="55" s="1"/>
  <c r="G20" i="55"/>
  <c r="H20" i="55" s="1"/>
  <c r="G71" i="55"/>
  <c r="H71" i="55" s="1"/>
  <c r="G108" i="55"/>
  <c r="H108" i="55" s="1"/>
  <c r="G15" i="55"/>
  <c r="H15" i="55" s="1"/>
  <c r="G21" i="55"/>
  <c r="H21" i="55" s="1"/>
  <c r="G32" i="55"/>
  <c r="H32" i="55" s="1"/>
  <c r="G44" i="55"/>
  <c r="H44" i="55" s="1"/>
  <c r="G60" i="55"/>
  <c r="H60" i="55" s="1"/>
  <c r="G77" i="55"/>
  <c r="H77" i="55" s="1"/>
  <c r="G131" i="55"/>
  <c r="H131" i="55" s="1"/>
  <c r="G143" i="55"/>
  <c r="H143" i="55" s="1"/>
  <c r="G4" i="55"/>
  <c r="H4" i="55" s="1"/>
  <c r="G16" i="55"/>
  <c r="H16" i="55" s="1"/>
  <c r="G33" i="55"/>
  <c r="H33" i="55" s="1"/>
  <c r="G42" i="55"/>
  <c r="H42" i="55" s="1"/>
  <c r="G121" i="55"/>
  <c r="H121" i="55" s="1"/>
  <c r="G36" i="55"/>
  <c r="H36" i="55" s="1"/>
  <c r="G51" i="55"/>
  <c r="H51" i="55" s="1"/>
  <c r="G2" i="55"/>
  <c r="H2" i="55" s="1"/>
  <c r="G39" i="55"/>
  <c r="H39" i="55" s="1"/>
  <c r="G23" i="55"/>
  <c r="H23" i="55" s="1"/>
  <c r="G40" i="55"/>
  <c r="H40" i="55" s="1"/>
  <c r="G79" i="55"/>
  <c r="H79" i="55" s="1"/>
  <c r="G116" i="55"/>
  <c r="H116" i="55" s="1"/>
  <c r="G57" i="55"/>
  <c r="H57" i="55" s="1"/>
  <c r="G69" i="55"/>
  <c r="H69" i="55" s="1"/>
  <c r="G117" i="55"/>
  <c r="H117" i="55" s="1"/>
  <c r="G123" i="55"/>
  <c r="H123" i="55" s="1"/>
  <c r="G8" i="55"/>
  <c r="H8" i="55" s="1"/>
  <c r="G31" i="55"/>
  <c r="H31" i="55" s="1"/>
  <c r="G37" i="55"/>
  <c r="H37" i="55" s="1"/>
  <c r="G54" i="55"/>
  <c r="H54" i="55" s="1"/>
  <c r="G5" i="55"/>
  <c r="H5" i="55" s="1"/>
  <c r="G17" i="55"/>
  <c r="H17" i="55" s="1"/>
  <c r="G52" i="55"/>
  <c r="H52" i="55" s="1"/>
  <c r="G67" i="55"/>
  <c r="H67" i="55" s="1"/>
  <c r="G115" i="55"/>
  <c r="H115" i="55" s="1"/>
  <c r="G127" i="55"/>
  <c r="H127" i="55" s="1"/>
  <c r="G145" i="55"/>
  <c r="H145" i="55" s="1"/>
  <c r="G139" i="55"/>
  <c r="H139" i="55" s="1"/>
  <c r="G12" i="55"/>
  <c r="H12" i="55" s="1"/>
  <c r="G24" i="55"/>
  <c r="H24" i="55" s="1"/>
  <c r="G29" i="55"/>
  <c r="H29" i="55" s="1"/>
  <c r="G41" i="55"/>
  <c r="H41" i="55" s="1"/>
  <c r="G7" i="55"/>
  <c r="H7" i="55" s="1"/>
  <c r="G13" i="55"/>
  <c r="H13" i="55" s="1"/>
  <c r="G25" i="55"/>
  <c r="H25" i="55" s="1"/>
  <c r="G50" i="55"/>
  <c r="H50" i="55" s="1"/>
  <c r="G75" i="55"/>
  <c r="H75" i="55" s="1"/>
  <c r="G129" i="55"/>
  <c r="H129" i="55" s="1"/>
  <c r="G141" i="55"/>
  <c r="H141" i="55" s="1"/>
  <c r="G147" i="55"/>
  <c r="H147" i="55" s="1"/>
  <c r="H302" i="55" l="1"/>
  <c r="G67" i="36"/>
  <c r="I114" i="40"/>
  <c r="J1" i="40"/>
  <c r="I136" i="40" s="1"/>
  <c r="H1" i="47"/>
  <c r="F2" i="47" s="1"/>
  <c r="H1" i="46"/>
  <c r="C1" i="35"/>
  <c r="H29" i="40"/>
  <c r="H30" i="40"/>
  <c r="H28" i="40"/>
  <c r="L26" i="40"/>
  <c r="L25" i="40"/>
  <c r="L24" i="40"/>
  <c r="C129" i="35"/>
  <c r="C39" i="46"/>
  <c r="C30" i="47"/>
  <c r="C42" i="47"/>
  <c r="L3" i="53"/>
  <c r="L2" i="53"/>
  <c r="C132" i="35" l="1"/>
  <c r="D132" i="35" s="1"/>
  <c r="C22" i="44"/>
  <c r="F8" i="47"/>
  <c r="I113" i="40"/>
  <c r="I115" i="40"/>
  <c r="I25" i="40"/>
  <c r="I110" i="40"/>
  <c r="I109" i="40"/>
  <c r="I28" i="40"/>
  <c r="I6" i="40"/>
  <c r="I7" i="40"/>
  <c r="I11" i="40"/>
  <c r="I30" i="40"/>
  <c r="I5" i="40"/>
  <c r="I24" i="40"/>
  <c r="I29" i="40"/>
  <c r="I4" i="40"/>
  <c r="I10" i="40"/>
  <c r="I117" i="40"/>
  <c r="I116" i="40"/>
  <c r="I134" i="40"/>
  <c r="I135" i="40"/>
  <c r="I133" i="40"/>
  <c r="I118" i="40"/>
  <c r="I26" i="40"/>
  <c r="I23" i="40"/>
  <c r="I8" i="40"/>
  <c r="I27" i="40"/>
  <c r="I9" i="40"/>
  <c r="C25" i="46"/>
  <c r="C24" i="46"/>
  <c r="E11" i="45"/>
  <c r="F11" i="45" s="1"/>
  <c r="C27" i="47"/>
  <c r="C26" i="47"/>
  <c r="G25" i="47"/>
  <c r="C36" i="47"/>
  <c r="C29" i="47"/>
  <c r="C28" i="47"/>
  <c r="C25" i="47"/>
  <c r="D14" i="52"/>
  <c r="D13" i="52"/>
  <c r="C34" i="47" s="1"/>
  <c r="D9" i="52"/>
  <c r="D10" i="52" s="1"/>
  <c r="D11" i="52" s="1"/>
  <c r="D6" i="52"/>
  <c r="E6" i="52" s="1"/>
  <c r="E7" i="52" s="1"/>
  <c r="E8" i="52" s="1"/>
  <c r="E3" i="52"/>
  <c r="E4" i="52" s="1"/>
  <c r="E5" i="52" s="1"/>
  <c r="D3" i="52"/>
  <c r="D4" i="52" s="1"/>
  <c r="D5" i="52" s="1"/>
  <c r="D30" i="47" l="1"/>
  <c r="E30" i="47" s="1"/>
  <c r="D4" i="58"/>
  <c r="E4" i="58" s="1"/>
  <c r="D3" i="58"/>
  <c r="E3" i="58" s="1"/>
  <c r="D2" i="58"/>
  <c r="E2" i="58" s="1"/>
  <c r="D29" i="47"/>
  <c r="E29" i="47" s="1"/>
  <c r="D28" i="47"/>
  <c r="E28" i="47" s="1"/>
  <c r="G26" i="47"/>
  <c r="G27" i="47" s="1"/>
  <c r="F25" i="47" a="1"/>
  <c r="F25" i="47" s="1"/>
  <c r="D25" i="47" a="1"/>
  <c r="D25" i="47" s="1"/>
  <c r="E25" i="47" s="1"/>
  <c r="D7" i="52"/>
  <c r="D8" i="52" s="1"/>
  <c r="E9" i="52"/>
  <c r="E10" i="52" s="1"/>
  <c r="E11" i="52" s="1"/>
  <c r="E5" i="58" l="1"/>
  <c r="G69" i="36" s="1"/>
  <c r="H66" i="36" s="1"/>
  <c r="N77" i="36" s="1"/>
  <c r="F19" i="73" s="1"/>
  <c r="D27" i="47" a="1"/>
  <c r="D27" i="47" s="1"/>
  <c r="F27" i="47" a="1"/>
  <c r="F27" i="47" s="1"/>
  <c r="D26" i="47" a="1"/>
  <c r="D26" i="47" s="1"/>
  <c r="E26" i="47" s="1"/>
  <c r="F26" i="47" a="1"/>
  <c r="F26" i="47" s="1"/>
  <c r="G28" i="47"/>
  <c r="G29" i="47" s="1"/>
  <c r="G30" i="47" s="1"/>
  <c r="F31" i="47" l="1"/>
  <c r="C33" i="47" s="1"/>
  <c r="D26" i="46"/>
  <c r="D27" i="46"/>
  <c r="C33" i="46"/>
  <c r="C31" i="46"/>
  <c r="C27" i="46"/>
  <c r="C26" i="46"/>
  <c r="C23" i="46"/>
  <c r="I55" i="40"/>
  <c r="E6" i="47"/>
  <c r="F6" i="47" s="1"/>
  <c r="E7" i="46"/>
  <c r="F7" i="46" s="1"/>
  <c r="F2" i="50"/>
  <c r="D11" i="51"/>
  <c r="D10" i="51"/>
  <c r="D7" i="51"/>
  <c r="E7" i="51" s="1"/>
  <c r="E8" i="51" s="1"/>
  <c r="D5" i="51"/>
  <c r="E5" i="51" s="1"/>
  <c r="E6" i="51" s="1"/>
  <c r="E3" i="51"/>
  <c r="E4" i="51" s="1"/>
  <c r="D3" i="51"/>
  <c r="D4" i="51" s="1"/>
  <c r="I68" i="40"/>
  <c r="E3" i="45" s="1"/>
  <c r="D22" i="44"/>
  <c r="I59" i="40"/>
  <c r="E27" i="46" l="1"/>
  <c r="E26" i="46"/>
  <c r="G23" i="46"/>
  <c r="F23" i="46" s="1" a="1"/>
  <c r="F23" i="46" s="1"/>
  <c r="D8" i="51"/>
  <c r="D6" i="51"/>
  <c r="D23" i="46" l="1" a="1"/>
  <c r="D23" i="46" s="1"/>
  <c r="E23" i="46" s="1"/>
  <c r="G24" i="46"/>
  <c r="G25" i="46" s="1"/>
  <c r="F25" i="46" s="1" a="1"/>
  <c r="F25" i="46" s="1"/>
  <c r="E27" i="47"/>
  <c r="E31" i="47" s="1"/>
  <c r="C32" i="47" s="1"/>
  <c r="C35" i="47" s="1"/>
  <c r="F24" i="46" l="1" a="1"/>
  <c r="F24" i="46" s="1"/>
  <c r="F28" i="46" s="1"/>
  <c r="C30" i="46" s="1"/>
  <c r="D24" i="46" a="1"/>
  <c r="D24" i="46" s="1"/>
  <c r="E24" i="46" s="1"/>
  <c r="G26" i="46"/>
  <c r="G27" i="46" s="1"/>
  <c r="D25" i="46" a="1"/>
  <c r="D25" i="46" s="1"/>
  <c r="E25" i="46" s="1"/>
  <c r="E28" i="46" l="1"/>
  <c r="C29" i="46" s="1"/>
  <c r="C32" i="46" s="1"/>
  <c r="G12" i="44"/>
  <c r="C124" i="35"/>
  <c r="L103" i="40" l="1"/>
  <c r="I103" i="40" s="1"/>
  <c r="I31" i="40"/>
  <c r="I32" i="40"/>
  <c r="I33" i="40"/>
  <c r="I34" i="40"/>
  <c r="I35" i="40"/>
  <c r="I36" i="40"/>
  <c r="I37" i="40"/>
  <c r="I43" i="40"/>
  <c r="I44" i="40"/>
  <c r="I45" i="40"/>
  <c r="I46" i="40"/>
  <c r="I47" i="40"/>
  <c r="I48" i="40"/>
  <c r="I49" i="40"/>
  <c r="I50" i="40"/>
  <c r="I51" i="40"/>
  <c r="I52" i="40"/>
  <c r="I53" i="40"/>
  <c r="I54" i="40"/>
  <c r="I56" i="40"/>
  <c r="I57" i="40"/>
  <c r="I58" i="40"/>
  <c r="I60" i="40"/>
  <c r="I61" i="40"/>
  <c r="I62" i="40"/>
  <c r="I63" i="40"/>
  <c r="I64" i="40"/>
  <c r="I65" i="40"/>
  <c r="I66" i="40"/>
  <c r="I67" i="40"/>
  <c r="E5" i="45" s="1"/>
  <c r="F5" i="45" s="1"/>
  <c r="I69" i="40"/>
  <c r="I70" i="40"/>
  <c r="I71" i="40"/>
  <c r="I72" i="40"/>
  <c r="C38" i="47" s="1"/>
  <c r="C39" i="47" s="1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F22" i="44" s="1"/>
  <c r="G22" i="44" s="1"/>
  <c r="I89" i="40"/>
  <c r="I91" i="40"/>
  <c r="I92" i="40"/>
  <c r="I93" i="40"/>
  <c r="I94" i="40"/>
  <c r="I95" i="40"/>
  <c r="I96" i="40"/>
  <c r="F21" i="44" s="1"/>
  <c r="I97" i="40"/>
  <c r="I98" i="40"/>
  <c r="I99" i="40"/>
  <c r="I100" i="40"/>
  <c r="I101" i="40"/>
  <c r="I102" i="40"/>
  <c r="E5" i="47" s="1"/>
  <c r="F5" i="47" s="1"/>
  <c r="L23" i="40"/>
  <c r="L42" i="40"/>
  <c r="I42" i="40" s="1"/>
  <c r="L41" i="40"/>
  <c r="I41" i="40" s="1"/>
  <c r="L40" i="40"/>
  <c r="I40" i="40" s="1"/>
  <c r="L39" i="40"/>
  <c r="I39" i="40" s="1"/>
  <c r="L38" i="40"/>
  <c r="I38" i="40" s="1"/>
  <c r="G70" i="36" l="1"/>
  <c r="G4" i="39" s="1"/>
  <c r="H4" i="39" s="1"/>
  <c r="E10" i="45"/>
  <c r="F10" i="45" s="1"/>
  <c r="G20" i="44"/>
  <c r="C126" i="35"/>
  <c r="C35" i="46"/>
  <c r="C36" i="46" s="1"/>
  <c r="E7" i="47"/>
  <c r="F7" i="47" s="1"/>
  <c r="E8" i="46"/>
  <c r="F8" i="46" s="1"/>
  <c r="E6" i="46"/>
  <c r="F6" i="46" s="1"/>
  <c r="F6" i="50"/>
  <c r="F5" i="50"/>
  <c r="F3" i="50"/>
  <c r="F7" i="50" l="1"/>
  <c r="G8" i="39" s="1"/>
  <c r="H8" i="39" l="1"/>
  <c r="I8" i="39" s="1"/>
  <c r="J8" i="39" s="1"/>
  <c r="F15" i="73" s="1"/>
  <c r="F3" i="45"/>
  <c r="E2" i="45"/>
  <c r="E4" i="45"/>
  <c r="F4" i="45" s="1"/>
  <c r="E8" i="45"/>
  <c r="F8" i="45" s="1"/>
  <c r="E9" i="45"/>
  <c r="F9" i="45" s="1"/>
  <c r="F3" i="46"/>
  <c r="F2" i="46"/>
  <c r="G6" i="78" l="1"/>
  <c r="E7" i="45"/>
  <c r="F7" i="45" s="1"/>
  <c r="E6" i="45"/>
  <c r="F6" i="45" s="1"/>
  <c r="F2" i="45"/>
  <c r="F12" i="45" l="1"/>
  <c r="G21" i="44" l="1"/>
  <c r="F19" i="44"/>
  <c r="G19" i="44" s="1"/>
  <c r="D27" i="44" s="1"/>
  <c r="F27" i="44" s="1"/>
  <c r="F20" i="73" s="1"/>
  <c r="F18" i="44"/>
  <c r="G18" i="44" s="1"/>
  <c r="F17" i="44"/>
  <c r="G17" i="44" s="1"/>
  <c r="F16" i="44"/>
  <c r="G16" i="44" s="1"/>
  <c r="F15" i="44"/>
  <c r="G15" i="44" s="1"/>
  <c r="F14" i="44"/>
  <c r="G14" i="44" s="1"/>
  <c r="F13" i="44"/>
  <c r="G13" i="44" s="1"/>
  <c r="F10" i="44"/>
  <c r="G10" i="44" s="1"/>
  <c r="F11" i="44"/>
  <c r="G11" i="44" s="1"/>
  <c r="G7" i="44"/>
  <c r="D26" i="44" s="1"/>
  <c r="F26" i="44" s="1"/>
  <c r="F3" i="73" s="1"/>
  <c r="F8" i="44"/>
  <c r="G8" i="44" s="1"/>
  <c r="F9" i="43"/>
  <c r="G9" i="43" s="1"/>
  <c r="F8" i="43"/>
  <c r="G8" i="43" s="1"/>
  <c r="F6" i="43"/>
  <c r="G6" i="43" s="1"/>
  <c r="G2" i="43"/>
  <c r="D4" i="1"/>
  <c r="D5" i="1" s="1"/>
  <c r="H90" i="40"/>
  <c r="I90" i="40" s="1"/>
  <c r="D32" i="1"/>
  <c r="D31" i="1"/>
  <c r="D31" i="5"/>
  <c r="C97" i="65" s="1"/>
  <c r="D30" i="5"/>
  <c r="C96" i="65" s="1"/>
  <c r="D29" i="5"/>
  <c r="C98" i="65" s="1"/>
  <c r="E23" i="5"/>
  <c r="E19" i="5"/>
  <c r="D19" i="5" s="1"/>
  <c r="E15" i="5"/>
  <c r="D15" i="5" s="1"/>
  <c r="D16" i="5" s="1"/>
  <c r="D18" i="5" s="1"/>
  <c r="D11" i="5"/>
  <c r="E11" i="5" s="1"/>
  <c r="E12" i="5" s="1"/>
  <c r="D89" i="65" s="1" a="1"/>
  <c r="D89" i="65" s="1"/>
  <c r="E89" i="65" s="1"/>
  <c r="D7" i="5"/>
  <c r="D8" i="5" s="1"/>
  <c r="D10" i="5" s="1"/>
  <c r="E3" i="5"/>
  <c r="E4" i="5" s="1"/>
  <c r="D87" i="65" s="1" a="1"/>
  <c r="D87" i="65" s="1"/>
  <c r="E87" i="65" s="1"/>
  <c r="D3" i="5"/>
  <c r="D50" i="1"/>
  <c r="D49" i="1"/>
  <c r="D48" i="1"/>
  <c r="D44" i="1"/>
  <c r="D43" i="1"/>
  <c r="D40" i="1"/>
  <c r="I112" i="40" s="1"/>
  <c r="F5" i="46" s="1"/>
  <c r="D39" i="1"/>
  <c r="D29" i="1"/>
  <c r="L104" i="40" s="1"/>
  <c r="I104" i="40" s="1"/>
  <c r="D25" i="1"/>
  <c r="D26" i="1" s="1"/>
  <c r="D23" i="1"/>
  <c r="D21" i="1"/>
  <c r="D20" i="1"/>
  <c r="D17" i="1"/>
  <c r="D16" i="1"/>
  <c r="D12" i="1"/>
  <c r="D8" i="1"/>
  <c r="D7" i="1"/>
  <c r="C99" i="65" l="1"/>
  <c r="I111" i="40"/>
  <c r="F4" i="47" s="1"/>
  <c r="C56" i="35"/>
  <c r="D56" i="35" s="1"/>
  <c r="F7" i="73" s="1"/>
  <c r="I108" i="40"/>
  <c r="C51" i="35"/>
  <c r="D51" i="35" s="1"/>
  <c r="F8" i="73" s="1"/>
  <c r="E13" i="5"/>
  <c r="E14" i="5"/>
  <c r="E5" i="5"/>
  <c r="E6" i="5"/>
  <c r="E16" i="5"/>
  <c r="D4" i="5"/>
  <c r="I107" i="40"/>
  <c r="G10" i="43"/>
  <c r="D12" i="5"/>
  <c r="D14" i="5" s="1"/>
  <c r="E7" i="5"/>
  <c r="E8" i="5" s="1"/>
  <c r="D88" i="65" s="1" a="1"/>
  <c r="D88" i="65" s="1"/>
  <c r="E88" i="65" s="1"/>
  <c r="G6" i="39" l="1"/>
  <c r="H6" i="39" s="1"/>
  <c r="I6" i="39" s="1"/>
  <c r="J6" i="39" s="1"/>
  <c r="G5" i="78" s="1"/>
  <c r="H10" i="43"/>
  <c r="F9" i="73" s="1"/>
  <c r="D103" i="35"/>
  <c r="D84" i="35"/>
  <c r="D105" i="35"/>
  <c r="D86" i="35"/>
  <c r="D90" i="65" a="1"/>
  <c r="D90" i="65" s="1"/>
  <c r="E90" i="65" s="1"/>
  <c r="E18" i="5"/>
  <c r="E17" i="5"/>
  <c r="E9" i="5"/>
  <c r="E10" i="5"/>
  <c r="D5" i="5"/>
  <c r="D6" i="5"/>
  <c r="F4" i="46"/>
  <c r="F9" i="46" s="1"/>
  <c r="F3" i="47"/>
  <c r="G23" i="44"/>
  <c r="G5" i="39" s="1"/>
  <c r="H5" i="39" s="1"/>
  <c r="C42" i="46" l="1"/>
  <c r="G3" i="39" s="1"/>
  <c r="H3" i="39" s="1"/>
  <c r="I3" i="39" s="1"/>
  <c r="J3" i="39" s="1"/>
  <c r="F4" i="73" s="1"/>
  <c r="G9" i="46"/>
  <c r="D104" i="35"/>
  <c r="D85" i="35"/>
  <c r="D106" i="35"/>
  <c r="D87" i="35"/>
  <c r="F9" i="47"/>
  <c r="C44" i="47" s="1"/>
  <c r="I4" i="39"/>
  <c r="J4" i="39" s="1"/>
  <c r="I5" i="39"/>
  <c r="J5" i="39" s="1"/>
  <c r="G4" i="78" s="1"/>
  <c r="G3" i="78" l="1"/>
  <c r="C66" i="35"/>
  <c r="C62" i="35"/>
  <c r="C121" i="35"/>
  <c r="C64" i="35"/>
  <c r="C59" i="35"/>
  <c r="C60" i="35" s="1"/>
  <c r="C44" i="35"/>
  <c r="C45" i="35" s="1"/>
  <c r="C37" i="35"/>
  <c r="C32" i="35"/>
  <c r="C23" i="35"/>
  <c r="C16" i="35" l="1"/>
  <c r="C17" i="35" s="1"/>
  <c r="C18" i="35" s="1"/>
  <c r="C33" i="35"/>
  <c r="C26" i="35"/>
  <c r="C36" i="35" s="1"/>
  <c r="C38" i="35" s="1"/>
  <c r="C24" i="35"/>
  <c r="C57" i="35" l="1"/>
  <c r="C29" i="35"/>
  <c r="B10" i="32" l="1"/>
  <c r="C10" i="32" s="1"/>
  <c r="C9" i="32"/>
  <c r="B8" i="32"/>
  <c r="C8" i="32" s="1"/>
  <c r="C7" i="32"/>
  <c r="C6" i="32"/>
  <c r="C5" i="32"/>
  <c r="C4" i="32"/>
  <c r="C12" i="32" l="1"/>
  <c r="B12" i="32"/>
  <c r="E24" i="5" l="1"/>
  <c r="D23" i="5"/>
  <c r="D20" i="5"/>
  <c r="D22" i="5" s="1"/>
  <c r="E20" i="5"/>
  <c r="D91" i="65" l="1" a="1"/>
  <c r="D91" i="65" s="1"/>
  <c r="E91" i="65" s="1"/>
  <c r="E21" i="5"/>
  <c r="E22" i="5"/>
  <c r="E26" i="5"/>
  <c r="D92" i="65" a="1"/>
  <c r="D92" i="65" s="1"/>
  <c r="E92" i="65" s="1"/>
  <c r="E25" i="5"/>
  <c r="D24" i="5"/>
  <c r="D26" i="5" s="1"/>
  <c r="D108" i="35" l="1"/>
  <c r="D89" i="35"/>
  <c r="D107" i="35"/>
  <c r="D88" i="35"/>
  <c r="E94" i="65"/>
  <c r="C95" i="65" s="1"/>
  <c r="C103" i="65" s="1"/>
  <c r="C108" i="65" s="1"/>
  <c r="G8" i="4"/>
  <c r="G7" i="4"/>
  <c r="G3" i="4"/>
  <c r="D109" i="35" l="1"/>
  <c r="D90" i="35"/>
  <c r="C41" i="35"/>
  <c r="C119" i="35" l="1"/>
  <c r="C123" i="35" s="1"/>
  <c r="C130" i="35" s="1"/>
  <c r="D130" i="35" s="1"/>
  <c r="F6" i="73" s="1"/>
  <c r="C19" i="35"/>
  <c r="C20" i="35" s="1"/>
  <c r="C69" i="35" l="1"/>
  <c r="C70" i="35" s="1"/>
  <c r="C133" i="35" l="1"/>
  <c r="G2" i="39" s="1"/>
  <c r="H2" i="39" s="1"/>
  <c r="D70" i="35"/>
  <c r="F2" i="73" s="1"/>
  <c r="H9" i="39"/>
  <c r="G15" i="39" l="1"/>
  <c r="H15" i="39" s="1"/>
  <c r="I15" i="39" s="1"/>
  <c r="J15" i="39" s="1"/>
  <c r="I2" i="39"/>
  <c r="J2" i="39" s="1"/>
  <c r="G2" i="78" s="1"/>
  <c r="G10" i="39"/>
  <c r="H10" i="39" s="1"/>
  <c r="I10" i="39" s="1"/>
  <c r="J10" i="39" s="1"/>
  <c r="F18" i="73" s="1"/>
  <c r="I9" i="39"/>
  <c r="F21" i="73" l="1"/>
  <c r="G21" i="73" s="1"/>
  <c r="I19" i="39"/>
  <c r="G11" i="39"/>
  <c r="H11" i="39" s="1"/>
  <c r="I11" i="39" s="1"/>
  <c r="I17" i="39" s="1"/>
  <c r="G11" i="78"/>
  <c r="G8" i="78"/>
  <c r="J19" i="39"/>
  <c r="J9" i="39"/>
  <c r="G7" i="78" s="1"/>
  <c r="F26" i="73" l="1"/>
  <c r="G16" i="78"/>
  <c r="H17" i="39"/>
  <c r="J11" i="39"/>
  <c r="F11" i="73" s="1"/>
  <c r="G9" i="78" l="1"/>
  <c r="G13" i="78" s="1"/>
  <c r="J17" i="39"/>
  <c r="F23" i="73"/>
  <c r="G23" i="73" l="1"/>
  <c r="H12" i="7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tc={A687B85D-39D3-4264-A2DA-EEFC7876382E}</author>
  </authors>
  <commentList>
    <comment ref="F21" authorId="0" shapeId="0" xr:uid="{A687B85D-39D3-4264-A2DA-EEFC7876382E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In post List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tc={4FE53E43-136D-42F7-B29A-F421AAA6D607}</author>
  </authors>
  <commentList>
    <comment ref="J2" authorId="0" shapeId="0" xr:uid="{4FE53E43-136D-42F7-B29A-F421AAA6D6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25% for local transport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tc={1252DAC2-37AC-4F0B-A8B2-EBC84D61DF8B}</author>
  </authors>
  <commentList>
    <comment ref="M5" authorId="0" shapeId="0" xr:uid="{1252DAC2-37AC-4F0B-A8B2-EBC84D61DF8B}">
      <text>
        <t>[Threaded comment]
Your version of Excel allows you to read this threaded comment; however, any edits to it will get removed if the file is opened in a newer version of Excel. Learn more: https://go.microsoft.com/fwlink/?linkid=870924
Comment:
    Euro is 95 on 5th May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tc={52CCB69F-4BBA-4F63-ACC9-06E9BE5821B8}</author>
  </authors>
  <commentList>
    <comment ref="E2" authorId="0" shapeId="0" xr:uid="{52CCB69F-4BBA-4F63-ACC9-06E9BE5821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2X due 150 Kg/meter Load Capacity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tc={D48A8336-A7EB-4A8F-816C-5A7A289FDC4E}</author>
  </authors>
  <commentList>
    <comment ref="E2" authorId="0" shapeId="0" xr:uid="{D48A8336-A7EB-4A8F-816C-5A7A289FDC4E}">
      <text>
        <t>[Threaded comment]
Your version of Excel allows you to read this threaded comment; however, any edits to it will get removed if the file is opened in a newer version of Excel. Learn more: https://go.microsoft.com/fwlink/?linkid=870924
Comment:
    Get price from SWEDI sheet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tc={C976462A-65EC-4308-91A6-891CF9778902}</author>
  </authors>
  <commentList>
    <comment ref="X38" authorId="0" shapeId="0" xr:uid="{C976462A-65EC-4308-91A6-891CF97789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Received from Sabya Sir.
Additionally considered 10% inflation. 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tc={DD5B4E56-7F14-4861-A608-32AB0EB3E7A4}</author>
    <author>tc={CBFC7BA5-6737-4CF7-B36A-F3E54637AAC5}</author>
    <author>tc={D09B58D6-F741-46DD-80FC-412E2B9D5889}</author>
    <author>tc={F10CA682-72BC-4CB2-89FE-54974928808B}</author>
    <author>tc={39A137C4-A754-4E12-A415-8F17793BBF6B}</author>
  </authors>
  <commentList>
    <comment ref="F2" authorId="0" shapeId="0" xr:uid="{DD5B4E56-7F14-4861-A608-32AB0EB3E7A4}">
      <text>
        <t>[Threaded comment]
Your version of Excel allows you to read this threaded comment; however, any edits to it will get removed if the file is opened in a newer version of Excel. Learn more: https://go.microsoft.com/fwlink/?linkid=870924
Comment:
    6X As discussed with DAP</t>
      </text>
    </comment>
    <comment ref="F6" authorId="1" shapeId="0" xr:uid="{CBFC7BA5-6737-4CF7-B36A-F3E54637AAC5}">
      <text>
        <t>[Threaded comment]
Your version of Excel allows you to read this threaded comment; however, any edits to it will get removed if the file is opened in a newer version of Excel. Learn more: https://go.microsoft.com/fwlink/?linkid=870924
Comment:
    Divided by 3 to gate per meter price.</t>
      </text>
    </comment>
    <comment ref="F7" authorId="2" shapeId="0" xr:uid="{D09B58D6-F741-46DD-80FC-412E2B9D5889}">
      <text>
        <t>[Threaded comment]
Your version of Excel allows you to read this threaded comment; however, any edits to it will get removed if the file is opened in a newer version of Excel. Learn more: https://go.microsoft.com/fwlink/?linkid=870924
Comment:
    6X As discussed with DAP</t>
      </text>
    </comment>
    <comment ref="C19" authorId="3" shapeId="0" xr:uid="{F10CA682-72BC-4CB2-89FE-54974928808B}">
      <text>
        <t>[Threaded comment]
Your version of Excel allows you to read this threaded comment; however, any edits to it will get removed if the file is opened in a newer version of Excel. Learn more: https://go.microsoft.com/fwlink/?linkid=870924
Comment:
    As recommended by client to consider 2 sensor/chute.</t>
      </text>
    </comment>
    <comment ref="C21" authorId="4" shapeId="0" xr:uid="{39A137C4-A754-4E12-A415-8F17793BBF6B}">
      <text>
        <t>[Threaded comment]
Your version of Excel allows you to read this threaded comment; however, any edits to it will get removed if the file is opened in a newer version of Excel. Learn more: https://go.microsoft.com/fwlink/?linkid=870924
Comment:
    As recommended by client to consider illuminated monostable button.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tc={3993E62F-DDB6-47C0-BDB7-16BA37EF942D}</author>
    <author>tc={92F85186-5C6C-4D06-B5F7-CAE5548CEBE3}</author>
  </authors>
  <commentList>
    <comment ref="C110" authorId="0" shapeId="0" xr:uid="{3993E62F-DDB6-47C0-BDB7-16BA37EF942D}">
      <text>
        <t>[Threaded comment]
Your version of Excel allows you to read this threaded comment; however, any edits to it will get removed if the file is opened in a newer version of Excel. Learn more: https://go.microsoft.com/fwlink/?linkid=870924
Comment:
    Max Speed: 3 mtr/sec</t>
      </text>
    </comment>
    <comment ref="C113" authorId="1" shapeId="0" xr:uid="{92F85186-5C6C-4D06-B5F7-CAE5548CEB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Max Speed: 2 mtr/sec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</futureMetadata>
  <cellMetadata count="1">
    <bk>
      <rc t="1" v="0"/>
    </bk>
  </cellMetadata>
  <valueMetadata count="3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</valueMetadata>
</metadata>
</file>

<file path=xl/sharedStrings.xml><?xml version="1.0" encoding="utf-8"?>
<sst xmlns="http://schemas.openxmlformats.org/spreadsheetml/2006/main" count="3351" uniqueCount="1194">
  <si>
    <t>S. No</t>
  </si>
  <si>
    <t>Component</t>
  </si>
  <si>
    <t>Qty per set</t>
  </si>
  <si>
    <t>Set</t>
  </si>
  <si>
    <t>UOM</t>
  </si>
  <si>
    <t xml:space="preserve">Price </t>
  </si>
  <si>
    <t>CBS, Induct &amp; Scanning Package</t>
  </si>
  <si>
    <t>€</t>
  </si>
  <si>
    <t>Preventive Maintenance for 2 days</t>
  </si>
  <si>
    <t>Infeed Conveyors &amp; VDS Package</t>
  </si>
  <si>
    <t>PM for 1 Year (1 in each month)</t>
  </si>
  <si>
    <t>Chute Package</t>
  </si>
  <si>
    <t>Breakdown Visit 12 Nos</t>
  </si>
  <si>
    <t>Mezannine Package</t>
  </si>
  <si>
    <t>Software Packages</t>
  </si>
  <si>
    <t xml:space="preserve">Installation &amp; Commissioning </t>
  </si>
  <si>
    <t>Packaging &amp; Documentation</t>
  </si>
  <si>
    <t>Project Management and Engineering Charges</t>
  </si>
  <si>
    <t xml:space="preserve">Freight </t>
  </si>
  <si>
    <t>Spare Kit as per Inpost List</t>
  </si>
  <si>
    <t>Protection on Ground</t>
  </si>
  <si>
    <t>Total Package for 1 Sorter per Piece</t>
  </si>
  <si>
    <t>Total Package for 2 Sorters per piece</t>
  </si>
  <si>
    <t>Total Package for 3 Sorters per piece</t>
  </si>
  <si>
    <t>Recommended Spare Package by Falcon</t>
  </si>
  <si>
    <t>Hotline Support</t>
  </si>
  <si>
    <t>Warranty Inspection</t>
  </si>
  <si>
    <t>CBS &amp; Scanning</t>
  </si>
  <si>
    <t>Outbound Manual Chutes</t>
  </si>
  <si>
    <t>Inbound Manual Lines</t>
  </si>
  <si>
    <t>Inbound Reject Lines</t>
  </si>
  <si>
    <t>Sorter Induct Line</t>
  </si>
  <si>
    <t>Dimesnion Checking System</t>
  </si>
  <si>
    <t>Scanning Gate</t>
  </si>
  <si>
    <t>Maintenance Platform</t>
  </si>
  <si>
    <t>Protection on the ground of sorter</t>
  </si>
  <si>
    <t>Project management</t>
  </si>
  <si>
    <t>mechanical installation</t>
  </si>
  <si>
    <t>electrical installation</t>
  </si>
  <si>
    <t>commisioning</t>
  </si>
  <si>
    <t>I.T. software implementation</t>
  </si>
  <si>
    <t>Acceptance Test</t>
  </si>
  <si>
    <t>Support Ramp Up</t>
  </si>
  <si>
    <t>Transport &amp; Packaging</t>
  </si>
  <si>
    <t>Field Wiring</t>
  </si>
  <si>
    <t>Chute Accessories</t>
  </si>
  <si>
    <t>Spare Kit</t>
  </si>
  <si>
    <t>Others (MHE,Waste Management,)</t>
  </si>
  <si>
    <t>Total System Package</t>
  </si>
  <si>
    <t xml:space="preserve">Recommended Spare Package </t>
  </si>
  <si>
    <t>B. FALCON HO TEAM</t>
  </si>
  <si>
    <t>Charges</t>
  </si>
  <si>
    <t>Person</t>
  </si>
  <si>
    <t>NO. OF MANPOWER REQUIRED</t>
  </si>
  <si>
    <t>No. of working days required</t>
  </si>
  <si>
    <t>AIR FARE</t>
  </si>
  <si>
    <t>VISA</t>
  </si>
  <si>
    <t>HOTEL</t>
  </si>
  <si>
    <t>MAN DAY COST</t>
  </si>
  <si>
    <t>DAILY ALLOWANCE</t>
  </si>
  <si>
    <t>Site Manager</t>
  </si>
  <si>
    <t>Mechanical Engineer</t>
  </si>
  <si>
    <t>Electrical Engineer</t>
  </si>
  <si>
    <t>PLC</t>
  </si>
  <si>
    <t>PLC Engineer</t>
  </si>
  <si>
    <t>IT Engineer</t>
  </si>
  <si>
    <t>Cost Calculation</t>
  </si>
  <si>
    <t>FALCON SUPERVISORS REQUIRED</t>
  </si>
  <si>
    <t>Total NO. OF DAYS REQUIRED</t>
  </si>
  <si>
    <t>Project Supervisor</t>
  </si>
  <si>
    <t>Mechanical Supervisor</t>
  </si>
  <si>
    <t>Electrical Supervisor</t>
  </si>
  <si>
    <t>PLC Programmer</t>
  </si>
  <si>
    <t>Total Cost (INR)</t>
  </si>
  <si>
    <t>Total Cost (EUR)</t>
  </si>
  <si>
    <t>Total Falcon Team Cost (B)</t>
  </si>
  <si>
    <t>FOS</t>
  </si>
  <si>
    <t>Final Quote</t>
  </si>
  <si>
    <t>Insurance</t>
  </si>
  <si>
    <t>Mechanical Installation Cost</t>
  </si>
  <si>
    <t>Container Cost</t>
  </si>
  <si>
    <t>Electrical Installation Cost</t>
  </si>
  <si>
    <t>PLC Comissioning Cost</t>
  </si>
  <si>
    <t>For 36 Nos Containers from India</t>
  </si>
  <si>
    <t>IT Comissioning Cost</t>
  </si>
  <si>
    <t>For Chute from Poland</t>
  </si>
  <si>
    <t>MHEs</t>
  </si>
  <si>
    <t>Total</t>
  </si>
  <si>
    <t>Waste Management</t>
  </si>
  <si>
    <t>Insurance Cost</t>
  </si>
  <si>
    <t>Team</t>
  </si>
  <si>
    <t>Mandays</t>
  </si>
  <si>
    <t>Manhours</t>
  </si>
  <si>
    <t>Manhour Rate</t>
  </si>
  <si>
    <t>Price</t>
  </si>
  <si>
    <t>Technician</t>
  </si>
  <si>
    <t>Electrician</t>
  </si>
  <si>
    <t>Total Manpower Cost</t>
  </si>
  <si>
    <t>Factor of Saftey</t>
  </si>
  <si>
    <t>Final Manpower Cost</t>
  </si>
  <si>
    <t>VAT</t>
  </si>
  <si>
    <t>Material Handling Equipment</t>
  </si>
  <si>
    <t>Over all Cost</t>
  </si>
  <si>
    <t>Sr. No</t>
  </si>
  <si>
    <t>Unit Rate</t>
  </si>
  <si>
    <t>Total(INR)</t>
  </si>
  <si>
    <t>Hiked INR</t>
  </si>
  <si>
    <t>Family</t>
  </si>
  <si>
    <t>Sales Factor</t>
  </si>
  <si>
    <t>Loop Cross Belt Sorter with VMS, ICR</t>
  </si>
  <si>
    <t>Sorter + Scanning + Server + Induct Lines</t>
  </si>
  <si>
    <t>Hiked INR Factor</t>
  </si>
  <si>
    <t>Arm Sorter</t>
  </si>
  <si>
    <t>Sorter+ Induct Lines</t>
  </si>
  <si>
    <t>Field wiring and controls</t>
  </si>
  <si>
    <t>Conveyors</t>
  </si>
  <si>
    <t>Region</t>
  </si>
  <si>
    <t>Europe</t>
  </si>
  <si>
    <t>Destinations</t>
  </si>
  <si>
    <t>EURO</t>
  </si>
  <si>
    <t>current rate is 100</t>
  </si>
  <si>
    <t>Steelwork</t>
  </si>
  <si>
    <t>Steelworks</t>
  </si>
  <si>
    <t>Software</t>
  </si>
  <si>
    <t>Packaging &amp; Forwarding</t>
  </si>
  <si>
    <t>System Acceptance Test</t>
  </si>
  <si>
    <t>Freight</t>
  </si>
  <si>
    <t>Recommended Spare Package</t>
  </si>
  <si>
    <t>Factor</t>
  </si>
  <si>
    <t>Speed Factor</t>
  </si>
  <si>
    <t>Model Number Understanding-&gt;&gt;</t>
  </si>
  <si>
    <t>CB-[Single/Dual Belt]-[Carrier Pitch]-[Belt Length]</t>
  </si>
  <si>
    <t>Model Number</t>
  </si>
  <si>
    <t>Carrier Type</t>
  </si>
  <si>
    <t>Carrier Pitch</t>
  </si>
  <si>
    <t>Carrier Belt- Belt Pitch/Length (mm)</t>
  </si>
  <si>
    <t>Curve Radius (m)</t>
  </si>
  <si>
    <t>LIM Compatible?</t>
  </si>
  <si>
    <t>LSM Compatible?</t>
  </si>
  <si>
    <t>Belts Per Carrier</t>
  </si>
  <si>
    <t>Belts per LIM</t>
  </si>
  <si>
    <t>Belts per LSM</t>
  </si>
  <si>
    <t>CB-SB-600-800</t>
  </si>
  <si>
    <t>Single Belt</t>
  </si>
  <si>
    <t>600/800</t>
  </si>
  <si>
    <t>Yes</t>
  </si>
  <si>
    <t>CB-DB-1175-800</t>
  </si>
  <si>
    <t>Dual Belt</t>
  </si>
  <si>
    <t>No</t>
  </si>
  <si>
    <t>NA</t>
  </si>
  <si>
    <t>XL-CB-DB-1200-1200</t>
  </si>
  <si>
    <t>XL- Dual Belt</t>
  </si>
  <si>
    <t>600/1200</t>
  </si>
  <si>
    <t>XL-CB-SB-800-1200</t>
  </si>
  <si>
    <t>XL- Single Belt</t>
  </si>
  <si>
    <t>800/1200</t>
  </si>
  <si>
    <t>Select Model</t>
  </si>
  <si>
    <t>Output</t>
  </si>
  <si>
    <t>Radius</t>
  </si>
  <si>
    <t>Radius Price</t>
  </si>
  <si>
    <t>Enter the Number of 30 Degree Curves</t>
  </si>
  <si>
    <t>Enter the Loop Length (Including length of Curves) in meters</t>
  </si>
  <si>
    <t>Curve Length (m)</t>
  </si>
  <si>
    <t>Straight Track length (m)</t>
  </si>
  <si>
    <t>Cost of Straight Track</t>
  </si>
  <si>
    <t>Cost of Curved track</t>
  </si>
  <si>
    <t>Total Track Cost (A)</t>
  </si>
  <si>
    <t>Carrier Unit Price</t>
  </si>
  <si>
    <t>Number of Carriers</t>
  </si>
  <si>
    <t>Total Carrier Cost (B)</t>
  </si>
  <si>
    <t>Belts per Carrier</t>
  </si>
  <si>
    <t>Total Carrier Belts</t>
  </si>
  <si>
    <t>Carrier Belt Type</t>
  </si>
  <si>
    <t>Carrier Belt Unit Price</t>
  </si>
  <si>
    <t>Total Carrier Belt Cost (C)</t>
  </si>
  <si>
    <t>Select the Sorter Height</t>
  </si>
  <si>
    <t>&gt;2.4 meter and &lt;=3.5 meter</t>
  </si>
  <si>
    <t>Unit Price per Leg</t>
  </si>
  <si>
    <t>Number of Legs</t>
  </si>
  <si>
    <t>Total Legs Cost (D)</t>
  </si>
  <si>
    <t>Select Type of Linear Motor</t>
  </si>
  <si>
    <t>LIM</t>
  </si>
  <si>
    <t>Number of Belts Per Motor</t>
  </si>
  <si>
    <t>Total Number of Motors</t>
  </si>
  <si>
    <t>Unit Price per Motor Drive</t>
  </si>
  <si>
    <t>Total Drive cost (E)</t>
  </si>
  <si>
    <t>Total Loop Control Cost (F)</t>
  </si>
  <si>
    <t>Select the PLC Platform</t>
  </si>
  <si>
    <t>Siemens</t>
  </si>
  <si>
    <t>Total PLC Platform Cost (G)</t>
  </si>
  <si>
    <t>Server Required?</t>
  </si>
  <si>
    <t>If Yes, Select the Server Configuration</t>
  </si>
  <si>
    <t>HAA-Falcon Standard</t>
  </si>
  <si>
    <t>Unit Price of Selected Server</t>
  </si>
  <si>
    <t>Total Server Price (H)</t>
  </si>
  <si>
    <t>Enter Number of Induct Zones</t>
  </si>
  <si>
    <t>ICR890 12K 5 Camera- 5 Side Per Scan Tunnel</t>
  </si>
  <si>
    <t>Total Barcode Scanning Cost</t>
  </si>
  <si>
    <t>VMS5200 Per Scan Tunnel</t>
  </si>
  <si>
    <t>Total Volume Scanning Cost</t>
  </si>
  <si>
    <t>Total Scan Tunnel Costs (I)</t>
  </si>
  <si>
    <t>Select Minimum Height of Product</t>
  </si>
  <si>
    <t>&lt;10 mm</t>
  </si>
  <si>
    <t>ECDS Unit Cost</t>
  </si>
  <si>
    <t>Total ECDS Cost (J)</t>
  </si>
  <si>
    <t>Length of Safety Net (in meters)</t>
  </si>
  <si>
    <t>Total Safety Net Cost (K)</t>
  </si>
  <si>
    <t>Length of Wiremesh Fencing (in meters)</t>
  </si>
  <si>
    <t>Total Wiremesh fencing Cost (L)</t>
  </si>
  <si>
    <t>Length of Bridge Plate (in meters)</t>
  </si>
  <si>
    <t>Total Bridge Plate Cost (M)</t>
  </si>
  <si>
    <t>Total Loop Cost (A+B+C+D+E+F+G+H+I+J+K+L+M)</t>
  </si>
  <si>
    <t>Recommended Sale Price</t>
  </si>
  <si>
    <t>Main Inducts</t>
  </si>
  <si>
    <t>Enter the Total Number of Inducts in the System</t>
  </si>
  <si>
    <t>Select the Width of Induct Conveyors</t>
  </si>
  <si>
    <t>Enter number of Angle Merge Conveyors per Induct</t>
  </si>
  <si>
    <t>Enter Number of Short Buffer Conveyors per Induct</t>
  </si>
  <si>
    <t>Enter Number of Spacing Conveyors per Induct</t>
  </si>
  <si>
    <t>Enter Number of Single Operator Loading Conveyor</t>
  </si>
  <si>
    <t>Enter Number of Double Operator Loading Conveyor</t>
  </si>
  <si>
    <t>Enter Number of Receiving Conveyor</t>
  </si>
  <si>
    <t>Main Inducts Costing</t>
  </si>
  <si>
    <t>QTY</t>
  </si>
  <si>
    <t>Cost</t>
  </si>
  <si>
    <t>Cable Tray Length</t>
  </si>
  <si>
    <t>Angle Merge</t>
  </si>
  <si>
    <t>Short Buffer</t>
  </si>
  <si>
    <t>Spacing Conveyor</t>
  </si>
  <si>
    <t>Single Operator Loading Conveyor</t>
  </si>
  <si>
    <t>Double Operator Loading Conveyor</t>
  </si>
  <si>
    <t>Receiving Conveyor</t>
  </si>
  <si>
    <t>Special Inducts</t>
  </si>
  <si>
    <t>Special Inducts Costing</t>
  </si>
  <si>
    <t>Total Number of Angle Merge Conveyors</t>
  </si>
  <si>
    <t>Total Number of Short Buffer Conveyors</t>
  </si>
  <si>
    <t>Total Number of Spacing Conveyors</t>
  </si>
  <si>
    <t>Total Number of Single Operator Loading Conveyor</t>
  </si>
  <si>
    <t>Total Number of Double Operator Loading Conveyor</t>
  </si>
  <si>
    <t>Total Number of Receiving Conveyor</t>
  </si>
  <si>
    <t>Total Cost of Induct Conveyors</t>
  </si>
  <si>
    <t>Total Cost of Cable Tray and Legs</t>
  </si>
  <si>
    <t>Total Cost of Over Shoot Assembly</t>
  </si>
  <si>
    <t>Total Cost Control Panel</t>
  </si>
  <si>
    <t>Total Inducts Cost</t>
  </si>
  <si>
    <t xml:space="preserve">Total Inductions </t>
  </si>
  <si>
    <t>Required Hand Barcode scanner for Semi-Auto mode</t>
  </si>
  <si>
    <t>Hand Barcode Scanner for semi-auto mode</t>
  </si>
  <si>
    <t>Enter Number of Weighing Conveyors(Total)</t>
  </si>
  <si>
    <t>Select Weighing Model</t>
  </si>
  <si>
    <t xml:space="preserve">Bizerba WM CWL </t>
  </si>
  <si>
    <t>Weighing Conveyor Price</t>
  </si>
  <si>
    <t>Recommended Sale Price for Inducts</t>
  </si>
  <si>
    <t>No. of ICR Safety Gate</t>
  </si>
  <si>
    <t>Safety</t>
  </si>
  <si>
    <t>Total Recommended Sale Price (Sorter + Inducts)</t>
  </si>
  <si>
    <t>Chutes</t>
  </si>
  <si>
    <t>7000 per Sq Mt (Steel and Frp)</t>
  </si>
  <si>
    <t>Chute Sensors and IO Network, Tower Lamps, Buttons etc</t>
  </si>
  <si>
    <t>Hand Held Scanners</t>
  </si>
  <si>
    <t>Weighing Conveyors</t>
  </si>
  <si>
    <t>Launch Pads</t>
  </si>
  <si>
    <t>Buffering Chutes</t>
  </si>
  <si>
    <t>Steel Structures</t>
  </si>
  <si>
    <t>VDS</t>
  </si>
  <si>
    <t>Pre Sorter</t>
  </si>
  <si>
    <t>Conveyor Name</t>
  </si>
  <si>
    <t>Width</t>
  </si>
  <si>
    <t>&gt;=10 mm</t>
  </si>
  <si>
    <t>Length</t>
  </si>
  <si>
    <t>Angle Merge XL</t>
  </si>
  <si>
    <t>1000 XL</t>
  </si>
  <si>
    <t>Buffer Conveyor</t>
  </si>
  <si>
    <t>Buffer Conveyor XL</t>
  </si>
  <si>
    <t>-</t>
  </si>
  <si>
    <t>Spacing Conveyor XL</t>
  </si>
  <si>
    <t>Single Operator Loading Conveyor XL</t>
  </si>
  <si>
    <t>Double Operator Loading Conveyor XL</t>
  </si>
  <si>
    <t>Receiving Conveyor XL</t>
  </si>
  <si>
    <t>Top Loader Induct</t>
  </si>
  <si>
    <t>Control Panel</t>
  </si>
  <si>
    <t>Leg Structure</t>
  </si>
  <si>
    <t>Overshoot Assembly</t>
  </si>
  <si>
    <t>CB-SB-500-800</t>
  </si>
  <si>
    <t>500/800</t>
  </si>
  <si>
    <t>Heavy Duty</t>
  </si>
  <si>
    <t>Regular&lt;=10 Kg for Sigle Carrier</t>
  </si>
  <si>
    <t>Enter Linear Length (Top side only excluding curves) in meters</t>
  </si>
  <si>
    <t>Standard</t>
  </si>
  <si>
    <t>Total Legs Cost (C)</t>
  </si>
  <si>
    <t>LSM</t>
  </si>
  <si>
    <t>Standard LSM</t>
  </si>
  <si>
    <t>;</t>
  </si>
  <si>
    <t>Total Drive cost (D)</t>
  </si>
  <si>
    <t>Positionning &amp; Centering Cost (E)</t>
  </si>
  <si>
    <t>Select the PLC Platform &amp; Controle</t>
  </si>
  <si>
    <t>Omron</t>
  </si>
  <si>
    <t>Loop Controle</t>
  </si>
  <si>
    <t>Main Controle (PLC Platform)</t>
  </si>
  <si>
    <t>Total PLC Platform Cost (F)</t>
  </si>
  <si>
    <t>YES</t>
  </si>
  <si>
    <t>NO for International Projects</t>
  </si>
  <si>
    <t>HAA-Amazon Standard</t>
  </si>
  <si>
    <t>Total Server Price (G)</t>
  </si>
  <si>
    <t>Scanning tunnel Qty/ induct zone</t>
  </si>
  <si>
    <t>ICR-890 12K</t>
  </si>
  <si>
    <t>VMS Qty/ induct zone</t>
  </si>
  <si>
    <t>VMS 4200</t>
  </si>
  <si>
    <t>Total Scan Tunnel Costs (H)</t>
  </si>
  <si>
    <t>Total Wiremesh fencing Cost (I)</t>
  </si>
  <si>
    <t>Total Bridge Plate Cost (J)</t>
  </si>
  <si>
    <t>Enter number of Safety Gate</t>
  </si>
  <si>
    <t>Cost Price of Safety Gate</t>
  </si>
  <si>
    <t>Total Loop Cost (A+B+C+D+E+F+G+H+I+J)</t>
  </si>
  <si>
    <t>Top loader induct</t>
  </si>
  <si>
    <t>Enter Number of Top Loaders per Induct</t>
  </si>
  <si>
    <t xml:space="preserve">Special Inducts </t>
  </si>
  <si>
    <t>Unit Price</t>
  </si>
  <si>
    <t>Total Price</t>
  </si>
  <si>
    <t>Length (for Cable Tray and Leg Calculation)</t>
  </si>
  <si>
    <t>Row</t>
  </si>
  <si>
    <t>Column</t>
  </si>
  <si>
    <t>Total Number of Top Loader conveyors</t>
  </si>
  <si>
    <t>Middle East</t>
  </si>
  <si>
    <t>Item</t>
  </si>
  <si>
    <t>Qty</t>
  </si>
  <si>
    <t>NEO Bots</t>
  </si>
  <si>
    <t>Nos</t>
  </si>
  <si>
    <t>Spare battery</t>
  </si>
  <si>
    <t>GTC Station</t>
  </si>
  <si>
    <t>GTP Station</t>
  </si>
  <si>
    <t>Partition</t>
  </si>
  <si>
    <t>Bin Position Cost</t>
  </si>
  <si>
    <t>Bin Type</t>
  </si>
  <si>
    <t>Six Compartment Bin</t>
  </si>
  <si>
    <t>Short Side Partition</t>
  </si>
  <si>
    <t>Long Side Partition</t>
  </si>
  <si>
    <t>Charging Station</t>
  </si>
  <si>
    <t>IT Server and IT Infra</t>
  </si>
  <si>
    <t xml:space="preserve">Mechanical and Electrical Infra </t>
  </si>
  <si>
    <t>WCS Cost</t>
  </si>
  <si>
    <t>WCS Annual License</t>
  </si>
  <si>
    <t>IT Integration</t>
  </si>
  <si>
    <t>As per the Scope of Customization and Integration effort</t>
  </si>
  <si>
    <t xml:space="preserve">Safety Architecture </t>
  </si>
  <si>
    <t>Packing and Forwarding</t>
  </si>
  <si>
    <t>As per Site Location and BOM</t>
  </si>
  <si>
    <t>Installation and Commissioning</t>
  </si>
  <si>
    <t>To be estimated as per Country/State and Size of the System</t>
  </si>
  <si>
    <t>Project Management</t>
  </si>
  <si>
    <t>Grand Total</t>
  </si>
  <si>
    <t>NEO New Rate Card</t>
  </si>
  <si>
    <t>Quote Price (INR)</t>
  </si>
  <si>
    <t>S.No</t>
  </si>
  <si>
    <t>India</t>
  </si>
  <si>
    <t>ANZ and EU</t>
  </si>
  <si>
    <t>NEO Bot</t>
  </si>
  <si>
    <t>Generally Quoted 1 for every 3 Bots</t>
  </si>
  <si>
    <t>This is Standard GTC Station including Bin Conveyors + Bin Scanners + Touch Screen Operator Panel + Fixed Mounted Scanner for SKU Scanning + Canopy</t>
  </si>
  <si>
    <t>This is Standard GTP Station including  Touch Screen Operator Panel + Fixed Mounted Scanner for SKU Scanning + Canopy</t>
  </si>
  <si>
    <t>Includes the Cost of Racking + Teeth Rack + Tracks</t>
  </si>
  <si>
    <t>Plastic Bin Cost</t>
  </si>
  <si>
    <t>Sort side partition</t>
  </si>
  <si>
    <t>Long side partition</t>
  </si>
  <si>
    <t>a</t>
  </si>
  <si>
    <t>Single Compartment Bin</t>
  </si>
  <si>
    <t>b</t>
  </si>
  <si>
    <t>Two Compartment Bin</t>
  </si>
  <si>
    <t>c</t>
  </si>
  <si>
    <t>Three Compartment Bin</t>
  </si>
  <si>
    <t>d</t>
  </si>
  <si>
    <t>Four Compartment Bin</t>
  </si>
  <si>
    <t>e</t>
  </si>
  <si>
    <t>Mechanical and Electrical Infra 
(% of the equipment Sales Value)</t>
  </si>
  <si>
    <t>Including 
- Fencing Mechanical + Electrical
- Power Distribution Panels
- Control Panels and Field Devices
- Distribution Panels and Field Devices
- Misc Consumables</t>
  </si>
  <si>
    <t>WCS License and Setup up cost</t>
  </si>
  <si>
    <t>Annual License Renewal</t>
  </si>
  <si>
    <t>Variable</t>
  </si>
  <si>
    <t>Project Management  (of Equipment Price)</t>
  </si>
  <si>
    <t>Packing and Forwarding (of Equipment Price)</t>
  </si>
  <si>
    <t>Installation and Commissioning (of Equipment Price excluding Bins)</t>
  </si>
  <si>
    <t>Specs</t>
  </si>
  <si>
    <t>Belt/motor</t>
  </si>
  <si>
    <t>Sorter track</t>
  </si>
  <si>
    <t>Regular</t>
  </si>
  <si>
    <t>Curves</t>
  </si>
  <si>
    <t>360 Deg Curves</t>
  </si>
  <si>
    <t>Cost is for 360deg curve /per count</t>
  </si>
  <si>
    <t xml:space="preserve">Carrier </t>
  </si>
  <si>
    <t>Leg Cost</t>
  </si>
  <si>
    <t>1.7 meter height</t>
  </si>
  <si>
    <t>Linear Motor Drive Set</t>
  </si>
  <si>
    <t>Positioning &amp; Centering</t>
  </si>
  <si>
    <t>Sorter Loop Control</t>
  </si>
  <si>
    <t>PLC Platform</t>
  </si>
  <si>
    <t>Server Setup</t>
  </si>
  <si>
    <t>Barcode Scanning Tunnel</t>
  </si>
  <si>
    <t>ICR-890 8K</t>
  </si>
  <si>
    <t>ICR890 12K 3 Camera- 3/5 Side Per Scan Tunnel</t>
  </si>
  <si>
    <t>Cognex 3 Camera- Top scan without Image Capturing Per Scan Tunnel</t>
  </si>
  <si>
    <t>COGENAX Top side scanning (DM3816X)</t>
  </si>
  <si>
    <t>Cognex 3 Camera- Top scan with Image Capturing Per Scan Tunnel</t>
  </si>
  <si>
    <t>VMS</t>
  </si>
  <si>
    <t>VMS5200</t>
  </si>
  <si>
    <t>COGNEX VMS (3D- A1000)</t>
  </si>
  <si>
    <t>Safety Net</t>
  </si>
  <si>
    <t>Per meter</t>
  </si>
  <si>
    <t>Fencing</t>
  </si>
  <si>
    <t>Bridge Plate</t>
  </si>
  <si>
    <t>S.NO</t>
  </si>
  <si>
    <t>Final Rate card</t>
  </si>
  <si>
    <t>Specs/Remarks</t>
  </si>
  <si>
    <t>Chasis</t>
  </si>
  <si>
    <t>4 X Blickle
2 X Bharat
LSM Magnet
Wheel Mounting for Blickel</t>
  </si>
  <si>
    <t>Carrier- Regular</t>
  </si>
  <si>
    <t>Bellow Added
Sheet Thickness Increased
Node Plates are here (Omron or Siemens)
Includes CBS Power plate with Meanwell DC converter and Schneider MCB 
Includes Connector &amp; Communication cable
Includes Carrier Position sensor and reflector unit
Includes Harness Field</t>
  </si>
  <si>
    <t>Carrier- Heavy Duty</t>
  </si>
  <si>
    <t>Drive Unit- Regular</t>
  </si>
  <si>
    <t>SEW LSM (Linear Magnetic Motor, Inverter, encoder, Braking Resistor, encoder cables, Line Filter, Keypad, Line Choke &amp; Output Choke), Gap Filler and drive unit accessories
- One Motor Set for 40 Carriers
Includes Linear Sorter LSM motor Junction box
Includes Sorter Drive (LSM) Panel
Includes Drive Panel (LSM) Field Material</t>
  </si>
  <si>
    <t>Drive Unit- Heavy Duty</t>
  </si>
  <si>
    <t>SEW LSM (Linear Magnetic Motor, Inverter, encoder, Braking Resistor, encoder cables, Line Filter, Keypad, Line Choke &amp; Output Choke)
-One Motor Set for 30 Carriers
Includes Linear Sorter LSM motor Junction box
Includes Sorter Drive (LSM) Panel
Includes Drive Panel (LSM) Field Material</t>
  </si>
  <si>
    <t>Straight Track (per Meter)- Regular</t>
  </si>
  <si>
    <r>
      <t xml:space="preserve">Length to be considered from </t>
    </r>
    <r>
      <rPr>
        <b/>
        <sz val="11"/>
        <color theme="1"/>
        <rFont val="Calibri"/>
        <family val="2"/>
        <scheme val="minor"/>
      </rPr>
      <t>Plan View</t>
    </r>
    <r>
      <rPr>
        <sz val="11"/>
        <color theme="1"/>
        <rFont val="Calibri"/>
        <family val="2"/>
        <scheme val="minor"/>
      </rPr>
      <t xml:space="preserve">
Bus Bar elements and Leaky Wave is here
Includes Linear Current Collector
Includes Insulated Conductor &amp; Compact hanger
Includes Hooters for CBS
Includes SMPS Panel and its accessoriers and SMPS panel Field material
Includes Barcode Sensor &amp; Barcode Tape
Includes Sorter Cable tray</t>
    </r>
  </si>
  <si>
    <t>Straight Track (per Meter)- Heavy Duty</t>
  </si>
  <si>
    <t>Curev Track (per Count)</t>
  </si>
  <si>
    <t>This cost is for 360 Degree Curve.
Consider 8 Carriers on the curve length
Includes Tail &amp; Drive end unit and Tail end block</t>
  </si>
  <si>
    <t>Legs (per Leg)</t>
  </si>
  <si>
    <t>Consider one Leg per 2.4 meters</t>
  </si>
  <si>
    <t>Loop Control- Omron</t>
  </si>
  <si>
    <t xml:space="preserve">Includes Speed calculation, pitch sensor &amp; monitoring sensor (all three types)
Includes Linear Sorter Field material
</t>
  </si>
  <si>
    <t>Main Control- Omron</t>
  </si>
  <si>
    <t xml:space="preserve">Includes Control Panel, Remote panel, wifi Panel, Power distribution panel, Junction Box, Safety Relay/ Controller panel and field material for the same.
Includes Sorter Scada Field material
Includes Stickers, Panel stand and consumables
</t>
  </si>
  <si>
    <t>Loop Control- Siemens</t>
  </si>
  <si>
    <t>Main Control- Siemens</t>
  </si>
  <si>
    <t xml:space="preserve">Includes Control Panel, Remote panel, wifi Panel, Power distribution panel, Junction Box, Safety Relay/ Controller panel, Sorter Safety speed detection Panel and field material for the same.
Includes Sorter Scada Field material
Includes Stickers, Panel stand and consumables
</t>
  </si>
  <si>
    <t>S.No.</t>
  </si>
  <si>
    <t>Description</t>
  </si>
  <si>
    <t>Quantity</t>
  </si>
  <si>
    <t>Sorter running length</t>
  </si>
  <si>
    <t>Meters</t>
  </si>
  <si>
    <t>Arm XL</t>
  </si>
  <si>
    <t>ICR 890 12K</t>
  </si>
  <si>
    <t>VMS 5200</t>
  </si>
  <si>
    <t>PLC based control</t>
  </si>
  <si>
    <t>Server PC</t>
  </si>
  <si>
    <t>HAA Server</t>
  </si>
  <si>
    <t>Induction line</t>
  </si>
  <si>
    <t>Width of Induct Conveyors</t>
  </si>
  <si>
    <t>800 mm</t>
  </si>
  <si>
    <t>Enter number of Launchpad conveyors</t>
  </si>
  <si>
    <t>Enter Length of Launchpad conveyor(mm)</t>
  </si>
  <si>
    <t>Enter length of Receiving Conveyor(mm)</t>
  </si>
  <si>
    <t>Total Number of Receiving Conveyors</t>
  </si>
  <si>
    <t>Total Number of Launchpad Conveyors</t>
  </si>
  <si>
    <t xml:space="preserve">Total Sale Price for Arm Sorter </t>
  </si>
  <si>
    <t>Swedi</t>
  </si>
  <si>
    <t>Swedi Costing and Calculation sheet</t>
  </si>
  <si>
    <t>ICR 890 8K</t>
  </si>
  <si>
    <t>PLC Based contoller</t>
  </si>
  <si>
    <t>Field and Wiring</t>
  </si>
  <si>
    <t>Enter Total Number of intermediate Conveyors</t>
  </si>
  <si>
    <t>Enter length of intermediate Conveyor(mm)</t>
  </si>
  <si>
    <t>Total Number of Intermediate Conveyors</t>
  </si>
  <si>
    <t>Total Sale Price for Swedi Sorter with Inducts</t>
  </si>
  <si>
    <t>S No.</t>
  </si>
  <si>
    <t>Name</t>
  </si>
  <si>
    <t>ANGLE</t>
  </si>
  <si>
    <t>EL_1</t>
  </si>
  <si>
    <t>EL_2</t>
  </si>
  <si>
    <t>Conveyor Length (mm)</t>
  </si>
  <si>
    <t>Conveyor Length (m)</t>
  </si>
  <si>
    <t>Conveyor width (mm)</t>
  </si>
  <si>
    <t>Drive Price</t>
  </si>
  <si>
    <t>MOTOR_POWER (KW)</t>
  </si>
  <si>
    <t>Base Module (BM)
HM+TM+DM</t>
  </si>
  <si>
    <t>Motor Price(Inculding {Pannel, VFD})</t>
  </si>
  <si>
    <t>Cost/ mtr</t>
  </si>
  <si>
    <t>Total Cost Price</t>
  </si>
  <si>
    <t>Selling Price</t>
  </si>
  <si>
    <t>Price in Euro</t>
  </si>
  <si>
    <t>PVC Belt Conveyor</t>
  </si>
  <si>
    <t>Infeed</t>
  </si>
  <si>
    <t>Rejection &amp; Non Con</t>
  </si>
  <si>
    <t>Modular Conveyor</t>
  </si>
  <si>
    <t>Curve Conveyor(90°)</t>
  </si>
  <si>
    <t>Total Conveyor Price</t>
  </si>
  <si>
    <t>(All)</t>
  </si>
  <si>
    <t>Conveyor Legs</t>
  </si>
  <si>
    <t>Row Labels</t>
  </si>
  <si>
    <t>Sum of Conveyor Length (m)</t>
  </si>
  <si>
    <t>Sum of Set</t>
  </si>
  <si>
    <t>Sum of Selling Price</t>
  </si>
  <si>
    <t>End joints</t>
  </si>
  <si>
    <t>Leg Guards</t>
  </si>
  <si>
    <t>Overall Price</t>
  </si>
  <si>
    <t>Inbound Conveyor</t>
  </si>
  <si>
    <t>Rejection Line</t>
  </si>
  <si>
    <t>PVC Conveyor</t>
  </si>
  <si>
    <t>Head Module
(HM)</t>
  </si>
  <si>
    <t>Tail Module
(TM)</t>
  </si>
  <si>
    <t>Drive Module
(DM)</t>
  </si>
  <si>
    <t>600 width</t>
  </si>
  <si>
    <t>BOTTOM COVER MODULE</t>
  </si>
  <si>
    <t>800 width</t>
  </si>
  <si>
    <t>COMPONENT GUIDE MODULE</t>
  </si>
  <si>
    <t>1000 width</t>
  </si>
  <si>
    <t>CONVEYOR BELT</t>
  </si>
  <si>
    <t>1200 width</t>
  </si>
  <si>
    <t>1400 width</t>
  </si>
  <si>
    <t>Bagging Conveyor</t>
  </si>
  <si>
    <t>SR NO</t>
  </si>
  <si>
    <t>POWER</t>
  </si>
  <si>
    <t>ITEM ID</t>
  </si>
  <si>
    <t>Motor MODEL NO</t>
  </si>
  <si>
    <t>PO NO</t>
  </si>
  <si>
    <t>Motor
PRICE/UNIT</t>
  </si>
  <si>
    <t>VFD</t>
  </si>
  <si>
    <t>Panel DM</t>
  </si>
  <si>
    <t>Total Cost</t>
  </si>
  <si>
    <t>International Project (RF Series)</t>
  </si>
  <si>
    <t>Motor price/unit
(INR)</t>
  </si>
  <si>
    <t>Average Cost</t>
  </si>
  <si>
    <t>Na</t>
  </si>
  <si>
    <t>RF67 DIBE100S4</t>
  </si>
  <si>
    <t>PO-2022-23-0714</t>
  </si>
  <si>
    <t>R27DRN90L4</t>
  </si>
  <si>
    <t>PO-2024-25-0234</t>
  </si>
  <si>
    <t>RF67 DIBE100M4</t>
  </si>
  <si>
    <t>R37DRN100LS4</t>
  </si>
  <si>
    <t>PO-2024-25-4766-V-1</t>
  </si>
  <si>
    <t>RF77 DIBE112M4</t>
  </si>
  <si>
    <t>PO-2021-22-2713</t>
  </si>
  <si>
    <t>R27DRN100LM4</t>
  </si>
  <si>
    <t>PO-2024-25-2262</t>
  </si>
  <si>
    <t>RF87 DIBE132S4/RS</t>
  </si>
  <si>
    <t>R27DRN100LS4</t>
  </si>
  <si>
    <t>PO-2023-24-7004</t>
  </si>
  <si>
    <t>RF87 DIBE132M4/RS</t>
  </si>
  <si>
    <t>PO-2022-23-1240</t>
  </si>
  <si>
    <t>R37DRN100L4</t>
  </si>
  <si>
    <t>RF77 DRN112M4/BE5/HR</t>
  </si>
  <si>
    <t>PO-2024-25-4927</t>
  </si>
  <si>
    <t>MODEL NO</t>
  </si>
  <si>
    <t>PRICE/UNIT</t>
  </si>
  <si>
    <t>SA57/T DIBE100S4</t>
  </si>
  <si>
    <t>SA67/T DIBE100M4</t>
  </si>
  <si>
    <t>International Project (SA series)</t>
  </si>
  <si>
    <t>SA67/T DIBE112M4</t>
  </si>
  <si>
    <t>SA77/T DIBS132S4</t>
  </si>
  <si>
    <t>SA67/T  DRN90L4</t>
  </si>
  <si>
    <t>PO-2023-24-1382</t>
  </si>
  <si>
    <t>SA47/T DRN90L4</t>
  </si>
  <si>
    <t>PO-2023-24-3602</t>
  </si>
  <si>
    <t>SA67/T  DRN100LS4/BE5/HR</t>
  </si>
  <si>
    <t>SA57/T DRN100LS4/BE5/HR</t>
  </si>
  <si>
    <t>PO-2024-25-1072</t>
  </si>
  <si>
    <t>SA67/T DRN100LM4</t>
  </si>
  <si>
    <t>SA67/T DRN100LS4</t>
  </si>
  <si>
    <t>PO-2024-25-0185</t>
  </si>
  <si>
    <t>SA57/T DRN100LM4</t>
  </si>
  <si>
    <t>PO-2024-25-3843</t>
  </si>
  <si>
    <t>SA57/T DRN100LS4</t>
  </si>
  <si>
    <t>SA67/T  DRN100L4/BE5/HR</t>
  </si>
  <si>
    <t>SA67/T  DRN100L4</t>
  </si>
  <si>
    <t>SA57/T DRN100L4</t>
  </si>
  <si>
    <t>PO-2024-25-1572</t>
  </si>
  <si>
    <t>SA77/T DRN112M4/BE5/HR</t>
  </si>
  <si>
    <t>PO-2024-25-0319</t>
  </si>
  <si>
    <t>SA77/T DRN112M4</t>
  </si>
  <si>
    <t>SA77/T DRN132S4</t>
  </si>
  <si>
    <t>PO-2024-25-0020</t>
  </si>
  <si>
    <t>SL NO</t>
  </si>
  <si>
    <t>NAME</t>
  </si>
  <si>
    <t>WIDTH</t>
  </si>
  <si>
    <t>HEIGHT</t>
  </si>
  <si>
    <t>SET</t>
  </si>
  <si>
    <t>COST</t>
  </si>
  <si>
    <t>TOTAL COST</t>
  </si>
  <si>
    <t>TOTAL PRICE</t>
  </si>
  <si>
    <t>LAYER</t>
  </si>
  <si>
    <t>Legs Cost Per Sq Meter</t>
  </si>
  <si>
    <t>INR</t>
  </si>
  <si>
    <t>Normal Conveyor Leg</t>
  </si>
  <si>
    <t>legs</t>
  </si>
  <si>
    <t>With Leaky Wave Cable</t>
  </si>
  <si>
    <t>XL With Leaky Wave Cable</t>
  </si>
  <si>
    <t>Curves- 30 Degree</t>
  </si>
  <si>
    <t>Carrier Pitch (mm)</t>
  </si>
  <si>
    <t>Carrier Belt Top Height</t>
  </si>
  <si>
    <t>&lt;=2.4 meter</t>
  </si>
  <si>
    <t>XL&gt;2.4 meter and &lt;=3.5 meter</t>
  </si>
  <si>
    <t>For Leaky Wave Cable</t>
  </si>
  <si>
    <t>XL For Leaky Wave Cable</t>
  </si>
  <si>
    <t>Updated on 28-07-2023</t>
  </si>
  <si>
    <t>Cognex 3 Camera- Top Scan Without Image Capturing Per Scan Tunnel</t>
  </si>
  <si>
    <t>Cognex 3 Camera- Top Scan With Image Capturing Per Scan Tunnel</t>
  </si>
  <si>
    <t>VMS 4200 Per Scan Tunnel</t>
  </si>
  <si>
    <t>Zone Cost</t>
  </si>
  <si>
    <t>With Sensor Based ECDS (&gt;10 mm products)</t>
  </si>
  <si>
    <t>With Camera Based ECDS (&lt;10 mm products)</t>
  </si>
  <si>
    <t>QP</t>
  </si>
  <si>
    <t>Loading Conveyor</t>
  </si>
  <si>
    <t>3 meter Long</t>
  </si>
  <si>
    <t>IFU/Spacing Conveyor/Buffer</t>
  </si>
  <si>
    <t>Weighing Conveyor</t>
  </si>
  <si>
    <t>MLG</t>
  </si>
  <si>
    <t>Leg Structure + Cable Tray</t>
  </si>
  <si>
    <t>For 5 conveyors</t>
  </si>
  <si>
    <t>Electrical Cost</t>
  </si>
  <si>
    <t>Common Cost</t>
  </si>
  <si>
    <t>Total Cost of 4 Section Induct</t>
  </si>
  <si>
    <t>Dm No</t>
  </si>
  <si>
    <t>PRICE</t>
  </si>
  <si>
    <t>D5348-0001-V0-R0</t>
  </si>
  <si>
    <t>D5348-0002-V0-R0</t>
  </si>
  <si>
    <t>D5348-0003-V0-R0</t>
  </si>
  <si>
    <t>MODULE_ID</t>
  </si>
  <si>
    <t>DESCRIPTION</t>
  </si>
  <si>
    <t>End Joint</t>
  </si>
  <si>
    <t>EJ_B3</t>
  </si>
  <si>
    <t>EJ_B3IH250B00</t>
  </si>
  <si>
    <t>810/1010/1210</t>
  </si>
  <si>
    <t>EJ_B5</t>
  </si>
  <si>
    <t>EJ_B5IH400R00</t>
  </si>
  <si>
    <t>Austrian Post</t>
  </si>
  <si>
    <t>TCI</t>
  </si>
  <si>
    <t>DEL8</t>
  </si>
  <si>
    <t>T-1242 (Ecom India One)</t>
  </si>
  <si>
    <t>Penalty</t>
  </si>
  <si>
    <t>Q1</t>
  </si>
  <si>
    <t>Q7</t>
  </si>
  <si>
    <t>Q10</t>
  </si>
  <si>
    <t>Q11</t>
  </si>
  <si>
    <t>Falcon Standard Specification HAA</t>
  </si>
  <si>
    <t>Amazon Specification HAA</t>
  </si>
  <si>
    <t>Standard Arm</t>
  </si>
  <si>
    <t>600 mm</t>
  </si>
  <si>
    <t>Reference</t>
  </si>
  <si>
    <t>1000 mm</t>
  </si>
  <si>
    <t>T910</t>
  </si>
  <si>
    <t>RHT BHS</t>
  </si>
  <si>
    <t>DEL8 RFP</t>
  </si>
  <si>
    <t>Tirol RFP</t>
  </si>
  <si>
    <t>T1242</t>
  </si>
  <si>
    <t>XL-DB</t>
  </si>
  <si>
    <t>Chute Area</t>
  </si>
  <si>
    <t>Chute Area Factor</t>
  </si>
  <si>
    <t>VDS Chutes</t>
  </si>
  <si>
    <t>sqm</t>
  </si>
  <si>
    <t>Reference in Chute Library</t>
  </si>
  <si>
    <t>Standard Chutes</t>
  </si>
  <si>
    <t>Narrow Chutes</t>
  </si>
  <si>
    <t>Technical Chutes-01(Collection Type)</t>
  </si>
  <si>
    <t>Technical Chutes-02(Sprial Type)</t>
  </si>
  <si>
    <t>set</t>
  </si>
  <si>
    <t>No. reference in Chute Library</t>
  </si>
  <si>
    <t>Bulk REJECT Chute( at end of VDS)</t>
  </si>
  <si>
    <t>Rejection Chutes</t>
  </si>
  <si>
    <t>Irregular Shipment Chutes</t>
  </si>
  <si>
    <t>Chute type found in Chute library, however this is looking tentative similar setup</t>
  </si>
  <si>
    <t>DBO Chutes</t>
  </si>
  <si>
    <t>Sort Fail Chute</t>
  </si>
  <si>
    <t>Roller based chute</t>
  </si>
  <si>
    <t>Spring Loaded Fixed Bin</t>
  </si>
  <si>
    <t>Numbers</t>
  </si>
  <si>
    <t>Spring Loaded Portatble Bin</t>
  </si>
  <si>
    <t>Simple Fixed Bin</t>
  </si>
  <si>
    <t>Simple Portable Bin</t>
  </si>
  <si>
    <t>Rejection Trolley</t>
  </si>
  <si>
    <t>Bag Holder Assembly</t>
  </si>
  <si>
    <t>Chute Full Sensors</t>
  </si>
  <si>
    <t>Tower lamps (3 colour)</t>
  </si>
  <si>
    <t>Push Button</t>
  </si>
  <si>
    <t>I/O for Chute full sensors</t>
  </si>
  <si>
    <t>Chute Price</t>
  </si>
  <si>
    <t>FAPL CHUTE LIBRARY</t>
  </si>
  <si>
    <t>DOC. CODE: M-Des./DOC/CHC/002/R1
EFF. DT:  30.10.24</t>
  </si>
  <si>
    <t>Sl No.</t>
  </si>
  <si>
    <t>Product 
type</t>
  </si>
  <si>
    <t>Product size
LxWxH (mm)</t>
  </si>
  <si>
    <t>Product weight max/min (kg)</t>
  </si>
  <si>
    <t>Chute type</t>
  </si>
  <si>
    <t>Sorter Type</t>
  </si>
  <si>
    <t>Design 
type</t>
  </si>
  <si>
    <t>End Use</t>
  </si>
  <si>
    <t>Reference Site</t>
  </si>
  <si>
    <t>Location</t>
  </si>
  <si>
    <t>Released TSPR</t>
  </si>
  <si>
    <t>Dimensions</t>
  </si>
  <si>
    <t>Image</t>
  </si>
  <si>
    <t>Weight</t>
  </si>
  <si>
    <t>DM No.</t>
  </si>
  <si>
    <t>Unit Cost</t>
  </si>
  <si>
    <t>Remarks</t>
  </si>
  <si>
    <t>Parcel</t>
  </si>
  <si>
    <t>Max - 500x500x500
Min - 100x50x5</t>
  </si>
  <si>
    <t>10 / 0.05</t>
  </si>
  <si>
    <t>L type sorting chute</t>
  </si>
  <si>
    <t>Double Decker CBS</t>
  </si>
  <si>
    <t>Curve</t>
  </si>
  <si>
    <t>PTL</t>
  </si>
  <si>
    <t>Delhivery - Bangalore</t>
  </si>
  <si>
    <t>Tool : 3525
Stn : J1
R351 &amp; 356
Qty : 41</t>
  </si>
  <si>
    <t>Total Width : 2520 mm
Working Width : 800 mm
Input height (upper) : 5250 mm
Input height (lower) : 3250 mm
Output height : 750 mm</t>
  </si>
  <si>
    <t>NEW</t>
  </si>
  <si>
    <t>Total Width : 2350 mm
Working Width : 800 mm
Input height (upper) : 5250 mm
Input height (lower) : 3250 mm
Output height : 750 mm</t>
  </si>
  <si>
    <t>Weight reducued in comparision to T3525_J1</t>
  </si>
  <si>
    <t>Max - 600x400x300
Min - 100x50x5</t>
  </si>
  <si>
    <t>Direct bagging chute</t>
  </si>
  <si>
    <t>L type</t>
  </si>
  <si>
    <t>Delhivery - Bhiwandi</t>
  </si>
  <si>
    <t>Tool : 2833
Stn : J24,J9,J3
GR38, R377,R359,R353,R903, R913
Qty : 50</t>
  </si>
  <si>
    <t>Total Width : 900 mm
Working Width : 800 mm
Input chute height : 5500 mm
Output chute height : 1360 mm
Bag height : 800mm
Table height : 560mm</t>
  </si>
  <si>
    <r>
      <t xml:space="preserve">Cost without bridge plate (including bag holder with table)
</t>
    </r>
    <r>
      <rPr>
        <b/>
        <sz val="11"/>
        <color rgb="FFFF0000"/>
        <rFont val="Calibri"/>
        <family val="2"/>
        <scheme val="minor"/>
      </rPr>
      <t>Not recommended to use due to parcel spillage and damage.</t>
    </r>
  </si>
  <si>
    <t>MS weight - 400</t>
  </si>
  <si>
    <t>More smooth parcel flow with placon roller for easy Bag push.</t>
  </si>
  <si>
    <t>Irregular Chute</t>
  </si>
  <si>
    <t>Ltype - Curve</t>
  </si>
  <si>
    <t>Irregular Line Conveyor</t>
  </si>
  <si>
    <t>Tool : 3525
Stn : J10, J25
R360, R378
Qty : 14</t>
  </si>
  <si>
    <t>Total Width : NA mm
Input Width : 300 mm
Output width : 800 mm
Input height : 3320 mm
output height : 630 mm</t>
  </si>
  <si>
    <t>Irregular chute for 2K Feedline</t>
  </si>
  <si>
    <t>Box / Parcel</t>
  </si>
  <si>
    <t>Max - 1000x600x600
Min - 100x10x5</t>
  </si>
  <si>
    <t>40 / 0.2</t>
  </si>
  <si>
    <t>Sorting chute</t>
  </si>
  <si>
    <t>Single Decker CBS</t>
  </si>
  <si>
    <t>Straight</t>
  </si>
  <si>
    <t>Aramax, Australia</t>
  </si>
  <si>
    <t>Tool : 2333
Stn : J5
R355
Qty : 50</t>
  </si>
  <si>
    <t>Total Width : 1900 mm
Input Width : 1820 mm
Input height : 3400 mm
output height : 850 mm</t>
  </si>
  <si>
    <t>MS weight - 640</t>
  </si>
  <si>
    <t>cost 
-without bridge plate
- with Aluminium profile and curtains</t>
  </si>
  <si>
    <t>Bag/Large Parcel</t>
  </si>
  <si>
    <t>Max - 1100x1000x600
Min - 180x180x5</t>
  </si>
  <si>
    <t>50 / 0.1</t>
  </si>
  <si>
    <t>Gravity Roller Collection Conveyor</t>
  </si>
  <si>
    <t>Alstef - Sydney</t>
  </si>
  <si>
    <t>Tool : 3641
Stn : J5
GR36,R355,R357,R358,R359 &amp; R361
Qty : 12</t>
  </si>
  <si>
    <t>Total Width : 2570 mm
Working Width : 2200 mm
Input height : 4350 mm
output height : 850 mm</t>
  </si>
  <si>
    <t>Auto Feedline</t>
  </si>
  <si>
    <t>Tool : 3641
Stn : J10
R360
Qty : 3</t>
  </si>
  <si>
    <t>Total Width : 1650 mm
Working Width : 1570 mm
Input height : 4365 mm
output height : 1400 mm</t>
  </si>
  <si>
    <t>Max - 600x400x300
Min - 100x50x3</t>
  </si>
  <si>
    <t>8 / 0.05</t>
  </si>
  <si>
    <t>Flipkart - Jaipur</t>
  </si>
  <si>
    <t>Tool : 3626
Stn : J1
R351,R352 &amp; R904
Qty : 20</t>
  </si>
  <si>
    <t>Total Width : 2075 mm
Working Width : 800 mm
Input height : 3000 mm
output height : 750 mm</t>
  </si>
  <si>
    <t>New</t>
  </si>
  <si>
    <t>25% weight has been reduced in comparison to T3626_J1</t>
  </si>
  <si>
    <t>Rejection chute</t>
  </si>
  <si>
    <t>Bin</t>
  </si>
  <si>
    <t>Tool : 3626
Stn : J4
R354
Qty : 4</t>
  </si>
  <si>
    <t>Total Width : 1110 mm
Working Width : 1000 mm
Input height : 3000 mm
output height : 1285 mm</t>
  </si>
  <si>
    <t>Mannual</t>
  </si>
  <si>
    <t>Flipart - Surat</t>
  </si>
  <si>
    <t>Tool : 3626
Stn : J10
R360
Qty : 12</t>
  </si>
  <si>
    <t>Total Width : 1600 mm
Working Width : 800 mm
Input height : 3050 mm
output height : 1000 mm</t>
  </si>
  <si>
    <t>VDS Chute</t>
  </si>
  <si>
    <t>Arm Based VDS</t>
  </si>
  <si>
    <t>Taper</t>
  </si>
  <si>
    <t>Feedline</t>
  </si>
  <si>
    <t>Tool : 3627
Stn : J20
R370 &amp; R902
Qty : 12</t>
  </si>
  <si>
    <t>Total Width : 2820 mm
Working Width : TAPER
Input height : 2600 mm
output height : 850 mm</t>
  </si>
  <si>
    <t>Mannual Feedline</t>
  </si>
  <si>
    <t>Flipart - Jaipur</t>
  </si>
  <si>
    <t>Tool : 3627
Stn : J10
R360
Qty : 12</t>
  </si>
  <si>
    <t>Total Width : 1860 mm
Working Width : 700 mm
Input height : 2680 mm
output height : 800 mm</t>
  </si>
  <si>
    <t>Irregular Line</t>
  </si>
  <si>
    <t>Tool : 3627
Stn : J41
R901 &amp; R903
Qty : 2</t>
  </si>
  <si>
    <t>Total Width : 1090 mm
Working Width : 1010 mm
Input height : 1300 mm
output height : 750 mm</t>
  </si>
  <si>
    <t>Max - 915x610x610
Min - 100x75x5</t>
  </si>
  <si>
    <t>20 / 0.05</t>
  </si>
  <si>
    <t>Linear CBS</t>
  </si>
  <si>
    <t>Alstef - Florida</t>
  </si>
  <si>
    <t>Tool : 3765
Stn : J43
GR12,R903 &amp; R911
Qty : 4</t>
  </si>
  <si>
    <t>Total Width : 3410 mm
Working Width : 1000 mm
Input height : 5150 mm
output height : 900 mm</t>
  </si>
  <si>
    <t>Tool : 3765
Stn : J41
R901
Qty : 15</t>
  </si>
  <si>
    <t>Total Width : 1300 mm
Input Width : 1200 mm
Output width : 1050 mm
Input height : 1700 mm
output height : 600 mm</t>
  </si>
  <si>
    <t>Sortfail Roller</t>
  </si>
  <si>
    <t>Tool : 3765
Stn : J46
R906
Qty : 1</t>
  </si>
  <si>
    <t>Total Width : 1580 mm
Input Width : 1540 mm
Output width : 1200 mm
Input height : 1700 mm
output height : 700 mm</t>
  </si>
  <si>
    <t>MS weight - 158</t>
  </si>
  <si>
    <t>To be used when inclination angle &lt; 25deg</t>
  </si>
  <si>
    <t>Sortfail PVC conveyor with chute</t>
  </si>
  <si>
    <t>Tool : 3765
Stn : J47,48,E1
R907,R908
Qty : 1</t>
  </si>
  <si>
    <t>Total Width : NA
Input Width : 1000 mm
Conveyor Output width : 1200 mm
Chute length : 950+1400 mm
Conveyor Length : 4.3mtr
Height Transfer : 400 mm</t>
  </si>
  <si>
    <t>MS weight - 70 &amp; 125</t>
  </si>
  <si>
    <t>Conveyor along with chute to be used always instead of BIN for Linear CBS</t>
  </si>
  <si>
    <t>Parcel / Box</t>
  </si>
  <si>
    <t>Max - 800x800x600
Min - 300x300x50</t>
  </si>
  <si>
    <t>20 / 2.0</t>
  </si>
  <si>
    <t>SWEDI Sorter</t>
  </si>
  <si>
    <t>Flipkart - Sangareddy</t>
  </si>
  <si>
    <t>Tool : 3902
Stn : J41
GR17,R901,R904,R905,R906 &amp; R907
Qty : 8</t>
  </si>
  <si>
    <t>Total Width : 1940 mm
Working Width : 1300 mm
Input height : 3200 mm
output height : 650 mm</t>
  </si>
  <si>
    <t>Chute with Hingeable top bed for SWEDI maintenance.
Belt used for reducing speed of parcel.</t>
  </si>
  <si>
    <t>Tool : 3902
Stn : J43
GR12,GR 20, R903, R905, R908
Qty : 1</t>
  </si>
  <si>
    <t>Total Width : NA
Entry Width : 1010 mm
Working Width : 1210 mm
Input height : 3200 mm
output height : 650 mm</t>
  </si>
  <si>
    <t>Max - 1000x850x800
Min - 150x150x50</t>
  </si>
  <si>
    <t>Spiral 
(One I/P, One O/P)</t>
  </si>
  <si>
    <t>Spiral</t>
  </si>
  <si>
    <t>Tool : 2832
Stn : J51
R911, R912 &amp; R914
Qty : 27</t>
  </si>
  <si>
    <t>Total Width : NA
Working Width : 1350 mm
Input height  : 6500 mm
Output height : 3500 mm</t>
  </si>
  <si>
    <t>Sprial Chute
(Two I/P, One O/P)</t>
  </si>
  <si>
    <t>Tool : 3511
Stn : J49
R909,R915 &amp; R916
Qty : 20</t>
  </si>
  <si>
    <t>Total Width : NA
Working Width : 1350 mm
Input height (upper) : 6500 mm
Input height (lower) : 4000 mm
Output height : 900 mm</t>
  </si>
  <si>
    <t>Roller chute</t>
  </si>
  <si>
    <t>Roller conveyor with GI sheet</t>
  </si>
  <si>
    <t>BIN</t>
  </si>
  <si>
    <t>Tool : 3511
Stn : K61
GR 80, R451,R453 &amp; R454
Qty : 42</t>
  </si>
  <si>
    <t>Total Width : 1430mm
Working Width : 1350 mm
Input height  : 900 mm
Output height : 700 mm</t>
  </si>
  <si>
    <t>Dual Infeed Bag Segregation Chute</t>
  </si>
  <si>
    <t>Tool : 3511
Stn : J43
R903
Qty : 5</t>
  </si>
  <si>
    <t>Total Width : 3200 mm
Input Width : 3050 mm
Output width : 1700 mm
Input height  : 2500 mm
Output height : 480 mm</t>
  </si>
  <si>
    <t>Single Infeed (right) Bag Segregation Chute</t>
  </si>
  <si>
    <t>Tool : 3511
Stn : J41
R901
Qty : 2</t>
  </si>
  <si>
    <t>Total Width : 2440 mm
Input Width : 2340 mm
Output width : 1700 mm
Input height  : 2500 mm
Output height : 480 mm</t>
  </si>
  <si>
    <t>Single Infeed (left) Bag Segregation Chute</t>
  </si>
  <si>
    <t>Tool : 3511
Stn : J42
R902
Qty : 1</t>
  </si>
  <si>
    <t>Overdimension reject chute</t>
  </si>
  <si>
    <t>Tool : 3511
Stn : J46 (for chute) + K62 (for roller conveyor)
R906, R914 + K62_GR80,R452,R453
Qty : (1+5)</t>
  </si>
  <si>
    <t>Total Width : 1670mm
Working Width : 1400 mm
Input height : 6515 mm
Output height : 500 mm</t>
  </si>
  <si>
    <t>MS chute wt - 1010</t>
  </si>
  <si>
    <t>For upper deck sorter, Chute with roller conveyor</t>
  </si>
  <si>
    <t>Total Width : 1670mm
Working Width : 1400 mm
Input height : 4015 mm
Output height : 500 mm</t>
  </si>
  <si>
    <t>For lowerdeck sorter, Chute with roller conveyor</t>
  </si>
  <si>
    <t>Max - 450x200x350
Min - 100x100x3</t>
  </si>
  <si>
    <t>10 / 0.1</t>
  </si>
  <si>
    <t>L Type</t>
  </si>
  <si>
    <t>BLUEDART,
BHIWANDI</t>
  </si>
  <si>
    <t>Tool : 3245
Stn : J23 (LH)
R376
Qty : 98</t>
  </si>
  <si>
    <t>Total Width : 1240 mm
Working Width : 800 mm
Input chute height : 3000 mm
Output chute height : 1480 mm
Bag height : 800mm
Table height : 650mm</t>
  </si>
  <si>
    <t>Max - 600x400x300
Min - 100x100x0.03</t>
  </si>
  <si>
    <t>50 / 30 (kg/mtr)</t>
  </si>
  <si>
    <t>VDS Chute (Inclination as per Flipkart)</t>
  </si>
  <si>
    <t>Flipkart, Indore</t>
  </si>
  <si>
    <t>Tool : 3796
Stn : J43 (LH)
R902
Qty : 4</t>
  </si>
  <si>
    <t>Total Width : 2330 mm
Input Width : 1820 mm
Output width : 1200 mm
Input height : 2500 mm
Output height : 650 mm</t>
  </si>
  <si>
    <t>Rejection L type  (Inclination as per Flipkart)</t>
  </si>
  <si>
    <t>Tool : 3796
Stn : J13 (RH)
R902,R907
Qty : 2</t>
  </si>
  <si>
    <t>Total Width : 1320 mm
Input Width : 1240 mm
Output width : 1200 mm
Input height : 2500 mm
Output height : 650 mm</t>
  </si>
  <si>
    <t>Max - 800x600x600
Min - 200x100x20</t>
  </si>
  <si>
    <t>35 / 0.1</t>
  </si>
  <si>
    <t>Low height sorting chute</t>
  </si>
  <si>
    <t>Bosta, Egypt</t>
  </si>
  <si>
    <t>Tool : 4132
Stn : J5 
R355
Qty : 10</t>
  </si>
  <si>
    <t>Total Width : 1560 mm
Input Width : 1460 mm
Output width : 1260 mm
Input height : 1800 mm
Output height : 1000 mm</t>
  </si>
  <si>
    <t>Low height bagging chute</t>
  </si>
  <si>
    <t>Tool : 4132
Stn : A22
R53
Qty : 17</t>
  </si>
  <si>
    <t>Total Width : 1560 mm
Input Width : 1000 mm
Output width : 430 mm
Input chute height : 1800 mm
Output chute height : 1000 mm
Bag height : 800mm</t>
  </si>
  <si>
    <t>Diverter with Bridge plate &amp; Bag holder</t>
  </si>
  <si>
    <t>40 / NS</t>
  </si>
  <si>
    <t>Infeed chute</t>
  </si>
  <si>
    <t>Infeed collection chute</t>
  </si>
  <si>
    <t>Feedline operator</t>
  </si>
  <si>
    <t>DTDC, Banglore</t>
  </si>
  <si>
    <t>Tool : 3953
Stn : J6
R358
Qty : 2</t>
  </si>
  <si>
    <t>Input Width : 950 mm
Output width : 1750 mm
Input height : 1530 mm
Output height : 840 mm</t>
  </si>
  <si>
    <t>Max - 600x800x600
Min - 100x100x20</t>
  </si>
  <si>
    <t>PTL chute</t>
  </si>
  <si>
    <t>Ecom, Bhiwandi</t>
  </si>
  <si>
    <t>Tool : 1631
Stn : J7
GR72,R213,R294,R75
Qty : 34</t>
  </si>
  <si>
    <t>Total Width : 950mm
Working Width : 1160 mm
Height Transfer : 610 mm
Total Length : 1060 mm</t>
  </si>
  <si>
    <t>Bag</t>
  </si>
  <si>
    <t>Half spiral FRP chute  + straight metallic slide</t>
  </si>
  <si>
    <t>Spiral + Straight</t>
  </si>
  <si>
    <t>Ecom, Bilaspur</t>
  </si>
  <si>
    <t>Tool : 1634
Stn : J22
GR53,GR49,R5
Qty : 22</t>
  </si>
  <si>
    <t>Total Width : 1470mm
Working Width : 1380 mm
Height Transfer : 2100 mm
Total Length : NA</t>
  </si>
  <si>
    <t>FRP - Fixed cost
MS chute weight = 350kg</t>
  </si>
  <si>
    <t>PREPARED BY</t>
  </si>
  <si>
    <t>REVIEWED BY</t>
  </si>
  <si>
    <t>APPROVED BY</t>
  </si>
  <si>
    <t>SIGN</t>
  </si>
  <si>
    <t>Ritik Sharma</t>
  </si>
  <si>
    <t>Peeyush Yadav</t>
  </si>
  <si>
    <t>Sabyasachi Mallick</t>
  </si>
  <si>
    <t>Note:- This is falcon Autotech confidential document</t>
  </si>
  <si>
    <t>Total Put Station</t>
  </si>
  <si>
    <t>Total Pick Stattion</t>
  </si>
  <si>
    <t>PTL Racks Bagging</t>
  </si>
  <si>
    <t>Bin Rack/ Put Station</t>
  </si>
  <si>
    <t>Pigeon Rack/Pick Station</t>
  </si>
  <si>
    <t>PTL Racks Bin Type</t>
  </si>
  <si>
    <t>PTL Light/Bin Rack</t>
  </si>
  <si>
    <t>PTL Light/Pigeon Rack</t>
  </si>
  <si>
    <t>PTL Racks Push Back</t>
  </si>
  <si>
    <t>PTL Control Box/Station</t>
  </si>
  <si>
    <t>24/card</t>
  </si>
  <si>
    <t>PTL Frame</t>
  </si>
  <si>
    <t>Extra control Card/Station</t>
  </si>
  <si>
    <t>PTL Modules</t>
  </si>
  <si>
    <t>Total PTL lights</t>
  </si>
  <si>
    <t>PTL Control Box</t>
  </si>
  <si>
    <t>Total Control Box</t>
  </si>
  <si>
    <t>Extra control Card</t>
  </si>
  <si>
    <t>Total Extra Control Card</t>
  </si>
  <si>
    <t>PTL hand barcode scanner 1D</t>
  </si>
  <si>
    <t>PTL hand barcode scanner 2D</t>
  </si>
  <si>
    <t xml:space="preserve">Area </t>
  </si>
  <si>
    <t>Archetype-D</t>
  </si>
  <si>
    <t>Operator Mezzanine</t>
  </si>
  <si>
    <t>Archetype-A</t>
  </si>
  <si>
    <t>VDS Mezzanine</t>
  </si>
  <si>
    <t>Archetype-C</t>
  </si>
  <si>
    <t xml:space="preserve">Stairs &amp; Scanning Tunnel Mezzanine </t>
  </si>
  <si>
    <t>Stairs ( upto 1.2m)</t>
  </si>
  <si>
    <t>Stairs ( 1.3m-2.5m)</t>
  </si>
  <si>
    <t>Stairs (&gt;2.5m)</t>
  </si>
  <si>
    <t>Monkey Ladder</t>
  </si>
  <si>
    <t>Control and Software Package</t>
  </si>
  <si>
    <t>SCADA</t>
  </si>
  <si>
    <t>Need to add Tablet Price of 3 Lakh</t>
  </si>
  <si>
    <t>Translation Charge</t>
  </si>
  <si>
    <t>Tool Kit</t>
  </si>
  <si>
    <t>Category</t>
  </si>
  <si>
    <t>Item Code</t>
  </si>
  <si>
    <t>Costing Type</t>
  </si>
  <si>
    <t>Sales Factor Requirement</t>
  </si>
  <si>
    <t>Re</t>
  </si>
  <si>
    <t>Updated Prices</t>
  </si>
  <si>
    <t>PVC</t>
  </si>
  <si>
    <t>Launch Pad</t>
  </si>
  <si>
    <t>Meter</t>
  </si>
  <si>
    <t>Fixed Cost</t>
  </si>
  <si>
    <t>Straight PVC Conveyor (610mm)</t>
  </si>
  <si>
    <t>Already applied</t>
  </si>
  <si>
    <t>PVC Drive Station cost (610mm)</t>
  </si>
  <si>
    <t>Straight PVC Conveyor (810mm)</t>
  </si>
  <si>
    <t>PVC Drive Station cost (810mm)</t>
  </si>
  <si>
    <t>Straight PVC Conveyor (1010mm)</t>
  </si>
  <si>
    <t>PVC Drive Station cost (1010mm)</t>
  </si>
  <si>
    <t>Straight PVC Conveyor (1210mm)</t>
  </si>
  <si>
    <t>PVC Drive Station cost (1210mm)</t>
  </si>
  <si>
    <t>Modular
 Conveyors</t>
  </si>
  <si>
    <t>90° Turn BW1200</t>
  </si>
  <si>
    <t>Number</t>
  </si>
  <si>
    <t>90° Turn BW1000</t>
  </si>
  <si>
    <t>60° Turn</t>
  </si>
  <si>
    <t>45° Turn</t>
  </si>
  <si>
    <t>30° Turn</t>
  </si>
  <si>
    <t>Weighing Conveyor (Not Legal for Trade)</t>
  </si>
  <si>
    <t>Weighing Conveyor ( Legal for Trade)</t>
  </si>
  <si>
    <t>Spacing Conveyor BW1000</t>
  </si>
  <si>
    <t>Spacing Conveyor BW800</t>
  </si>
  <si>
    <t>Scanning ConveyorBW1000</t>
  </si>
  <si>
    <t>Scanning ConveyorBW800</t>
  </si>
  <si>
    <t>Roller Conveyor</t>
  </si>
  <si>
    <t>Straight Roller Conveyor (600mm)</t>
  </si>
  <si>
    <t>Straight Roller Conveyor (800mm)</t>
  </si>
  <si>
    <t>Straight Roller Conveyor (1000mm)</t>
  </si>
  <si>
    <t>Straight Roller Conveyor (1200mm)</t>
  </si>
  <si>
    <t>Straight Roller Conveyor (Accumulation) (600mm)</t>
  </si>
  <si>
    <t>Straight Roller Conveyor (Accumulation) (800mm)</t>
  </si>
  <si>
    <t>Straight Roller Conveyor (Accumulation) (1000mm)</t>
  </si>
  <si>
    <t>Straight Roller Conveyor (Accumulation) (1200mm)</t>
  </si>
  <si>
    <t>Gravity Roller</t>
  </si>
  <si>
    <t>Y Merge roller</t>
  </si>
  <si>
    <t>Roller Merge/Divert</t>
  </si>
  <si>
    <t>90° Turn Roller</t>
  </si>
  <si>
    <t>60° Turn Roller</t>
  </si>
  <si>
    <t>45° Turn Roller</t>
  </si>
  <si>
    <t>30° Turn Roller</t>
  </si>
  <si>
    <t>Modular &amp; Teliscopic Conveyor</t>
  </si>
  <si>
    <t>Straight Modular Belt Conveyor</t>
  </si>
  <si>
    <t>Modular Belt Drive section (upto 10m)</t>
  </si>
  <si>
    <t>Modular Belt Drive section (10 to 15m)</t>
  </si>
  <si>
    <t>Modular Belt Drive section (15 to 20m)</t>
  </si>
  <si>
    <t>Modular Belt Drive section (20 to 25m)</t>
  </si>
  <si>
    <t>Telescopic Conveyor(4/12)</t>
  </si>
  <si>
    <t>Telescopic Conveyor(6/18)</t>
  </si>
  <si>
    <t>ARB Frame</t>
  </si>
  <si>
    <t>ARB Drive Section</t>
  </si>
  <si>
    <t>ARB divert Point</t>
  </si>
  <si>
    <t>Pop up unit</t>
  </si>
  <si>
    <t>Swivel Wheel Unit</t>
  </si>
  <si>
    <t>Special cost sheet</t>
  </si>
  <si>
    <t>Pusher Unit (Electric)</t>
  </si>
  <si>
    <t>Side Barcode Scanner</t>
  </si>
  <si>
    <t>Centring Sensors</t>
  </si>
  <si>
    <t>Positioning Sensors</t>
  </si>
  <si>
    <t>Sq Meter</t>
  </si>
  <si>
    <t>Chute Full Sensor</t>
  </si>
  <si>
    <t>Display Indicator on Chute(PTL)</t>
  </si>
  <si>
    <t>Bag Holding  Assembly</t>
  </si>
  <si>
    <t>PTL Module</t>
  </si>
  <si>
    <t>Extra Control Card</t>
  </si>
  <si>
    <t>PTL Rack Bagging</t>
  </si>
  <si>
    <t>PTL Rack Bin/ Pigeon Hole</t>
  </si>
  <si>
    <t>PTL Rack Push Back type</t>
  </si>
  <si>
    <t>PTL Ducts</t>
  </si>
  <si>
    <t xml:space="preserve">Manual Label Printer </t>
  </si>
  <si>
    <t>Wireless Barcode Scanner(1D)</t>
  </si>
  <si>
    <t>Wireless Barcode Scanner(2D)</t>
  </si>
  <si>
    <t>Server PC (Standard)</t>
  </si>
  <si>
    <t>Monkey Ladders</t>
  </si>
  <si>
    <t>Platform for operators (mezz)</t>
  </si>
  <si>
    <t>Stairs 1.2m</t>
  </si>
  <si>
    <t>Stairs 1.3- 2.5m</t>
  </si>
  <si>
    <t>Hooters</t>
  </si>
  <si>
    <t>Pull Cords</t>
  </si>
  <si>
    <t>Lotto switch</t>
  </si>
  <si>
    <t>Harmonic Filter</t>
  </si>
  <si>
    <t>Surge Suppressor</t>
  </si>
  <si>
    <t>Tower lamps (2 colour)</t>
  </si>
  <si>
    <t>Tower lamps (4 colour)</t>
  </si>
  <si>
    <t>I/o Card for chutefull sensor</t>
  </si>
  <si>
    <t>Emergency Stops</t>
  </si>
  <si>
    <t>Netting</t>
  </si>
  <si>
    <t>Cabling Switches Router</t>
  </si>
  <si>
    <t>25% of conveyor cost</t>
  </si>
  <si>
    <t>Control IT Software</t>
  </si>
  <si>
    <t>Custom IT Integration</t>
  </si>
  <si>
    <t>Arm for VDS or Bag Sorter</t>
  </si>
  <si>
    <t>Fixed</t>
  </si>
  <si>
    <t>DLIC Software</t>
  </si>
  <si>
    <t>DLIC license</t>
  </si>
  <si>
    <t>Pre Sort Scan Tunnel Stand alone(Excluding Hand held scanner and control system)</t>
  </si>
  <si>
    <t>Aligning Conveyor (Falcon)</t>
  </si>
  <si>
    <t>Toolkit</t>
  </si>
  <si>
    <t>PLC based Controls</t>
  </si>
  <si>
    <t>per m</t>
  </si>
  <si>
    <t>5 side scanning</t>
  </si>
  <si>
    <t>Aligning Conveyor (Outsourced)</t>
  </si>
  <si>
    <t>S3 Conveyor 610mm upto 3 meter length</t>
  </si>
  <si>
    <t>S3 Conveyor</t>
  </si>
  <si>
    <t>S3 Conveyor 810mm upto 3 meter length</t>
  </si>
  <si>
    <t>S3 Conveyor 1010mm upto 3 meter length</t>
  </si>
  <si>
    <t>S3 Conveyor 1210mm upto 3 meter length</t>
  </si>
  <si>
    <t>Mezzanine</t>
  </si>
  <si>
    <t>Archetype-A.1</t>
  </si>
  <si>
    <t>Archetype-B</t>
  </si>
  <si>
    <t>EJ_A2HD100S15</t>
  </si>
  <si>
    <t>EJ_B1IH250R00</t>
  </si>
  <si>
    <t>EJ_B6IH400L00</t>
  </si>
  <si>
    <t>EJ_B4IH400B00</t>
  </si>
  <si>
    <t>EJ_B2IH250L00</t>
  </si>
  <si>
    <t>EJ_A5HH000S00</t>
  </si>
  <si>
    <t>EJ_A1HI100S15</t>
  </si>
  <si>
    <t>Leg Guard</t>
  </si>
  <si>
    <t xml:space="preserve"> safety Gate</t>
  </si>
  <si>
    <t>Master control panel</t>
  </si>
  <si>
    <t>Bin tilt Mechanism</t>
  </si>
  <si>
    <t>Make</t>
  </si>
  <si>
    <t>Model</t>
  </si>
  <si>
    <t>Weighing Range</t>
  </si>
  <si>
    <t>Least Count</t>
  </si>
  <si>
    <t>Max Speed</t>
  </si>
  <si>
    <t>Accuracy</t>
  </si>
  <si>
    <t>Min Parcel Size(mm)</t>
  </si>
  <si>
    <t>Max Parcel Size(mm)</t>
  </si>
  <si>
    <t>Cost Price</t>
  </si>
  <si>
    <t>Mettler Toledo</t>
  </si>
  <si>
    <t>CK 30</t>
  </si>
  <si>
    <t>Mettler Toledo CK 30</t>
  </si>
  <si>
    <t>200g-40Kg</t>
  </si>
  <si>
    <t>10g</t>
  </si>
  <si>
    <t>65m/min</t>
  </si>
  <si>
    <t>+/- 10g</t>
  </si>
  <si>
    <t>160x50x25</t>
  </si>
  <si>
    <t>820x800x600</t>
  </si>
  <si>
    <t>TLW 155(60)</t>
  </si>
  <si>
    <t>Mettler Toledo TLW 155(60)</t>
  </si>
  <si>
    <t>200g-50Kg</t>
  </si>
  <si>
    <t>20g</t>
  </si>
  <si>
    <t>120m/min</t>
  </si>
  <si>
    <t>+/- 20g</t>
  </si>
  <si>
    <t>BW 1000</t>
  </si>
  <si>
    <t>BW 1200</t>
  </si>
  <si>
    <t>LFT</t>
  </si>
  <si>
    <t>Bizerba</t>
  </si>
  <si>
    <t xml:space="preserve">WM CWL </t>
  </si>
  <si>
    <t>100g - 40Kg</t>
  </si>
  <si>
    <t>80m/min</t>
  </si>
  <si>
    <t>+/- 50g</t>
  </si>
  <si>
    <t>Austrlia Weighing</t>
  </si>
  <si>
    <t>TLW 250(80)</t>
  </si>
  <si>
    <t>Mettler Toledo TLW 250(80)</t>
  </si>
  <si>
    <t>0-80kg</t>
  </si>
  <si>
    <t>90m/min</t>
  </si>
  <si>
    <t>BW 500</t>
  </si>
  <si>
    <t>BW 1100</t>
  </si>
  <si>
    <t>TLW 450(80)</t>
  </si>
  <si>
    <t>Mettler Toledo TLW 450(80)</t>
  </si>
  <si>
    <t>180m/min</t>
  </si>
  <si>
    <t>TLW 155(30)</t>
  </si>
  <si>
    <t>Mettler Toledo TLW 155(30)</t>
  </si>
  <si>
    <t>0-30Kg</t>
  </si>
  <si>
    <t>BW 600</t>
  </si>
  <si>
    <t>BW 800</t>
  </si>
  <si>
    <t>Archetype</t>
  </si>
  <si>
    <t>Mezzanine Description</t>
  </si>
  <si>
    <t>Reference Tool</t>
  </si>
  <si>
    <t>Cost  (INR/sq. mtr)</t>
  </si>
  <si>
    <t>Rectangular Plain vanilla mezzanine</t>
  </si>
  <si>
    <t>T-3245 (Blue Dart Bhiwandi)</t>
  </si>
  <si>
    <t>Rs 9,500/sq. mtr</t>
  </si>
  <si>
    <t>Around 2000 to 4000 sq. ft area</t>
  </si>
  <si>
    <t>No special load requirements except placing falcon feedline or conveyors.</t>
  </si>
  <si>
    <t>No special height – height of around 3-4 meters</t>
  </si>
  <si>
    <t>No excess cut outs.</t>
  </si>
  <si>
    <t>No specific column grid size requirement from customer</t>
  </si>
  <si>
    <t>Rectangular Plain vanila mezzanine</t>
  </si>
  <si>
    <t>T-2832 (Delhivery Bhiwandi)</t>
  </si>
  <si>
    <t>Rs 12,500/sq. mtr</t>
  </si>
  <si>
    <t>Height requirement of 6-7 meters</t>
  </si>
  <si>
    <t>Base mezzanine for sorter</t>
  </si>
  <si>
    <t>T-2833 (Delhivery Bhiwandi)</t>
  </si>
  <si>
    <t>Rs 12,000/sq. mtr</t>
  </si>
  <si>
    <t>High strength requirement for higher load carrying capacity.</t>
  </si>
  <si>
    <t>Large grid size requirement (5 m or 6 m – column space) as in this case, customers need bottom area for operations</t>
  </si>
  <si>
    <t>Small maintenance platform</t>
  </si>
  <si>
    <t>T-3627 (Flipkart Jaipur)</t>
  </si>
  <si>
    <t>Rs 30,000/sq. mtr</t>
  </si>
  <si>
    <t>Typical size lesser than 150/200 sq. ft</t>
  </si>
  <si>
    <t>Odd sized mezzanines which may have</t>
  </si>
  <si>
    <t>T-3626+T-3629 (Flipkart Surat)</t>
  </si>
  <si>
    <t>Rs 18750/sq. mtr</t>
  </si>
  <si>
    <t>Odd shape mezzanines – nonrectangular</t>
  </si>
  <si>
    <t>Has multiple cut outs – cut out area more than 10 or 15% of the overall mezzanine area</t>
  </si>
  <si>
    <t>Has cantilever type platforms which require special supports.</t>
  </si>
  <si>
    <t>Length/Breadth ratio of the mezzanine is higher than 6 or 7</t>
  </si>
  <si>
    <t xml:space="preserve">Standard Chute </t>
  </si>
  <si>
    <t>Narrow</t>
  </si>
  <si>
    <t>Puru Quoted price for 1.4 m pitch chute</t>
  </si>
  <si>
    <t>Price for 1.6 m pitch chute</t>
  </si>
  <si>
    <t>Price for 1 narrow chute</t>
  </si>
  <si>
    <t>Sales Price</t>
  </si>
  <si>
    <t>3.1m</t>
  </si>
  <si>
    <t>PVC Belt Conveyor(Bulk loading)</t>
  </si>
  <si>
    <t>Cost/meter and base modual cost 3X</t>
  </si>
  <si>
    <t>Cost/meter and base modual cost 2X</t>
  </si>
  <si>
    <t>Cost/meter  2X and Drive modual 30%</t>
  </si>
  <si>
    <t>Unit Price 2X</t>
  </si>
  <si>
    <t>Compliance Requirement</t>
  </si>
  <si>
    <t>STD Compliance</t>
  </si>
  <si>
    <t>Type of Sorter</t>
  </si>
  <si>
    <t>Non CBS</t>
  </si>
  <si>
    <t>E-Stop Feedback</t>
  </si>
  <si>
    <t>Individual E-Stop</t>
  </si>
  <si>
    <t>Sorter Safety Component Costing</t>
  </si>
  <si>
    <t>Sr No.</t>
  </si>
  <si>
    <t>Section</t>
  </si>
  <si>
    <t>UoM</t>
  </si>
  <si>
    <t>Manual Feed Zone</t>
  </si>
  <si>
    <t>No.</t>
  </si>
  <si>
    <t>considered 01 safety zone per each manual feeding zone</t>
  </si>
  <si>
    <t>considered 01 safety zone per each auto feedline</t>
  </si>
  <si>
    <t>CBS loop/Arm Sorter/SWEDI Sorter/POP-up Sorter</t>
  </si>
  <si>
    <t>considered 01 safety zone per each CBS Loop
CBS Safety zone serves as Global Stop (entire system stop)</t>
  </si>
  <si>
    <t>Inbound Zone</t>
  </si>
  <si>
    <t>considered 01 safety zone per each inbound zone</t>
  </si>
  <si>
    <t>Highway</t>
  </si>
  <si>
    <t>considered 01 safety zone per each Highway</t>
  </si>
  <si>
    <t>VDS Loop</t>
  </si>
  <si>
    <t>considered 01 safety zone per each VDS Loop</t>
  </si>
  <si>
    <t>Outbound Zone</t>
  </si>
  <si>
    <t>considered 01 safety zone per each outbound Zone</t>
  </si>
  <si>
    <t>Maintenance Zone/Sorter Access</t>
  </si>
  <si>
    <t>Pull Cord</t>
  </si>
  <si>
    <t>Avg lenght 30 mtr</t>
  </si>
  <si>
    <t>Costing</t>
  </si>
  <si>
    <t>Costing includes only material cost</t>
  </si>
  <si>
    <t>Unit safety Zone Panel Cost</t>
  </si>
  <si>
    <t>Number of Zones</t>
  </si>
  <si>
    <t>No. of Zones</t>
  </si>
  <si>
    <t xml:space="preserve">Safety Controller </t>
  </si>
  <si>
    <t>Controller with 04 Test signal and 04 safety Outputs for 02 safety Zones</t>
  </si>
  <si>
    <t>Manual Feedline</t>
  </si>
  <si>
    <t>Contactors</t>
  </si>
  <si>
    <t>04 contactor for 02 dual chanel output isolation</t>
  </si>
  <si>
    <t>Panel</t>
  </si>
  <si>
    <t>Cables</t>
  </si>
  <si>
    <t>Switchgear</t>
  </si>
  <si>
    <t>SMPS</t>
  </si>
  <si>
    <t>E-Stop+mounting</t>
  </si>
  <si>
    <t>04 E-stops considered for each safety zone</t>
  </si>
  <si>
    <t>Murr Card for feedback+cabling</t>
  </si>
  <si>
    <t>01 card per 16 E-Stop inputs</t>
  </si>
  <si>
    <t>Safety Components Costing</t>
  </si>
  <si>
    <t>Speed Monitoring Controller (SMC)</t>
  </si>
  <si>
    <t>For Sorter Dead speed and safe speed monitoring</t>
  </si>
  <si>
    <t>SMC Photo sensors + Cables</t>
  </si>
  <si>
    <t>Compliance</t>
  </si>
  <si>
    <t>Safety Door Switches</t>
  </si>
  <si>
    <t>CE/AS/NZS Compliance</t>
  </si>
  <si>
    <t>Inching Station (Mech+Elec)</t>
  </si>
  <si>
    <t>For inching mode</t>
  </si>
  <si>
    <t>Avg length 30 mtrs</t>
  </si>
  <si>
    <t>CBS</t>
  </si>
  <si>
    <t>FeedBack of</t>
  </si>
  <si>
    <t>Individual Zone</t>
  </si>
  <si>
    <t>CE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</si>
</sst>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&quot;₹&quot;#,##0_);[Red]\(&quot;₹&quot;#,##0\)"/>
    <numFmt numFmtId="165" formatCode="&quot;₹&quot;#,##0.00_);[Red]\(&quot;₹&quot;#,##0.00\)"/>
    <numFmt numFmtId="166" formatCode="_(&quot;₹&quot;* #,##0.00_);_(&quot;₹&quot;* \(#,##0.00\);_(&quot;₹&quot;* &quot;-&quot;??_);_(@_)"/>
    <numFmt numFmtId="167" formatCode="_(* #,##0.00_);_(* \(#,##0.00\);_(* &quot;-&quot;??_);_(@_)"/>
    <numFmt numFmtId="168" formatCode="_(&quot;$&quot;* #,##0.00_);_(&quot;$&quot;* \(#,##0.00\);_(&quot;$&quot;* &quot;-&quot;??_);_(@_)"/>
    <numFmt numFmtId="169" formatCode="&quot;₹&quot;\ #,##0"/>
    <numFmt numFmtId="170" formatCode="_ * #,##0_ ;_ * \-#,##0_ ;_ * &quot;-&quot;??_ ;_ @_ "/>
    <numFmt numFmtId="171" formatCode="&quot;₹&quot;\ #,##0.00"/>
    <numFmt numFmtId="172" formatCode="0.0"/>
    <numFmt numFmtId="173" formatCode="&quot;Rs.&quot;\ #,##0"/>
    <numFmt numFmtId="174" formatCode="_ &quot;₹&quot;\ * #,##0_ ;_ &quot;₹&quot;\ * \-#,##0_ ;_ &quot;₹&quot;\ * &quot;-&quot;??_ ;_ @_ "/>
    <numFmt numFmtId="175" formatCode="_(* #,##0_);_(* \(#,##0\);_(* &quot;-&quot;??_);_(@_)"/>
    <numFmt numFmtId="176" formatCode="[$$-409]#,##0.00"/>
    <numFmt numFmtId="177" formatCode="_ * #,##0.0_ ;_ * \-#,##0.0_ ;_ * &quot;-&quot;??_ ;_ @_ "/>
    <numFmt numFmtId="178" formatCode="&quot;₹&quot;\ #,##0.000"/>
    <numFmt numFmtId="179" formatCode="0.0%"/>
    <numFmt numFmtId="180" formatCode="_ [$€-2]\ * #,##0_ ;_ [$€-2]\ * \-#,##0_ ;_ [$€-2]\ * &quot;-&quot;??_ ;_ @_ "/>
    <numFmt numFmtId="181" formatCode="_ [$₹-4009]\ * #,##0_ ;_ [$₹-4009]\ * \-#,##0_ ;_ [$₹-4009]\ * &quot;-&quot;??_ ;_ @_ "/>
    <numFmt numFmtId="182" formatCode="&quot;Rs.&quot;\ #,##0;&quot;Rs.&quot;\ \-#,##0"/>
    <numFmt numFmtId="183" formatCode="_ [$€-2]\ * #,##0.00_ ;_ [$€-2]\ * \-#,##0.00_ ;_ [$€-2]\ * &quot;-&quot;??_ ;_ @_ "/>
    <numFmt numFmtId="184" formatCode="_ [$€-2]\ * #,##0.0_ ;_ [$€-2]\ * \-#,##0.0_ ;_ [$€-2]\ * &quot;-&quot;?_ ;_ @_ 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MS Sans Serif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trike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Aptos Narrow"/>
      <family val="2"/>
    </font>
    <font>
      <b/>
      <sz val="16"/>
      <color rgb="FFFF0000"/>
      <name val="Calibri"/>
      <family val="2"/>
      <scheme val="minor"/>
    </font>
    <font>
      <sz val="11"/>
      <color rgb="FF242424"/>
      <name val="Aptos Narrow"/>
      <family val="2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167" fontId="4" fillId="0" borderId="0" applyFont="0" applyFill="0" applyBorder="0" applyAlignment="0" applyProtection="0"/>
    <xf numFmtId="0" fontId="7" fillId="5" borderId="0" applyNumberFormat="0" applyBorder="0" applyAlignment="0" applyProtection="0"/>
    <xf numFmtId="0" fontId="14" fillId="0" borderId="0"/>
    <xf numFmtId="0" fontId="23" fillId="0" borderId="0" applyNumberFormat="0" applyFill="0" applyBorder="0" applyAlignment="0" applyProtection="0"/>
    <xf numFmtId="168" fontId="14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</cellStyleXfs>
  <cellXfs count="7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quotePrefix="1" applyAlignment="1">
      <alignment horizont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wrapText="1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0" fillId="0" borderId="0" xfId="0" applyAlignment="1">
      <alignment vertical="center"/>
    </xf>
    <xf numFmtId="169" fontId="0" fillId="0" borderId="1" xfId="1" applyNumberFormat="1" applyFon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9" fontId="8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/>
    </xf>
    <xf numFmtId="169" fontId="0" fillId="0" borderId="0" xfId="0" applyNumberFormat="1" applyAlignment="1">
      <alignment horizontal="center"/>
    </xf>
    <xf numFmtId="1" fontId="0" fillId="0" borderId="1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9" fontId="9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0" fillId="6" borderId="0" xfId="0" applyFill="1" applyAlignment="1">
      <alignment horizontal="center"/>
    </xf>
    <xf numFmtId="0" fontId="5" fillId="0" borderId="1" xfId="2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3" fillId="7" borderId="1" xfId="0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71" fontId="0" fillId="0" borderId="0" xfId="1" applyNumberFormat="1" applyFont="1" applyFill="1" applyBorder="1" applyAlignment="1">
      <alignment horizontal="center" vertical="center"/>
    </xf>
    <xf numFmtId="171" fontId="0" fillId="0" borderId="0" xfId="1" applyNumberFormat="1" applyFont="1" applyFill="1" applyBorder="1"/>
    <xf numFmtId="171" fontId="0" fillId="0" borderId="0" xfId="0" applyNumberFormat="1"/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wrapText="1"/>
    </xf>
    <xf numFmtId="0" fontId="0" fillId="0" borderId="1" xfId="0" applyBorder="1"/>
    <xf numFmtId="0" fontId="17" fillId="8" borderId="1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7" fillId="8" borderId="19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textRotation="90"/>
    </xf>
    <xf numFmtId="0" fontId="0" fillId="0" borderId="0" xfId="0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169" fontId="6" fillId="8" borderId="1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0" fillId="0" borderId="13" xfId="0" applyBorder="1" applyAlignment="1">
      <alignment horizontal="center" vertical="center" textRotation="90" wrapText="1"/>
    </xf>
    <xf numFmtId="3" fontId="0" fillId="6" borderId="1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0" fillId="0" borderId="0" xfId="0" applyNumberFormat="1" applyAlignment="1">
      <alignment horizontal="center"/>
    </xf>
    <xf numFmtId="0" fontId="11" fillId="6" borderId="1" xfId="0" applyFont="1" applyFill="1" applyBorder="1" applyAlignment="1">
      <alignment horizontal="left" vertical="center"/>
    </xf>
    <xf numFmtId="0" fontId="0" fillId="6" borderId="13" xfId="0" applyFill="1" applyBorder="1" applyAlignment="1">
      <alignment horizontal="left" vertical="center"/>
    </xf>
    <xf numFmtId="0" fontId="0" fillId="6" borderId="1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center" vertical="center"/>
    </xf>
    <xf numFmtId="3" fontId="0" fillId="12" borderId="1" xfId="0" applyNumberForma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center"/>
    </xf>
    <xf numFmtId="3" fontId="0" fillId="2" borderId="1" xfId="0" applyNumberForma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13" borderId="1" xfId="0" applyFont="1" applyFill="1" applyBorder="1"/>
    <xf numFmtId="0" fontId="0" fillId="0" borderId="12" xfId="0" applyBorder="1"/>
    <xf numFmtId="0" fontId="17" fillId="0" borderId="24" xfId="0" applyFont="1" applyBorder="1" applyAlignment="1">
      <alignment horizontal="center"/>
    </xf>
    <xf numFmtId="0" fontId="17" fillId="0" borderId="26" xfId="0" applyFont="1" applyBorder="1" applyAlignment="1">
      <alignment horizontal="center"/>
    </xf>
    <xf numFmtId="0" fontId="19" fillId="0" borderId="27" xfId="0" applyFont="1" applyBorder="1"/>
    <xf numFmtId="3" fontId="0" fillId="0" borderId="1" xfId="0" applyNumberFormat="1" applyBorder="1"/>
    <xf numFmtId="1" fontId="0" fillId="0" borderId="1" xfId="0" applyNumberFormat="1" applyBorder="1" applyAlignment="1">
      <alignment horizontal="center"/>
    </xf>
    <xf numFmtId="173" fontId="0" fillId="0" borderId="1" xfId="1" applyNumberFormat="1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8" fillId="16" borderId="1" xfId="0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2" fillId="17" borderId="1" xfId="0" applyFont="1" applyFill="1" applyBorder="1" applyAlignment="1">
      <alignment horizontal="center"/>
    </xf>
    <xf numFmtId="0" fontId="2" fillId="17" borderId="1" xfId="0" applyFont="1" applyFill="1" applyBorder="1"/>
    <xf numFmtId="0" fontId="2" fillId="18" borderId="1" xfId="0" applyFont="1" applyFill="1" applyBorder="1" applyAlignment="1">
      <alignment horizontal="center"/>
    </xf>
    <xf numFmtId="0" fontId="2" fillId="18" borderId="1" xfId="0" applyFont="1" applyFill="1" applyBorder="1"/>
    <xf numFmtId="0" fontId="21" fillId="19" borderId="1" xfId="3" quotePrefix="1" applyFont="1" applyFill="1" applyBorder="1"/>
    <xf numFmtId="0" fontId="21" fillId="19" borderId="1" xfId="3" quotePrefix="1" applyFont="1" applyFill="1" applyBorder="1" applyAlignment="1">
      <alignment horizontal="center" vertical="center"/>
    </xf>
    <xf numFmtId="0" fontId="21" fillId="19" borderId="1" xfId="3" quotePrefix="1" applyFont="1" applyFill="1" applyBorder="1" applyAlignment="1">
      <alignment horizontal="center"/>
    </xf>
    <xf numFmtId="0" fontId="22" fillId="20" borderId="0" xfId="0" applyFont="1" applyFill="1" applyAlignment="1">
      <alignment horizontal="center" wrapText="1"/>
    </xf>
    <xf numFmtId="170" fontId="22" fillId="20" borderId="0" xfId="1" applyNumberFormat="1" applyFont="1" applyFill="1" applyAlignment="1">
      <alignment horizontal="center"/>
    </xf>
    <xf numFmtId="0" fontId="3" fillId="21" borderId="0" xfId="0" applyFont="1" applyFill="1" applyAlignment="1">
      <alignment horizontal="center" wrapText="1"/>
    </xf>
    <xf numFmtId="170" fontId="3" fillId="21" borderId="0" xfId="1" applyNumberFormat="1" applyFont="1" applyFill="1" applyAlignment="1">
      <alignment horizontal="center"/>
    </xf>
    <xf numFmtId="0" fontId="17" fillId="0" borderId="1" xfId="0" applyFont="1" applyBorder="1"/>
    <xf numFmtId="0" fontId="17" fillId="7" borderId="1" xfId="0" applyFont="1" applyFill="1" applyBorder="1"/>
    <xf numFmtId="0" fontId="3" fillId="0" borderId="0" xfId="0" applyFont="1" applyAlignment="1">
      <alignment horizontal="center"/>
    </xf>
    <xf numFmtId="0" fontId="23" fillId="0" borderId="0" xfId="4"/>
    <xf numFmtId="0" fontId="17" fillId="8" borderId="0" xfId="0" applyFont="1" applyFill="1" applyAlignment="1">
      <alignment horizontal="center" vertical="center"/>
    </xf>
    <xf numFmtId="0" fontId="0" fillId="0" borderId="16" xfId="0" applyBorder="1" applyAlignment="1">
      <alignment vertical="center" textRotation="90"/>
    </xf>
    <xf numFmtId="0" fontId="0" fillId="0" borderId="28" xfId="0" applyBorder="1" applyAlignment="1">
      <alignment horizontal="center" vertical="center"/>
    </xf>
    <xf numFmtId="0" fontId="0" fillId="22" borderId="0" xfId="0" applyFill="1"/>
    <xf numFmtId="0" fontId="0" fillId="22" borderId="1" xfId="0" applyFill="1" applyBorder="1" applyAlignment="1">
      <alignment horizontal="center"/>
    </xf>
    <xf numFmtId="0" fontId="0" fillId="22" borderId="1" xfId="0" applyFill="1" applyBorder="1"/>
    <xf numFmtId="0" fontId="0" fillId="12" borderId="0" xfId="0" applyFill="1" applyAlignment="1">
      <alignment horizontal="center"/>
    </xf>
    <xf numFmtId="0" fontId="17" fillId="8" borderId="17" xfId="0" applyFont="1" applyFill="1" applyBorder="1" applyAlignment="1">
      <alignment horizontal="left" vertical="center"/>
    </xf>
    <xf numFmtId="0" fontId="0" fillId="23" borderId="0" xfId="0" applyFill="1" applyAlignment="1">
      <alignment horizontal="center"/>
    </xf>
    <xf numFmtId="0" fontId="24" fillId="9" borderId="11" xfId="0" applyFont="1" applyFill="1" applyBorder="1" applyAlignment="1">
      <alignment horizontal="center"/>
    </xf>
    <xf numFmtId="0" fontId="24" fillId="9" borderId="0" xfId="0" applyFont="1" applyFill="1"/>
    <xf numFmtId="0" fontId="26" fillId="20" borderId="1" xfId="4" applyFont="1" applyFill="1" applyBorder="1" applyAlignment="1">
      <alignment horizontal="left"/>
    </xf>
    <xf numFmtId="0" fontId="25" fillId="14" borderId="1" xfId="4" applyFont="1" applyFill="1" applyBorder="1" applyAlignment="1">
      <alignment horizontal="left"/>
    </xf>
    <xf numFmtId="0" fontId="26" fillId="19" borderId="1" xfId="4" applyFont="1" applyFill="1" applyBorder="1" applyAlignment="1">
      <alignment horizontal="left"/>
    </xf>
    <xf numFmtId="0" fontId="25" fillId="6" borderId="1" xfId="4" applyFont="1" applyFill="1" applyBorder="1" applyAlignment="1">
      <alignment horizontal="left" vertical="center"/>
    </xf>
    <xf numFmtId="0" fontId="25" fillId="2" borderId="1" xfId="4" applyFont="1" applyFill="1" applyBorder="1" applyAlignment="1">
      <alignment horizontal="left"/>
    </xf>
    <xf numFmtId="0" fontId="26" fillId="16" borderId="1" xfId="4" applyFont="1" applyFill="1" applyBorder="1" applyAlignment="1">
      <alignment horizontal="left" vertical="center" wrapText="1"/>
    </xf>
    <xf numFmtId="169" fontId="1" fillId="0" borderId="0" xfId="0" applyNumberFormat="1" applyFont="1" applyAlignment="1">
      <alignment horizontal="center"/>
    </xf>
    <xf numFmtId="173" fontId="2" fillId="0" borderId="1" xfId="1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quotePrefix="1" applyAlignment="1">
      <alignment horizontal="center"/>
    </xf>
    <xf numFmtId="3" fontId="0" fillId="0" borderId="0" xfId="0" applyNumberFormat="1" applyAlignment="1">
      <alignment horizontal="center" vertical="center"/>
    </xf>
    <xf numFmtId="173" fontId="1" fillId="0" borderId="1" xfId="1" applyNumberFormat="1" applyFont="1" applyFill="1" applyBorder="1" applyAlignment="1">
      <alignment horizontal="center" vertical="center"/>
    </xf>
    <xf numFmtId="169" fontId="17" fillId="7" borderId="1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 wrapText="1"/>
    </xf>
    <xf numFmtId="3" fontId="17" fillId="8" borderId="20" xfId="0" applyNumberFormat="1" applyFont="1" applyFill="1" applyBorder="1" applyAlignment="1">
      <alignment horizontal="center" vertical="center"/>
    </xf>
    <xf numFmtId="3" fontId="0" fillId="0" borderId="22" xfId="0" applyNumberFormat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3" fontId="0" fillId="6" borderId="16" xfId="0" applyNumberFormat="1" applyFill="1" applyBorder="1" applyAlignment="1">
      <alignment horizontal="center" vertical="center"/>
    </xf>
    <xf numFmtId="3" fontId="0" fillId="0" borderId="16" xfId="0" applyNumberFormat="1" applyBorder="1" applyAlignment="1">
      <alignment horizontal="center"/>
    </xf>
    <xf numFmtId="0" fontId="0" fillId="6" borderId="28" xfId="0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169" fontId="0" fillId="0" borderId="0" xfId="1" applyNumberFormat="1" applyFont="1" applyFill="1" applyBorder="1" applyAlignment="1">
      <alignment horizontal="center" vertical="center"/>
    </xf>
    <xf numFmtId="0" fontId="0" fillId="12" borderId="0" xfId="0" quotePrefix="1" applyFill="1" applyAlignment="1">
      <alignment horizontal="center"/>
    </xf>
    <xf numFmtId="0" fontId="0" fillId="12" borderId="0" xfId="0" applyFill="1"/>
    <xf numFmtId="1" fontId="0" fillId="0" borderId="0" xfId="0" applyNumberFormat="1"/>
    <xf numFmtId="3" fontId="0" fillId="10" borderId="16" xfId="0" applyNumberFormat="1" applyFill="1" applyBorder="1" applyAlignment="1">
      <alignment horizontal="center" vertical="center"/>
    </xf>
    <xf numFmtId="0" fontId="17" fillId="8" borderId="20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16" fillId="0" borderId="0" xfId="3" quotePrefix="1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3" fontId="0" fillId="14" borderId="16" xfId="0" applyNumberFormat="1" applyFill="1" applyBorder="1" applyAlignment="1">
      <alignment horizontal="center" vertical="center"/>
    </xf>
    <xf numFmtId="0" fontId="0" fillId="24" borderId="0" xfId="0" applyFill="1"/>
    <xf numFmtId="0" fontId="1" fillId="24" borderId="13" xfId="0" applyFont="1" applyFill="1" applyBorder="1" applyAlignment="1">
      <alignment vertical="center" wrapText="1"/>
    </xf>
    <xf numFmtId="0" fontId="1" fillId="24" borderId="1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24" borderId="1" xfId="0" applyFill="1" applyBorder="1"/>
    <xf numFmtId="169" fontId="27" fillId="24" borderId="1" xfId="0" applyNumberFormat="1" applyFont="1" applyFill="1" applyBorder="1" applyAlignment="1">
      <alignment horizontal="center" vertical="center"/>
    </xf>
    <xf numFmtId="169" fontId="27" fillId="24" borderId="29" xfId="0" applyNumberFormat="1" applyFont="1" applyFill="1" applyBorder="1" applyAlignment="1">
      <alignment horizontal="center" vertical="center"/>
    </xf>
    <xf numFmtId="169" fontId="27" fillId="24" borderId="30" xfId="0" applyNumberFormat="1" applyFont="1" applyFill="1" applyBorder="1" applyAlignment="1">
      <alignment horizontal="center" vertical="center"/>
    </xf>
    <xf numFmtId="169" fontId="0" fillId="24" borderId="30" xfId="0" applyNumberFormat="1" applyFill="1" applyBorder="1" applyAlignment="1">
      <alignment horizontal="center" vertical="center"/>
    </xf>
    <xf numFmtId="169" fontId="0" fillId="24" borderId="31" xfId="0" applyNumberFormat="1" applyFill="1" applyBorder="1" applyAlignment="1">
      <alignment horizontal="center" vertical="center"/>
    </xf>
    <xf numFmtId="169" fontId="0" fillId="0" borderId="0" xfId="0" applyNumberFormat="1"/>
    <xf numFmtId="171" fontId="28" fillId="0" borderId="34" xfId="0" applyNumberFormat="1" applyFont="1" applyBorder="1"/>
    <xf numFmtId="169" fontId="0" fillId="0" borderId="0" xfId="0" applyNumberFormat="1" applyAlignment="1">
      <alignment horizontal="center" vertical="center"/>
    </xf>
    <xf numFmtId="169" fontId="27" fillId="24" borderId="35" xfId="0" applyNumberFormat="1" applyFont="1" applyFill="1" applyBorder="1" applyAlignment="1">
      <alignment horizontal="center" vertical="center"/>
    </xf>
    <xf numFmtId="169" fontId="27" fillId="24" borderId="36" xfId="0" applyNumberFormat="1" applyFont="1" applyFill="1" applyBorder="1" applyAlignment="1">
      <alignment horizontal="center" vertical="center"/>
    </xf>
    <xf numFmtId="169" fontId="0" fillId="24" borderId="36" xfId="0" applyNumberFormat="1" applyFill="1" applyBorder="1" applyAlignment="1">
      <alignment horizontal="center" vertical="center"/>
    </xf>
    <xf numFmtId="169" fontId="0" fillId="24" borderId="37" xfId="0" applyNumberFormat="1" applyFill="1" applyBorder="1" applyAlignment="1">
      <alignment horizontal="center" vertical="center"/>
    </xf>
    <xf numFmtId="171" fontId="28" fillId="0" borderId="38" xfId="0" applyNumberFormat="1" applyFont="1" applyBorder="1"/>
    <xf numFmtId="171" fontId="28" fillId="0" borderId="40" xfId="0" applyNumberFormat="1" applyFont="1" applyBorder="1"/>
    <xf numFmtId="169" fontId="27" fillId="24" borderId="41" xfId="0" applyNumberFormat="1" applyFont="1" applyFill="1" applyBorder="1" applyAlignment="1">
      <alignment horizontal="center" vertical="center"/>
    </xf>
    <xf numFmtId="169" fontId="27" fillId="24" borderId="42" xfId="0" applyNumberFormat="1" applyFont="1" applyFill="1" applyBorder="1" applyAlignment="1">
      <alignment horizontal="center" vertical="center"/>
    </xf>
    <xf numFmtId="169" fontId="0" fillId="24" borderId="42" xfId="0" applyNumberFormat="1" applyFill="1" applyBorder="1" applyAlignment="1">
      <alignment horizontal="center" vertical="center"/>
    </xf>
    <xf numFmtId="169" fontId="0" fillId="24" borderId="43" xfId="0" applyNumberFormat="1" applyFill="1" applyBorder="1" applyAlignment="1">
      <alignment horizontal="center" vertical="center"/>
    </xf>
    <xf numFmtId="0" fontId="0" fillId="25" borderId="0" xfId="0" applyFill="1"/>
    <xf numFmtId="0" fontId="1" fillId="25" borderId="13" xfId="0" applyFont="1" applyFill="1" applyBorder="1" applyAlignment="1">
      <alignment vertical="center" wrapText="1"/>
    </xf>
    <xf numFmtId="0" fontId="1" fillId="25" borderId="13" xfId="0" applyFont="1" applyFill="1" applyBorder="1" applyAlignment="1">
      <alignment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0" fontId="29" fillId="0" borderId="11" xfId="0" applyFont="1" applyBorder="1" applyAlignment="1">
      <alignment vertical="center"/>
    </xf>
    <xf numFmtId="0" fontId="29" fillId="2" borderId="0" xfId="0" applyFont="1" applyFill="1" applyAlignment="1">
      <alignment vertical="center"/>
    </xf>
    <xf numFmtId="0" fontId="0" fillId="25" borderId="1" xfId="0" applyFill="1" applyBorder="1"/>
    <xf numFmtId="0" fontId="0" fillId="25" borderId="44" xfId="0" applyFill="1" applyBorder="1"/>
    <xf numFmtId="0" fontId="0" fillId="25" borderId="30" xfId="0" applyFill="1" applyBorder="1"/>
    <xf numFmtId="169" fontId="0" fillId="25" borderId="30" xfId="0" applyNumberFormat="1" applyFill="1" applyBorder="1" applyAlignment="1">
      <alignment horizontal="center" vertical="center"/>
    </xf>
    <xf numFmtId="169" fontId="0" fillId="25" borderId="31" xfId="0" applyNumberFormat="1" applyFill="1" applyBorder="1" applyAlignment="1">
      <alignment horizontal="center" vertical="center"/>
    </xf>
    <xf numFmtId="0" fontId="27" fillId="0" borderId="11" xfId="0" applyFont="1" applyBorder="1"/>
    <xf numFmtId="0" fontId="27" fillId="0" borderId="1" xfId="0" applyFont="1" applyBorder="1"/>
    <xf numFmtId="174" fontId="27" fillId="0" borderId="11" xfId="6" applyNumberFormat="1" applyFont="1" applyFill="1" applyBorder="1"/>
    <xf numFmtId="169" fontId="0" fillId="2" borderId="0" xfId="0" applyNumberFormat="1" applyFill="1"/>
    <xf numFmtId="0" fontId="0" fillId="25" borderId="45" xfId="0" applyFill="1" applyBorder="1"/>
    <xf numFmtId="0" fontId="0" fillId="25" borderId="36" xfId="0" applyFill="1" applyBorder="1"/>
    <xf numFmtId="169" fontId="0" fillId="25" borderId="36" xfId="0" applyNumberFormat="1" applyFill="1" applyBorder="1" applyAlignment="1">
      <alignment horizontal="center" vertical="center"/>
    </xf>
    <xf numFmtId="169" fontId="0" fillId="25" borderId="37" xfId="0" applyNumberFormat="1" applyFill="1" applyBorder="1" applyAlignment="1">
      <alignment horizontal="center" vertical="center"/>
    </xf>
    <xf numFmtId="174" fontId="27" fillId="0" borderId="1" xfId="6" applyNumberFormat="1" applyFont="1" applyBorder="1"/>
    <xf numFmtId="164" fontId="10" fillId="25" borderId="45" xfId="0" applyNumberFormat="1" applyFont="1" applyFill="1" applyBorder="1" applyAlignment="1">
      <alignment horizontal="center" vertical="center"/>
    </xf>
    <xf numFmtId="164" fontId="10" fillId="25" borderId="36" xfId="0" applyNumberFormat="1" applyFont="1" applyFill="1" applyBorder="1" applyAlignment="1">
      <alignment horizontal="center" vertical="center"/>
    </xf>
    <xf numFmtId="164" fontId="0" fillId="25" borderId="36" xfId="0" applyNumberFormat="1" applyFill="1" applyBorder="1" applyAlignment="1">
      <alignment horizontal="center" vertical="center"/>
    </xf>
    <xf numFmtId="0" fontId="0" fillId="25" borderId="46" xfId="0" applyFill="1" applyBorder="1"/>
    <xf numFmtId="0" fontId="0" fillId="25" borderId="42" xfId="0" applyFill="1" applyBorder="1"/>
    <xf numFmtId="169" fontId="0" fillId="25" borderId="42" xfId="0" applyNumberFormat="1" applyFill="1" applyBorder="1" applyAlignment="1">
      <alignment horizontal="center" vertical="center"/>
    </xf>
    <xf numFmtId="165" fontId="10" fillId="25" borderId="42" xfId="0" applyNumberFormat="1" applyFont="1" applyFill="1" applyBorder="1" applyAlignment="1">
      <alignment horizontal="center" vertical="center"/>
    </xf>
    <xf numFmtId="169" fontId="0" fillId="25" borderId="43" xfId="0" applyNumberFormat="1" applyFill="1" applyBorder="1" applyAlignment="1">
      <alignment horizontal="center" vertical="center"/>
    </xf>
    <xf numFmtId="171" fontId="27" fillId="0" borderId="0" xfId="0" applyNumberFormat="1" applyFont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9" fillId="0" borderId="1" xfId="0" applyFont="1" applyBorder="1"/>
    <xf numFmtId="0" fontId="1" fillId="0" borderId="1" xfId="0" applyFont="1" applyBorder="1"/>
    <xf numFmtId="1" fontId="0" fillId="0" borderId="1" xfId="0" applyNumberFormat="1" applyBorder="1"/>
    <xf numFmtId="0" fontId="2" fillId="0" borderId="7" xfId="0" applyFont="1" applyBorder="1"/>
    <xf numFmtId="174" fontId="2" fillId="0" borderId="47" xfId="6" applyNumberFormat="1" applyFont="1" applyBorder="1"/>
    <xf numFmtId="0" fontId="13" fillId="7" borderId="34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1" fontId="0" fillId="6" borderId="0" xfId="0" applyNumberFormat="1" applyFill="1" applyAlignment="1">
      <alignment horizontal="center"/>
    </xf>
    <xf numFmtId="0" fontId="0" fillId="6" borderId="0" xfId="0" applyFill="1"/>
    <xf numFmtId="0" fontId="1" fillId="10" borderId="0" xfId="0" applyFont="1" applyFill="1" applyAlignment="1">
      <alignment horizontal="center"/>
    </xf>
    <xf numFmtId="0" fontId="8" fillId="0" borderId="1" xfId="0" applyFont="1" applyBorder="1"/>
    <xf numFmtId="0" fontId="29" fillId="2" borderId="17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/>
    <xf numFmtId="3" fontId="0" fillId="10" borderId="1" xfId="0" applyNumberFormat="1" applyFill="1" applyBorder="1" applyAlignment="1">
      <alignment horizontal="center" vertical="center"/>
    </xf>
    <xf numFmtId="164" fontId="1" fillId="0" borderId="0" xfId="0" applyNumberFormat="1" applyFont="1"/>
    <xf numFmtId="0" fontId="30" fillId="0" borderId="1" xfId="0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top"/>
    </xf>
    <xf numFmtId="164" fontId="1" fillId="0" borderId="1" xfId="0" applyNumberFormat="1" applyFont="1" applyBorder="1"/>
    <xf numFmtId="0" fontId="0" fillId="0" borderId="12" xfId="0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2" xfId="0" applyFill="1" applyBorder="1"/>
    <xf numFmtId="0" fontId="0" fillId="10" borderId="12" xfId="0" applyFill="1" applyBorder="1" applyAlignment="1">
      <alignment horizontal="left" vertical="center"/>
    </xf>
    <xf numFmtId="3" fontId="0" fillId="10" borderId="12" xfId="0" applyNumberFormat="1" applyFill="1" applyBorder="1" applyAlignment="1">
      <alignment horizontal="center" vertical="center"/>
    </xf>
    <xf numFmtId="0" fontId="1" fillId="9" borderId="1" xfId="0" applyFont="1" applyFill="1" applyBorder="1"/>
    <xf numFmtId="0" fontId="30" fillId="0" borderId="8" xfId="0" applyFont="1" applyBorder="1" applyAlignment="1">
      <alignment horizontal="left" vertical="center" indent="1"/>
    </xf>
    <xf numFmtId="0" fontId="30" fillId="0" borderId="0" xfId="0" applyFont="1" applyAlignment="1">
      <alignment horizontal="left" vertical="center" indent="1"/>
    </xf>
    <xf numFmtId="0" fontId="30" fillId="0" borderId="0" xfId="0" applyFont="1" applyAlignment="1">
      <alignment horizontal="left" vertical="center" wrapText="1" indent="1"/>
    </xf>
    <xf numFmtId="0" fontId="30" fillId="0" borderId="8" xfId="0" applyFont="1" applyBorder="1" applyAlignment="1">
      <alignment horizontal="left" vertical="center" wrapText="1" indent="1"/>
    </xf>
    <xf numFmtId="0" fontId="29" fillId="2" borderId="18" xfId="0" applyFont="1" applyFill="1" applyBorder="1" applyAlignment="1">
      <alignment horizontal="center" vertical="center"/>
    </xf>
    <xf numFmtId="0" fontId="30" fillId="0" borderId="3" xfId="0" applyFont="1" applyBorder="1" applyAlignment="1">
      <alignment vertical="center"/>
    </xf>
    <xf numFmtId="0" fontId="30" fillId="0" borderId="3" xfId="0" applyFont="1" applyBorder="1" applyAlignment="1">
      <alignment vertical="center" wrapText="1"/>
    </xf>
    <xf numFmtId="0" fontId="0" fillId="0" borderId="16" xfId="0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5" xfId="0" applyBorder="1" applyAlignment="1">
      <alignment horizontal="center"/>
    </xf>
    <xf numFmtId="3" fontId="0" fillId="2" borderId="16" xfId="0" applyNumberFormat="1" applyFill="1" applyBorder="1" applyAlignment="1">
      <alignment horizontal="center" vertical="center"/>
    </xf>
    <xf numFmtId="9" fontId="13" fillId="0" borderId="0" xfId="7" applyFont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13" xfId="0" applyFont="1" applyBorder="1" applyAlignment="1">
      <alignment vertical="center"/>
    </xf>
    <xf numFmtId="175" fontId="29" fillId="0" borderId="22" xfId="8" applyNumberFormat="1" applyFont="1" applyBorder="1" applyAlignment="1">
      <alignment horizontal="center" vertical="center" wrapText="1"/>
    </xf>
    <xf numFmtId="175" fontId="29" fillId="0" borderId="11" xfId="8" applyNumberFormat="1" applyFont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/>
    <xf numFmtId="0" fontId="27" fillId="7" borderId="1" xfId="0" applyFont="1" applyFill="1" applyBorder="1"/>
    <xf numFmtId="175" fontId="0" fillId="0" borderId="1" xfId="8" applyNumberFormat="1" applyFont="1" applyFill="1" applyBorder="1"/>
    <xf numFmtId="175" fontId="0" fillId="0" borderId="1" xfId="0" applyNumberFormat="1" applyBorder="1"/>
    <xf numFmtId="169" fontId="0" fillId="0" borderId="1" xfId="0" applyNumberFormat="1" applyBorder="1"/>
    <xf numFmtId="169" fontId="0" fillId="0" borderId="16" xfId="0" applyNumberFormat="1" applyBorder="1" applyAlignment="1">
      <alignment horizontal="center"/>
    </xf>
    <xf numFmtId="169" fontId="0" fillId="2" borderId="1" xfId="0" applyNumberFormat="1" applyFill="1" applyBorder="1"/>
    <xf numFmtId="175" fontId="0" fillId="7" borderId="1" xfId="8" applyNumberFormat="1" applyFont="1" applyFill="1" applyBorder="1"/>
    <xf numFmtId="175" fontId="29" fillId="0" borderId="1" xfId="8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169" fontId="0" fillId="2" borderId="12" xfId="0" applyNumberFormat="1" applyFill="1" applyBorder="1" applyAlignment="1">
      <alignment vertical="center"/>
    </xf>
    <xf numFmtId="0" fontId="0" fillId="0" borderId="13" xfId="0" applyBorder="1" applyAlignment="1">
      <alignment vertical="center"/>
    </xf>
    <xf numFmtId="169" fontId="0" fillId="2" borderId="13" xfId="0" applyNumberFormat="1" applyFill="1" applyBorder="1" applyAlignment="1">
      <alignment vertical="center"/>
    </xf>
    <xf numFmtId="0" fontId="0" fillId="0" borderId="11" xfId="0" applyBorder="1" applyAlignment="1">
      <alignment vertical="center"/>
    </xf>
    <xf numFmtId="169" fontId="0" fillId="2" borderId="11" xfId="0" applyNumberFormat="1" applyFill="1" applyBorder="1" applyAlignment="1">
      <alignment vertical="center"/>
    </xf>
    <xf numFmtId="169" fontId="0" fillId="0" borderId="1" xfId="0" applyNumberFormat="1" applyBorder="1" applyAlignment="1">
      <alignment horizontal="center"/>
    </xf>
    <xf numFmtId="0" fontId="0" fillId="0" borderId="11" xfId="0" applyBorder="1"/>
    <xf numFmtId="0" fontId="0" fillId="0" borderId="13" xfId="0" applyBorder="1"/>
    <xf numFmtId="175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9" fontId="0" fillId="0" borderId="1" xfId="0" applyNumberFormat="1" applyBorder="1" applyAlignment="1">
      <alignment vertical="center"/>
    </xf>
    <xf numFmtId="169" fontId="0" fillId="0" borderId="16" xfId="0" applyNumberFormat="1" applyBorder="1" applyAlignment="1">
      <alignment vertical="center"/>
    </xf>
    <xf numFmtId="174" fontId="27" fillId="0" borderId="1" xfId="6" applyNumberFormat="1" applyFont="1" applyBorder="1" applyAlignment="1">
      <alignment vertical="center"/>
    </xf>
    <xf numFmtId="169" fontId="0" fillId="0" borderId="12" xfId="0" applyNumberFormat="1" applyBorder="1" applyAlignment="1">
      <alignment vertical="center"/>
    </xf>
    <xf numFmtId="169" fontId="0" fillId="0" borderId="13" xfId="0" applyNumberFormat="1" applyBorder="1" applyAlignment="1">
      <alignment vertical="center"/>
    </xf>
    <xf numFmtId="169" fontId="0" fillId="0" borderId="11" xfId="0" applyNumberFormat="1" applyBorder="1" applyAlignment="1">
      <alignment vertical="center"/>
    </xf>
    <xf numFmtId="174" fontId="27" fillId="0" borderId="1" xfId="6" applyNumberFormat="1" applyFont="1" applyFill="1" applyBorder="1" applyAlignment="1">
      <alignment vertical="center"/>
    </xf>
    <xf numFmtId="0" fontId="17" fillId="0" borderId="1" xfId="0" applyFont="1" applyBorder="1" applyAlignment="1">
      <alignment horizontal="left"/>
    </xf>
    <xf numFmtId="0" fontId="17" fillId="0" borderId="12" xfId="0" applyFont="1" applyBorder="1" applyAlignment="1">
      <alignment horizontal="left"/>
    </xf>
    <xf numFmtId="171" fontId="31" fillId="6" borderId="24" xfId="0" applyNumberFormat="1" applyFont="1" applyFill="1" applyBorder="1" applyAlignment="1">
      <alignment horizontal="center"/>
    </xf>
    <xf numFmtId="0" fontId="0" fillId="0" borderId="1" xfId="0" pivotButton="1" applyBorder="1"/>
    <xf numFmtId="0" fontId="0" fillId="9" borderId="0" xfId="0" applyFill="1" applyAlignment="1">
      <alignment horizontal="center" vertical="center"/>
    </xf>
    <xf numFmtId="0" fontId="0" fillId="0" borderId="53" xfId="0" applyBorder="1"/>
    <xf numFmtId="0" fontId="0" fillId="0" borderId="10" xfId="0" applyBorder="1"/>
    <xf numFmtId="171" fontId="0" fillId="0" borderId="1" xfId="0" applyNumberFormat="1" applyBorder="1"/>
    <xf numFmtId="171" fontId="0" fillId="0" borderId="55" xfId="0" applyNumberFormat="1" applyBorder="1"/>
    <xf numFmtId="0" fontId="0" fillId="2" borderId="1" xfId="0" applyFill="1" applyBorder="1"/>
    <xf numFmtId="169" fontId="1" fillId="0" borderId="0" xfId="0" applyNumberFormat="1" applyFont="1"/>
    <xf numFmtId="171" fontId="0" fillId="0" borderId="1" xfId="1" applyNumberFormat="1" applyFont="1" applyFill="1" applyBorder="1" applyAlignment="1">
      <alignment horizontal="center" vertical="center"/>
    </xf>
    <xf numFmtId="176" fontId="6" fillId="8" borderId="1" xfId="0" applyNumberFormat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/>
    </xf>
    <xf numFmtId="176" fontId="10" fillId="0" borderId="0" xfId="0" applyNumberFormat="1" applyFont="1" applyAlignment="1">
      <alignment horizontal="center" wrapText="1"/>
    </xf>
    <xf numFmtId="1" fontId="21" fillId="19" borderId="1" xfId="3" quotePrefix="1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3" fontId="0" fillId="26" borderId="0" xfId="0" applyNumberFormat="1" applyFill="1" applyAlignment="1">
      <alignment horizontal="center" vertical="center"/>
    </xf>
    <xf numFmtId="0" fontId="11" fillId="0" borderId="1" xfId="0" applyFont="1" applyBorder="1"/>
    <xf numFmtId="0" fontId="1" fillId="0" borderId="52" xfId="0" applyFont="1" applyBorder="1" applyAlignment="1">
      <alignment horizontal="left" vertical="center"/>
    </xf>
    <xf numFmtId="0" fontId="1" fillId="0" borderId="53" xfId="0" applyFont="1" applyBorder="1" applyAlignment="1">
      <alignment horizontal="left" vertical="center" wrapText="1"/>
    </xf>
    <xf numFmtId="0" fontId="1" fillId="0" borderId="53" xfId="0" applyFont="1" applyBorder="1" applyAlignment="1">
      <alignment horizontal="left" vertical="center"/>
    </xf>
    <xf numFmtId="0" fontId="1" fillId="0" borderId="53" xfId="0" applyFont="1" applyBorder="1" applyAlignment="1">
      <alignment horizontal="center" vertical="center"/>
    </xf>
    <xf numFmtId="0" fontId="1" fillId="0" borderId="54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72" fontId="0" fillId="0" borderId="1" xfId="0" applyNumberFormat="1" applyBorder="1" applyAlignment="1">
      <alignment horizontal="center" vertical="center"/>
    </xf>
    <xf numFmtId="0" fontId="0" fillId="0" borderId="55" xfId="0" applyBorder="1" applyAlignment="1">
      <alignment vertical="center" wrapText="1"/>
    </xf>
    <xf numFmtId="0" fontId="33" fillId="0" borderId="1" xfId="0" applyFont="1" applyBorder="1" applyAlignment="1">
      <alignment vertical="center"/>
    </xf>
    <xf numFmtId="0" fontId="33" fillId="0" borderId="1" xfId="0" applyFont="1" applyBorder="1" applyAlignment="1">
      <alignment vertical="center" wrapText="1"/>
    </xf>
    <xf numFmtId="0" fontId="33" fillId="0" borderId="1" xfId="0" applyFont="1" applyBorder="1" applyAlignment="1">
      <alignment horizontal="center" vertical="center"/>
    </xf>
    <xf numFmtId="171" fontId="33" fillId="0" borderId="1" xfId="1" applyNumberFormat="1" applyFont="1" applyFill="1" applyBorder="1" applyAlignment="1">
      <alignment horizontal="center" vertical="center"/>
    </xf>
    <xf numFmtId="0" fontId="33" fillId="0" borderId="55" xfId="0" applyFont="1" applyBorder="1" applyAlignment="1">
      <alignment vertical="center" wrapText="1"/>
    </xf>
    <xf numFmtId="0" fontId="32" fillId="0" borderId="1" xfId="0" applyFont="1" applyBorder="1" applyAlignment="1">
      <alignment vertical="center"/>
    </xf>
    <xf numFmtId="0" fontId="32" fillId="0" borderId="1" xfId="0" applyFont="1" applyBorder="1" applyAlignment="1">
      <alignment vertical="center" wrapText="1"/>
    </xf>
    <xf numFmtId="0" fontId="32" fillId="0" borderId="12" xfId="0" applyFont="1" applyBorder="1" applyAlignment="1">
      <alignment vertical="center" wrapText="1"/>
    </xf>
    <xf numFmtId="0" fontId="32" fillId="0" borderId="1" xfId="0" applyFont="1" applyBorder="1" applyAlignment="1">
      <alignment horizontal="center" vertical="center"/>
    </xf>
    <xf numFmtId="171" fontId="32" fillId="0" borderId="1" xfId="1" applyNumberFormat="1" applyFont="1" applyFill="1" applyBorder="1" applyAlignment="1">
      <alignment horizontal="center" vertical="center"/>
    </xf>
    <xf numFmtId="0" fontId="32" fillId="0" borderId="55" xfId="0" applyFont="1" applyBorder="1" applyAlignment="1">
      <alignment vertical="center" wrapText="1"/>
    </xf>
    <xf numFmtId="0" fontId="33" fillId="0" borderId="12" xfId="0" applyFont="1" applyBorder="1" applyAlignment="1">
      <alignment vertical="center" wrapText="1"/>
    </xf>
    <xf numFmtId="0" fontId="33" fillId="0" borderId="1" xfId="0" applyFont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177" fontId="0" fillId="0" borderId="1" xfId="0" applyNumberFormat="1" applyBorder="1" applyAlignment="1">
      <alignment horizontal="center" vertical="center" wrapText="1"/>
    </xf>
    <xf numFmtId="0" fontId="0" fillId="0" borderId="55" xfId="0" applyBorder="1"/>
    <xf numFmtId="172" fontId="33" fillId="0" borderId="1" xfId="0" applyNumberFormat="1" applyFont="1" applyBorder="1" applyAlignment="1">
      <alignment horizontal="center" vertical="center"/>
    </xf>
    <xf numFmtId="171" fontId="33" fillId="0" borderId="55" xfId="0" applyNumberFormat="1" applyFont="1" applyBorder="1" applyAlignment="1">
      <alignment vertical="center" wrapText="1"/>
    </xf>
    <xf numFmtId="172" fontId="0" fillId="0" borderId="0" xfId="0" applyNumberForma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77" fontId="0" fillId="0" borderId="1" xfId="0" applyNumberFormat="1" applyBorder="1" applyAlignment="1">
      <alignment horizontal="center" vertical="center"/>
    </xf>
    <xf numFmtId="0" fontId="1" fillId="0" borderId="12" xfId="0" applyFont="1" applyBorder="1" applyAlignment="1">
      <alignment vertical="center" wrapText="1"/>
    </xf>
    <xf numFmtId="177" fontId="0" fillId="0" borderId="12" xfId="0" applyNumberFormat="1" applyBorder="1" applyAlignment="1">
      <alignment horizontal="center" vertical="center"/>
    </xf>
    <xf numFmtId="171" fontId="0" fillId="0" borderId="12" xfId="1" applyNumberFormat="1" applyFont="1" applyFill="1" applyBorder="1" applyAlignment="1">
      <alignment horizontal="center" vertical="center"/>
    </xf>
    <xf numFmtId="0" fontId="0" fillId="0" borderId="61" xfId="0" applyBorder="1"/>
    <xf numFmtId="0" fontId="5" fillId="0" borderId="1" xfId="0" applyFont="1" applyBorder="1" applyAlignment="1">
      <alignment vertical="center"/>
    </xf>
    <xf numFmtId="0" fontId="5" fillId="0" borderId="12" xfId="0" applyFont="1" applyBorder="1" applyAlignment="1">
      <alignment vertical="center" wrapText="1"/>
    </xf>
    <xf numFmtId="0" fontId="5" fillId="0" borderId="12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34" fillId="0" borderId="12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171" fontId="5" fillId="0" borderId="12" xfId="1" applyNumberFormat="1" applyFont="1" applyFill="1" applyBorder="1" applyAlignment="1">
      <alignment horizontal="center" vertical="center"/>
    </xf>
    <xf numFmtId="0" fontId="5" fillId="0" borderId="61" xfId="0" applyFont="1" applyBorder="1" applyAlignment="1">
      <alignment vertical="center" wrapText="1"/>
    </xf>
    <xf numFmtId="0" fontId="32" fillId="0" borderId="0" xfId="0" applyFont="1"/>
    <xf numFmtId="0" fontId="33" fillId="0" borderId="12" xfId="0" applyFont="1" applyBorder="1" applyAlignment="1">
      <alignment vertical="center"/>
    </xf>
    <xf numFmtId="0" fontId="35" fillId="0" borderId="12" xfId="0" applyFont="1" applyBorder="1" applyAlignment="1">
      <alignment vertical="center" wrapText="1"/>
    </xf>
    <xf numFmtId="171" fontId="33" fillId="0" borderId="12" xfId="1" applyNumberFormat="1" applyFont="1" applyFill="1" applyBorder="1" applyAlignment="1">
      <alignment horizontal="center" vertical="center"/>
    </xf>
    <xf numFmtId="0" fontId="33" fillId="0" borderId="61" xfId="0" applyFont="1" applyBorder="1" applyAlignment="1">
      <alignment vertical="center" wrapText="1"/>
    </xf>
    <xf numFmtId="0" fontId="0" fillId="0" borderId="61" xfId="0" applyBorder="1" applyAlignment="1">
      <alignment vertical="center" wrapText="1"/>
    </xf>
    <xf numFmtId="170" fontId="0" fillId="0" borderId="12" xfId="0" applyNumberFormat="1" applyBorder="1" applyAlignment="1">
      <alignment horizontal="center" vertical="center" wrapText="1"/>
    </xf>
    <xf numFmtId="0" fontId="0" fillId="0" borderId="62" xfId="0" applyBorder="1" applyAlignment="1">
      <alignment horizontal="center" vertical="center"/>
    </xf>
    <xf numFmtId="170" fontId="0" fillId="0" borderId="12" xfId="0" applyNumberFormat="1" applyBorder="1" applyAlignment="1">
      <alignment horizontal="center" vertical="center"/>
    </xf>
    <xf numFmtId="170" fontId="0" fillId="0" borderId="12" xfId="1" applyNumberFormat="1" applyFont="1" applyFill="1" applyBorder="1" applyAlignment="1">
      <alignment vertical="center"/>
    </xf>
    <xf numFmtId="0" fontId="0" fillId="0" borderId="57" xfId="0" applyBorder="1" applyAlignment="1">
      <alignment horizontal="center" vertical="center"/>
    </xf>
    <xf numFmtId="0" fontId="0" fillId="0" borderId="0" xfId="0" applyAlignment="1">
      <alignment wrapText="1"/>
    </xf>
    <xf numFmtId="0" fontId="28" fillId="0" borderId="0" xfId="0" applyFont="1" applyAlignment="1">
      <alignment wrapText="1"/>
    </xf>
    <xf numFmtId="0" fontId="17" fillId="0" borderId="0" xfId="0" applyFont="1"/>
    <xf numFmtId="0" fontId="0" fillId="0" borderId="57" xfId="0" applyBorder="1" applyAlignment="1">
      <alignment vertical="center" wrapText="1"/>
    </xf>
    <xf numFmtId="0" fontId="0" fillId="28" borderId="0" xfId="0" applyFill="1"/>
    <xf numFmtId="0" fontId="0" fillId="0" borderId="15" xfId="0" applyBorder="1"/>
    <xf numFmtId="0" fontId="0" fillId="6" borderId="12" xfId="0" applyFill="1" applyBorder="1"/>
    <xf numFmtId="0" fontId="0" fillId="6" borderId="1" xfId="0" applyFill="1" applyBorder="1"/>
    <xf numFmtId="0" fontId="0" fillId="29" borderId="1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10" borderId="1" xfId="0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1" fontId="2" fillId="21" borderId="1" xfId="0" applyNumberFormat="1" applyFont="1" applyFill="1" applyBorder="1" applyAlignment="1">
      <alignment horizontal="center"/>
    </xf>
    <xf numFmtId="170" fontId="0" fillId="13" borderId="1" xfId="1" applyNumberFormat="1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 vertical="center"/>
    </xf>
    <xf numFmtId="166" fontId="0" fillId="0" borderId="1" xfId="0" applyNumberFormat="1" applyBorder="1"/>
    <xf numFmtId="0" fontId="0" fillId="0" borderId="22" xfId="0" applyBorder="1" applyAlignment="1">
      <alignment horizontal="left" vertical="center"/>
    </xf>
    <xf numFmtId="166" fontId="0" fillId="0" borderId="1" xfId="0" applyNumberFormat="1" applyBorder="1" applyAlignment="1">
      <alignment horizontal="center"/>
    </xf>
    <xf numFmtId="0" fontId="0" fillId="0" borderId="32" xfId="0" applyBorder="1" applyAlignment="1">
      <alignment horizontal="left" vertical="center"/>
    </xf>
    <xf numFmtId="170" fontId="0" fillId="0" borderId="1" xfId="1" applyNumberFormat="1" applyFont="1" applyFill="1" applyBorder="1" applyAlignment="1">
      <alignment horizontal="center"/>
    </xf>
    <xf numFmtId="0" fontId="32" fillId="2" borderId="23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center"/>
    </xf>
    <xf numFmtId="166" fontId="32" fillId="2" borderId="12" xfId="1" applyNumberFormat="1" applyFont="1" applyFill="1" applyBorder="1"/>
    <xf numFmtId="0" fontId="0" fillId="0" borderId="16" xfId="0" applyBorder="1" applyAlignment="1">
      <alignment horizontal="center" wrapText="1"/>
    </xf>
    <xf numFmtId="0" fontId="0" fillId="2" borderId="16" xfId="0" applyFill="1" applyBorder="1" applyAlignment="1">
      <alignment horizontal="left" vertical="center"/>
    </xf>
    <xf numFmtId="0" fontId="0" fillId="0" borderId="23" xfId="0" applyBorder="1" applyAlignment="1">
      <alignment horizontal="left"/>
    </xf>
    <xf numFmtId="0" fontId="0" fillId="0" borderId="16" xfId="0" applyBorder="1" applyAlignment="1">
      <alignment horizontal="left"/>
    </xf>
    <xf numFmtId="0" fontId="2" fillId="13" borderId="17" xfId="10" applyFont="1" applyFill="1" applyBorder="1" applyAlignment="1">
      <alignment horizontal="center" vertical="center"/>
    </xf>
    <xf numFmtId="0" fontId="4" fillId="0" borderId="0" xfId="10"/>
    <xf numFmtId="0" fontId="4" fillId="0" borderId="52" xfId="10" applyBorder="1" applyAlignment="1">
      <alignment horizontal="center" vertical="center"/>
    </xf>
    <xf numFmtId="0" fontId="0" fillId="2" borderId="53" xfId="10" applyFont="1" applyFill="1" applyBorder="1" applyAlignment="1">
      <alignment horizontal="center" vertical="center"/>
    </xf>
    <xf numFmtId="174" fontId="36" fillId="2" borderId="53" xfId="6" applyNumberFormat="1" applyFont="1" applyFill="1" applyBorder="1" applyAlignment="1">
      <alignment horizontal="center" vertical="center"/>
    </xf>
    <xf numFmtId="0" fontId="4" fillId="0" borderId="54" xfId="10" applyBorder="1" applyAlignment="1">
      <alignment horizontal="left" vertical="top" wrapText="1"/>
    </xf>
    <xf numFmtId="0" fontId="0" fillId="2" borderId="1" xfId="10" applyFont="1" applyFill="1" applyBorder="1" applyAlignment="1">
      <alignment horizontal="center" vertical="center"/>
    </xf>
    <xf numFmtId="174" fontId="36" fillId="2" borderId="1" xfId="6" applyNumberFormat="1" applyFont="1" applyFill="1" applyBorder="1" applyAlignment="1">
      <alignment horizontal="center" vertical="center"/>
    </xf>
    <xf numFmtId="0" fontId="4" fillId="0" borderId="55" xfId="10" applyBorder="1" applyAlignment="1">
      <alignment horizontal="left" vertical="top" wrapText="1"/>
    </xf>
    <xf numFmtId="174" fontId="4" fillId="0" borderId="0" xfId="10" applyNumberFormat="1"/>
    <xf numFmtId="0" fontId="4" fillId="2" borderId="1" xfId="10" applyFill="1" applyBorder="1" applyAlignment="1">
      <alignment horizontal="center" vertical="center"/>
    </xf>
    <xf numFmtId="0" fontId="4" fillId="0" borderId="1" xfId="10" applyBorder="1" applyAlignment="1">
      <alignment horizontal="center" vertical="center"/>
    </xf>
    <xf numFmtId="0" fontId="0" fillId="0" borderId="1" xfId="10" applyFont="1" applyBorder="1" applyAlignment="1">
      <alignment horizontal="center" vertical="center"/>
    </xf>
    <xf numFmtId="0" fontId="0" fillId="0" borderId="55" xfId="10" applyFont="1" applyBorder="1" applyAlignment="1">
      <alignment horizontal="left" vertical="top" wrapText="1"/>
    </xf>
    <xf numFmtId="0" fontId="4" fillId="0" borderId="57" xfId="10" applyBorder="1" applyAlignment="1">
      <alignment horizontal="center" vertical="center"/>
    </xf>
    <xf numFmtId="174" fontId="36" fillId="2" borderId="57" xfId="6" applyNumberFormat="1" applyFont="1" applyFill="1" applyBorder="1" applyAlignment="1">
      <alignment horizontal="center" vertical="center"/>
    </xf>
    <xf numFmtId="0" fontId="4" fillId="0" borderId="58" xfId="10" applyBorder="1" applyAlignment="1">
      <alignment horizontal="left" vertical="top" wrapText="1"/>
    </xf>
    <xf numFmtId="0" fontId="19" fillId="27" borderId="52" xfId="0" applyFont="1" applyFill="1" applyBorder="1"/>
    <xf numFmtId="0" fontId="19" fillId="2" borderId="53" xfId="0" applyFont="1" applyFill="1" applyBorder="1"/>
    <xf numFmtId="0" fontId="0" fillId="0" borderId="54" xfId="0" applyBorder="1"/>
    <xf numFmtId="0" fontId="1" fillId="4" borderId="10" xfId="0" applyFont="1" applyFill="1" applyBorder="1"/>
    <xf numFmtId="0" fontId="1" fillId="4" borderId="1" xfId="0" applyFont="1" applyFill="1" applyBorder="1"/>
    <xf numFmtId="0" fontId="1" fillId="4" borderId="55" xfId="0" applyFont="1" applyFill="1" applyBorder="1"/>
    <xf numFmtId="0" fontId="0" fillId="2" borderId="10" xfId="0" applyFill="1" applyBorder="1"/>
    <xf numFmtId="0" fontId="0" fillId="0" borderId="10" xfId="0" quotePrefix="1" applyBorder="1" applyAlignment="1">
      <alignment horizontal="left"/>
    </xf>
    <xf numFmtId="0" fontId="0" fillId="6" borderId="63" xfId="0" applyFill="1" applyBorder="1" applyAlignment="1">
      <alignment horizontal="left"/>
    </xf>
    <xf numFmtId="0" fontId="0" fillId="6" borderId="10" xfId="0" applyFill="1" applyBorder="1"/>
    <xf numFmtId="178" fontId="0" fillId="6" borderId="12" xfId="0" applyNumberFormat="1" applyFill="1" applyBorder="1"/>
    <xf numFmtId="171" fontId="0" fillId="6" borderId="55" xfId="0" applyNumberFormat="1" applyFill="1" applyBorder="1"/>
    <xf numFmtId="178" fontId="0" fillId="0" borderId="1" xfId="0" applyNumberFormat="1" applyBorder="1"/>
    <xf numFmtId="0" fontId="1" fillId="0" borderId="56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171" fontId="1" fillId="0" borderId="58" xfId="0" applyNumberFormat="1" applyFont="1" applyBorder="1"/>
    <xf numFmtId="20" fontId="0" fillId="0" borderId="0" xfId="0" applyNumberFormat="1"/>
    <xf numFmtId="0" fontId="1" fillId="0" borderId="1" xfId="0" applyFont="1" applyBorder="1" applyAlignment="1">
      <alignment horizontal="left"/>
    </xf>
    <xf numFmtId="0" fontId="0" fillId="0" borderId="55" xfId="0" applyBorder="1" applyAlignment="1">
      <alignment horizontal="left"/>
    </xf>
    <xf numFmtId="170" fontId="0" fillId="0" borderId="1" xfId="1" applyNumberFormat="1" applyFont="1" applyBorder="1" applyAlignment="1">
      <alignment horizontal="center"/>
    </xf>
    <xf numFmtId="0" fontId="0" fillId="0" borderId="12" xfId="0" applyBorder="1" applyAlignment="1">
      <alignment horizontal="left"/>
    </xf>
    <xf numFmtId="0" fontId="0" fillId="24" borderId="16" xfId="0" applyFill="1" applyBorder="1" applyAlignment="1">
      <alignment horizontal="center"/>
    </xf>
    <xf numFmtId="0" fontId="1" fillId="24" borderId="14" xfId="0" applyFont="1" applyFill="1" applyBorder="1" applyAlignment="1">
      <alignment horizontal="left"/>
    </xf>
    <xf numFmtId="0" fontId="0" fillId="0" borderId="64" xfId="0" quotePrefix="1" applyBorder="1" applyAlignment="1">
      <alignment horizontal="left"/>
    </xf>
    <xf numFmtId="0" fontId="0" fillId="0" borderId="51" xfId="0" quotePrefix="1" applyBorder="1" applyAlignment="1">
      <alignment horizontal="left"/>
    </xf>
    <xf numFmtId="0" fontId="0" fillId="0" borderId="13" xfId="0" quotePrefix="1" applyBorder="1" applyAlignment="1">
      <alignment horizontal="left"/>
    </xf>
    <xf numFmtId="170" fontId="0" fillId="0" borderId="1" xfId="1" applyNumberFormat="1" applyFont="1" applyBorder="1"/>
    <xf numFmtId="0" fontId="0" fillId="0" borderId="1" xfId="0" quotePrefix="1" applyBorder="1" applyAlignment="1">
      <alignment horizontal="left"/>
    </xf>
    <xf numFmtId="0" fontId="0" fillId="0" borderId="1" xfId="0" applyBorder="1" applyAlignment="1">
      <alignment horizontal="left" wrapText="1"/>
    </xf>
    <xf numFmtId="179" fontId="0" fillId="0" borderId="1" xfId="7" applyNumberFormat="1" applyFont="1" applyBorder="1" applyAlignment="1">
      <alignment horizontal="center"/>
    </xf>
    <xf numFmtId="0" fontId="0" fillId="0" borderId="55" xfId="0" applyBorder="1" applyAlignment="1">
      <alignment horizontal="left" wrapText="1"/>
    </xf>
    <xf numFmtId="10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57" xfId="0" applyNumberFormat="1" applyBorder="1" applyAlignment="1">
      <alignment horizontal="center"/>
    </xf>
    <xf numFmtId="0" fontId="0" fillId="0" borderId="57" xfId="0" applyBorder="1" applyAlignment="1">
      <alignment horizontal="center" wrapText="1"/>
    </xf>
    <xf numFmtId="9" fontId="0" fillId="0" borderId="58" xfId="0" applyNumberFormat="1" applyBorder="1" applyAlignment="1">
      <alignment horizontal="left" wrapText="1"/>
    </xf>
    <xf numFmtId="0" fontId="0" fillId="0" borderId="0" xfId="0" applyAlignment="1">
      <alignment horizontal="right"/>
    </xf>
    <xf numFmtId="170" fontId="0" fillId="0" borderId="0" xfId="1" applyNumberFormat="1" applyFont="1" applyFill="1" applyBorder="1" applyAlignment="1">
      <alignment horizontal="center"/>
    </xf>
    <xf numFmtId="3" fontId="0" fillId="2" borderId="1" xfId="0" applyNumberFormat="1" applyFill="1" applyBorder="1"/>
    <xf numFmtId="0" fontId="0" fillId="0" borderId="12" xfId="0" applyBorder="1" applyAlignment="1">
      <alignment horizontal="center"/>
    </xf>
    <xf numFmtId="3" fontId="0" fillId="0" borderId="12" xfId="0" applyNumberFormat="1" applyBorder="1"/>
    <xf numFmtId="0" fontId="0" fillId="0" borderId="13" xfId="0" applyBorder="1" applyAlignment="1">
      <alignment horizontal="center"/>
    </xf>
    <xf numFmtId="0" fontId="0" fillId="2" borderId="52" xfId="0" applyFill="1" applyBorder="1" applyAlignment="1">
      <alignment horizontal="center"/>
    </xf>
    <xf numFmtId="0" fontId="0" fillId="2" borderId="53" xfId="0" applyFill="1" applyBorder="1"/>
    <xf numFmtId="3" fontId="0" fillId="2" borderId="53" xfId="0" applyNumberFormat="1" applyFill="1" applyBorder="1"/>
    <xf numFmtId="0" fontId="0" fillId="2" borderId="54" xfId="0" applyFill="1" applyBorder="1"/>
    <xf numFmtId="0" fontId="0" fillId="2" borderId="10" xfId="0" applyFill="1" applyBorder="1" applyAlignment="1">
      <alignment horizontal="center"/>
    </xf>
    <xf numFmtId="0" fontId="0" fillId="2" borderId="55" xfId="0" applyFill="1" applyBorder="1"/>
    <xf numFmtId="0" fontId="0" fillId="2" borderId="56" xfId="0" applyFill="1" applyBorder="1" applyAlignment="1">
      <alignment horizontal="center"/>
    </xf>
    <xf numFmtId="0" fontId="0" fillId="2" borderId="57" xfId="0" applyFill="1" applyBorder="1"/>
    <xf numFmtId="3" fontId="0" fillId="2" borderId="57" xfId="0" applyNumberFormat="1" applyFill="1" applyBorder="1"/>
    <xf numFmtId="0" fontId="0" fillId="2" borderId="58" xfId="0" applyFill="1" applyBorder="1"/>
    <xf numFmtId="170" fontId="0" fillId="0" borderId="12" xfId="1" applyNumberFormat="1" applyFont="1" applyBorder="1"/>
    <xf numFmtId="170" fontId="19" fillId="0" borderId="25" xfId="1" applyNumberFormat="1" applyFont="1" applyBorder="1"/>
    <xf numFmtId="0" fontId="0" fillId="2" borderId="23" xfId="0" applyFill="1" applyBorder="1"/>
    <xf numFmtId="2" fontId="0" fillId="0" borderId="1" xfId="0" applyNumberFormat="1" applyBorder="1"/>
    <xf numFmtId="170" fontId="0" fillId="0" borderId="13" xfId="1" applyNumberFormat="1" applyFont="1" applyBorder="1"/>
    <xf numFmtId="3" fontId="0" fillId="6" borderId="13" xfId="0" applyNumberFormat="1" applyFill="1" applyBorder="1"/>
    <xf numFmtId="3" fontId="0" fillId="6" borderId="1" xfId="0" applyNumberFormat="1" applyFill="1" applyBorder="1"/>
    <xf numFmtId="180" fontId="0" fillId="0" borderId="1" xfId="1" applyNumberFormat="1" applyFont="1" applyFill="1" applyBorder="1" applyAlignment="1">
      <alignment horizontal="center" vertical="center"/>
    </xf>
    <xf numFmtId="180" fontId="17" fillId="7" borderId="1" xfId="1" applyNumberFormat="1" applyFont="1" applyFill="1" applyBorder="1" applyAlignment="1">
      <alignment horizontal="center" vertical="center"/>
    </xf>
    <xf numFmtId="0" fontId="18" fillId="30" borderId="1" xfId="0" applyFont="1" applyFill="1" applyBorder="1" applyAlignment="1">
      <alignment horizontal="center" vertical="center"/>
    </xf>
    <xf numFmtId="180" fontId="0" fillId="22" borderId="1" xfId="0" applyNumberFormat="1" applyFill="1" applyBorder="1"/>
    <xf numFmtId="180" fontId="0" fillId="0" borderId="0" xfId="0" applyNumberFormat="1"/>
    <xf numFmtId="180" fontId="1" fillId="22" borderId="1" xfId="0" applyNumberFormat="1" applyFont="1" applyFill="1" applyBorder="1"/>
    <xf numFmtId="180" fontId="1" fillId="0" borderId="1" xfId="0" applyNumberFormat="1" applyFont="1" applyBorder="1"/>
    <xf numFmtId="181" fontId="0" fillId="0" borderId="0" xfId="0" applyNumberFormat="1"/>
    <xf numFmtId="0" fontId="1" fillId="22" borderId="5" xfId="0" applyFont="1" applyFill="1" applyBorder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22" borderId="6" xfId="0" applyFont="1" applyFill="1" applyBorder="1" applyAlignment="1">
      <alignment horizontal="center" vertical="center"/>
    </xf>
    <xf numFmtId="0" fontId="0" fillId="22" borderId="5" xfId="0" applyFill="1" applyBorder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81" fontId="0" fillId="22" borderId="0" xfId="0" applyNumberFormat="1" applyFill="1" applyAlignment="1">
      <alignment horizontal="center" vertical="center"/>
    </xf>
    <xf numFmtId="181" fontId="0" fillId="22" borderId="6" xfId="0" applyNumberFormat="1" applyFill="1" applyBorder="1" applyAlignment="1">
      <alignment horizontal="center" vertical="center"/>
    </xf>
    <xf numFmtId="181" fontId="0" fillId="22" borderId="0" xfId="8" applyNumberFormat="1" applyFont="1" applyFill="1" applyBorder="1" applyAlignment="1">
      <alignment horizontal="center" vertical="center"/>
    </xf>
    <xf numFmtId="0" fontId="0" fillId="22" borderId="5" xfId="0" applyFill="1" applyBorder="1"/>
    <xf numFmtId="0" fontId="0" fillId="22" borderId="6" xfId="0" applyFill="1" applyBorder="1"/>
    <xf numFmtId="0" fontId="0" fillId="22" borderId="6" xfId="0" applyFill="1" applyBorder="1" applyAlignment="1">
      <alignment horizontal="center"/>
    </xf>
    <xf numFmtId="0" fontId="0" fillId="22" borderId="5" xfId="0" applyFill="1" applyBorder="1" applyAlignment="1">
      <alignment horizontal="center"/>
    </xf>
    <xf numFmtId="181" fontId="0" fillId="22" borderId="0" xfId="0" applyNumberFormat="1" applyFill="1"/>
    <xf numFmtId="181" fontId="0" fillId="22" borderId="6" xfId="0" applyNumberFormat="1" applyFill="1" applyBorder="1"/>
    <xf numFmtId="182" fontId="4" fillId="32" borderId="0" xfId="8" applyNumberFormat="1" applyFont="1" applyFill="1" applyBorder="1" applyAlignment="1">
      <alignment horizontal="center" vertical="center"/>
    </xf>
    <xf numFmtId="182" fontId="4" fillId="22" borderId="0" xfId="8" applyNumberFormat="1" applyFont="1" applyFill="1" applyBorder="1" applyAlignment="1">
      <alignment horizontal="center" vertical="center"/>
    </xf>
    <xf numFmtId="182" fontId="4" fillId="22" borderId="6" xfId="8" applyNumberFormat="1" applyFont="1" applyFill="1" applyBorder="1" applyAlignment="1">
      <alignment horizontal="center" vertical="center"/>
    </xf>
    <xf numFmtId="180" fontId="0" fillId="22" borderId="0" xfId="0" applyNumberFormat="1" applyFill="1" applyAlignment="1">
      <alignment horizontal="center" vertical="center"/>
    </xf>
    <xf numFmtId="0" fontId="1" fillId="10" borderId="0" xfId="0" applyFont="1" applyFill="1"/>
    <xf numFmtId="183" fontId="1" fillId="10" borderId="0" xfId="0" applyNumberFormat="1" applyFont="1" applyFill="1"/>
    <xf numFmtId="182" fontId="0" fillId="22" borderId="0" xfId="0" applyNumberFormat="1" applyFill="1"/>
    <xf numFmtId="9" fontId="0" fillId="22" borderId="0" xfId="0" applyNumberFormat="1" applyFill="1"/>
    <xf numFmtId="0" fontId="0" fillId="22" borderId="7" xfId="0" applyFill="1" applyBorder="1"/>
    <xf numFmtId="0" fontId="0" fillId="22" borderId="8" xfId="0" applyFill="1" applyBorder="1"/>
    <xf numFmtId="180" fontId="0" fillId="22" borderId="8" xfId="0" applyNumberFormat="1" applyFill="1" applyBorder="1"/>
    <xf numFmtId="181" fontId="0" fillId="22" borderId="8" xfId="0" applyNumberFormat="1" applyFill="1" applyBorder="1"/>
    <xf numFmtId="0" fontId="0" fillId="22" borderId="9" xfId="0" applyFill="1" applyBorder="1"/>
    <xf numFmtId="180" fontId="0" fillId="22" borderId="0" xfId="0" applyNumberFormat="1" applyFill="1"/>
    <xf numFmtId="180" fontId="0" fillId="0" borderId="1" xfId="0" applyNumberFormat="1" applyBorder="1" applyAlignment="1">
      <alignment vertical="center"/>
    </xf>
    <xf numFmtId="180" fontId="0" fillId="0" borderId="1" xfId="0" applyNumberFormat="1" applyBorder="1"/>
    <xf numFmtId="9" fontId="0" fillId="0" borderId="0" xfId="7" applyFont="1"/>
    <xf numFmtId="180" fontId="0" fillId="0" borderId="0" xfId="7" applyNumberFormat="1" applyFont="1"/>
    <xf numFmtId="10" fontId="0" fillId="0" borderId="0" xfId="0" applyNumberFormat="1"/>
    <xf numFmtId="180" fontId="0" fillId="2" borderId="0" xfId="0" applyNumberFormat="1" applyFill="1"/>
    <xf numFmtId="180" fontId="1" fillId="0" borderId="0" xfId="0" applyNumberFormat="1" applyFont="1"/>
    <xf numFmtId="174" fontId="0" fillId="0" borderId="0" xfId="11" applyNumberFormat="1" applyFont="1"/>
    <xf numFmtId="180" fontId="0" fillId="0" borderId="0" xfId="0" applyNumberFormat="1" applyAlignment="1">
      <alignment horizontal="center"/>
    </xf>
    <xf numFmtId="183" fontId="0" fillId="0" borderId="0" xfId="0" applyNumberFormat="1"/>
    <xf numFmtId="9" fontId="13" fillId="7" borderId="15" xfId="7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170" fontId="0" fillId="2" borderId="53" xfId="1" applyNumberFormat="1" applyFont="1" applyFill="1" applyBorder="1"/>
    <xf numFmtId="184" fontId="0" fillId="0" borderId="1" xfId="0" applyNumberFormat="1" applyBorder="1"/>
    <xf numFmtId="181" fontId="0" fillId="0" borderId="1" xfId="0" applyNumberFormat="1" applyBorder="1"/>
    <xf numFmtId="181" fontId="0" fillId="0" borderId="12" xfId="0" applyNumberFormat="1" applyBorder="1"/>
    <xf numFmtId="167" fontId="0" fillId="0" borderId="0" xfId="0" applyNumberFormat="1"/>
    <xf numFmtId="181" fontId="0" fillId="0" borderId="0" xfId="0" applyNumberFormat="1" applyAlignment="1">
      <alignment horizontal="center"/>
    </xf>
    <xf numFmtId="180" fontId="0" fillId="3" borderId="1" xfId="0" applyNumberFormat="1" applyFill="1" applyBorder="1"/>
    <xf numFmtId="181" fontId="1" fillId="0" borderId="0" xfId="0" applyNumberFormat="1" applyFont="1" applyAlignment="1">
      <alignment horizontal="center"/>
    </xf>
    <xf numFmtId="166" fontId="0" fillId="0" borderId="0" xfId="11" applyFont="1"/>
    <xf numFmtId="170" fontId="0" fillId="0" borderId="0" xfId="1" applyNumberFormat="1" applyFont="1"/>
    <xf numFmtId="14" fontId="0" fillId="0" borderId="0" xfId="0" applyNumberFormat="1"/>
    <xf numFmtId="0" fontId="37" fillId="33" borderId="17" xfId="0" applyFont="1" applyFill="1" applyBorder="1" applyAlignment="1">
      <alignment horizontal="center" vertical="center"/>
    </xf>
    <xf numFmtId="0" fontId="37" fillId="33" borderId="19" xfId="0" applyFont="1" applyFill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right" vertical="center"/>
    </xf>
    <xf numFmtId="0" fontId="38" fillId="0" borderId="9" xfId="0" applyFont="1" applyBorder="1" applyAlignment="1">
      <alignment vertical="center"/>
    </xf>
    <xf numFmtId="1" fontId="8" fillId="0" borderId="9" xfId="0" applyNumberFormat="1" applyFont="1" applyBorder="1" applyAlignment="1">
      <alignment vertical="center"/>
    </xf>
    <xf numFmtId="1" fontId="13" fillId="0" borderId="9" xfId="0" applyNumberFormat="1" applyFont="1" applyBorder="1" applyAlignment="1">
      <alignment vertical="center"/>
    </xf>
    <xf numFmtId="0" fontId="0" fillId="8" borderId="0" xfId="0" applyFill="1" applyAlignment="1">
      <alignment horizontal="center"/>
    </xf>
    <xf numFmtId="2" fontId="1" fillId="0" borderId="1" xfId="0" applyNumberFormat="1" applyFont="1" applyBorder="1" applyAlignment="1">
      <alignment horizontal="right"/>
    </xf>
    <xf numFmtId="169" fontId="17" fillId="0" borderId="1" xfId="0" applyNumberFormat="1" applyFont="1" applyBorder="1" applyAlignment="1">
      <alignment horizontal="right"/>
    </xf>
    <xf numFmtId="169" fontId="3" fillId="0" borderId="1" xfId="0" applyNumberFormat="1" applyFont="1" applyBorder="1" applyAlignment="1">
      <alignment horizontal="right"/>
    </xf>
    <xf numFmtId="169" fontId="3" fillId="0" borderId="12" xfId="0" applyNumberFormat="1" applyFont="1" applyBorder="1" applyAlignment="1">
      <alignment horizontal="right"/>
    </xf>
    <xf numFmtId="169" fontId="31" fillId="6" borderId="25" xfId="0" applyNumberFormat="1" applyFont="1" applyFill="1" applyBorder="1" applyAlignment="1">
      <alignment horizontal="right"/>
    </xf>
    <xf numFmtId="2" fontId="13" fillId="7" borderId="12" xfId="0" applyNumberFormat="1" applyFont="1" applyFill="1" applyBorder="1" applyAlignment="1">
      <alignment horizontal="center" vertical="center"/>
    </xf>
    <xf numFmtId="2" fontId="13" fillId="7" borderId="1" xfId="0" applyNumberFormat="1" applyFont="1" applyFill="1" applyBorder="1" applyAlignment="1">
      <alignment horizontal="center" vertical="center"/>
    </xf>
    <xf numFmtId="1" fontId="0" fillId="10" borderId="1" xfId="0" applyNumberFormat="1" applyFill="1" applyBorder="1"/>
    <xf numFmtId="170" fontId="1" fillId="0" borderId="25" xfId="1" applyNumberFormat="1" applyFont="1" applyBorder="1"/>
    <xf numFmtId="0" fontId="0" fillId="28" borderId="1" xfId="0" applyFill="1" applyBorder="1"/>
    <xf numFmtId="173" fontId="0" fillId="0" borderId="1" xfId="1" applyNumberFormat="1" applyFont="1" applyFill="1" applyBorder="1" applyAlignment="1">
      <alignment horizontal="right" vertical="center"/>
    </xf>
    <xf numFmtId="173" fontId="2" fillId="0" borderId="1" xfId="1" applyNumberFormat="1" applyFont="1" applyFill="1" applyBorder="1" applyAlignment="1">
      <alignment horizontal="right" vertical="center"/>
    </xf>
    <xf numFmtId="17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80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5" fillId="0" borderId="1" xfId="3" quotePrefix="1" applyFont="1" applyBorder="1" applyAlignment="1">
      <alignment horizontal="center" vertical="center"/>
    </xf>
    <xf numFmtId="1" fontId="15" fillId="0" borderId="1" xfId="3" quotePrefix="1" applyNumberFormat="1" applyFont="1" applyBorder="1" applyAlignment="1">
      <alignment horizontal="center" vertical="center"/>
    </xf>
    <xf numFmtId="1" fontId="5" fillId="0" borderId="1" xfId="3" quotePrefix="1" applyNumberFormat="1" applyFont="1" applyBorder="1" applyAlignment="1">
      <alignment vertical="center"/>
    </xf>
    <xf numFmtId="172" fontId="0" fillId="1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3" fillId="0" borderId="20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31" borderId="5" xfId="0" applyFont="1" applyFill="1" applyBorder="1" applyAlignment="1">
      <alignment horizontal="center"/>
    </xf>
    <xf numFmtId="0" fontId="1" fillId="31" borderId="0" xfId="0" applyFont="1" applyFill="1" applyAlignment="1">
      <alignment horizontal="center"/>
    </xf>
    <xf numFmtId="0" fontId="1" fillId="31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9" borderId="1" xfId="0" applyFont="1" applyFill="1" applyBorder="1" applyAlignment="1">
      <alignment horizontal="center"/>
    </xf>
    <xf numFmtId="0" fontId="19" fillId="24" borderId="1" xfId="0" applyFont="1" applyFill="1" applyBorder="1" applyAlignment="1">
      <alignment horizontal="center"/>
    </xf>
    <xf numFmtId="0" fontId="1" fillId="24" borderId="22" xfId="0" applyFont="1" applyFill="1" applyBorder="1" applyAlignment="1">
      <alignment horizontal="center"/>
    </xf>
    <xf numFmtId="0" fontId="1" fillId="24" borderId="39" xfId="0" applyFont="1" applyFill="1" applyBorder="1" applyAlignment="1">
      <alignment horizontal="center"/>
    </xf>
    <xf numFmtId="0" fontId="0" fillId="0" borderId="3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32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4" borderId="1" xfId="0" applyFill="1" applyBorder="1" applyAlignment="1">
      <alignment horizontal="center" wrapText="1"/>
    </xf>
    <xf numFmtId="169" fontId="28" fillId="0" borderId="32" xfId="0" applyNumberFormat="1" applyFont="1" applyBorder="1" applyAlignment="1">
      <alignment horizontal="center" vertical="center"/>
    </xf>
    <xf numFmtId="169" fontId="28" fillId="0" borderId="33" xfId="0" applyNumberFormat="1" applyFont="1" applyBorder="1" applyAlignment="1">
      <alignment horizontal="center" vertical="center"/>
    </xf>
    <xf numFmtId="169" fontId="28" fillId="0" borderId="23" xfId="0" applyNumberFormat="1" applyFont="1" applyBorder="1" applyAlignment="1">
      <alignment horizontal="center" vertical="center"/>
    </xf>
    <xf numFmtId="169" fontId="28" fillId="0" borderId="0" xfId="0" applyNumberFormat="1" applyFont="1" applyAlignment="1">
      <alignment horizontal="center" vertical="center"/>
    </xf>
    <xf numFmtId="169" fontId="28" fillId="0" borderId="22" xfId="0" applyNumberFormat="1" applyFont="1" applyBorder="1" applyAlignment="1">
      <alignment horizontal="center" vertical="center"/>
    </xf>
    <xf numFmtId="169" fontId="28" fillId="0" borderId="39" xfId="0" applyNumberFormat="1" applyFont="1" applyBorder="1" applyAlignment="1">
      <alignment horizontal="center" vertical="center"/>
    </xf>
    <xf numFmtId="0" fontId="0" fillId="25" borderId="1" xfId="0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81" fontId="0" fillId="0" borderId="0" xfId="0" applyNumberFormat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31" fillId="27" borderId="2" xfId="0" applyFont="1" applyFill="1" applyBorder="1" applyAlignment="1">
      <alignment horizontal="center" vertical="center"/>
    </xf>
    <xf numFmtId="0" fontId="31" fillId="27" borderId="3" xfId="0" applyFont="1" applyFill="1" applyBorder="1" applyAlignment="1">
      <alignment horizontal="center" vertical="center"/>
    </xf>
    <xf numFmtId="0" fontId="31" fillId="27" borderId="59" xfId="0" applyFont="1" applyFill="1" applyBorder="1" applyAlignment="1">
      <alignment horizontal="center" vertical="center"/>
    </xf>
    <xf numFmtId="0" fontId="1" fillId="27" borderId="60" xfId="0" applyFont="1" applyFill="1" applyBorder="1" applyAlignment="1">
      <alignment horizontal="left" vertical="center" wrapText="1"/>
    </xf>
    <xf numFmtId="0" fontId="1" fillId="27" borderId="4" xfId="0" applyFont="1" applyFill="1" applyBorder="1" applyAlignment="1">
      <alignment horizontal="left" vertical="center" wrapText="1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12" xfId="0" applyBorder="1" applyAlignment="1">
      <alignment horizontal="center" vertical="center" textRotation="90"/>
    </xf>
    <xf numFmtId="0" fontId="0" fillId="0" borderId="11" xfId="0" applyBorder="1" applyAlignment="1">
      <alignment horizontal="center" vertical="center" textRotation="90"/>
    </xf>
    <xf numFmtId="0" fontId="0" fillId="0" borderId="13" xfId="0" applyBorder="1" applyAlignment="1">
      <alignment horizontal="center" vertical="center" textRotation="90"/>
    </xf>
    <xf numFmtId="0" fontId="0" fillId="0" borderId="12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/>
    </xf>
    <xf numFmtId="0" fontId="0" fillId="0" borderId="50" xfId="0" applyBorder="1" applyAlignment="1">
      <alignment horizontal="center" vertical="center" textRotation="90"/>
    </xf>
    <xf numFmtId="0" fontId="30" fillId="0" borderId="49" xfId="0" applyFont="1" applyBorder="1" applyAlignment="1">
      <alignment vertical="center"/>
    </xf>
    <xf numFmtId="0" fontId="30" fillId="0" borderId="48" xfId="0" applyFont="1" applyBorder="1" applyAlignment="1">
      <alignment vertical="center"/>
    </xf>
    <xf numFmtId="0" fontId="30" fillId="0" borderId="47" xfId="0" applyFont="1" applyBorder="1" applyAlignment="1">
      <alignment vertical="center"/>
    </xf>
    <xf numFmtId="0" fontId="30" fillId="0" borderId="4" xfId="0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0" fontId="30" fillId="0" borderId="9" xfId="0" applyFont="1" applyBorder="1" applyAlignment="1">
      <alignment vertical="center"/>
    </xf>
    <xf numFmtId="0" fontId="30" fillId="0" borderId="49" xfId="0" applyFont="1" applyBorder="1" applyAlignment="1">
      <alignment horizontal="center" vertical="center"/>
    </xf>
    <xf numFmtId="0" fontId="30" fillId="0" borderId="48" xfId="0" applyFont="1" applyBorder="1" applyAlignment="1">
      <alignment horizontal="center" vertical="center"/>
    </xf>
    <xf numFmtId="0" fontId="30" fillId="0" borderId="47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0" borderId="49" xfId="0" applyFont="1" applyBorder="1" applyAlignment="1">
      <alignment vertical="center" wrapText="1"/>
    </xf>
    <xf numFmtId="0" fontId="30" fillId="0" borderId="48" xfId="0" applyFont="1" applyBorder="1" applyAlignment="1">
      <alignment vertical="center" wrapText="1"/>
    </xf>
    <xf numFmtId="0" fontId="30" fillId="0" borderId="47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19" borderId="0" xfId="0" applyFill="1"/>
    <xf numFmtId="0" fontId="0" fillId="34" borderId="65" xfId="0" applyFill="1" applyBorder="1" applyAlignment="1">
      <alignment horizontal="left"/>
    </xf>
    <xf numFmtId="0" fontId="0" fillId="34" borderId="66" xfId="0" applyFill="1" applyBorder="1" applyAlignment="1">
      <alignment horizontal="left"/>
    </xf>
    <xf numFmtId="0" fontId="0" fillId="2" borderId="65" xfId="0" applyFill="1" applyBorder="1" applyAlignment="1">
      <alignment horizontal="left"/>
    </xf>
    <xf numFmtId="0" fontId="0" fillId="34" borderId="67" xfId="0" applyFill="1" applyBorder="1" applyAlignment="1">
      <alignment horizontal="left"/>
    </xf>
    <xf numFmtId="0" fontId="0" fillId="34" borderId="68" xfId="0" applyFill="1" applyBorder="1" applyAlignment="1">
      <alignment horizontal="left"/>
    </xf>
    <xf numFmtId="0" fontId="0" fillId="2" borderId="67" xfId="0" applyFill="1" applyBorder="1" applyAlignment="1">
      <alignment horizontal="left"/>
    </xf>
    <xf numFmtId="0" fontId="0" fillId="3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3" fillId="35" borderId="39" xfId="0" applyFont="1" applyFill="1" applyBorder="1" applyAlignment="1">
      <alignment horizontal="center"/>
    </xf>
    <xf numFmtId="0" fontId="21" fillId="36" borderId="1" xfId="0" applyFont="1" applyFill="1" applyBorder="1" applyAlignment="1">
      <alignment horizontal="center" vertical="center" wrapText="1"/>
    </xf>
    <xf numFmtId="0" fontId="21" fillId="36" borderId="12" xfId="0" applyFont="1" applyFill="1" applyBorder="1" applyAlignment="1">
      <alignment horizontal="center" vertical="center" wrapText="1"/>
    </xf>
    <xf numFmtId="0" fontId="21" fillId="36" borderId="13" xfId="0" applyFont="1" applyFill="1" applyBorder="1" applyAlignment="1">
      <alignment horizontal="center" vertical="center" wrapText="1"/>
    </xf>
    <xf numFmtId="0" fontId="0" fillId="34" borderId="1" xfId="0" applyFill="1" applyBorder="1" applyAlignment="1">
      <alignment horizontal="center" vertical="center"/>
    </xf>
    <xf numFmtId="0" fontId="0" fillId="34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34" borderId="1" xfId="0" applyFill="1" applyBorder="1" applyAlignment="1">
      <alignment vertical="center" wrapText="1"/>
    </xf>
    <xf numFmtId="0" fontId="0" fillId="37" borderId="1" xfId="0" applyFill="1" applyBorder="1" applyAlignment="1">
      <alignment horizontal="center" vertical="center"/>
    </xf>
    <xf numFmtId="0" fontId="0" fillId="37" borderId="1" xfId="0" applyFill="1" applyBorder="1" applyAlignment="1">
      <alignment vertical="center"/>
    </xf>
    <xf numFmtId="0" fontId="0" fillId="34" borderId="0" xfId="0" applyFill="1" applyAlignment="1">
      <alignment vertical="center"/>
    </xf>
    <xf numFmtId="0" fontId="0" fillId="19" borderId="1" xfId="0" applyFill="1" applyBorder="1" applyAlignment="1">
      <alignment horizontal="center"/>
    </xf>
    <xf numFmtId="0" fontId="0" fillId="19" borderId="1" xfId="0" applyFill="1" applyBorder="1"/>
    <xf numFmtId="0" fontId="3" fillId="38" borderId="1" xfId="0" applyFont="1" applyFill="1" applyBorder="1"/>
    <xf numFmtId="175" fontId="3" fillId="26" borderId="1" xfId="0" applyNumberFormat="1" applyFont="1" applyFill="1" applyBorder="1" applyAlignment="1">
      <alignment horizontal="center"/>
    </xf>
    <xf numFmtId="175" fontId="3" fillId="3" borderId="1" xfId="0" applyNumberFormat="1" applyFont="1" applyFill="1" applyBorder="1" applyAlignment="1">
      <alignment horizontal="center"/>
    </xf>
    <xf numFmtId="175" fontId="39" fillId="3" borderId="1" xfId="0" applyNumberFormat="1" applyFont="1" applyFill="1" applyBorder="1"/>
    <xf numFmtId="0" fontId="0" fillId="19" borderId="33" xfId="0" applyFill="1" applyBorder="1" applyAlignment="1">
      <alignment horizontal="center"/>
    </xf>
    <xf numFmtId="0" fontId="0" fillId="19" borderId="0" xfId="0" applyFill="1" applyAlignment="1">
      <alignment horizontal="center"/>
    </xf>
    <xf numFmtId="0" fontId="0" fillId="34" borderId="69" xfId="0" applyFill="1" applyBorder="1" applyAlignment="1">
      <alignment horizontal="center"/>
    </xf>
    <xf numFmtId="0" fontId="0" fillId="34" borderId="70" xfId="0" applyFill="1" applyBorder="1" applyAlignment="1">
      <alignment horizontal="center"/>
    </xf>
    <xf numFmtId="0" fontId="21" fillId="36" borderId="65" xfId="0" applyFont="1" applyFill="1" applyBorder="1" applyAlignment="1">
      <alignment horizontal="center" vertical="center" wrapText="1"/>
    </xf>
    <xf numFmtId="0" fontId="21" fillId="36" borderId="67" xfId="0" applyFont="1" applyFill="1" applyBorder="1" applyAlignment="1">
      <alignment horizontal="center" vertical="center" wrapText="1"/>
    </xf>
    <xf numFmtId="0" fontId="21" fillId="36" borderId="71" xfId="0" applyFont="1" applyFill="1" applyBorder="1" applyAlignment="1">
      <alignment horizontal="center" vertical="center" wrapText="1"/>
    </xf>
    <xf numFmtId="0" fontId="0" fillId="34" borderId="65" xfId="0" applyFill="1" applyBorder="1" applyAlignment="1">
      <alignment horizontal="center" vertical="center"/>
    </xf>
    <xf numFmtId="0" fontId="0" fillId="34" borderId="65" xfId="0" applyFill="1" applyBorder="1" applyAlignment="1">
      <alignment horizontal="left" vertical="center"/>
    </xf>
    <xf numFmtId="0" fontId="0" fillId="34" borderId="65" xfId="0" applyFill="1" applyBorder="1" applyAlignment="1">
      <alignment horizontal="right"/>
    </xf>
    <xf numFmtId="0" fontId="0" fillId="34" borderId="65" xfId="0" applyFill="1" applyBorder="1" applyAlignment="1">
      <alignment horizontal="right" vertical="center"/>
    </xf>
    <xf numFmtId="0" fontId="0" fillId="34" borderId="65" xfId="0" applyFill="1" applyBorder="1" applyAlignment="1">
      <alignment horizontal="left"/>
    </xf>
    <xf numFmtId="0" fontId="0" fillId="35" borderId="65" xfId="0" applyFill="1" applyBorder="1" applyAlignment="1">
      <alignment horizontal="center" vertical="center"/>
    </xf>
    <xf numFmtId="0" fontId="0" fillId="35" borderId="65" xfId="0" applyFill="1" applyBorder="1" applyAlignment="1">
      <alignment horizontal="left" vertical="center"/>
    </xf>
    <xf numFmtId="0" fontId="0" fillId="35" borderId="65" xfId="0" applyFill="1" applyBorder="1" applyAlignment="1">
      <alignment horizontal="right"/>
    </xf>
    <xf numFmtId="0" fontId="0" fillId="35" borderId="65" xfId="0" applyFill="1" applyBorder="1" applyAlignment="1">
      <alignment horizontal="right" vertical="center"/>
    </xf>
    <xf numFmtId="0" fontId="0" fillId="35" borderId="65" xfId="0" applyFill="1" applyBorder="1" applyAlignment="1">
      <alignment horizontal="left"/>
    </xf>
    <xf numFmtId="0" fontId="0" fillId="35" borderId="65" xfId="0" applyFill="1" applyBorder="1" applyAlignment="1">
      <alignment horizontal="center"/>
    </xf>
    <xf numFmtId="0" fontId="0" fillId="35" borderId="65" xfId="0" applyFill="1" applyBorder="1" applyAlignment="1">
      <alignment vertical="center"/>
    </xf>
    <xf numFmtId="0" fontId="0" fillId="34" borderId="65" xfId="0" applyFill="1" applyBorder="1" applyAlignment="1">
      <alignment horizontal="left" vertical="center" wrapText="1"/>
    </xf>
    <xf numFmtId="0" fontId="0" fillId="34" borderId="65" xfId="0" applyFill="1" applyBorder="1" applyAlignment="1">
      <alignment horizontal="center" vertical="center" wrapText="1"/>
    </xf>
    <xf numFmtId="0" fontId="0" fillId="34" borderId="67" xfId="0" applyFill="1" applyBorder="1" applyAlignment="1">
      <alignment horizontal="center" vertical="center"/>
    </xf>
    <xf numFmtId="0" fontId="0" fillId="34" borderId="67" xfId="0" applyFill="1" applyBorder="1" applyAlignment="1">
      <alignment vertical="center"/>
    </xf>
    <xf numFmtId="0" fontId="0" fillId="34" borderId="67" xfId="0" applyFill="1" applyBorder="1" applyAlignment="1">
      <alignment horizontal="right" vertical="center"/>
    </xf>
    <xf numFmtId="0" fontId="0" fillId="34" borderId="67" xfId="0" applyFill="1" applyBorder="1" applyAlignment="1">
      <alignment horizontal="left" vertical="center"/>
    </xf>
    <xf numFmtId="0" fontId="0" fillId="35" borderId="67" xfId="0" applyFill="1" applyBorder="1" applyAlignment="1">
      <alignment horizontal="center"/>
    </xf>
    <xf numFmtId="0" fontId="0" fillId="35" borderId="67" xfId="0" applyFill="1" applyBorder="1" applyAlignment="1">
      <alignment horizontal="left"/>
    </xf>
    <xf numFmtId="0" fontId="0" fillId="35" borderId="67" xfId="0" applyFill="1" applyBorder="1" applyAlignment="1">
      <alignment horizontal="right"/>
    </xf>
    <xf numFmtId="0" fontId="0" fillId="35" borderId="68" xfId="0" applyFill="1" applyBorder="1" applyAlignment="1">
      <alignment horizontal="center" vertical="center"/>
    </xf>
    <xf numFmtId="0" fontId="0" fillId="35" borderId="67" xfId="0" applyFill="1" applyBorder="1" applyAlignment="1">
      <alignment vertical="center"/>
    </xf>
    <xf numFmtId="0" fontId="0" fillId="35" borderId="67" xfId="0" applyFill="1" applyBorder="1" applyAlignment="1">
      <alignment horizontal="center" vertical="center"/>
    </xf>
    <xf numFmtId="0" fontId="0" fillId="35" borderId="67" xfId="0" applyFill="1" applyBorder="1" applyAlignment="1">
      <alignment horizontal="right" vertical="center"/>
    </xf>
    <xf numFmtId="0" fontId="0" fillId="0" borderId="65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34" borderId="66" xfId="0" applyFill="1" applyBorder="1" applyAlignment="1">
      <alignment horizontal="center" vertical="center"/>
    </xf>
    <xf numFmtId="0" fontId="0" fillId="34" borderId="65" xfId="0" applyFill="1" applyBorder="1"/>
    <xf numFmtId="0" fontId="0" fillId="34" borderId="65" xfId="0" applyFill="1" applyBorder="1" applyAlignment="1">
      <alignment horizontal="center"/>
    </xf>
    <xf numFmtId="0" fontId="0" fillId="34" borderId="72" xfId="0" applyFill="1" applyBorder="1" applyAlignment="1">
      <alignment horizontal="left" vertical="center"/>
    </xf>
    <xf numFmtId="0" fontId="21" fillId="36" borderId="11" xfId="0" applyFont="1" applyFill="1" applyBorder="1" applyAlignment="1">
      <alignment horizontal="center" vertical="center" wrapText="1"/>
    </xf>
    <xf numFmtId="0" fontId="21" fillId="36" borderId="23" xfId="0" applyFont="1" applyFill="1" applyBorder="1" applyAlignment="1">
      <alignment horizontal="center" vertical="center" wrapText="1"/>
    </xf>
    <xf numFmtId="0" fontId="21" fillId="36" borderId="0" xfId="0" applyFont="1" applyFill="1" applyAlignment="1">
      <alignment horizontal="center" vertical="center" wrapText="1"/>
    </xf>
    <xf numFmtId="0" fontId="21" fillId="22" borderId="0" xfId="0" applyFont="1" applyFill="1" applyAlignment="1">
      <alignment horizontal="center" vertical="center" wrapText="1"/>
    </xf>
    <xf numFmtId="0" fontId="21" fillId="22" borderId="0" xfId="0" applyFont="1" applyFill="1" applyAlignment="1">
      <alignment horizontal="center" vertical="center" wrapText="1"/>
    </xf>
    <xf numFmtId="0" fontId="0" fillId="34" borderId="71" xfId="0" applyFill="1" applyBorder="1" applyAlignment="1">
      <alignment vertical="center"/>
    </xf>
    <xf numFmtId="0" fontId="0" fillId="22" borderId="0" xfId="0" applyFill="1" applyAlignment="1">
      <alignment horizontal="left" vertical="center"/>
    </xf>
    <xf numFmtId="0" fontId="0" fillId="22" borderId="0" xfId="0" applyFill="1" applyAlignment="1">
      <alignment vertical="center"/>
    </xf>
    <xf numFmtId="0" fontId="0" fillId="35" borderId="67" xfId="0" applyFill="1" applyBorder="1" applyAlignment="1">
      <alignment horizontal="left" vertical="center"/>
    </xf>
    <xf numFmtId="0" fontId="0" fillId="35" borderId="65" xfId="0" applyFill="1" applyBorder="1"/>
    <xf numFmtId="0" fontId="40" fillId="0" borderId="65" xfId="0" applyFont="1" applyBorder="1"/>
    <xf numFmtId="0" fontId="0" fillId="34" borderId="73" xfId="0" applyFill="1" applyBorder="1"/>
    <xf numFmtId="0" fontId="0" fillId="34" borderId="71" xfId="0" applyFill="1" applyBorder="1"/>
    <xf numFmtId="0" fontId="0" fillId="0" borderId="65" xfId="0" applyBorder="1"/>
    <xf numFmtId="0" fontId="0" fillId="34" borderId="0" xfId="0" applyFill="1" applyAlignment="1">
      <alignment horizontal="center" vertical="center"/>
    </xf>
    <xf numFmtId="0" fontId="40" fillId="0" borderId="0" xfId="0" applyFont="1"/>
    <xf numFmtId="0" fontId="0" fillId="34" borderId="0" xfId="0" applyFill="1"/>
    <xf numFmtId="0" fontId="0" fillId="34" borderId="0" xfId="0" applyFill="1" applyAlignment="1">
      <alignment horizontal="left" vertical="center"/>
    </xf>
    <xf numFmtId="0" fontId="0" fillId="22" borderId="65" xfId="0" applyFill="1" applyBorder="1"/>
    <xf numFmtId="0" fontId="0" fillId="35" borderId="66" xfId="0" applyFill="1" applyBorder="1"/>
    <xf numFmtId="0" fontId="0" fillId="34" borderId="68" xfId="0" applyFill="1" applyBorder="1"/>
    <xf numFmtId="0" fontId="0" fillId="34" borderId="67" xfId="0" applyFill="1" applyBorder="1" applyAlignment="1">
      <alignment horizontal="center"/>
    </xf>
    <xf numFmtId="0" fontId="0" fillId="37" borderId="0" xfId="0" applyFill="1" applyAlignment="1">
      <alignment vertical="center"/>
    </xf>
  </cellXfs>
  <cellStyles count="12">
    <cellStyle name="Comma" xfId="1" builtinId="3"/>
    <cellStyle name="Comma 2" xfId="8" xr:uid="{EE17B5BF-625B-4235-8BF4-698815F517BB}"/>
    <cellStyle name="Currency" xfId="11" builtinId="4"/>
    <cellStyle name="Currency 2" xfId="5" xr:uid="{1383A54A-C24F-416C-B918-CD0532DDA7EA}"/>
    <cellStyle name="Currency 3" xfId="6" xr:uid="{B57AFA58-FCCA-477E-A742-C7F17971DFB8}"/>
    <cellStyle name="Currency 6" xfId="9" xr:uid="{A0F1D535-BFAE-4909-9887-7394A59A1D4F}"/>
    <cellStyle name="Good" xfId="2" builtinId="26"/>
    <cellStyle name="Hyperlink" xfId="4" builtinId="8"/>
    <cellStyle name="Normal" xfId="0" builtinId="0"/>
    <cellStyle name="Normal 2" xfId="3" xr:uid="{9AFB579F-C8D4-4A81-B578-A4A463014252}"/>
    <cellStyle name="Normal 4" xfId="10" xr:uid="{79A219E8-B348-404E-94EB-8806F63D3C6B}"/>
    <cellStyle name="Percent" xfId="7" builtinId="5"/>
  </cellStyles>
  <dxfs count="11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top style="thin">
          <color indexed="64"/>
        </top>
        <horizontal style="thin">
          <color indexed="64"/>
        </horizontal>
      </border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66FF33"/>
      <color rgb="FF000099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externalLink" Target="externalLinks/externalLink7.xml"/><Relationship Id="rId50" Type="http://schemas.openxmlformats.org/officeDocument/2006/relationships/pivotCacheDefinition" Target="pivotCache/pivotCacheDefinition1.xml"/><Relationship Id="rId55" Type="http://schemas.microsoft.com/office/2022/10/relationships/richValueRel" Target="richData/richValueRel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3" Type="http://schemas.openxmlformats.org/officeDocument/2006/relationships/sharedStrings" Target="sharedStrings.xml"/><Relationship Id="rId58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externalLink" Target="externalLinks/externalLink8.xml"/><Relationship Id="rId56" Type="http://schemas.microsoft.com/office/2017/06/relationships/rdRichValue" Target="richData/rdrichvalue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6.xml"/><Relationship Id="rId59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54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9.xml"/><Relationship Id="rId57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52" Type="http://schemas.openxmlformats.org/officeDocument/2006/relationships/styles" Target="styles.xml"/><Relationship Id="rId6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6.png"/><Relationship Id="rId13" Type="http://schemas.openxmlformats.org/officeDocument/2006/relationships/image" Target="../media/image51.png"/><Relationship Id="rId18" Type="http://schemas.openxmlformats.org/officeDocument/2006/relationships/image" Target="../media/image56.png"/><Relationship Id="rId3" Type="http://schemas.openxmlformats.org/officeDocument/2006/relationships/image" Target="../media/image41.png"/><Relationship Id="rId21" Type="http://schemas.openxmlformats.org/officeDocument/2006/relationships/image" Target="../media/image59.png"/><Relationship Id="rId7" Type="http://schemas.openxmlformats.org/officeDocument/2006/relationships/image" Target="../media/image45.png"/><Relationship Id="rId12" Type="http://schemas.openxmlformats.org/officeDocument/2006/relationships/image" Target="../media/image50.png"/><Relationship Id="rId17" Type="http://schemas.openxmlformats.org/officeDocument/2006/relationships/image" Target="../media/image55.png"/><Relationship Id="rId2" Type="http://schemas.openxmlformats.org/officeDocument/2006/relationships/image" Target="../media/image40.png"/><Relationship Id="rId16" Type="http://schemas.openxmlformats.org/officeDocument/2006/relationships/image" Target="../media/image54.png"/><Relationship Id="rId20" Type="http://schemas.openxmlformats.org/officeDocument/2006/relationships/image" Target="../media/image58.png"/><Relationship Id="rId1" Type="http://schemas.openxmlformats.org/officeDocument/2006/relationships/image" Target="../media/image39.png"/><Relationship Id="rId6" Type="http://schemas.openxmlformats.org/officeDocument/2006/relationships/image" Target="../media/image44.png"/><Relationship Id="rId11" Type="http://schemas.openxmlformats.org/officeDocument/2006/relationships/image" Target="../media/image49.png"/><Relationship Id="rId5" Type="http://schemas.openxmlformats.org/officeDocument/2006/relationships/image" Target="../media/image43.png"/><Relationship Id="rId15" Type="http://schemas.openxmlformats.org/officeDocument/2006/relationships/image" Target="../media/image53.png"/><Relationship Id="rId10" Type="http://schemas.openxmlformats.org/officeDocument/2006/relationships/image" Target="../media/image48.png"/><Relationship Id="rId19" Type="http://schemas.openxmlformats.org/officeDocument/2006/relationships/image" Target="../media/image57.png"/><Relationship Id="rId4" Type="http://schemas.openxmlformats.org/officeDocument/2006/relationships/image" Target="../media/image42.png"/><Relationship Id="rId9" Type="http://schemas.openxmlformats.org/officeDocument/2006/relationships/image" Target="../media/image47.png"/><Relationship Id="rId14" Type="http://schemas.openxmlformats.org/officeDocument/2006/relationships/image" Target="../media/image52.png"/><Relationship Id="rId22" Type="http://schemas.openxmlformats.org/officeDocument/2006/relationships/image" Target="../media/image60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10.png"/><Relationship Id="rId1" Type="http://schemas.openxmlformats.org/officeDocument/2006/relationships/customXml" Target="../ink/ink1.xml"/><Relationship Id="rId4" Type="http://schemas.openxmlformats.org/officeDocument/2006/relationships/customXml" Target="../ink/ink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ustomXml" Target="../ink/ink5.xml"/><Relationship Id="rId2" Type="http://schemas.openxmlformats.org/officeDocument/2006/relationships/image" Target="../media/image1100.png"/><Relationship Id="rId1" Type="http://schemas.openxmlformats.org/officeDocument/2006/relationships/customXml" Target="../ink/ink4.xml"/><Relationship Id="rId5" Type="http://schemas.openxmlformats.org/officeDocument/2006/relationships/customXml" Target="../ink/ink7.xml"/><Relationship Id="rId4" Type="http://schemas.openxmlformats.org/officeDocument/2006/relationships/customXml" Target="../ink/ink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5.png"/><Relationship Id="rId2" Type="http://schemas.openxmlformats.org/officeDocument/2006/relationships/image" Target="../media/image64.png"/><Relationship Id="rId1" Type="http://schemas.openxmlformats.org/officeDocument/2006/relationships/image" Target="../media/image63.png"/><Relationship Id="rId4" Type="http://schemas.openxmlformats.org/officeDocument/2006/relationships/image" Target="../media/image6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2</xdr:col>
      <xdr:colOff>4572000</xdr:colOff>
      <xdr:row>5</xdr:row>
      <xdr:rowOff>2543175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5C5C71-CD4E-4310-ABEA-C6B5422E2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5125" y="3467100"/>
          <a:ext cx="4572000" cy="25431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4572000</xdr:colOff>
      <xdr:row>6</xdr:row>
      <xdr:rowOff>2105025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8C0A6D-FB21-4D75-96D3-5BCFA08BD55D}"/>
            </a:ext>
            <a:ext uri="{147F2762-F138-4A5C-976F-8EAC2B608ADB}">
              <a16:predDERef xmlns:a16="http://schemas.microsoft.com/office/drawing/2014/main" pred="{727BE1D6-64BE-D476-E3DE-FD51E2E7F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5125" y="6076950"/>
          <a:ext cx="4572000" cy="21050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4572000</xdr:colOff>
      <xdr:row>7</xdr:row>
      <xdr:rowOff>1895475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3735BD-B593-4ECA-ADA4-261F426C017D}"/>
            </a:ext>
            <a:ext uri="{147F2762-F138-4A5C-976F-8EAC2B608ADB}">
              <a16:predDERef xmlns:a16="http://schemas.microsoft.com/office/drawing/2014/main" pred="{09E7630C-17E4-17AC-47FA-856FCBB6D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05125" y="8220075"/>
          <a:ext cx="4572000" cy="18954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4562475</xdr:colOff>
      <xdr:row>8</xdr:row>
      <xdr:rowOff>2028825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76681BC-6A17-4D1A-AB64-BC03F7EF607E}"/>
            </a:ext>
            <a:ext uri="{147F2762-F138-4A5C-976F-8EAC2B608ADB}">
              <a16:predDERef xmlns:a16="http://schemas.microsoft.com/office/drawing/2014/main" pred="{232E2547-1095-ADED-B6F4-4681228D2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05125" y="10191750"/>
          <a:ext cx="4562475" cy="20288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4572000</xdr:colOff>
      <xdr:row>10</xdr:row>
      <xdr:rowOff>1952625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F065A7-FA08-41FA-8A49-2AB9CA074909}"/>
            </a:ext>
            <a:ext uri="{147F2762-F138-4A5C-976F-8EAC2B608ADB}">
              <a16:predDERef xmlns:a16="http://schemas.microsoft.com/office/drawing/2014/main" pred="{AB93F3EC-4277-7DE9-00FA-8157FE489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05125" y="14487525"/>
          <a:ext cx="4572000" cy="19526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4562475</xdr:colOff>
      <xdr:row>12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F5392E6-B957-49A2-BA7C-EB6FB93F5CB6}"/>
            </a:ext>
            <a:ext uri="{147F2762-F138-4A5C-976F-8EAC2B608ADB}">
              <a16:predDERef xmlns:a16="http://schemas.microsoft.com/office/drawing/2014/main" pred="{6F54C6C7-995B-50D1-248B-766248135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05125" y="16459200"/>
          <a:ext cx="4562475" cy="18764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4000500</xdr:colOff>
      <xdr:row>11</xdr:row>
      <xdr:rowOff>1866900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E983A7-D5C4-4694-8701-5C1227BC7E80}"/>
            </a:ext>
            <a:ext uri="{147F2762-F138-4A5C-976F-8EAC2B608ADB}">
              <a16:predDERef xmlns:a16="http://schemas.microsoft.com/office/drawing/2014/main" pred="{7286CB47-1EC4-5DA6-4D3A-00649AB9C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b="28341"/>
        <a:stretch>
          <a:fillRect/>
        </a:stretch>
      </xdr:blipFill>
      <xdr:spPr>
        <a:xfrm>
          <a:off x="7562850" y="16459200"/>
          <a:ext cx="4000500" cy="18669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3962400</xdr:colOff>
      <xdr:row>10</xdr:row>
      <xdr:rowOff>1962150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B618ECC-F166-44B1-AA07-563F8AEE2AE5}"/>
            </a:ext>
            <a:ext uri="{147F2762-F138-4A5C-976F-8EAC2B608ADB}">
              <a16:predDERef xmlns:a16="http://schemas.microsoft.com/office/drawing/2014/main" pred="{57D8CE04-62C5-4610-FA4F-DE999218C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62850" y="14487525"/>
          <a:ext cx="3962400" cy="19621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3952875</xdr:colOff>
      <xdr:row>7</xdr:row>
      <xdr:rowOff>1924050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185E2CD-7E7C-40DE-B1DB-D164E2DA6AC2}"/>
            </a:ext>
            <a:ext uri="{147F2762-F138-4A5C-976F-8EAC2B608ADB}">
              <a16:predDERef xmlns:a16="http://schemas.microsoft.com/office/drawing/2014/main" pred="{97A18ADA-A2E1-5634-0E02-04475C7F3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562850" y="8220075"/>
          <a:ext cx="3952875" cy="19240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</xdr:row>
      <xdr:rowOff>0</xdr:rowOff>
    </xdr:from>
    <xdr:to>
      <xdr:col>3</xdr:col>
      <xdr:colOff>2171700</xdr:colOff>
      <xdr:row>6</xdr:row>
      <xdr:rowOff>2085975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DD45961-319D-4D45-8FA5-FDCB3E05B7FB}"/>
            </a:ext>
            <a:ext uri="{147F2762-F138-4A5C-976F-8EAC2B608ADB}">
              <a16:predDERef xmlns:a16="http://schemas.microsoft.com/office/drawing/2014/main" pred="{2D17896B-8F77-0FA0-B617-32F8579B4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00950" y="6076950"/>
          <a:ext cx="2133600" cy="20859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3381375</xdr:colOff>
      <xdr:row>6</xdr:row>
      <xdr:rowOff>2114550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E568515-9E93-4254-B7ED-2B42BD851E68}"/>
            </a:ext>
            <a:ext uri="{147F2762-F138-4A5C-976F-8EAC2B608ADB}">
              <a16:predDERef xmlns:a16="http://schemas.microsoft.com/office/drawing/2014/main" pred="{D830CC64-2B53-9B0C-FFB2-BB180A13D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725275" y="6076950"/>
          <a:ext cx="3381375" cy="21145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3000375</xdr:colOff>
      <xdr:row>7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80A405A-8D16-460B-ADE2-94823F15CC77}"/>
            </a:ext>
            <a:ext uri="{147F2762-F138-4A5C-976F-8EAC2B608ADB}">
              <a16:predDERef xmlns:a16="http://schemas.microsoft.com/office/drawing/2014/main" pred="{0FC77E5F-CA86-A546-8543-306CAC944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297150" y="6076950"/>
          <a:ext cx="3000375" cy="21431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3009900</xdr:colOff>
      <xdr:row>7</xdr:row>
      <xdr:rowOff>1952625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D25A0DA-02AA-4BE9-BE48-B0A86AF56DC6}"/>
            </a:ext>
            <a:ext uri="{147F2762-F138-4A5C-976F-8EAC2B608ADB}">
              <a16:predDERef xmlns:a16="http://schemas.microsoft.com/office/drawing/2014/main" pred="{178E6D81-18A8-D905-2BD4-F7EFA824D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725275" y="8220075"/>
          <a:ext cx="3009900" cy="19526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4057650</xdr:colOff>
      <xdr:row>8</xdr:row>
      <xdr:rowOff>1933575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57F8CC6-BF95-4C87-A634-885814CA9CE5}"/>
            </a:ext>
            <a:ext uri="{147F2762-F138-4A5C-976F-8EAC2B608ADB}">
              <a16:predDERef xmlns:a16="http://schemas.microsoft.com/office/drawing/2014/main" pred="{86777279-D1B7-4A89-B885-B374E6EF3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562850" y="10191750"/>
          <a:ext cx="4057650" cy="19335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3086100</xdr:colOff>
      <xdr:row>10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D658FB6-7B83-4FF7-9746-D77A23742469}"/>
            </a:ext>
            <a:ext uri="{147F2762-F138-4A5C-976F-8EAC2B608ADB}">
              <a16:predDERef xmlns:a16="http://schemas.microsoft.com/office/drawing/2014/main" pred="{97DEDA70-7EE6-C4D0-D40D-1C9ECB32C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905125" y="12239625"/>
          <a:ext cx="3086100" cy="22479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4057650</xdr:colOff>
      <xdr:row>9</xdr:row>
      <xdr:rowOff>2095500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3A8EE4E-FFE4-410D-B97D-5C5B2CDE6501}"/>
            </a:ext>
            <a:ext uri="{147F2762-F138-4A5C-976F-8EAC2B608ADB}">
              <a16:predDERef xmlns:a16="http://schemas.microsoft.com/office/drawing/2014/main" pred="{9150D3B0-7E50-4042-4F63-331E0193B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562850" y="12239625"/>
          <a:ext cx="4057650" cy="2095500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5</xdr:row>
      <xdr:rowOff>9525</xdr:rowOff>
    </xdr:from>
    <xdr:to>
      <xdr:col>4</xdr:col>
      <xdr:colOff>3505200</xdr:colOff>
      <xdr:row>5</xdr:row>
      <xdr:rowOff>2381250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C56AAA7-B9F1-4469-BE8E-8399AE7C9EFA}"/>
            </a:ext>
            <a:ext uri="{147F2762-F138-4A5C-976F-8EAC2B608ADB}">
              <a16:predDERef xmlns:a16="http://schemas.microsoft.com/office/drawing/2014/main" pred="{B6275BFE-00D6-45CC-B49D-0DF51A906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772900" y="3476625"/>
          <a:ext cx="3457575" cy="23717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4352925</xdr:colOff>
      <xdr:row>4</xdr:row>
      <xdr:rowOff>2495550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EFA3410-40EA-493F-AB0B-7831122EDC49}"/>
            </a:ext>
            <a:ext uri="{147F2762-F138-4A5C-976F-8EAC2B608ADB}">
              <a16:predDERef xmlns:a16="http://schemas.microsoft.com/office/drawing/2014/main" pred="{5E004CB6-93FA-F580-2DCE-058F8C6E2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905125" y="762000"/>
          <a:ext cx="4352925" cy="24955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3133725</xdr:colOff>
      <xdr:row>4</xdr:row>
      <xdr:rowOff>2495550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E498272-F681-4EBE-8C5C-F571859F2868}"/>
            </a:ext>
            <a:ext uri="{147F2762-F138-4A5C-976F-8EAC2B608ADB}">
              <a16:predDERef xmlns:a16="http://schemas.microsoft.com/office/drawing/2014/main" pred="{50C3DD8A-3F27-5F17-F884-2ADCAD4D1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562850" y="762000"/>
          <a:ext cx="3133725" cy="24955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3190875</xdr:colOff>
      <xdr:row>5</xdr:row>
      <xdr:rowOff>2552700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84511C8-461A-46BC-8BEA-C5B41B53996C}"/>
            </a:ext>
            <a:ext uri="{147F2762-F138-4A5C-976F-8EAC2B608ADB}">
              <a16:predDERef xmlns:a16="http://schemas.microsoft.com/office/drawing/2014/main" pred="{61D3C9D4-67E4-4505-8677-14E9BDFED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562850" y="3467100"/>
          <a:ext cx="3190875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2600325</xdr:colOff>
      <xdr:row>11</xdr:row>
      <xdr:rowOff>1866900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236811C-3DC4-4439-BA1F-83E4F92C572B}"/>
            </a:ext>
            <a:ext uri="{147F2762-F138-4A5C-976F-8EAC2B608ADB}">
              <a16:predDERef xmlns:a16="http://schemas.microsoft.com/office/drawing/2014/main" pred="{B319E854-1784-6ADD-E71A-4758B9F05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725275" y="16459200"/>
          <a:ext cx="2600325" cy="186690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5</xdr:row>
      <xdr:rowOff>38100</xdr:rowOff>
    </xdr:from>
    <xdr:to>
      <xdr:col>5</xdr:col>
      <xdr:colOff>3000375</xdr:colOff>
      <xdr:row>5</xdr:row>
      <xdr:rowOff>2143125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584ED60-C800-4378-8C64-72DEF16355D6}"/>
            </a:ext>
            <a:ext uri="{147F2762-F138-4A5C-976F-8EAC2B608ADB}">
              <a16:predDERef xmlns:a16="http://schemas.microsoft.com/office/drawing/2014/main" pred="{9BFFEF65-E461-CA6D-5BCC-15E98E3F4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5325725" y="3505200"/>
          <a:ext cx="2971800" cy="2105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848925</xdr:colOff>
      <xdr:row>29</xdr:row>
      <xdr:rowOff>152495</xdr:rowOff>
    </xdr:from>
    <xdr:to>
      <xdr:col>3</xdr:col>
      <xdr:colOff>849285</xdr:colOff>
      <xdr:row>29</xdr:row>
      <xdr:rowOff>152855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F664F7F-A48F-49CC-95ED-86BAFA756C35}"/>
                </a:ext>
              </a:extLst>
            </xdr14:cNvPr>
            <xdr14:cNvContentPartPr/>
          </xdr14:nvContentPartPr>
          <xdr14:nvPr macro=""/>
          <xdr14:xfrm>
            <a:off x="7137720" y="3273941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677566C-7590-4629-94D1-556A4139AA7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129080" y="3265301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910233</xdr:colOff>
      <xdr:row>14</xdr:row>
      <xdr:rowOff>114350</xdr:rowOff>
    </xdr:from>
    <xdr:to>
      <xdr:col>2</xdr:col>
      <xdr:colOff>910593</xdr:colOff>
      <xdr:row>14</xdr:row>
      <xdr:rowOff>114710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0730DC8-E298-4CB3-A853-042600C8FEB7}"/>
                </a:ext>
              </a:extLst>
            </xdr14:cNvPr>
            <xdr14:cNvContentPartPr/>
          </xdr14:nvContentPartPr>
          <xdr14:nvPr macro=""/>
          <xdr14:xfrm>
            <a:off x="5985816" y="2327463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E17D92B5-FF5C-4173-9C92-57907ED3D3B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812920" y="3043541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672993</xdr:colOff>
      <xdr:row>13</xdr:row>
      <xdr:rowOff>160084</xdr:rowOff>
    </xdr:from>
    <xdr:to>
      <xdr:col>2</xdr:col>
      <xdr:colOff>673353</xdr:colOff>
      <xdr:row>13</xdr:row>
      <xdr:rowOff>160444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B80E712D-35E8-4107-ACF8-E3E5C8D6C4EC}"/>
                </a:ext>
              </a:extLst>
            </xdr14:cNvPr>
            <xdr14:cNvContentPartPr/>
          </xdr14:nvContentPartPr>
          <xdr14:nvPr macro=""/>
          <xdr14:xfrm>
            <a:off x="5584680" y="2914301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9E8BB58-CCA6-4569-98DE-EF189B1191C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575680" y="2905661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848925</xdr:colOff>
      <xdr:row>9</xdr:row>
      <xdr:rowOff>0</xdr:rowOff>
    </xdr:from>
    <xdr:to>
      <xdr:col>3</xdr:col>
      <xdr:colOff>849285</xdr:colOff>
      <xdr:row>9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3E8F3DA-09EA-4B90-9BD7-83CD49542538}"/>
                </a:ext>
              </a:extLst>
            </xdr14:cNvPr>
            <xdr14:cNvContentPartPr/>
          </xdr14:nvContentPartPr>
          <xdr14:nvPr macro=""/>
          <xdr14:xfrm>
            <a:off x="7137720" y="3273941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677566C-7590-4629-94D1-556A4139AA7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129080" y="3265301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910233</xdr:colOff>
      <xdr:row>8</xdr:row>
      <xdr:rowOff>114350</xdr:rowOff>
    </xdr:from>
    <xdr:to>
      <xdr:col>2</xdr:col>
      <xdr:colOff>910593</xdr:colOff>
      <xdr:row>8</xdr:row>
      <xdr:rowOff>114350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57D41AE-A43A-401B-ADF9-6FBEDC6B71D8}"/>
                </a:ext>
              </a:extLst>
            </xdr14:cNvPr>
            <xdr14:cNvContentPartPr/>
          </xdr14:nvContentPartPr>
          <xdr14:nvPr macro=""/>
          <xdr14:xfrm>
            <a:off x="5821920" y="3052181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E17D92B5-FF5C-4173-9C92-57907ED3D3B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812920" y="3043541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672993</xdr:colOff>
      <xdr:row>8</xdr:row>
      <xdr:rowOff>0</xdr:rowOff>
    </xdr:from>
    <xdr:to>
      <xdr:col>2</xdr:col>
      <xdr:colOff>673353</xdr:colOff>
      <xdr:row>8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0EAAF5AB-9D4F-4273-AEAD-F92B76AD5B89}"/>
                </a:ext>
              </a:extLst>
            </xdr14:cNvPr>
            <xdr14:cNvContentPartPr/>
          </xdr14:nvContentPartPr>
          <xdr14:nvPr macro=""/>
          <xdr14:xfrm>
            <a:off x="5584680" y="2914301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9E8BB58-CCA6-4569-98DE-EF189B1191C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575680" y="2905661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848925</xdr:colOff>
      <xdr:row>20</xdr:row>
      <xdr:rowOff>152495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41178461-818B-42A2-8523-225BF1249D80}"/>
                </a:ext>
              </a:extLst>
            </xdr14:cNvPr>
            <xdr14:cNvContentPartPr/>
          </xdr14:nvContentPartPr>
          <xdr14:nvPr macro=""/>
          <xdr14:xfrm>
            <a:off x="7137720" y="3273941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677566C-7590-4629-94D1-556A4139AA7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129080" y="3265301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</xdr:row>
      <xdr:rowOff>47381</xdr:rowOff>
    </xdr:from>
    <xdr:to>
      <xdr:col>14</xdr:col>
      <xdr:colOff>38100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EC5BE9-9BB6-4664-A815-347940F43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11225" y="1238006"/>
          <a:ext cx="2114550" cy="8765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1591236</xdr:colOff>
      <xdr:row>39</xdr:row>
      <xdr:rowOff>112059</xdr:rowOff>
    </xdr:from>
    <xdr:to>
      <xdr:col>26</xdr:col>
      <xdr:colOff>602869</xdr:colOff>
      <xdr:row>54</xdr:row>
      <xdr:rowOff>7668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C94D46-BE34-7836-57C1-ABCBC849F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60471" y="9065559"/>
          <a:ext cx="3953427" cy="275310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563880</xdr:colOff>
      <xdr:row>2</xdr:row>
      <xdr:rowOff>15240</xdr:rowOff>
    </xdr:from>
    <xdr:to>
      <xdr:col>11</xdr:col>
      <xdr:colOff>13208</xdr:colOff>
      <xdr:row>18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3F1A45-C18C-4E3A-9F61-42FCB88A8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5740" y="381000"/>
          <a:ext cx="3106928" cy="2933700"/>
        </a:xfrm>
        <a:prstGeom prst="rect">
          <a:avLst/>
        </a:prstGeom>
      </xdr:spPr>
    </xdr:pic>
    <xdr:clientData/>
  </xdr:twoCellAnchor>
  <xdr:twoCellAnchor editAs="oneCell">
    <xdr:from>
      <xdr:col>12</xdr:col>
      <xdr:colOff>33129</xdr:colOff>
      <xdr:row>2</xdr:row>
      <xdr:rowOff>59633</xdr:rowOff>
    </xdr:from>
    <xdr:to>
      <xdr:col>17</xdr:col>
      <xdr:colOff>582826</xdr:colOff>
      <xdr:row>14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EA3AA7-0B30-47D3-B5B9-1942731B5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2520" y="430694"/>
          <a:ext cx="3597697" cy="2319131"/>
        </a:xfrm>
        <a:prstGeom prst="rect">
          <a:avLst/>
        </a:prstGeom>
      </xdr:spPr>
    </xdr:pic>
    <xdr:clientData/>
  </xdr:twoCellAnchor>
  <xdr:twoCellAnchor editAs="oneCell">
    <xdr:from>
      <xdr:col>19</xdr:col>
      <xdr:colOff>50969</xdr:colOff>
      <xdr:row>2</xdr:row>
      <xdr:rowOff>143967</xdr:rowOff>
    </xdr:from>
    <xdr:to>
      <xdr:col>30</xdr:col>
      <xdr:colOff>277090</xdr:colOff>
      <xdr:row>16</xdr:row>
      <xdr:rowOff>55139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4BC4D49-8F39-4109-9CCD-033D1E327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35151" y="504185"/>
          <a:ext cx="6931721" cy="2432699"/>
        </a:xfrm>
        <a:prstGeom prst="rect">
          <a:avLst/>
        </a:prstGeom>
      </xdr:spPr>
    </xdr:pic>
    <xdr:clientData/>
  </xdr:twoCellAnchor>
  <xdr:twoCellAnchor editAs="oneCell">
    <xdr:from>
      <xdr:col>5</xdr:col>
      <xdr:colOff>500743</xdr:colOff>
      <xdr:row>23</xdr:row>
      <xdr:rowOff>0</xdr:rowOff>
    </xdr:from>
    <xdr:to>
      <xdr:col>16</xdr:col>
      <xdr:colOff>130629</xdr:colOff>
      <xdr:row>38</xdr:row>
      <xdr:rowOff>153718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67B0FDF-B9CA-4C71-A931-4E0BA0514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51514" y="4288971"/>
          <a:ext cx="6335486" cy="294046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463830</xdr:colOff>
      <xdr:row>13</xdr:row>
      <xdr:rowOff>82827</xdr:rowOff>
    </xdr:from>
    <xdr:to>
      <xdr:col>10</xdr:col>
      <xdr:colOff>621197</xdr:colOff>
      <xdr:row>20</xdr:row>
      <xdr:rowOff>16535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FDBEB7-36EE-F8BB-BB93-2896E35CE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3873" y="2584175"/>
          <a:ext cx="6750324" cy="12672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35028</xdr:colOff>
      <xdr:row>0</xdr:row>
      <xdr:rowOff>493888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D0E07727-BD9E-4330-899A-F3CCA01195B3}"/>
            </a:ext>
            <a:ext uri="{147F2762-F138-4A5C-976F-8EAC2B608ADB}">
              <a16:predDERef xmlns:a16="http://schemas.microsoft.com/office/drawing/2014/main" pred="{EBA8CA0E-5443-42DF-B13B-BD867679C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44753" cy="4938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alconautotech-my.sharepoint.com/Users/markj/Desktop/Conveyor%20pric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alconautotech-my.sharepoint.com/Users/peter.DESKTOP-DCMAI5V/AppData/Local/Microsoft/Windows/INetCache/Content.Outlook/UL1UBNKC/110519_dhl_qld_round_3_Option_1_35%5eLM1_conveyors%20090319%20(002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alconautotech-my.sharepoint.com/personal/vaibhav_singh_falconautoonline_com/Documents/Microsoft%20Teams%20Chat%20Files/F22-00144_Shadowfax_Bilaspur_Costing(17-05-23).xlsx" TargetMode="External"/><Relationship Id="rId1" Type="http://schemas.openxmlformats.org/officeDocument/2006/relationships/externalLinkPath" Target="https://falconautotech-my.sharepoint.com/personal/vaibhav_singh_falconautoonline_com/Documents/Microsoft%20Teams%20Chat%20Files/F22-00144_Shadowfax_Bilaspur_Costing(17-05-23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01_Proposals\2023%20Proposals\F23-00273_Courier%20Please_CBS\06_Drawings\10-Layout\Solution%2010\Phase-1_Overall%20Costing(22-08-23).xlsx" TargetMode="External"/><Relationship Id="rId1" Type="http://schemas.openxmlformats.org/officeDocument/2006/relationships/externalLinkPath" Target="file:///Y:\01_Proposals\2023%20Proposals\F23-00273_Courier%20Please_CBS\06_Drawings\10-Layout\Solution%2010\Phase-1_Overall%20Costing(22-08-23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alconautotech-my.sharepoint.com/personal/adib_hasim_falconautotech_com/Documents/Europe%20Region/Opportunities/InPost/F25-00184_InPost_PL_Loop%20CBS_28K/05_Cost%20Calculation/Costing%20for%202%20Nos.xlsx" TargetMode="External"/><Relationship Id="rId1" Type="http://schemas.openxmlformats.org/officeDocument/2006/relationships/externalLinkPath" Target="https://falconautotech-my.sharepoint.com/personal/adib_hasim_falconautotech_com/Documents/Europe%20Region/Opportunities/InPost/F25-00184_InPost_PL_Loop%20CBS_28K/05_Cost%20Calculation/Costing%20for%202%20No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alconautotech-my.sharepoint.com/personal/adib_hasim_falconautotech_com/Documents/Europe%20Region/Opportunities/InPost/F25-00184_InPost_PL_Loop%20CBS_28K/05_Cost%20Calculation/Costing%20for%203%20Nos.xlsx" TargetMode="External"/><Relationship Id="rId1" Type="http://schemas.openxmlformats.org/officeDocument/2006/relationships/externalLinkPath" Target="https://falconautotech-my.sharepoint.com/personal/adib_hasim_falconautotech_com/Documents/Europe%20Region/Opportunities/InPost/F25-00184_InPost_PL_Loop%20CBS_28K/05_Cost%20Calculation/Costing%20for%203%20No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Viapost\RFQ8274_St.Aunes\September\Scenario%203\Final%20Costing%20scenario%203%20ViaPost_Loop%20_16.09.2023_PK.xlsx" TargetMode="External"/><Relationship Id="rId1" Type="http://schemas.openxmlformats.org/officeDocument/2006/relationships/externalLinkPath" Target="https://falconautotech-my.sharepoint.com/Viapost/RFQ8274_St.Aunes/September/Scenario%203/Final%20Costing%20scenario%203%20ViaPost_Loop%20_16.09.2023_PK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Z:\personal\adib_hasim_falconautotech_com\Documents\Europe%20Region\Opportunities\InPost\F25-00124_InPost_PL_5%20sites%20LCBS_9500PPH\05_Cost%20Calculation\Rev%202\F25-00124_InPost_UK_Linear%20CBS_Costing_for%201%20No%20Sorter.xlsx" TargetMode="External"/><Relationship Id="rId2" Type="http://schemas.microsoft.com/office/2019/04/relationships/externalLinkLongPath" Target="https://falconautotech-my.sharepoint.com/personal/adib_hasim_falconautotech_com/Documents/Europe%20Region/Opportunities/InPost/F25-00124_InPost_PL_5%20sites%20LCBS_9500PPH/05_Cost%20Calculation/Rev%202/F25-00124_InPost_UK_Linear%20CBS_Costing_for%201%20No%20Sorter.xlsx?F5FB2658" TargetMode="External"/><Relationship Id="rId1" Type="http://schemas.openxmlformats.org/officeDocument/2006/relationships/externalLinkPath" Target="file:///\\F5FB2658\F25-00124_InPost_UK_Linear%20CBS_Costing_for%201%20No%20Sorter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01_Proposals\2025%20Proposals\F25-00150_%201%20mg%20Neo%20System\05_Cost%20Calculation\Solution%201\Costing_1%20mg_NEO.xlsx" TargetMode="External"/><Relationship Id="rId1" Type="http://schemas.openxmlformats.org/officeDocument/2006/relationships/externalLinkPath" Target="/01_Proposals/2025%20Proposals/F25-00150_%201%20mg%20Neo%20System/05_Cost%20Calculation/Solution%201/Costing_1%20mg_NE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Pag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 Costing"/>
      <sheetName val="Loop CBS"/>
      <sheetName val="Loop"/>
      <sheetName val="Linear CBS"/>
      <sheetName val="Linear"/>
      <sheetName val="Inducts"/>
      <sheetName val="Bag Sorter Induct"/>
      <sheetName val="Sample Inducts"/>
      <sheetName val="Selection"/>
      <sheetName val="Arm Sorter"/>
      <sheetName val="Induct line for Arm"/>
      <sheetName val="Swedi sorter"/>
      <sheetName val="Induct Line for Swedi"/>
      <sheetName val="Conveyors"/>
      <sheetName val="Conveyor Costing"/>
      <sheetName val="Destinations"/>
      <sheetName val="PTL"/>
      <sheetName val="Steelworks"/>
      <sheetName val="Software Packages"/>
      <sheetName val="Quote Master"/>
      <sheetName val="Weighing Convey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 Team - Falcon"/>
      <sheetName val="Overall Costing"/>
      <sheetName val="Loop CBS"/>
      <sheetName val="Loop"/>
      <sheetName val="Inducts"/>
      <sheetName val="Selection"/>
      <sheetName val="Linear CBS"/>
      <sheetName val="Linear"/>
      <sheetName val="Bag Sorter Induct"/>
      <sheetName val="Sample Inducts"/>
      <sheetName val="Arm Sorter"/>
      <sheetName val="Induct line for Arm"/>
      <sheetName val="Swedi sorter"/>
      <sheetName val="Induct Line for Swedi"/>
      <sheetName val="PTL"/>
      <sheetName val="Conveyors"/>
      <sheetName val="Conveyor Costing"/>
      <sheetName val="NormalConveyorLeg"/>
      <sheetName val="Destinations"/>
      <sheetName val="Steelworks"/>
      <sheetName val="Software Packages"/>
      <sheetName val="Quote Master"/>
      <sheetName val="Weighing Conveyors"/>
    </sheetNames>
    <sheetDataSet>
      <sheetData sheetId="0" refreshError="1"/>
      <sheetData sheetId="1">
        <row r="1">
          <cell r="M1">
            <v>0.65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l "/>
      <sheetName val="Inpost Sheet"/>
      <sheetName val="Support Rampup"/>
      <sheetName val="I&amp;C Cost"/>
      <sheetName val="Local I&amp;C"/>
      <sheetName val="FAPL SAT"/>
      <sheetName val="FAPL I&amp;C"/>
      <sheetName val="Overall Costing"/>
      <sheetName val="Loop CBS"/>
      <sheetName val="Inducts"/>
      <sheetName val="Linear CBS"/>
      <sheetName val="Budgetary Costing"/>
      <sheetName val="NEO New rate data"/>
      <sheetName val="Linear"/>
      <sheetName val="Final Rate card"/>
      <sheetName val="Arm Sorter"/>
      <sheetName val="Swedi sorter"/>
      <sheetName val="Conveyors"/>
      <sheetName val="Conveyor Costing"/>
      <sheetName val="NormalConveyorLeg"/>
      <sheetName val="Loop"/>
      <sheetName val="Bag Sorter Induct"/>
      <sheetName val="Leg Guards"/>
      <sheetName val="EndJoints"/>
      <sheetName val="Sample Inducts"/>
      <sheetName val="Selection"/>
      <sheetName val="Induct line for Arm"/>
      <sheetName val="Induct Line for Swedi"/>
      <sheetName val="Destinations"/>
      <sheetName val="RECOMMEDED DESIGNS"/>
      <sheetName val="PTL"/>
      <sheetName val="Steelworks"/>
      <sheetName val="Software Packages"/>
      <sheetName val="Quote Master"/>
      <sheetName val="Weighing Conveyors"/>
      <sheetName val="Mezzanien Description"/>
      <sheetName val="Chute Costing "/>
    </sheetNames>
    <sheetDataSet>
      <sheetData sheetId="0">
        <row r="13">
          <cell r="G13">
            <v>3548906.5384145584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l "/>
      <sheetName val="Inpost Sheet"/>
      <sheetName val="Support Rampup"/>
      <sheetName val="I&amp;C Cost"/>
      <sheetName val="Local I&amp;C"/>
      <sheetName val="FAPL SAT"/>
      <sheetName val="FAPL I&amp;C"/>
      <sheetName val="Overall Costing"/>
      <sheetName val="Loop CBS"/>
      <sheetName val="Inducts"/>
      <sheetName val="Linear CBS"/>
      <sheetName val="Budgetary Costing"/>
      <sheetName val="NEO New rate data"/>
      <sheetName val="Linear"/>
      <sheetName val="Final Rate card"/>
      <sheetName val="Arm Sorter"/>
      <sheetName val="Swedi sorter"/>
      <sheetName val="Conveyors"/>
      <sheetName val="Conveyor Costing"/>
      <sheetName val="NormalConveyorLeg"/>
      <sheetName val="Loop"/>
      <sheetName val="Bag Sorter Induct"/>
      <sheetName val="Leg Guards"/>
      <sheetName val="EndJoints"/>
      <sheetName val="Sample Inducts"/>
      <sheetName val="Selection"/>
      <sheetName val="Induct line for Arm"/>
      <sheetName val="Induct Line for Swedi"/>
      <sheetName val="Destinations"/>
      <sheetName val="RECOMMEDED DESIGNS"/>
      <sheetName val="PTL"/>
      <sheetName val="Steelworks"/>
      <sheetName val="Software Packages"/>
      <sheetName val="Quote Master"/>
      <sheetName val="Weighing Conveyors"/>
      <sheetName val="Mezzanien Description"/>
      <sheetName val="Chute Costing "/>
    </sheetNames>
    <sheetDataSet>
      <sheetData sheetId="0">
        <row r="13">
          <cell r="G13">
            <v>3507251.9200586816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ffer"/>
      <sheetName val="Final "/>
      <sheetName val="New Finance SHeet"/>
      <sheetName val="SCx financial grid-Old"/>
      <sheetName val="I&amp;C Alstef"/>
      <sheetName val="I&amp;C Falcon _Optional"/>
      <sheetName val="I&amp;C Falcon"/>
      <sheetName val="Overall Costing"/>
      <sheetName val="Loop CBS "/>
      <sheetName val="Loop"/>
      <sheetName val="Linear CBS"/>
      <sheetName val="Linear"/>
      <sheetName val="Inducts"/>
      <sheetName val="Bag Sorter Induct"/>
      <sheetName val="Sample Inducts"/>
      <sheetName val="Selection"/>
      <sheetName val="Arm Sorter"/>
      <sheetName val="Induct line for Arm"/>
      <sheetName val="Swedi sorter"/>
      <sheetName val="Induct Line for Swedi"/>
      <sheetName val="Swedi Calcilation Sheet"/>
      <sheetName val="Conveyors "/>
      <sheetName val="Conveyor Ref."/>
      <sheetName val="Conveyor Leg"/>
      <sheetName val="Destinations"/>
      <sheetName val="PTL"/>
      <sheetName val="Steelworks"/>
      <sheetName val="Software Packages"/>
      <sheetName val="Weighing Conveyors"/>
      <sheetName val="Quote_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N2">
            <v>87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heet1"/>
      <sheetName val="Inpost Sheet"/>
      <sheetName val="Spare Kit"/>
      <sheetName val="Warranty Package"/>
      <sheetName val="I&amp;C Cost"/>
      <sheetName val="Local I&amp;C"/>
      <sheetName val="FAPL SAT"/>
      <sheetName val="FAPl I&amp;C"/>
      <sheetName val="Overall Costing"/>
      <sheetName val="Loop CBS"/>
      <sheetName val="Loop"/>
      <sheetName val="Linear"/>
      <sheetName val="Inducts"/>
      <sheetName val="Bag Sorter Induct"/>
      <sheetName val="Sample Inducts"/>
      <sheetName val="Selection"/>
      <sheetName val="Arm Sorter"/>
      <sheetName val="Induct line for Arm"/>
      <sheetName val="Swedi sorter"/>
      <sheetName val="Induct Line for Swedi"/>
      <sheetName val="EndJoints"/>
      <sheetName val="Linear CBS"/>
      <sheetName val="ATP"/>
      <sheetName val="Conveyors"/>
      <sheetName val="NormalConveyorLeg"/>
      <sheetName val="Leg Guards"/>
      <sheetName val="Conveyor Costing"/>
      <sheetName val="Destinations"/>
      <sheetName val="PTL"/>
      <sheetName val="Steelworks"/>
      <sheetName val="Software Packages"/>
      <sheetName val="Quote Master"/>
      <sheetName val="Weighing Conveyors"/>
      <sheetName val="Mezzanine Descrip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6">
          <cell r="C26">
            <v>58384.482758620688</v>
          </cell>
        </row>
      </sheetData>
      <sheetData sheetId="8">
        <row r="5">
          <cell r="M5">
            <v>88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 Costing"/>
      <sheetName val="Budgetary Costing"/>
      <sheetName val="Infra Calculation"/>
      <sheetName val="Arm Sorter"/>
      <sheetName val="Loop CBS"/>
      <sheetName val="Loop"/>
      <sheetName val="Linear CBS"/>
      <sheetName val="Linear"/>
      <sheetName val="Inducts"/>
      <sheetName val="Bag Sorter Induct"/>
      <sheetName val="Sample Inducts"/>
      <sheetName val="Selection"/>
      <sheetName val="Induct line for Arm"/>
      <sheetName val="Induct Line for Swedi"/>
      <sheetName val="EndJoints"/>
      <sheetName val="GTC Conveyor"/>
      <sheetName val="Conveyors"/>
      <sheetName val="Conveyor Costing"/>
      <sheetName val="NormalConveyorLeg"/>
      <sheetName val="Leg Guards"/>
      <sheetName val="Destinations"/>
      <sheetName val="PTL"/>
      <sheetName val="Steelworks"/>
      <sheetName val="Software Packages"/>
      <sheetName val="Quote Master"/>
      <sheetName val="Weighing Conveyors"/>
      <sheetName val="Mezzanien Description"/>
    </sheetNames>
    <sheetDataSet>
      <sheetData sheetId="0"/>
      <sheetData sheetId="1">
        <row r="3">
          <cell r="C3">
            <v>4</v>
          </cell>
        </row>
        <row r="4">
          <cell r="C4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12-15T11:10:01.5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12-15T11:10:01.5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0 1,'0'0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12-15T11:10:01.5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0 1,'0'0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4-23T09:42:55.12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4-23T09:42:55.1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0 1,'0'0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4-23T09:42:55.1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0 1,'0'0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4-23T09:42:55.1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Jagat Singh" id="{C826C6C4-0C19-40DB-ADB2-9391F293274C}" userId="3894271b7cb02c74" providerId="Windows Live"/>
  <person displayName="Arun Kumar" id="{78270970-95E6-49C0-BB88-4174A2F0C51A}" userId="S::arun.k@falconautotech.com::a0e7c4a8-038b-4665-8550-6f0c9ce92b01" providerId="AD"/>
  <person displayName="Adib Hasim" id="{ACB5A8EC-0817-40A0-B125-13D2B32C7B37}" userId="S::Adib.hasim@falconautotech.com::0500a5a7-73bb-4638-8de6-6ad5da8bbbca" providerId="AD"/>
  <person displayName="Rohan Sharma" id="{E0ED85ED-0A80-43CF-B28A-E6E9A17823E1}" userId="S::Rohan.Sharma@falconautotech.com::682a2aaf-5258-4c66-bc53-338b0649e2b0" providerId="AD"/>
  <person displayName="Vaibhav Singh" id="{46AED083-7837-4D41-80C6-EDFA69368560}" userId="S::Vaibhav.singh@falconautotech.com::0b2519fe-f724-4c1f-871b-cf01accf7d44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un Kumar -" refreshedDate="45856.780300578706" createdVersion="8" refreshedVersion="8" minRefreshableVersion="3" recordCount="58" xr:uid="{F38A48A0-608D-4FE1-B8FE-2918C79DFBEF}">
  <cacheSource type="worksheet">
    <worksheetSource ref="A2:R60" sheet="Conveyors"/>
  </cacheSource>
  <cacheFields count="18">
    <cacheField name="S No." numFmtId="0">
      <sharedItems containsSemiMixedTypes="0" containsString="0" containsNumber="1" containsInteger="1" minValue="1" maxValue="58"/>
    </cacheField>
    <cacheField name="Name" numFmtId="0">
      <sharedItems containsBlank="1" count="13">
        <s v="PVC Belt Conveyor(Bulk loading)"/>
        <s v="PVC Belt Conveyor"/>
        <s v="Modular Conveyor"/>
        <s v="Curve Conveyor(90°)"/>
        <s v="Modular Belt Conveyor" u="1"/>
        <s v="PVC belt conveyor (Torque Arm)" u="1"/>
        <s v="PVC S3 Conveyor" u="1"/>
        <s v="Accumulation Roller conveyor" u="1"/>
        <s v="Powered Roller Conveyor" u="1"/>
        <s v="Gravity Roller Conveyor" u="1"/>
        <s v="Pop up Unit" u="1"/>
        <m u="1"/>
        <s v="Mastr control Panel" u="1"/>
      </sharedItems>
    </cacheField>
    <cacheField name="ANGLE" numFmtId="0">
      <sharedItems containsString="0" containsBlank="1" containsNumber="1" minValue="0" maxValue="14.8"/>
    </cacheField>
    <cacheField name="EL_1" numFmtId="0">
      <sharedItems containsSemiMixedTypes="0" containsString="0" containsNumber="1" containsInteger="1" minValue="448" maxValue="4050"/>
    </cacheField>
    <cacheField name="EL_2" numFmtId="0">
      <sharedItems containsSemiMixedTypes="0" containsString="0" containsNumber="1" containsInteger="1" minValue="550" maxValue="5180"/>
    </cacheField>
    <cacheField name="Conveyor Length (mm)" numFmtId="0">
      <sharedItems containsString="0" containsBlank="1" containsNumber="1" containsInteger="1" minValue="2000" maxValue="8000"/>
    </cacheField>
    <cacheField name="Conveyor Length (m)" numFmtId="172">
      <sharedItems containsString="0" containsBlank="1" containsNumber="1" minValue="2" maxValue="8"/>
    </cacheField>
    <cacheField name="Conveyor width (mm)" numFmtId="0">
      <sharedItems containsSemiMixedTypes="0" containsString="0" containsNumber="1" containsInteger="1" minValue="1000" maxValue="1238"/>
    </cacheField>
    <cacheField name="Set" numFmtId="0">
      <sharedItems containsSemiMixedTypes="0" containsString="0" containsNumber="1" containsInteger="1" minValue="1" maxValue="1"/>
    </cacheField>
    <cacheField name="Unit Price" numFmtId="0">
      <sharedItems containsString="0" containsBlank="1" containsNumber="1" containsInteger="1" minValue="1520000" maxValue="1520000"/>
    </cacheField>
    <cacheField name="Drive Price" numFmtId="0">
      <sharedItems containsString="0" containsBlank="1" containsNumber="1" minValue="333883.33333333331" maxValue="333883.33333333331"/>
    </cacheField>
    <cacheField name="MOTOR_POWER (KW)" numFmtId="0">
      <sharedItems containsString="0" containsBlank="1" containsNumber="1" minValue="4" maxValue="7.5"/>
    </cacheField>
    <cacheField name="Base Module (BM)_x000a_HM+TM+DM" numFmtId="0">
      <sharedItems containsString="0" containsBlank="1" containsNumber="1" minValue="254354.56614432984" maxValue="381531.84921649477"/>
    </cacheField>
    <cacheField name="Motor Price(Inculding {Pannel, VFD})" numFmtId="0">
      <sharedItems containsString="0" containsBlank="1" containsNumber="1" minValue="143651.5" maxValue="249400"/>
    </cacheField>
    <cacheField name="Cost/ mtr" numFmtId="1">
      <sharedItems containsString="0" containsBlank="1" containsNumber="1" minValue="36933.398729686589" maxValue="130333.33333333333"/>
    </cacheField>
    <cacheField name="Total Cost Price" numFmtId="0">
      <sharedItems containsString="0" containsBlank="1" containsNumber="1" minValue="398006.06614432984" maxValue="711327.67881411512"/>
    </cacheField>
    <cacheField name="Selling Price" numFmtId="0">
      <sharedItems containsSemiMixedTypes="0" containsString="0" containsNumber="1" minValue="589638.61651011824" maxValue="1520000"/>
    </cacheField>
    <cacheField name="Family" numFmtId="0">
      <sharedItems containsBlank="1" count="4">
        <s v="Infeed"/>
        <s v="Rejection &amp; Non Con"/>
        <s v="Infeed Conveyor" u="1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n v="1"/>
    <x v="0"/>
    <n v="0"/>
    <n v="4050"/>
    <n v="4050"/>
    <n v="5760"/>
    <n v="5.76"/>
    <n v="1210"/>
    <n v="1"/>
    <m/>
    <m/>
    <n v="4"/>
    <n v="381531.84921649477"/>
    <n v="143651.5"/>
    <n v="55400.09809452988"/>
    <n v="711327.67881411512"/>
    <n v="1053818.7834283186"/>
    <x v="0"/>
  </r>
  <r>
    <n v="2"/>
    <x v="0"/>
    <n v="0"/>
    <n v="550"/>
    <n v="550"/>
    <n v="5760"/>
    <n v="5.76"/>
    <n v="1210"/>
    <n v="1"/>
    <m/>
    <m/>
    <n v="4"/>
    <n v="381531.84921649477"/>
    <n v="143651.5"/>
    <n v="55400.09809452988"/>
    <n v="711327.67881411512"/>
    <n v="1053818.7834283186"/>
    <x v="0"/>
  </r>
  <r>
    <n v="3"/>
    <x v="1"/>
    <n v="14.3"/>
    <n v="3548"/>
    <n v="5180"/>
    <n v="6440"/>
    <n v="6.44"/>
    <n v="1210"/>
    <n v="1"/>
    <m/>
    <m/>
    <n v="5.5"/>
    <n v="254354.56614432984"/>
    <n v="169290"/>
    <n v="36933.398729686589"/>
    <n v="572855.49701226363"/>
    <n v="848674.81038853864"/>
    <x v="0"/>
  </r>
  <r>
    <n v="4"/>
    <x v="1"/>
    <n v="0"/>
    <n v="550"/>
    <n v="550"/>
    <n v="5760"/>
    <n v="5.76"/>
    <n v="1210"/>
    <n v="1"/>
    <m/>
    <m/>
    <n v="4"/>
    <n v="254354.56614432984"/>
    <n v="143651.5"/>
    <n v="36933.398729686589"/>
    <n v="522102.28587607678"/>
    <n v="773484.86796455819"/>
    <x v="0"/>
  </r>
  <r>
    <n v="5"/>
    <x v="1"/>
    <n v="14.8"/>
    <n v="2350"/>
    <n v="4433"/>
    <n v="8000"/>
    <n v="8"/>
    <n v="1210"/>
    <n v="1"/>
    <m/>
    <m/>
    <n v="7.5"/>
    <n v="254354.56614432984"/>
    <n v="249400"/>
    <n v="36933.398729686589"/>
    <n v="710581.59903057478"/>
    <n v="1052713.480045296"/>
    <x v="0"/>
  </r>
  <r>
    <n v="6"/>
    <x v="1"/>
    <n v="0"/>
    <n v="2452"/>
    <n v="2452"/>
    <n v="2000"/>
    <n v="2"/>
    <n v="1210"/>
    <n v="1"/>
    <m/>
    <m/>
    <n v="4"/>
    <n v="254354.56614432984"/>
    <n v="143651.5"/>
    <n v="36933.398729686589"/>
    <n v="398006.06614432984"/>
    <n v="589638.61651011824"/>
    <x v="0"/>
  </r>
  <r>
    <n v="7"/>
    <x v="1"/>
    <n v="14.8"/>
    <n v="448"/>
    <n v="2532"/>
    <n v="8000"/>
    <n v="8"/>
    <n v="1210"/>
    <n v="1"/>
    <m/>
    <m/>
    <n v="7.5"/>
    <n v="254354.56614432984"/>
    <n v="249400"/>
    <n v="36933.398729686589"/>
    <n v="710581.59903057478"/>
    <n v="1052713.480045296"/>
    <x v="0"/>
  </r>
  <r>
    <n v="8"/>
    <x v="1"/>
    <n v="0"/>
    <n v="550"/>
    <n v="550"/>
    <n v="5760"/>
    <n v="5.76"/>
    <n v="1210"/>
    <n v="1"/>
    <m/>
    <m/>
    <n v="4"/>
    <n v="254354.56614432984"/>
    <n v="143651.5"/>
    <n v="36933.398729686589"/>
    <n v="522102.28587607678"/>
    <n v="773484.86796455819"/>
    <x v="0"/>
  </r>
  <r>
    <n v="9"/>
    <x v="1"/>
    <n v="0"/>
    <n v="3650"/>
    <n v="3650"/>
    <n v="3840"/>
    <n v="3.84"/>
    <n v="1210"/>
    <n v="1"/>
    <m/>
    <m/>
    <n v="4"/>
    <n v="254354.56614432984"/>
    <n v="143651.5"/>
    <n v="36933.398729686589"/>
    <n v="451190.16031507851"/>
    <n v="668429.86713344965"/>
    <x v="0"/>
  </r>
  <r>
    <n v="10"/>
    <x v="1"/>
    <n v="0"/>
    <n v="550"/>
    <n v="550"/>
    <n v="5760"/>
    <n v="5.76"/>
    <n v="1210"/>
    <n v="1"/>
    <m/>
    <m/>
    <n v="4"/>
    <n v="254354.56614432984"/>
    <n v="143651.5"/>
    <n v="36933.398729686589"/>
    <n v="522102.28587607678"/>
    <n v="773484.86796455819"/>
    <x v="0"/>
  </r>
  <r>
    <n v="11"/>
    <x v="1"/>
    <n v="0"/>
    <n v="2452"/>
    <n v="2452"/>
    <n v="2000"/>
    <n v="2"/>
    <n v="1210"/>
    <n v="1"/>
    <m/>
    <m/>
    <n v="4"/>
    <n v="254354.56614432984"/>
    <n v="143651.5"/>
    <n v="36933.398729686589"/>
    <n v="398006.06614432984"/>
    <n v="589638.61651011824"/>
    <x v="0"/>
  </r>
  <r>
    <n v="12"/>
    <x v="1"/>
    <n v="14.8"/>
    <n v="2350"/>
    <n v="4433"/>
    <n v="8000"/>
    <n v="8"/>
    <n v="1210"/>
    <n v="1"/>
    <m/>
    <m/>
    <n v="7.5"/>
    <n v="254354.56614432984"/>
    <n v="249400"/>
    <n v="36933.398729686589"/>
    <n v="710581.59903057478"/>
    <n v="1052713.480045296"/>
    <x v="0"/>
  </r>
  <r>
    <n v="13"/>
    <x v="1"/>
    <n v="0"/>
    <n v="550"/>
    <n v="550"/>
    <n v="5760"/>
    <n v="5.76"/>
    <n v="1210"/>
    <n v="1"/>
    <m/>
    <m/>
    <n v="4"/>
    <n v="254354.56614432984"/>
    <n v="143651.5"/>
    <n v="36933.398729686589"/>
    <n v="522102.28587607678"/>
    <n v="773484.86796455819"/>
    <x v="0"/>
  </r>
  <r>
    <n v="14"/>
    <x v="1"/>
    <n v="14.3"/>
    <n v="3548"/>
    <n v="5180"/>
    <n v="6440"/>
    <n v="6.44"/>
    <n v="1210"/>
    <n v="1"/>
    <m/>
    <m/>
    <n v="5.5"/>
    <n v="254354.56614432984"/>
    <n v="169290"/>
    <n v="36933.398729686589"/>
    <n v="572855.49701226363"/>
    <n v="848674.81038853864"/>
    <x v="0"/>
  </r>
  <r>
    <n v="15"/>
    <x v="1"/>
    <n v="0"/>
    <n v="550"/>
    <n v="550"/>
    <n v="5760"/>
    <n v="5.76"/>
    <n v="1210"/>
    <n v="1"/>
    <m/>
    <m/>
    <n v="4"/>
    <n v="254354.56614432984"/>
    <n v="143651.5"/>
    <n v="36933.398729686589"/>
    <n v="522102.28587607678"/>
    <n v="773484.86796455819"/>
    <x v="0"/>
  </r>
  <r>
    <n v="16"/>
    <x v="1"/>
    <n v="0"/>
    <n v="4050"/>
    <n v="4050"/>
    <n v="5760"/>
    <n v="5.76"/>
    <n v="1210"/>
    <n v="1"/>
    <m/>
    <m/>
    <n v="4"/>
    <n v="254354.56614432984"/>
    <n v="143651.5"/>
    <n v="36933.398729686589"/>
    <n v="522102.28587607678"/>
    <n v="773484.86796455819"/>
    <x v="0"/>
  </r>
  <r>
    <n v="17"/>
    <x v="1"/>
    <n v="0"/>
    <n v="550"/>
    <n v="550"/>
    <n v="5760"/>
    <n v="5.76"/>
    <n v="1210"/>
    <n v="1"/>
    <m/>
    <m/>
    <n v="4"/>
    <n v="254354.56614432984"/>
    <n v="143651.5"/>
    <n v="36933.398729686589"/>
    <n v="522102.28587607678"/>
    <n v="773484.86796455819"/>
    <x v="0"/>
  </r>
  <r>
    <n v="18"/>
    <x v="1"/>
    <n v="0"/>
    <n v="3650"/>
    <n v="3650"/>
    <n v="3840"/>
    <n v="3.84"/>
    <n v="1210"/>
    <n v="1"/>
    <m/>
    <m/>
    <n v="4"/>
    <n v="254354.56614432984"/>
    <n v="143651.5"/>
    <n v="36933.398729686589"/>
    <n v="451190.16031507851"/>
    <n v="668429.86713344965"/>
    <x v="0"/>
  </r>
  <r>
    <n v="19"/>
    <x v="1"/>
    <n v="0"/>
    <n v="550"/>
    <n v="550"/>
    <n v="5760"/>
    <n v="5.76"/>
    <n v="1210"/>
    <n v="1"/>
    <m/>
    <m/>
    <n v="4"/>
    <n v="254354.56614432984"/>
    <n v="143651.5"/>
    <n v="36933.398729686589"/>
    <n v="522102.28587607678"/>
    <n v="773484.86796455819"/>
    <x v="0"/>
  </r>
  <r>
    <n v="20"/>
    <x v="1"/>
    <n v="14.8"/>
    <n v="448"/>
    <n v="2532"/>
    <n v="8000"/>
    <n v="8"/>
    <n v="1210"/>
    <n v="1"/>
    <m/>
    <m/>
    <n v="7.5"/>
    <n v="254354.56614432984"/>
    <n v="249400"/>
    <n v="36933.398729686589"/>
    <n v="710581.59903057478"/>
    <n v="1052713.480045296"/>
    <x v="0"/>
  </r>
  <r>
    <n v="21"/>
    <x v="2"/>
    <n v="0"/>
    <n v="1200"/>
    <n v="1200"/>
    <n v="4200"/>
    <n v="4.2"/>
    <n v="1238"/>
    <n v="1"/>
    <m/>
    <n v="333883.33333333331"/>
    <m/>
    <m/>
    <m/>
    <n v="130333.33333333333"/>
    <m/>
    <n v="881283.33333333326"/>
    <x v="1"/>
  </r>
  <r>
    <n v="22"/>
    <x v="2"/>
    <n v="0"/>
    <n v="800"/>
    <n v="800"/>
    <n v="4500"/>
    <n v="4.5"/>
    <n v="1238"/>
    <n v="1"/>
    <m/>
    <n v="333883.33333333331"/>
    <m/>
    <m/>
    <m/>
    <n v="130333.33333333333"/>
    <m/>
    <n v="920383.33333333326"/>
    <x v="1"/>
  </r>
  <r>
    <n v="23"/>
    <x v="2"/>
    <n v="0"/>
    <n v="800"/>
    <n v="800"/>
    <n v="4500"/>
    <n v="4.5"/>
    <n v="1238"/>
    <n v="1"/>
    <m/>
    <n v="333883.33333333331"/>
    <m/>
    <m/>
    <m/>
    <n v="130333.33333333333"/>
    <m/>
    <n v="920383.33333333326"/>
    <x v="1"/>
  </r>
  <r>
    <n v="24"/>
    <x v="2"/>
    <n v="0"/>
    <n v="800"/>
    <n v="800"/>
    <n v="3720"/>
    <n v="3.72"/>
    <n v="1238"/>
    <n v="1"/>
    <m/>
    <n v="333883.33333333331"/>
    <m/>
    <m/>
    <m/>
    <n v="130333.33333333333"/>
    <m/>
    <n v="818723.33333333326"/>
    <x v="1"/>
  </r>
  <r>
    <n v="25"/>
    <x v="2"/>
    <n v="0"/>
    <n v="1200"/>
    <n v="1200"/>
    <n v="5100"/>
    <n v="5.0999999999999996"/>
    <n v="1238"/>
    <n v="1"/>
    <m/>
    <n v="333883.33333333331"/>
    <m/>
    <m/>
    <m/>
    <n v="130333.33333333333"/>
    <m/>
    <n v="998583.33333333326"/>
    <x v="1"/>
  </r>
  <r>
    <n v="26"/>
    <x v="2"/>
    <n v="0"/>
    <n v="1200"/>
    <n v="1200"/>
    <n v="5100"/>
    <n v="5.0999999999999996"/>
    <n v="1238"/>
    <n v="1"/>
    <m/>
    <n v="333883.33333333331"/>
    <m/>
    <m/>
    <m/>
    <n v="130333.33333333333"/>
    <m/>
    <n v="998583.33333333326"/>
    <x v="1"/>
  </r>
  <r>
    <n v="27"/>
    <x v="2"/>
    <n v="0"/>
    <n v="1200"/>
    <n v="1200"/>
    <n v="5100"/>
    <n v="5.0999999999999996"/>
    <n v="1238"/>
    <n v="1"/>
    <m/>
    <n v="333883.33333333331"/>
    <m/>
    <m/>
    <m/>
    <n v="130333.33333333333"/>
    <m/>
    <n v="998583.33333333326"/>
    <x v="1"/>
  </r>
  <r>
    <n v="28"/>
    <x v="2"/>
    <n v="0"/>
    <n v="800"/>
    <n v="800"/>
    <n v="4500"/>
    <n v="4.5"/>
    <n v="1238"/>
    <n v="1"/>
    <m/>
    <n v="333883.33333333331"/>
    <m/>
    <m/>
    <m/>
    <n v="130333.33333333333"/>
    <m/>
    <n v="920383.33333333326"/>
    <x v="1"/>
  </r>
  <r>
    <n v="29"/>
    <x v="2"/>
    <n v="0"/>
    <n v="800"/>
    <n v="800"/>
    <n v="2400"/>
    <n v="2.4"/>
    <n v="1238"/>
    <n v="1"/>
    <m/>
    <n v="333883.33333333331"/>
    <m/>
    <m/>
    <m/>
    <n v="130333.33333333333"/>
    <m/>
    <n v="646683.33333333326"/>
    <x v="1"/>
  </r>
  <r>
    <n v="30"/>
    <x v="2"/>
    <n v="0"/>
    <n v="1200"/>
    <n v="1200"/>
    <n v="4200"/>
    <n v="4.2"/>
    <n v="1238"/>
    <n v="1"/>
    <m/>
    <n v="333883.33333333331"/>
    <m/>
    <m/>
    <m/>
    <n v="130333.33333333333"/>
    <m/>
    <n v="881283.33333333326"/>
    <x v="1"/>
  </r>
  <r>
    <n v="31"/>
    <x v="2"/>
    <n v="0"/>
    <n v="800"/>
    <n v="800"/>
    <n v="4500"/>
    <n v="4.5"/>
    <n v="1238"/>
    <n v="1"/>
    <m/>
    <n v="333883.33333333331"/>
    <m/>
    <m/>
    <m/>
    <n v="130333.33333333333"/>
    <m/>
    <n v="920383.33333333326"/>
    <x v="1"/>
  </r>
  <r>
    <n v="32"/>
    <x v="2"/>
    <n v="0"/>
    <n v="800"/>
    <n v="800"/>
    <n v="4500"/>
    <n v="4.5"/>
    <n v="1238"/>
    <n v="1"/>
    <m/>
    <n v="333883.33333333331"/>
    <m/>
    <m/>
    <m/>
    <n v="130333.33333333333"/>
    <m/>
    <n v="920383.33333333326"/>
    <x v="1"/>
  </r>
  <r>
    <n v="33"/>
    <x v="2"/>
    <n v="0"/>
    <n v="800"/>
    <n v="800"/>
    <n v="4500"/>
    <n v="4.5"/>
    <n v="1238"/>
    <n v="1"/>
    <m/>
    <n v="333883.33333333331"/>
    <m/>
    <m/>
    <m/>
    <n v="130333.33333333333"/>
    <m/>
    <n v="920383.33333333326"/>
    <x v="1"/>
  </r>
  <r>
    <n v="34"/>
    <x v="2"/>
    <n v="0"/>
    <n v="1200"/>
    <n v="1200"/>
    <n v="5100"/>
    <n v="5.0999999999999996"/>
    <n v="1238"/>
    <n v="1"/>
    <m/>
    <n v="333883.33333333331"/>
    <m/>
    <m/>
    <m/>
    <n v="130333.33333333333"/>
    <m/>
    <n v="998583.33333333326"/>
    <x v="1"/>
  </r>
  <r>
    <n v="35"/>
    <x v="2"/>
    <n v="0"/>
    <n v="1200"/>
    <n v="1200"/>
    <n v="5100"/>
    <n v="5.0999999999999996"/>
    <n v="1238"/>
    <n v="1"/>
    <m/>
    <n v="333883.33333333331"/>
    <m/>
    <m/>
    <m/>
    <n v="130333.33333333333"/>
    <m/>
    <n v="998583.33333333326"/>
    <x v="1"/>
  </r>
  <r>
    <n v="36"/>
    <x v="2"/>
    <n v="0"/>
    <n v="1200"/>
    <n v="1200"/>
    <n v="5100"/>
    <n v="5.0999999999999996"/>
    <n v="1238"/>
    <n v="1"/>
    <m/>
    <n v="333883.33333333331"/>
    <m/>
    <m/>
    <m/>
    <n v="130333.33333333333"/>
    <m/>
    <n v="998583.33333333326"/>
    <x v="1"/>
  </r>
  <r>
    <n v="37"/>
    <x v="2"/>
    <n v="0"/>
    <n v="1200"/>
    <n v="1200"/>
    <n v="5100"/>
    <n v="5.0999999999999996"/>
    <n v="1238"/>
    <n v="1"/>
    <m/>
    <n v="333883.33333333331"/>
    <m/>
    <m/>
    <m/>
    <n v="130333.33333333333"/>
    <m/>
    <n v="998583.33333333326"/>
    <x v="1"/>
  </r>
  <r>
    <n v="38"/>
    <x v="2"/>
    <n v="0"/>
    <n v="1200"/>
    <n v="1200"/>
    <n v="4200"/>
    <n v="4.2"/>
    <n v="1238"/>
    <n v="1"/>
    <m/>
    <n v="333883.33333333331"/>
    <m/>
    <m/>
    <m/>
    <n v="130333.33333333333"/>
    <m/>
    <n v="881283.33333333326"/>
    <x v="1"/>
  </r>
  <r>
    <n v="39"/>
    <x v="2"/>
    <n v="0"/>
    <n v="800"/>
    <n v="800"/>
    <n v="4680"/>
    <n v="4.68"/>
    <n v="1238"/>
    <n v="1"/>
    <m/>
    <n v="333883.33333333331"/>
    <m/>
    <m/>
    <m/>
    <n v="130333.33333333333"/>
    <m/>
    <n v="943843.33333333326"/>
    <x v="1"/>
  </r>
  <r>
    <n v="40"/>
    <x v="2"/>
    <n v="0"/>
    <n v="800"/>
    <n v="800"/>
    <n v="2400"/>
    <n v="2.4"/>
    <n v="1238"/>
    <n v="1"/>
    <m/>
    <n v="333883.33333333331"/>
    <m/>
    <m/>
    <m/>
    <n v="130333.33333333333"/>
    <m/>
    <n v="646683.33333333326"/>
    <x v="1"/>
  </r>
  <r>
    <n v="41"/>
    <x v="2"/>
    <n v="0"/>
    <n v="800"/>
    <n v="800"/>
    <n v="4500"/>
    <n v="4.5"/>
    <n v="1238"/>
    <n v="1"/>
    <m/>
    <n v="333883.33333333331"/>
    <m/>
    <m/>
    <m/>
    <n v="130333.33333333333"/>
    <m/>
    <n v="920383.33333333326"/>
    <x v="1"/>
  </r>
  <r>
    <n v="42"/>
    <x v="2"/>
    <n v="0"/>
    <n v="1200"/>
    <n v="1200"/>
    <n v="5100"/>
    <n v="5.0999999999999996"/>
    <n v="1238"/>
    <n v="1"/>
    <m/>
    <n v="333883.33333333331"/>
    <m/>
    <m/>
    <m/>
    <n v="130333.33333333333"/>
    <m/>
    <n v="998583.33333333326"/>
    <x v="1"/>
  </r>
  <r>
    <n v="43"/>
    <x v="2"/>
    <n v="0"/>
    <n v="1200"/>
    <n v="1200"/>
    <n v="5100"/>
    <n v="5.0999999999999996"/>
    <n v="1238"/>
    <n v="1"/>
    <m/>
    <n v="333883.33333333331"/>
    <m/>
    <m/>
    <m/>
    <n v="130333.33333333333"/>
    <m/>
    <n v="998583.33333333326"/>
    <x v="1"/>
  </r>
  <r>
    <n v="44"/>
    <x v="2"/>
    <n v="0"/>
    <n v="1200"/>
    <n v="1200"/>
    <n v="5100"/>
    <n v="5.0999999999999996"/>
    <n v="1238"/>
    <n v="1"/>
    <m/>
    <n v="333883.33333333331"/>
    <m/>
    <m/>
    <m/>
    <n v="130333.33333333333"/>
    <m/>
    <n v="998583.33333333326"/>
    <x v="1"/>
  </r>
  <r>
    <n v="45"/>
    <x v="2"/>
    <n v="0"/>
    <n v="800"/>
    <n v="800"/>
    <n v="3720"/>
    <n v="3.72"/>
    <n v="1238"/>
    <n v="1"/>
    <m/>
    <n v="333883.33333333331"/>
    <m/>
    <m/>
    <m/>
    <n v="130333.33333333333"/>
    <m/>
    <n v="818723.33333333326"/>
    <x v="1"/>
  </r>
  <r>
    <n v="46"/>
    <x v="2"/>
    <n v="0"/>
    <n v="800"/>
    <n v="800"/>
    <n v="4500"/>
    <n v="4.5"/>
    <n v="1238"/>
    <n v="1"/>
    <m/>
    <n v="333883.33333333331"/>
    <m/>
    <m/>
    <m/>
    <n v="130333.33333333333"/>
    <m/>
    <n v="920383.33333333326"/>
    <x v="1"/>
  </r>
  <r>
    <n v="47"/>
    <x v="2"/>
    <n v="0"/>
    <n v="800"/>
    <n v="800"/>
    <n v="4500"/>
    <n v="4.5"/>
    <n v="1238"/>
    <n v="1"/>
    <m/>
    <n v="333883.33333333331"/>
    <m/>
    <m/>
    <m/>
    <n v="130333.33333333333"/>
    <m/>
    <n v="920383.33333333326"/>
    <x v="1"/>
  </r>
  <r>
    <n v="48"/>
    <x v="2"/>
    <n v="0"/>
    <n v="1200"/>
    <n v="1200"/>
    <n v="4200"/>
    <n v="4.2"/>
    <n v="1238"/>
    <n v="1"/>
    <m/>
    <n v="333883.33333333331"/>
    <m/>
    <m/>
    <m/>
    <n v="130333.33333333333"/>
    <m/>
    <n v="881283.33333333326"/>
    <x v="1"/>
  </r>
  <r>
    <n v="49"/>
    <x v="2"/>
    <n v="0"/>
    <n v="800"/>
    <n v="800"/>
    <n v="4680"/>
    <n v="4.68"/>
    <n v="1238"/>
    <n v="1"/>
    <m/>
    <n v="333883.33333333331"/>
    <m/>
    <m/>
    <m/>
    <n v="130333.33333333333"/>
    <m/>
    <n v="943843.33333333326"/>
    <x v="1"/>
  </r>
  <r>
    <n v="50"/>
    <x v="2"/>
    <n v="0"/>
    <n v="1200"/>
    <n v="1200"/>
    <n v="5100"/>
    <n v="5.0999999999999996"/>
    <n v="1238"/>
    <n v="1"/>
    <m/>
    <n v="333883.33333333331"/>
    <m/>
    <m/>
    <m/>
    <n v="130333.33333333333"/>
    <m/>
    <n v="998583.33333333326"/>
    <x v="1"/>
  </r>
  <r>
    <n v="51"/>
    <x v="2"/>
    <n v="0"/>
    <n v="1200"/>
    <n v="1200"/>
    <n v="5100"/>
    <n v="5.0999999999999996"/>
    <n v="1238"/>
    <n v="1"/>
    <m/>
    <n v="333883.33333333331"/>
    <m/>
    <m/>
    <m/>
    <n v="130333.33333333333"/>
    <m/>
    <n v="998583.33333333326"/>
    <x v="1"/>
  </r>
  <r>
    <n v="52"/>
    <x v="2"/>
    <n v="0"/>
    <n v="1200"/>
    <n v="1200"/>
    <n v="5100"/>
    <n v="5.0999999999999996"/>
    <n v="1238"/>
    <n v="1"/>
    <m/>
    <n v="333883.33333333331"/>
    <m/>
    <m/>
    <m/>
    <n v="130333.33333333333"/>
    <m/>
    <n v="998583.33333333326"/>
    <x v="1"/>
  </r>
  <r>
    <n v="53"/>
    <x v="2"/>
    <n v="0"/>
    <n v="1200"/>
    <n v="1200"/>
    <n v="5100"/>
    <n v="5.0999999999999996"/>
    <n v="1238"/>
    <n v="1"/>
    <m/>
    <n v="333883.33333333331"/>
    <m/>
    <m/>
    <m/>
    <n v="130333.33333333333"/>
    <m/>
    <n v="998583.33333333326"/>
    <x v="1"/>
  </r>
  <r>
    <n v="54"/>
    <x v="2"/>
    <n v="0"/>
    <n v="800"/>
    <n v="800"/>
    <n v="4500"/>
    <n v="4.5"/>
    <n v="1238"/>
    <n v="1"/>
    <m/>
    <n v="333883.33333333331"/>
    <m/>
    <m/>
    <m/>
    <n v="130333.33333333333"/>
    <m/>
    <n v="920383.33333333326"/>
    <x v="1"/>
  </r>
  <r>
    <n v="55"/>
    <x v="2"/>
    <n v="0"/>
    <n v="800"/>
    <n v="800"/>
    <n v="4500"/>
    <n v="4.5"/>
    <n v="1238"/>
    <n v="1"/>
    <m/>
    <n v="333883.33333333331"/>
    <m/>
    <m/>
    <m/>
    <n v="130333.33333333333"/>
    <m/>
    <n v="920383.33333333326"/>
    <x v="1"/>
  </r>
  <r>
    <n v="56"/>
    <x v="2"/>
    <n v="0"/>
    <n v="800"/>
    <n v="800"/>
    <n v="4500"/>
    <n v="4.5"/>
    <n v="1238"/>
    <n v="1"/>
    <m/>
    <n v="333883.33333333331"/>
    <m/>
    <m/>
    <m/>
    <n v="130333.33333333333"/>
    <m/>
    <n v="920383.33333333326"/>
    <x v="1"/>
  </r>
  <r>
    <n v="57"/>
    <x v="3"/>
    <m/>
    <n v="650"/>
    <n v="650"/>
    <m/>
    <m/>
    <n v="1000"/>
    <n v="1"/>
    <n v="1520000"/>
    <m/>
    <m/>
    <m/>
    <m/>
    <m/>
    <m/>
    <n v="1520000"/>
    <x v="1"/>
  </r>
  <r>
    <n v="58"/>
    <x v="3"/>
    <m/>
    <n v="650"/>
    <n v="650"/>
    <m/>
    <m/>
    <n v="1000"/>
    <n v="1"/>
    <n v="1520000"/>
    <m/>
    <m/>
    <m/>
    <m/>
    <m/>
    <m/>
    <n v="1520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61803-8511-4DA2-8CC6-E3228EC3079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67:P72" firstHeaderRow="0" firstDataRow="1" firstDataCol="1" rowPageCount="1" colPageCount="1"/>
  <pivotFields count="18">
    <pivotField showAll="0"/>
    <pivotField axis="axisRow" showAll="0">
      <items count="14">
        <item m="1" x="7"/>
        <item m="1" x="9"/>
        <item m="1" x="8"/>
        <item x="1"/>
        <item m="1" x="5"/>
        <item m="1" x="6"/>
        <item m="1" x="11"/>
        <item m="1" x="10"/>
        <item m="1" x="12"/>
        <item m="1" x="4"/>
        <item x="3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5">
        <item m="1" x="2"/>
        <item m="1" x="3"/>
        <item x="0"/>
        <item x="1"/>
        <item t="default"/>
      </items>
    </pivotField>
  </pivotFields>
  <rowFields count="1">
    <field x="1"/>
  </rowFields>
  <rowItems count="5">
    <i>
      <x v="3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7" hier="-1"/>
  </pageFields>
  <dataFields count="3">
    <dataField name="Sum of Conveyor Length (m)" fld="6" baseField="0" baseItem="0"/>
    <dataField name="Sum of Set" fld="8" baseField="0" baseItem="0"/>
    <dataField name="Sum of Selling Price" fld="16" baseField="0" baseItem="0"/>
  </dataFields>
  <formats count="11">
    <format dxfId="10">
      <pivotArea type="all" dataOnly="0" outline="0" fieldPosition="0"/>
    </format>
    <format dxfId="9">
      <pivotArea outline="0" collapsedLevelsAreSubtotals="1" fieldPosition="0"/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">
      <pivotArea dataOnly="0" labelOnly="1" outline="0" fieldPosition="0">
        <references count="1">
          <reference field="17" count="0"/>
        </references>
      </pivotArea>
    </format>
    <format dxfId="3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1" count="1">
            <x v="3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1"/>
          </reference>
          <reference field="1" count="1">
            <x v="10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1"/>
          </reference>
          <reference field="1" count="1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1" dT="2025-05-06T07:47:19.38" personId="{ACB5A8EC-0817-40A0-B125-13D2B32C7B37}" id="{A687B85D-39D3-4264-A2DA-EEFC7876382E}">
    <text>As per In post List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2" dT="2025-02-17T05:33:17.06" personId="{ACB5A8EC-0817-40A0-B125-13D2B32C7B37}" id="{4FE53E43-136D-42F7-B29A-F421AAA6D607}">
    <text xml:space="preserve">25% for local transport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5" dT="2025-05-05T04:45:48.68" personId="{ACB5A8EC-0817-40A0-B125-13D2B32C7B37}" id="{1252DAC2-37AC-4F0B-A8B2-EBC84D61DF8B}">
    <text>Euro is 95 on 5th May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2" dT="2025-07-18T10:18:38.61" personId="{78270970-95E6-49C0-BB88-4174A2F0C51A}" id="{52CCB69F-4BBA-4F63-ACC9-06E9BE5821B8}">
    <text>Price 2X due 150 Kg/meter Load Capacity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2" dT="2023-01-02T06:12:13.29" personId="{C826C6C4-0C19-40DB-ADB2-9391F293274C}" id="{D48A8336-A7EB-4A8F-816C-5A7A289FDC4E}">
    <text>Get price from SWEDI sheet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X38" dT="2025-07-18T12:07:02.62" personId="{78270970-95E6-49C0-BB88-4174A2F0C51A}" id="{C976462A-65EC-4308-91A6-891CF9778902}">
    <text xml:space="preserve">Received from Sabya Sir.
Additionally considered 10% inflation. 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" dT="2025-07-18T13:18:06.22" personId="{78270970-95E6-49C0-BB88-4174A2F0C51A}" id="{DD5B4E56-7F14-4861-A608-32AB0EB3E7A4}">
    <text>6X As discussed with DAP</text>
  </threadedComment>
  <threadedComment ref="F6" dT="2025-05-03T11:33:05.14" personId="{46AED083-7837-4D41-80C6-EDFA69368560}" id="{CBFC7BA5-6737-4CF7-B36A-F3E54637AAC5}">
    <text>Divided by 3 to gate per meter price.</text>
  </threadedComment>
  <threadedComment ref="F7" dT="2025-07-18T13:26:30.13" personId="{78270970-95E6-49C0-BB88-4174A2F0C51A}" id="{D09B58D6-F741-46DD-80FC-412E2B9D5889}">
    <text>6X As discussed with DAP</text>
  </threadedComment>
  <threadedComment ref="C19" dT="2025-05-03T12:27:37.71" personId="{46AED083-7837-4D41-80C6-EDFA69368560}" id="{F10CA682-72BC-4CB2-89FE-54974928808B}">
    <text>As recommended by client to consider 2 sensor/chute.</text>
  </threadedComment>
  <threadedComment ref="C21" dT="2025-05-03T12:28:24.69" personId="{46AED083-7837-4D41-80C6-EDFA69368560}" id="{39A137C4-A754-4E12-A415-8F17793BBF6B}">
    <text>As recommended by client to consider illuminated monostable button.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110" dT="2025-03-11T10:34:41.48" personId="{E0ED85ED-0A80-43CF-B28A-E6E9A17823E1}" id="{3993E62F-DDB6-47C0-BDB7-16BA37EF942D}">
    <text>Max Speed: 3 mtr/sec</text>
  </threadedComment>
  <threadedComment ref="C113" dT="2025-03-11T10:35:01.03" personId="{E0ED85ED-0A80-43CF-B28A-E6E9A17823E1}" id="{92F85186-5C6C-4D06-B5F7-CAE5548CEBE3}">
    <text xml:space="preserve">Max Speed: 2 mtr/sec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hyperlink" Target="../../../../../../../../:x:/g/personal/rajveer_sachan_falconautoonline_com/ESaNhWvzpY1BpKkk_4sQTAwBtCqaIuySMYGJI8EvWRUWGg?e=SCw36c&amp;wdLOR=cAB7A6708-7174-471C-B35F-2A07BC8A7EF5" TargetMode="External"/><Relationship Id="rId4" Type="http://schemas.microsoft.com/office/2017/10/relationships/threadedComment" Target="../threadedComments/threadedComment5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8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90F12-DC50-4019-BB91-497E144B4CE2}">
  <dimension ref="A1:M18"/>
  <sheetViews>
    <sheetView workbookViewId="0">
      <selection sqref="A1:G18"/>
    </sheetView>
  </sheetViews>
  <sheetFormatPr defaultRowHeight="15" x14ac:dyDescent="0.25"/>
  <cols>
    <col min="1" max="1" width="5.5703125" bestFit="1" customWidth="1"/>
    <col min="2" max="2" width="42.7109375" bestFit="1" customWidth="1"/>
    <col min="3" max="3" width="10.7109375" bestFit="1" customWidth="1"/>
    <col min="4" max="4" width="3.85546875" bestFit="1" customWidth="1"/>
    <col min="5" max="5" width="5.7109375" bestFit="1" customWidth="1"/>
    <col min="6" max="6" width="2" bestFit="1" customWidth="1"/>
    <col min="7" max="7" width="9" bestFit="1" customWidth="1"/>
    <col min="12" max="12" width="32.28515625" bestFit="1" customWidth="1"/>
    <col min="13" max="13" width="11.42578125" bestFit="1" customWidth="1"/>
  </cols>
  <sheetData>
    <row r="1" spans="1:13" ht="15.75" thickBot="1" x14ac:dyDescent="0.3">
      <c r="A1" s="540" t="s">
        <v>0</v>
      </c>
      <c r="B1" s="541" t="s">
        <v>1</v>
      </c>
      <c r="C1" s="541" t="s">
        <v>2</v>
      </c>
      <c r="D1" s="541" t="s">
        <v>3</v>
      </c>
      <c r="E1" s="541" t="s">
        <v>4</v>
      </c>
      <c r="F1" s="541"/>
      <c r="G1" s="541" t="s">
        <v>5</v>
      </c>
    </row>
    <row r="2" spans="1:13" ht="15.75" thickBot="1" x14ac:dyDescent="0.3">
      <c r="A2" s="542">
        <v>1</v>
      </c>
      <c r="B2" s="543" t="s">
        <v>6</v>
      </c>
      <c r="C2" s="544">
        <v>1</v>
      </c>
      <c r="D2" s="545">
        <v>1</v>
      </c>
      <c r="E2" s="543" t="s">
        <v>3</v>
      </c>
      <c r="F2" s="546" t="s">
        <v>7</v>
      </c>
      <c r="G2" s="547">
        <f>'Overall Costing'!J2</f>
        <v>1311723.2144020039</v>
      </c>
      <c r="L2" t="s">
        <v>8</v>
      </c>
      <c r="M2" s="484">
        <f>4*500</f>
        <v>2000</v>
      </c>
    </row>
    <row r="3" spans="1:13" ht="15.75" thickBot="1" x14ac:dyDescent="0.3">
      <c r="A3" s="542">
        <v>2</v>
      </c>
      <c r="B3" s="543" t="s">
        <v>9</v>
      </c>
      <c r="C3" s="544">
        <v>1</v>
      </c>
      <c r="D3" s="545">
        <v>1</v>
      </c>
      <c r="E3" s="543" t="s">
        <v>3</v>
      </c>
      <c r="F3" s="546" t="s">
        <v>7</v>
      </c>
      <c r="G3" s="547">
        <f>'Overall Costing'!J3+'Overall Costing'!J4</f>
        <v>842200.81141497823</v>
      </c>
      <c r="L3" t="s">
        <v>10</v>
      </c>
      <c r="M3" s="484">
        <f>M2*12</f>
        <v>24000</v>
      </c>
    </row>
    <row r="4" spans="1:13" ht="15.75" thickBot="1" x14ac:dyDescent="0.3">
      <c r="A4" s="542">
        <v>3</v>
      </c>
      <c r="B4" s="543" t="s">
        <v>11</v>
      </c>
      <c r="C4" s="544">
        <v>1</v>
      </c>
      <c r="D4" s="545">
        <v>1</v>
      </c>
      <c r="E4" s="543" t="s">
        <v>3</v>
      </c>
      <c r="F4" s="546" t="s">
        <v>7</v>
      </c>
      <c r="G4" s="547">
        <f>'Overall Costing'!J5</f>
        <v>400836.41299421975</v>
      </c>
      <c r="L4" t="s">
        <v>12</v>
      </c>
      <c r="M4" s="484">
        <f>12*1000</f>
        <v>12000</v>
      </c>
    </row>
    <row r="5" spans="1:13" ht="15.75" thickBot="1" x14ac:dyDescent="0.3">
      <c r="A5" s="542">
        <v>4</v>
      </c>
      <c r="B5" s="543" t="s">
        <v>13</v>
      </c>
      <c r="C5" s="544">
        <v>1</v>
      </c>
      <c r="D5" s="545">
        <v>1</v>
      </c>
      <c r="E5" s="543" t="s">
        <v>3</v>
      </c>
      <c r="F5" s="546" t="s">
        <v>7</v>
      </c>
      <c r="G5" s="547">
        <f>'Overall Costing'!J6</f>
        <v>629102.1276595745</v>
      </c>
      <c r="M5" s="484">
        <f>SUM(M3:M4)</f>
        <v>36000</v>
      </c>
    </row>
    <row r="6" spans="1:13" ht="15.75" thickBot="1" x14ac:dyDescent="0.3">
      <c r="A6" s="542">
        <v>4</v>
      </c>
      <c r="B6" s="543" t="s">
        <v>14</v>
      </c>
      <c r="C6" s="544">
        <v>1</v>
      </c>
      <c r="D6" s="545">
        <v>1</v>
      </c>
      <c r="E6" s="543" t="s">
        <v>3</v>
      </c>
      <c r="F6" s="546" t="s">
        <v>7</v>
      </c>
      <c r="G6" s="547">
        <f>'Overall Costing'!J8</f>
        <v>15957.446808510638</v>
      </c>
    </row>
    <row r="7" spans="1:13" ht="15.75" thickBot="1" x14ac:dyDescent="0.3">
      <c r="A7" s="542">
        <v>5</v>
      </c>
      <c r="B7" s="543" t="s">
        <v>15</v>
      </c>
      <c r="C7" s="544">
        <v>1</v>
      </c>
      <c r="D7" s="545">
        <v>1</v>
      </c>
      <c r="E7" s="543" t="s">
        <v>3</v>
      </c>
      <c r="F7" s="546" t="s">
        <v>7</v>
      </c>
      <c r="G7" s="547">
        <f>'Overall Costing'!J9+'Overall Costing'!J12+'Overall Costing'!J14</f>
        <v>604556.17021276592</v>
      </c>
    </row>
    <row r="8" spans="1:13" ht="15.75" thickBot="1" x14ac:dyDescent="0.3">
      <c r="A8" s="542">
        <v>6</v>
      </c>
      <c r="B8" s="543" t="s">
        <v>16</v>
      </c>
      <c r="C8" s="544">
        <v>1</v>
      </c>
      <c r="D8" s="545">
        <v>1</v>
      </c>
      <c r="E8" s="543" t="s">
        <v>3</v>
      </c>
      <c r="F8" s="546" t="s">
        <v>7</v>
      </c>
      <c r="G8" s="547">
        <f>'Overall Costing'!J10</f>
        <v>159193.12832353881</v>
      </c>
    </row>
    <row r="9" spans="1:13" ht="15.75" thickBot="1" x14ac:dyDescent="0.3">
      <c r="A9" s="542">
        <v>7</v>
      </c>
      <c r="B9" s="543" t="s">
        <v>17</v>
      </c>
      <c r="C9" s="544">
        <v>1</v>
      </c>
      <c r="D9" s="545">
        <v>1</v>
      </c>
      <c r="E9" s="543" t="s">
        <v>3</v>
      </c>
      <c r="F9" s="546" t="s">
        <v>7</v>
      </c>
      <c r="G9" s="547">
        <f>'Overall Costing'!J11</f>
        <v>98078.468413987124</v>
      </c>
    </row>
    <row r="10" spans="1:13" ht="15.75" thickBot="1" x14ac:dyDescent="0.3">
      <c r="A10" s="542">
        <v>8</v>
      </c>
      <c r="B10" s="543" t="s">
        <v>18</v>
      </c>
      <c r="C10" s="544">
        <v>1</v>
      </c>
      <c r="D10" s="545">
        <v>1</v>
      </c>
      <c r="E10" s="543" t="s">
        <v>3</v>
      </c>
      <c r="F10" s="546" t="s">
        <v>7</v>
      </c>
      <c r="G10" s="547">
        <f>'Overall Costing'!J13</f>
        <v>204545.45454545459</v>
      </c>
    </row>
    <row r="11" spans="1:13" ht="15.75" thickBot="1" x14ac:dyDescent="0.3">
      <c r="A11" s="542">
        <v>9</v>
      </c>
      <c r="B11" s="543" t="s">
        <v>19</v>
      </c>
      <c r="C11" s="544">
        <v>1</v>
      </c>
      <c r="D11" s="545">
        <v>1</v>
      </c>
      <c r="E11" s="543" t="s">
        <v>3</v>
      </c>
      <c r="F11" s="546" t="s">
        <v>7</v>
      </c>
      <c r="G11" s="547">
        <f>'Overall Costing'!J15</f>
        <v>63869.010970280047</v>
      </c>
    </row>
    <row r="12" spans="1:13" ht="15.75" thickBot="1" x14ac:dyDescent="0.3">
      <c r="A12" s="542">
        <v>10</v>
      </c>
      <c r="B12" s="543" t="s">
        <v>20</v>
      </c>
      <c r="C12" s="544">
        <v>1</v>
      </c>
      <c r="D12" s="545">
        <v>1</v>
      </c>
      <c r="E12" s="543" t="s">
        <v>3</v>
      </c>
      <c r="F12" s="546" t="s">
        <v>7</v>
      </c>
      <c r="G12" s="547">
        <f>'Overall Costing'!J16</f>
        <v>15957.446808510638</v>
      </c>
      <c r="H12" s="155">
        <f>SUM(G2:G12)</f>
        <v>4346019.6925538247</v>
      </c>
    </row>
    <row r="13" spans="1:13" ht="15.75" thickBot="1" x14ac:dyDescent="0.3">
      <c r="A13" s="572" t="s">
        <v>21</v>
      </c>
      <c r="B13" s="573"/>
      <c r="C13" s="573"/>
      <c r="D13" s="573"/>
      <c r="E13" s="574"/>
      <c r="F13" s="546" t="s">
        <v>7</v>
      </c>
      <c r="G13" s="548">
        <f>SUM(G2:G12)</f>
        <v>4346019.6925538247</v>
      </c>
      <c r="H13" s="155"/>
    </row>
    <row r="14" spans="1:13" ht="15.75" thickBot="1" x14ac:dyDescent="0.3">
      <c r="A14" s="572" t="s">
        <v>22</v>
      </c>
      <c r="B14" s="573"/>
      <c r="C14" s="573"/>
      <c r="D14" s="573"/>
      <c r="E14" s="574"/>
      <c r="F14" s="546" t="s">
        <v>7</v>
      </c>
      <c r="G14" s="548">
        <f>'[5]Final '!$G$13</f>
        <v>3548906.5384145584</v>
      </c>
      <c r="H14" s="155"/>
    </row>
    <row r="15" spans="1:13" ht="15.75" thickBot="1" x14ac:dyDescent="0.3">
      <c r="A15" s="572" t="s">
        <v>23</v>
      </c>
      <c r="B15" s="573"/>
      <c r="C15" s="573"/>
      <c r="D15" s="573"/>
      <c r="E15" s="574"/>
      <c r="F15" s="546" t="s">
        <v>7</v>
      </c>
      <c r="G15" s="548">
        <f>'[6]Final '!$G$13</f>
        <v>3507251.9200586816</v>
      </c>
      <c r="H15" s="155"/>
    </row>
    <row r="16" spans="1:13" ht="15.75" thickBot="1" x14ac:dyDescent="0.3">
      <c r="A16" s="542">
        <v>11</v>
      </c>
      <c r="B16" s="543" t="s">
        <v>24</v>
      </c>
      <c r="C16" s="544">
        <v>1</v>
      </c>
      <c r="D16" s="545">
        <v>1</v>
      </c>
      <c r="E16" s="543" t="s">
        <v>3</v>
      </c>
      <c r="F16" s="546" t="s">
        <v>7</v>
      </c>
      <c r="G16" s="547">
        <f>'Overall Costing'!J19</f>
        <v>204380.83510489616</v>
      </c>
    </row>
    <row r="17" spans="1:7" ht="15.75" thickBot="1" x14ac:dyDescent="0.3">
      <c r="A17" s="542">
        <v>12</v>
      </c>
      <c r="B17" s="543" t="s">
        <v>25</v>
      </c>
      <c r="C17" s="544">
        <v>1</v>
      </c>
      <c r="D17" s="545">
        <v>1</v>
      </c>
      <c r="E17" s="543" t="s">
        <v>3</v>
      </c>
      <c r="F17" s="546" t="s">
        <v>7</v>
      </c>
      <c r="G17" s="547">
        <v>45000</v>
      </c>
    </row>
    <row r="18" spans="1:7" ht="15.75" thickBot="1" x14ac:dyDescent="0.3">
      <c r="A18" s="542">
        <v>13</v>
      </c>
      <c r="B18" s="543" t="s">
        <v>26</v>
      </c>
      <c r="C18" s="544">
        <v>1</v>
      </c>
      <c r="D18" s="545">
        <v>1</v>
      </c>
      <c r="E18" s="543" t="s">
        <v>3</v>
      </c>
      <c r="F18" s="546" t="s">
        <v>7</v>
      </c>
      <c r="G18" s="547">
        <v>36000</v>
      </c>
    </row>
  </sheetData>
  <mergeCells count="3">
    <mergeCell ref="A13:E13"/>
    <mergeCell ref="A14:E14"/>
    <mergeCell ref="A15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22E8-FE63-400F-B84A-34B35E12188C}">
  <dimension ref="A1:J26"/>
  <sheetViews>
    <sheetView workbookViewId="0">
      <selection activeCell="J30" sqref="J30"/>
    </sheetView>
  </sheetViews>
  <sheetFormatPr defaultRowHeight="15" x14ac:dyDescent="0.25"/>
  <cols>
    <col min="1" max="1" width="5.5703125" bestFit="1" customWidth="1"/>
    <col min="2" max="2" width="50" bestFit="1" customWidth="1"/>
    <col min="3" max="3" width="13.140625" bestFit="1" customWidth="1"/>
    <col min="4" max="4" width="3.85546875" bestFit="1" customWidth="1"/>
    <col min="5" max="5" width="5.42578125" bestFit="1" customWidth="1"/>
    <col min="6" max="6" width="13.140625" bestFit="1" customWidth="1"/>
    <col min="7" max="7" width="15.7109375" bestFit="1" customWidth="1"/>
    <col min="8" max="9" width="11.42578125" bestFit="1" customWidth="1"/>
    <col min="10" max="10" width="13.140625" bestFit="1" customWidth="1"/>
  </cols>
  <sheetData>
    <row r="1" spans="1:10" x14ac:dyDescent="0.25">
      <c r="A1" s="482" t="s">
        <v>0</v>
      </c>
      <c r="B1" s="482" t="s">
        <v>1</v>
      </c>
      <c r="C1" s="482" t="s">
        <v>2</v>
      </c>
      <c r="D1" s="482" t="s">
        <v>3</v>
      </c>
      <c r="E1" s="482" t="s">
        <v>4</v>
      </c>
      <c r="F1" s="482" t="s">
        <v>5</v>
      </c>
    </row>
    <row r="2" spans="1:10" x14ac:dyDescent="0.25">
      <c r="A2" s="49">
        <v>1</v>
      </c>
      <c r="B2" s="58" t="s">
        <v>27</v>
      </c>
      <c r="C2" s="27">
        <v>1</v>
      </c>
      <c r="D2" s="58">
        <v>1</v>
      </c>
      <c r="E2" s="58" t="s">
        <v>3</v>
      </c>
      <c r="F2" s="535">
        <f>'Loop CBS'!D70+'Loop CBS'!D132-F7-F8</f>
        <v>855583.84324361128</v>
      </c>
    </row>
    <row r="3" spans="1:10" x14ac:dyDescent="0.25">
      <c r="A3" s="49">
        <f>A2+1</f>
        <v>2</v>
      </c>
      <c r="B3" s="58" t="s">
        <v>28</v>
      </c>
      <c r="C3" s="27">
        <v>1</v>
      </c>
      <c r="D3" s="58">
        <v>1</v>
      </c>
      <c r="E3" s="58" t="s">
        <v>3</v>
      </c>
      <c r="F3" s="535">
        <f>Destinations!F26</f>
        <v>320051.30661124102</v>
      </c>
    </row>
    <row r="4" spans="1:10" x14ac:dyDescent="0.25">
      <c r="A4" s="49">
        <f t="shared" ref="A4:A22" si="0">A3+1</f>
        <v>3</v>
      </c>
      <c r="B4" s="58" t="s">
        <v>29</v>
      </c>
      <c r="C4" s="27">
        <v>1</v>
      </c>
      <c r="D4" s="58">
        <v>1</v>
      </c>
      <c r="E4" s="58" t="s">
        <v>3</v>
      </c>
      <c r="F4" s="535">
        <f>Conveyors!N75+'Overall Costing'!J3</f>
        <v>283929.22595415881</v>
      </c>
    </row>
    <row r="5" spans="1:10" x14ac:dyDescent="0.25">
      <c r="A5" s="49">
        <f t="shared" si="0"/>
        <v>4</v>
      </c>
      <c r="B5" s="58" t="s">
        <v>30</v>
      </c>
      <c r="C5" s="27">
        <v>1</v>
      </c>
      <c r="D5" s="58">
        <v>1</v>
      </c>
      <c r="E5" s="58" t="s">
        <v>3</v>
      </c>
      <c r="F5" s="535">
        <f>Conveyors!N76</f>
        <v>113652.84000096374</v>
      </c>
    </row>
    <row r="6" spans="1:10" x14ac:dyDescent="0.25">
      <c r="A6" s="49">
        <f t="shared" si="0"/>
        <v>5</v>
      </c>
      <c r="B6" s="58" t="s">
        <v>31</v>
      </c>
      <c r="C6" s="27">
        <v>1</v>
      </c>
      <c r="D6" s="58">
        <v>1</v>
      </c>
      <c r="E6" s="58" t="s">
        <v>3</v>
      </c>
      <c r="F6" s="535">
        <f>'Loop CBS'!D130</f>
        <v>240378.92986603625</v>
      </c>
    </row>
    <row r="7" spans="1:10" x14ac:dyDescent="0.25">
      <c r="A7" s="49">
        <f t="shared" si="0"/>
        <v>6</v>
      </c>
      <c r="B7" s="58" t="s">
        <v>32</v>
      </c>
      <c r="C7" s="27"/>
      <c r="D7" s="58"/>
      <c r="E7" s="58"/>
      <c r="F7" s="535">
        <f>'Loop CBS'!D56</f>
        <v>32939.322301024433</v>
      </c>
    </row>
    <row r="8" spans="1:10" x14ac:dyDescent="0.25">
      <c r="A8" s="49">
        <f t="shared" si="0"/>
        <v>7</v>
      </c>
      <c r="B8" s="58" t="s">
        <v>33</v>
      </c>
      <c r="C8" s="27"/>
      <c r="D8" s="58"/>
      <c r="E8" s="58"/>
      <c r="F8" s="535">
        <f>'Loop CBS'!D51</f>
        <v>182821.11899133172</v>
      </c>
    </row>
    <row r="9" spans="1:10" x14ac:dyDescent="0.25">
      <c r="A9" s="49">
        <f t="shared" si="0"/>
        <v>8</v>
      </c>
      <c r="B9" s="58" t="s">
        <v>34</v>
      </c>
      <c r="C9" s="27">
        <v>1</v>
      </c>
      <c r="D9" s="58">
        <v>1</v>
      </c>
      <c r="E9" s="58" t="s">
        <v>3</v>
      </c>
      <c r="F9" s="535">
        <f>Steelworks!H10</f>
        <v>629102.1276595745</v>
      </c>
    </row>
    <row r="10" spans="1:10" x14ac:dyDescent="0.25">
      <c r="A10" s="49">
        <f t="shared" si="0"/>
        <v>9</v>
      </c>
      <c r="B10" s="58" t="s">
        <v>35</v>
      </c>
      <c r="C10" s="27">
        <v>1</v>
      </c>
      <c r="D10" s="58">
        <v>1</v>
      </c>
      <c r="E10" s="58" t="s">
        <v>3</v>
      </c>
      <c r="F10" s="483">
        <f>'Overall Costing'!J16</f>
        <v>15957.446808510638</v>
      </c>
      <c r="G10" s="484"/>
      <c r="J10" s="539">
        <v>45855</v>
      </c>
    </row>
    <row r="11" spans="1:10" x14ac:dyDescent="0.25">
      <c r="A11" s="49">
        <f t="shared" si="0"/>
        <v>10</v>
      </c>
      <c r="B11" s="58" t="s">
        <v>36</v>
      </c>
      <c r="C11" s="27">
        <v>1</v>
      </c>
      <c r="D11" s="58">
        <v>1</v>
      </c>
      <c r="E11" s="58" t="s">
        <v>3</v>
      </c>
      <c r="F11" s="535">
        <f>'Overall Costing'!J11</f>
        <v>98078.468413987124</v>
      </c>
      <c r="J11" s="539">
        <v>46120</v>
      </c>
    </row>
    <row r="12" spans="1:10" x14ac:dyDescent="0.25">
      <c r="A12" s="49">
        <f t="shared" si="0"/>
        <v>11</v>
      </c>
      <c r="B12" s="58" t="s">
        <v>37</v>
      </c>
      <c r="C12" s="27">
        <v>1</v>
      </c>
      <c r="D12" s="58">
        <v>1</v>
      </c>
      <c r="E12" s="58" t="s">
        <v>3</v>
      </c>
      <c r="F12" s="535">
        <f>'I&amp;C Cost'!D2</f>
        <v>343752.12765957444</v>
      </c>
      <c r="G12" s="484"/>
      <c r="I12" s="484"/>
    </row>
    <row r="13" spans="1:10" x14ac:dyDescent="0.25">
      <c r="A13" s="49">
        <f t="shared" si="0"/>
        <v>12</v>
      </c>
      <c r="B13" s="58" t="s">
        <v>38</v>
      </c>
      <c r="C13" s="27">
        <v>1</v>
      </c>
      <c r="D13" s="58">
        <v>1</v>
      </c>
      <c r="E13" s="58" t="s">
        <v>3</v>
      </c>
      <c r="F13" s="535">
        <f>'I&amp;C Cost'!D3</f>
        <v>113026.91489361704</v>
      </c>
      <c r="J13">
        <f>J11-J10</f>
        <v>265</v>
      </c>
    </row>
    <row r="14" spans="1:10" x14ac:dyDescent="0.25">
      <c r="A14" s="49">
        <f t="shared" si="0"/>
        <v>13</v>
      </c>
      <c r="B14" s="58" t="s">
        <v>39</v>
      </c>
      <c r="C14" s="27">
        <v>1</v>
      </c>
      <c r="D14" s="58">
        <v>1</v>
      </c>
      <c r="E14" s="58" t="s">
        <v>3</v>
      </c>
      <c r="F14" s="535">
        <f>'I&amp;C Cost'!D4</f>
        <v>30919.148936170212</v>
      </c>
      <c r="I14" s="484"/>
      <c r="J14">
        <f>J13/30</f>
        <v>8.8333333333333339</v>
      </c>
    </row>
    <row r="15" spans="1:10" x14ac:dyDescent="0.25">
      <c r="A15" s="49">
        <f t="shared" si="0"/>
        <v>14</v>
      </c>
      <c r="B15" s="58" t="s">
        <v>40</v>
      </c>
      <c r="C15" s="27">
        <v>1</v>
      </c>
      <c r="D15" s="58">
        <v>1</v>
      </c>
      <c r="E15" s="58" t="s">
        <v>3</v>
      </c>
      <c r="F15" s="535">
        <f>'I&amp;C Cost'!D5+'Overall Costing'!J8</f>
        <v>30981.382978723406</v>
      </c>
    </row>
    <row r="16" spans="1:10" x14ac:dyDescent="0.25">
      <c r="A16" s="49">
        <f t="shared" si="0"/>
        <v>15</v>
      </c>
      <c r="B16" s="58" t="s">
        <v>41</v>
      </c>
      <c r="C16" s="27">
        <v>1</v>
      </c>
      <c r="D16" s="58">
        <v>1</v>
      </c>
      <c r="E16" s="58" t="s">
        <v>3</v>
      </c>
      <c r="F16" s="535">
        <f>'Overall Costing'!J12</f>
        <v>44636.170212765959</v>
      </c>
    </row>
    <row r="17" spans="1:10" x14ac:dyDescent="0.25">
      <c r="A17" s="49">
        <f t="shared" si="0"/>
        <v>16</v>
      </c>
      <c r="B17" s="58" t="s">
        <v>42</v>
      </c>
      <c r="C17" s="27">
        <v>1</v>
      </c>
      <c r="D17" s="58">
        <v>1</v>
      </c>
      <c r="E17" s="58" t="s">
        <v>3</v>
      </c>
      <c r="F17" s="483">
        <f>'Overall Costing'!J14</f>
        <v>12197.872340425532</v>
      </c>
      <c r="I17" s="484"/>
      <c r="J17" s="484"/>
    </row>
    <row r="18" spans="1:10" x14ac:dyDescent="0.25">
      <c r="A18" s="49">
        <f t="shared" si="0"/>
        <v>17</v>
      </c>
      <c r="B18" s="58" t="s">
        <v>43</v>
      </c>
      <c r="C18" s="27">
        <v>1</v>
      </c>
      <c r="D18" s="58">
        <v>1</v>
      </c>
      <c r="E18" s="58" t="s">
        <v>3</v>
      </c>
      <c r="F18" s="535">
        <f>'Overall Costing'!J10+'Overall Costing'!J13</f>
        <v>363738.5828689934</v>
      </c>
    </row>
    <row r="19" spans="1:10" x14ac:dyDescent="0.25">
      <c r="A19" s="49">
        <f t="shared" si="0"/>
        <v>18</v>
      </c>
      <c r="B19" s="58" t="s">
        <v>44</v>
      </c>
      <c r="C19" s="27">
        <v>1</v>
      </c>
      <c r="D19" s="58">
        <v>1</v>
      </c>
      <c r="E19" s="58" t="s">
        <v>3</v>
      </c>
      <c r="F19" s="535">
        <f>Conveyors!N77</f>
        <v>97325.736746696595</v>
      </c>
      <c r="I19" s="484"/>
    </row>
    <row r="20" spans="1:10" x14ac:dyDescent="0.25">
      <c r="A20" s="49">
        <f t="shared" si="0"/>
        <v>19</v>
      </c>
      <c r="B20" s="58" t="s">
        <v>45</v>
      </c>
      <c r="C20" s="27">
        <v>1</v>
      </c>
      <c r="D20" s="58">
        <v>1</v>
      </c>
      <c r="E20" s="58" t="s">
        <v>3</v>
      </c>
      <c r="F20" s="535">
        <f>Destinations!F27</f>
        <v>80785.106382978716</v>
      </c>
    </row>
    <row r="21" spans="1:10" x14ac:dyDescent="0.25">
      <c r="A21" s="49">
        <f t="shared" si="0"/>
        <v>20</v>
      </c>
      <c r="B21" s="58" t="s">
        <v>46</v>
      </c>
      <c r="C21" s="27">
        <v>1</v>
      </c>
      <c r="D21" s="58">
        <v>1</v>
      </c>
      <c r="E21" s="58" t="s">
        <v>3</v>
      </c>
      <c r="F21" s="483">
        <f>'Overall Costing'!J15</f>
        <v>63869.010970280047</v>
      </c>
      <c r="G21" s="537">
        <f>F21*92</f>
        <v>5875949.0092657646</v>
      </c>
    </row>
    <row r="22" spans="1:10" x14ac:dyDescent="0.25">
      <c r="A22" s="49">
        <f t="shared" si="0"/>
        <v>21</v>
      </c>
      <c r="B22" s="58" t="s">
        <v>47</v>
      </c>
      <c r="C22" s="27">
        <v>1</v>
      </c>
      <c r="D22" s="58">
        <v>1</v>
      </c>
      <c r="E22" s="58" t="s">
        <v>3</v>
      </c>
      <c r="F22" s="535">
        <f>'I&amp;C Cost'!D6+'I&amp;C Cost'!D7+'I&amp;C Cost'!D8</f>
        <v>45000</v>
      </c>
      <c r="I22" s="484"/>
    </row>
    <row r="23" spans="1:10" x14ac:dyDescent="0.25">
      <c r="A23" s="575" t="s">
        <v>48</v>
      </c>
      <c r="B23" s="575"/>
      <c r="C23" s="575"/>
      <c r="D23" s="575"/>
      <c r="E23" s="575"/>
      <c r="F23" s="485">
        <f>SUM(F2:F22)</f>
        <v>3998726.6838406646</v>
      </c>
      <c r="G23" s="484">
        <f>F23-'Overall Costing'!J17</f>
        <v>-363696.47601024481</v>
      </c>
      <c r="H23" s="484"/>
    </row>
    <row r="24" spans="1:10" x14ac:dyDescent="0.25">
      <c r="A24" s="575" t="s">
        <v>26</v>
      </c>
      <c r="B24" s="575"/>
      <c r="C24" s="575"/>
      <c r="D24" s="575"/>
      <c r="E24" s="575"/>
      <c r="F24" s="486">
        <f>'Final '!G18</f>
        <v>36000</v>
      </c>
      <c r="J24" s="526"/>
    </row>
    <row r="25" spans="1:10" x14ac:dyDescent="0.25">
      <c r="A25" s="575" t="s">
        <v>25</v>
      </c>
      <c r="B25" s="575"/>
      <c r="C25" s="575"/>
      <c r="D25" s="575"/>
      <c r="E25" s="575"/>
      <c r="F25" s="486">
        <v>45000</v>
      </c>
      <c r="J25" s="484"/>
    </row>
    <row r="26" spans="1:10" x14ac:dyDescent="0.25">
      <c r="A26" s="575" t="s">
        <v>49</v>
      </c>
      <c r="B26" s="575"/>
      <c r="C26" s="575"/>
      <c r="D26" s="575"/>
      <c r="E26" s="575"/>
      <c r="F26" s="485">
        <f>'Overall Costing'!J19</f>
        <v>204380.83510489616</v>
      </c>
    </row>
  </sheetData>
  <mergeCells count="4">
    <mergeCell ref="A23:E23"/>
    <mergeCell ref="A24:E24"/>
    <mergeCell ref="A25:E25"/>
    <mergeCell ref="A26:E26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7C2F-AC56-48CD-8DA9-BE8EA5F30929}">
  <dimension ref="A1:H28"/>
  <sheetViews>
    <sheetView workbookViewId="0">
      <selection activeCell="C7" sqref="C7"/>
    </sheetView>
  </sheetViews>
  <sheetFormatPr defaultRowHeight="15" x14ac:dyDescent="0.25"/>
  <cols>
    <col min="1" max="1" width="30.85546875" bestFit="1" customWidth="1"/>
    <col min="2" max="2" width="29" bestFit="1" customWidth="1"/>
    <col min="3" max="3" width="27.140625" bestFit="1" customWidth="1"/>
    <col min="4" max="4" width="14.5703125" bestFit="1" customWidth="1"/>
    <col min="5" max="5" width="12.85546875" bestFit="1" customWidth="1"/>
    <col min="6" max="6" width="14.85546875" bestFit="1" customWidth="1"/>
    <col min="7" max="8" width="18.140625" bestFit="1" customWidth="1"/>
  </cols>
  <sheetData>
    <row r="1" spans="1:8" x14ac:dyDescent="0.25">
      <c r="A1" s="576" t="s">
        <v>50</v>
      </c>
      <c r="B1" s="577"/>
      <c r="C1" s="577"/>
      <c r="D1" s="577"/>
      <c r="E1" s="577"/>
      <c r="F1" s="577"/>
      <c r="G1" s="578"/>
      <c r="H1" s="123"/>
    </row>
    <row r="2" spans="1:8" x14ac:dyDescent="0.25">
      <c r="A2" s="579" t="s">
        <v>51</v>
      </c>
      <c r="B2" s="580"/>
      <c r="C2" s="580"/>
      <c r="D2" s="580"/>
      <c r="E2" s="580"/>
      <c r="F2" s="580"/>
      <c r="G2" s="581"/>
      <c r="H2" s="123"/>
    </row>
    <row r="3" spans="1:8" x14ac:dyDescent="0.25">
      <c r="A3" s="488" t="s">
        <v>52</v>
      </c>
      <c r="B3" s="489" t="s">
        <v>53</v>
      </c>
      <c r="C3" s="489" t="s">
        <v>54</v>
      </c>
      <c r="D3" s="489" t="s">
        <v>55</v>
      </c>
      <c r="E3" s="489" t="s">
        <v>56</v>
      </c>
      <c r="F3" s="489" t="s">
        <v>57</v>
      </c>
      <c r="G3" s="489" t="s">
        <v>58</v>
      </c>
      <c r="H3" s="490" t="s">
        <v>59</v>
      </c>
    </row>
    <row r="4" spans="1:8" x14ac:dyDescent="0.25">
      <c r="A4" s="491" t="s">
        <v>60</v>
      </c>
      <c r="B4" s="492">
        <v>1</v>
      </c>
      <c r="C4" s="493">
        <v>12</v>
      </c>
      <c r="D4" s="494">
        <v>90000</v>
      </c>
      <c r="E4" s="494">
        <v>25000</v>
      </c>
      <c r="F4" s="494">
        <v>9000</v>
      </c>
      <c r="G4" s="494">
        <v>9000</v>
      </c>
      <c r="H4" s="495">
        <v>9000</v>
      </c>
    </row>
    <row r="5" spans="1:8" x14ac:dyDescent="0.25">
      <c r="A5" s="491" t="s">
        <v>61</v>
      </c>
      <c r="B5" s="492">
        <v>0</v>
      </c>
      <c r="C5" s="493">
        <v>0</v>
      </c>
      <c r="D5" s="494">
        <f>D4</f>
        <v>90000</v>
      </c>
      <c r="E5" s="494">
        <f>E4</f>
        <v>25000</v>
      </c>
      <c r="F5" s="494">
        <f>F4</f>
        <v>9000</v>
      </c>
      <c r="G5" s="494">
        <v>6000</v>
      </c>
      <c r="H5" s="495">
        <f>H4</f>
        <v>9000</v>
      </c>
    </row>
    <row r="6" spans="1:8" x14ac:dyDescent="0.25">
      <c r="A6" s="491" t="s">
        <v>62</v>
      </c>
      <c r="B6" s="492">
        <v>1</v>
      </c>
      <c r="C6" s="493">
        <v>12</v>
      </c>
      <c r="D6" s="494">
        <f t="shared" ref="D6:F8" si="0">D5</f>
        <v>90000</v>
      </c>
      <c r="E6" s="494">
        <f t="shared" si="0"/>
        <v>25000</v>
      </c>
      <c r="F6" s="494">
        <f t="shared" si="0"/>
        <v>9000</v>
      </c>
      <c r="G6" s="496">
        <v>6000</v>
      </c>
      <c r="H6" s="495">
        <f>H5</f>
        <v>9000</v>
      </c>
    </row>
    <row r="7" spans="1:8" x14ac:dyDescent="0.25">
      <c r="A7" s="491" t="s">
        <v>63</v>
      </c>
      <c r="B7" s="492">
        <v>1</v>
      </c>
      <c r="C7" s="493">
        <v>12</v>
      </c>
      <c r="D7" s="494">
        <f t="shared" si="0"/>
        <v>90000</v>
      </c>
      <c r="E7" s="494">
        <f t="shared" si="0"/>
        <v>25000</v>
      </c>
      <c r="F7" s="494">
        <f t="shared" si="0"/>
        <v>9000</v>
      </c>
      <c r="G7" s="496">
        <v>9000</v>
      </c>
      <c r="H7" s="495">
        <f>H6</f>
        <v>9000</v>
      </c>
    </row>
    <row r="8" spans="1:8" x14ac:dyDescent="0.25">
      <c r="A8" s="491" t="s">
        <v>64</v>
      </c>
      <c r="B8" s="492">
        <v>1</v>
      </c>
      <c r="C8" s="493">
        <v>0</v>
      </c>
      <c r="D8" s="494">
        <f t="shared" si="0"/>
        <v>90000</v>
      </c>
      <c r="E8" s="494">
        <f t="shared" si="0"/>
        <v>25000</v>
      </c>
      <c r="F8" s="494">
        <f t="shared" si="0"/>
        <v>9000</v>
      </c>
      <c r="G8" s="496">
        <v>9000</v>
      </c>
      <c r="H8" s="495">
        <f>H7</f>
        <v>9000</v>
      </c>
    </row>
    <row r="9" spans="1:8" x14ac:dyDescent="0.25">
      <c r="A9" s="491" t="s">
        <v>65</v>
      </c>
      <c r="B9" s="492">
        <v>1</v>
      </c>
      <c r="C9" s="493">
        <v>0</v>
      </c>
      <c r="D9" s="494">
        <f>D7</f>
        <v>90000</v>
      </c>
      <c r="E9" s="494">
        <f>E7</f>
        <v>25000</v>
      </c>
      <c r="F9" s="494">
        <f>F7</f>
        <v>9000</v>
      </c>
      <c r="G9" s="496">
        <v>12000</v>
      </c>
      <c r="H9" s="495">
        <f>H7</f>
        <v>9000</v>
      </c>
    </row>
    <row r="10" spans="1:8" x14ac:dyDescent="0.25">
      <c r="A10" s="497"/>
      <c r="B10" s="123"/>
      <c r="C10" s="123"/>
      <c r="D10" s="123"/>
      <c r="E10" s="123"/>
      <c r="F10" s="123"/>
      <c r="G10" s="498"/>
      <c r="H10" s="123"/>
    </row>
    <row r="11" spans="1:8" x14ac:dyDescent="0.25">
      <c r="A11" s="579" t="s">
        <v>66</v>
      </c>
      <c r="B11" s="580"/>
      <c r="C11" s="580"/>
      <c r="D11" s="580"/>
      <c r="E11" s="580"/>
      <c r="F11" s="580"/>
      <c r="G11" s="581"/>
      <c r="H11" s="123"/>
    </row>
    <row r="12" spans="1:8" x14ac:dyDescent="0.25">
      <c r="A12" s="497"/>
      <c r="B12" s="123"/>
      <c r="C12" s="123"/>
      <c r="D12" s="123"/>
      <c r="E12" s="123"/>
      <c r="F12" s="123"/>
      <c r="G12" s="499"/>
      <c r="H12" s="123"/>
    </row>
    <row r="13" spans="1:8" x14ac:dyDescent="0.25">
      <c r="A13" s="488" t="s">
        <v>67</v>
      </c>
      <c r="B13" s="489" t="s">
        <v>68</v>
      </c>
      <c r="C13" s="489" t="s">
        <v>55</v>
      </c>
      <c r="D13" s="489" t="s">
        <v>56</v>
      </c>
      <c r="E13" s="489" t="s">
        <v>57</v>
      </c>
      <c r="F13" s="489" t="s">
        <v>58</v>
      </c>
      <c r="G13" s="490" t="s">
        <v>59</v>
      </c>
      <c r="H13" s="123"/>
    </row>
    <row r="14" spans="1:8" x14ac:dyDescent="0.25">
      <c r="A14" s="500" t="s">
        <v>69</v>
      </c>
      <c r="B14" s="492">
        <f t="shared" ref="B14:B19" si="1">ROUNDUP(C4*7/6,0)</f>
        <v>14</v>
      </c>
      <c r="C14" s="501">
        <f t="shared" ref="C14:C19" si="2">B4*D4</f>
        <v>90000</v>
      </c>
      <c r="D14" s="501">
        <f t="shared" ref="D14:D19" si="3">B4*E4</f>
        <v>25000</v>
      </c>
      <c r="E14" s="501">
        <f>B4*(B14)*F4</f>
        <v>126000</v>
      </c>
      <c r="F14" s="501">
        <f t="shared" ref="F14:F19" si="4">B4*B14*G4</f>
        <v>126000</v>
      </c>
      <c r="G14" s="502">
        <f>B4*(B14)*H4</f>
        <v>126000</v>
      </c>
      <c r="H14" s="123"/>
    </row>
    <row r="15" spans="1:8" x14ac:dyDescent="0.25">
      <c r="A15" s="500" t="s">
        <v>70</v>
      </c>
      <c r="B15" s="492">
        <f t="shared" si="1"/>
        <v>0</v>
      </c>
      <c r="C15" s="501">
        <f t="shared" si="2"/>
        <v>0</v>
      </c>
      <c r="D15" s="501">
        <f t="shared" si="3"/>
        <v>0</v>
      </c>
      <c r="E15" s="501">
        <f>B5*(B15)*F5</f>
        <v>0</v>
      </c>
      <c r="F15" s="501">
        <f t="shared" si="4"/>
        <v>0</v>
      </c>
      <c r="G15" s="502">
        <f>B5*(B15)*H5</f>
        <v>0</v>
      </c>
      <c r="H15" s="123" t="e">
        <f>ROUNDUP(#REF!/(8*6),0)</f>
        <v>#REF!</v>
      </c>
    </row>
    <row r="16" spans="1:8" x14ac:dyDescent="0.25">
      <c r="A16" s="500" t="s">
        <v>71</v>
      </c>
      <c r="B16" s="492">
        <f t="shared" si="1"/>
        <v>14</v>
      </c>
      <c r="C16" s="501">
        <f t="shared" si="2"/>
        <v>90000</v>
      </c>
      <c r="D16" s="501">
        <f t="shared" si="3"/>
        <v>25000</v>
      </c>
      <c r="E16" s="501">
        <f>B6*(B16)*F6</f>
        <v>126000</v>
      </c>
      <c r="F16" s="501">
        <f t="shared" si="4"/>
        <v>84000</v>
      </c>
      <c r="G16" s="502">
        <f>B6*(B16)*H6</f>
        <v>126000</v>
      </c>
      <c r="H16" s="123"/>
    </row>
    <row r="17" spans="1:8" x14ac:dyDescent="0.25">
      <c r="A17" s="500" t="s">
        <v>72</v>
      </c>
      <c r="B17" s="492">
        <f t="shared" si="1"/>
        <v>14</v>
      </c>
      <c r="C17" s="501">
        <f t="shared" si="2"/>
        <v>90000</v>
      </c>
      <c r="D17" s="501">
        <f t="shared" si="3"/>
        <v>25000</v>
      </c>
      <c r="E17" s="501">
        <f>B7*((B17))*F7</f>
        <v>126000</v>
      </c>
      <c r="F17" s="501">
        <f t="shared" si="4"/>
        <v>126000</v>
      </c>
      <c r="G17" s="502">
        <f>B7*(B17)*H7</f>
        <v>126000</v>
      </c>
      <c r="H17" s="123"/>
    </row>
    <row r="18" spans="1:8" x14ac:dyDescent="0.25">
      <c r="A18" s="500" t="s">
        <v>65</v>
      </c>
      <c r="B18" s="492">
        <f t="shared" si="1"/>
        <v>0</v>
      </c>
      <c r="C18" s="501">
        <f t="shared" si="2"/>
        <v>90000</v>
      </c>
      <c r="D18" s="501">
        <f t="shared" si="3"/>
        <v>25000</v>
      </c>
      <c r="E18" s="501">
        <f>B8*((B18))*F8</f>
        <v>0</v>
      </c>
      <c r="F18" s="501">
        <f t="shared" si="4"/>
        <v>0</v>
      </c>
      <c r="G18" s="502">
        <f>B8*(B18)*H8</f>
        <v>0</v>
      </c>
      <c r="H18" s="123"/>
    </row>
    <row r="19" spans="1:8" x14ac:dyDescent="0.25">
      <c r="A19" s="500" t="s">
        <v>65</v>
      </c>
      <c r="B19" s="492">
        <f t="shared" si="1"/>
        <v>0</v>
      </c>
      <c r="C19" s="501">
        <f t="shared" si="2"/>
        <v>90000</v>
      </c>
      <c r="D19" s="501">
        <f t="shared" si="3"/>
        <v>25000</v>
      </c>
      <c r="E19" s="501">
        <f>B9*(B19)*F9</f>
        <v>0</v>
      </c>
      <c r="F19" s="501">
        <f t="shared" si="4"/>
        <v>0</v>
      </c>
      <c r="G19" s="502">
        <f t="shared" ref="G19" si="5">B9*(B19)*H9</f>
        <v>0</v>
      </c>
      <c r="H19" s="123"/>
    </row>
    <row r="20" spans="1:8" x14ac:dyDescent="0.25">
      <c r="A20" s="497"/>
      <c r="B20" s="489" t="s">
        <v>73</v>
      </c>
      <c r="C20" s="503">
        <v>0</v>
      </c>
      <c r="D20" s="503">
        <v>0</v>
      </c>
      <c r="E20" s="504">
        <f>SUM(E14:E19)</f>
        <v>378000</v>
      </c>
      <c r="F20" s="504">
        <f>SUM(F14:F19)</f>
        <v>336000</v>
      </c>
      <c r="G20" s="505">
        <f>SUM(G14:G19)</f>
        <v>378000</v>
      </c>
      <c r="H20" s="123"/>
    </row>
    <row r="21" spans="1:8" x14ac:dyDescent="0.25">
      <c r="A21" s="497"/>
      <c r="B21" s="489" t="s">
        <v>74</v>
      </c>
      <c r="C21" s="506">
        <f>C20/'[7]Overall Costing'!N2</f>
        <v>0</v>
      </c>
      <c r="D21" s="506">
        <f>D20/'[7]Overall Costing'!N2</f>
        <v>0</v>
      </c>
      <c r="E21" s="506">
        <f>E20/'[7]Overall Costing'!N2</f>
        <v>4344.8275862068967</v>
      </c>
      <c r="F21" s="506">
        <f>F20/'[7]Overall Costing'!N2</f>
        <v>3862.0689655172414</v>
      </c>
      <c r="G21" s="506">
        <f>G20/'[7]Overall Costing'!N2</f>
        <v>4344.8275862068967</v>
      </c>
      <c r="H21" s="123"/>
    </row>
    <row r="22" spans="1:8" x14ac:dyDescent="0.25">
      <c r="A22" s="497"/>
      <c r="B22" s="123"/>
      <c r="C22" s="123"/>
      <c r="D22" s="123"/>
      <c r="E22" s="123"/>
      <c r="F22" s="123"/>
      <c r="G22" s="498"/>
      <c r="H22" s="123"/>
    </row>
    <row r="23" spans="1:8" x14ac:dyDescent="0.25">
      <c r="A23" s="497"/>
      <c r="B23" s="123"/>
      <c r="C23" s="123"/>
      <c r="D23" s="123"/>
      <c r="E23" s="123"/>
      <c r="F23" s="123"/>
      <c r="G23" s="498"/>
      <c r="H23" s="123"/>
    </row>
    <row r="24" spans="1:8" x14ac:dyDescent="0.25">
      <c r="A24" s="497"/>
      <c r="B24" s="507" t="s">
        <v>75</v>
      </c>
      <c r="C24" s="508">
        <f>SUM(C21:G21)</f>
        <v>12551.724137931034</v>
      </c>
      <c r="D24" s="509">
        <f>SUM(C20:G20)</f>
        <v>1092000</v>
      </c>
      <c r="E24" s="123"/>
      <c r="F24" s="123"/>
      <c r="G24" s="498"/>
      <c r="H24" s="123"/>
    </row>
    <row r="25" spans="1:8" x14ac:dyDescent="0.25">
      <c r="A25" s="497"/>
      <c r="B25" s="123" t="s">
        <v>76</v>
      </c>
      <c r="C25" s="510">
        <v>0.05</v>
      </c>
      <c r="D25" s="123"/>
      <c r="E25" s="123"/>
      <c r="F25" s="123"/>
      <c r="G25" s="498"/>
      <c r="H25" s="123"/>
    </row>
    <row r="26" spans="1:8" ht="15.75" thickBot="1" x14ac:dyDescent="0.3">
      <c r="A26" s="511"/>
      <c r="B26" s="512" t="s">
        <v>77</v>
      </c>
      <c r="C26" s="513">
        <f>C24*(1+C25)</f>
        <v>13179.310344827587</v>
      </c>
      <c r="D26" s="514">
        <f>D24*(1+C25)</f>
        <v>1146600</v>
      </c>
      <c r="E26" s="512"/>
      <c r="F26" s="512"/>
      <c r="G26" s="515"/>
      <c r="H26" s="123"/>
    </row>
    <row r="27" spans="1:8" x14ac:dyDescent="0.25">
      <c r="A27" s="123"/>
      <c r="B27" s="123" t="s">
        <v>78</v>
      </c>
      <c r="C27" s="516"/>
      <c r="D27" s="501">
        <f>C27*'[8]Overall Costing'!M5</f>
        <v>0</v>
      </c>
      <c r="E27" s="123"/>
      <c r="F27" s="123"/>
      <c r="G27" s="123"/>
      <c r="H27" s="123"/>
    </row>
    <row r="28" spans="1:8" x14ac:dyDescent="0.25">
      <c r="D28" s="487">
        <f>SUM(D26:D27)</f>
        <v>1146600</v>
      </c>
      <c r="E28" s="526">
        <f>D28/'Overall Costing'!M5</f>
        <v>12197.872340425532</v>
      </c>
    </row>
  </sheetData>
  <mergeCells count="3">
    <mergeCell ref="A1:G1"/>
    <mergeCell ref="A2:G2"/>
    <mergeCell ref="A11:G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00F87-A4EF-426D-925E-CF6B6DFAC930}">
  <dimension ref="B2:J8"/>
  <sheetViews>
    <sheetView workbookViewId="0">
      <selection activeCell="I32" sqref="I32"/>
    </sheetView>
  </sheetViews>
  <sheetFormatPr defaultRowHeight="15" x14ac:dyDescent="0.25"/>
  <cols>
    <col min="2" max="2" width="26.28515625" bestFit="1" customWidth="1"/>
    <col min="3" max="4" width="11.42578125" bestFit="1" customWidth="1"/>
    <col min="9" max="9" width="30.42578125" bestFit="1" customWidth="1"/>
    <col min="10" max="10" width="14.28515625" bestFit="1" customWidth="1"/>
  </cols>
  <sheetData>
    <row r="2" spans="2:10" x14ac:dyDescent="0.25">
      <c r="B2" t="s">
        <v>79</v>
      </c>
      <c r="C2" s="484">
        <f>'Local I&amp;C'!E2+'FAPL I&amp;C'!J14</f>
        <v>327382.97872340423</v>
      </c>
      <c r="D2" s="484">
        <f>C2*(1+5%)</f>
        <v>343752.12765957444</v>
      </c>
      <c r="I2" t="s">
        <v>80</v>
      </c>
      <c r="J2" s="487">
        <f>400000*1.25</f>
        <v>500000</v>
      </c>
    </row>
    <row r="3" spans="2:10" x14ac:dyDescent="0.25">
      <c r="B3" t="s">
        <v>81</v>
      </c>
      <c r="C3" s="484">
        <f>'Local I&amp;C'!E3+'FAPL I&amp;C'!J16</f>
        <v>107644.68085106384</v>
      </c>
      <c r="D3" s="484">
        <f>C3*(1+5%)</f>
        <v>113026.91489361704</v>
      </c>
      <c r="I3" t="s">
        <v>80</v>
      </c>
      <c r="J3" s="484">
        <f>J2/88</f>
        <v>5681.818181818182</v>
      </c>
    </row>
    <row r="4" spans="2:10" x14ac:dyDescent="0.25">
      <c r="B4" t="s">
        <v>82</v>
      </c>
      <c r="C4" s="484">
        <f>'FAPL I&amp;C'!J17+'FAPL I&amp;C'!J18</f>
        <v>29446.808510638297</v>
      </c>
      <c r="D4" s="484">
        <f>C4*(1+5%)</f>
        <v>30919.148936170212</v>
      </c>
      <c r="I4" t="s">
        <v>83</v>
      </c>
      <c r="J4" s="484">
        <f>J3*36</f>
        <v>204545.45454545456</v>
      </c>
    </row>
    <row r="5" spans="2:10" x14ac:dyDescent="0.25">
      <c r="B5" t="s">
        <v>84</v>
      </c>
      <c r="C5" s="484">
        <f>'FAPL I&amp;C'!J19</f>
        <v>14308.510638297872</v>
      </c>
      <c r="D5" s="484">
        <f>C5*(1+5%)</f>
        <v>15023.936170212766</v>
      </c>
      <c r="I5" t="s">
        <v>85</v>
      </c>
      <c r="J5" s="484">
        <v>0</v>
      </c>
    </row>
    <row r="6" spans="2:10" x14ac:dyDescent="0.25">
      <c r="B6" t="s">
        <v>86</v>
      </c>
      <c r="C6" s="484"/>
      <c r="D6" s="484">
        <f>'Local I&amp;C'!E8</f>
        <v>20000</v>
      </c>
      <c r="I6" t="s">
        <v>87</v>
      </c>
      <c r="J6" s="484">
        <f>J4+J5</f>
        <v>204545.45454545456</v>
      </c>
    </row>
    <row r="7" spans="2:10" x14ac:dyDescent="0.25">
      <c r="B7" t="s">
        <v>88</v>
      </c>
      <c r="C7" s="484"/>
      <c r="D7" s="484">
        <f>'Local I&amp;C'!E9</f>
        <v>15000</v>
      </c>
      <c r="I7" t="s">
        <v>87</v>
      </c>
      <c r="J7" s="487">
        <f>J6*'Overall Costing'!M5</f>
        <v>19227272.72727273</v>
      </c>
    </row>
    <row r="8" spans="2:10" x14ac:dyDescent="0.25">
      <c r="B8" t="s">
        <v>89</v>
      </c>
      <c r="C8" s="484"/>
      <c r="D8" s="484">
        <f>'FAPL I&amp;C'!C27</f>
        <v>10000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59480-CCDC-4993-BAEE-C8EA2C908C49}">
  <dimension ref="A1:I13"/>
  <sheetViews>
    <sheetView workbookViewId="0">
      <selection activeCell="D16" sqref="D16"/>
    </sheetView>
  </sheetViews>
  <sheetFormatPr defaultRowHeight="15" x14ac:dyDescent="0.25"/>
  <cols>
    <col min="1" max="1" width="10.42578125" bestFit="1" customWidth="1"/>
    <col min="2" max="2" width="8.85546875" bestFit="1" customWidth="1"/>
    <col min="3" max="3" width="9.85546875" bestFit="1" customWidth="1"/>
    <col min="4" max="4" width="27.42578125" bestFit="1" customWidth="1"/>
    <col min="5" max="5" width="10.42578125" bestFit="1" customWidth="1"/>
    <col min="6" max="6" width="15.85546875" bestFit="1" customWidth="1"/>
  </cols>
  <sheetData>
    <row r="1" spans="1:9" x14ac:dyDescent="0.25">
      <c r="A1" s="58" t="s">
        <v>90</v>
      </c>
      <c r="B1" s="58" t="s">
        <v>91</v>
      </c>
      <c r="C1" s="58" t="s">
        <v>92</v>
      </c>
      <c r="D1" s="58" t="s">
        <v>93</v>
      </c>
      <c r="E1" s="58" t="s">
        <v>94</v>
      </c>
    </row>
    <row r="2" spans="1:9" x14ac:dyDescent="0.25">
      <c r="A2" s="58" t="s">
        <v>95</v>
      </c>
      <c r="B2" s="309">
        <v>800</v>
      </c>
      <c r="C2" s="58">
        <f>B2*10</f>
        <v>8000</v>
      </c>
      <c r="D2" s="517">
        <v>37</v>
      </c>
      <c r="E2" s="518">
        <f>D2*C2</f>
        <v>296000</v>
      </c>
    </row>
    <row r="3" spans="1:9" x14ac:dyDescent="0.25">
      <c r="A3" s="58" t="s">
        <v>96</v>
      </c>
      <c r="B3" s="309">
        <v>220</v>
      </c>
      <c r="C3" s="58">
        <f>B3*10</f>
        <v>2200</v>
      </c>
      <c r="D3" s="517">
        <v>37</v>
      </c>
      <c r="E3" s="518">
        <f>D3*C3</f>
        <v>81400</v>
      </c>
    </row>
    <row r="4" spans="1:9" x14ac:dyDescent="0.25">
      <c r="D4" t="s">
        <v>97</v>
      </c>
      <c r="E4" s="484">
        <f>SUM(E2:E3)</f>
        <v>377400</v>
      </c>
    </row>
    <row r="5" spans="1:9" x14ac:dyDescent="0.25">
      <c r="D5" t="s">
        <v>98</v>
      </c>
      <c r="E5" s="519">
        <v>0.05</v>
      </c>
    </row>
    <row r="6" spans="1:9" x14ac:dyDescent="0.25">
      <c r="D6" t="s">
        <v>99</v>
      </c>
      <c r="E6" s="520">
        <f>(E4*E5)+E4</f>
        <v>396270</v>
      </c>
    </row>
    <row r="7" spans="1:9" x14ac:dyDescent="0.25">
      <c r="D7" t="s">
        <v>100</v>
      </c>
      <c r="E7" s="484">
        <f>E6*0%</f>
        <v>0</v>
      </c>
      <c r="I7" s="521"/>
    </row>
    <row r="8" spans="1:9" x14ac:dyDescent="0.25">
      <c r="D8" t="s">
        <v>101</v>
      </c>
      <c r="E8" s="484">
        <v>20000</v>
      </c>
      <c r="I8" s="521"/>
    </row>
    <row r="9" spans="1:9" x14ac:dyDescent="0.25">
      <c r="D9" t="s">
        <v>88</v>
      </c>
      <c r="E9" s="522">
        <v>15000</v>
      </c>
      <c r="I9" s="521"/>
    </row>
    <row r="10" spans="1:9" x14ac:dyDescent="0.25">
      <c r="D10" s="8" t="s">
        <v>102</v>
      </c>
      <c r="E10" s="523">
        <f>E6+E7+E9+E8</f>
        <v>431270</v>
      </c>
      <c r="F10" s="524">
        <f>E10*'Overall Costing'!M5</f>
        <v>40539380</v>
      </c>
    </row>
    <row r="13" spans="1:9" x14ac:dyDescent="0.25">
      <c r="F13" s="484">
        <f>E10+'[8]FAPl I&amp;C'!C26</f>
        <v>489654.4827586207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71515-F2AB-48CE-A89A-0448E4A168E8}">
  <dimension ref="A1:H28"/>
  <sheetViews>
    <sheetView topLeftCell="A13" workbookViewId="0">
      <selection activeCell="C9" sqref="C9"/>
    </sheetView>
  </sheetViews>
  <sheetFormatPr defaultRowHeight="15" x14ac:dyDescent="0.25"/>
  <cols>
    <col min="1" max="1" width="30.85546875" bestFit="1" customWidth="1"/>
    <col min="2" max="2" width="29" bestFit="1" customWidth="1"/>
    <col min="3" max="3" width="27.140625" bestFit="1" customWidth="1"/>
    <col min="4" max="4" width="14.5703125" bestFit="1" customWidth="1"/>
    <col min="5" max="5" width="12.85546875" bestFit="1" customWidth="1"/>
    <col min="6" max="6" width="14.85546875" bestFit="1" customWidth="1"/>
    <col min="7" max="8" width="18.140625" bestFit="1" customWidth="1"/>
  </cols>
  <sheetData>
    <row r="1" spans="1:8" x14ac:dyDescent="0.25">
      <c r="A1" s="576" t="s">
        <v>50</v>
      </c>
      <c r="B1" s="577"/>
      <c r="C1" s="577"/>
      <c r="D1" s="577"/>
      <c r="E1" s="577"/>
      <c r="F1" s="577"/>
      <c r="G1" s="578"/>
      <c r="H1" s="123"/>
    </row>
    <row r="2" spans="1:8" x14ac:dyDescent="0.25">
      <c r="A2" s="579" t="s">
        <v>51</v>
      </c>
      <c r="B2" s="580"/>
      <c r="C2" s="580"/>
      <c r="D2" s="580"/>
      <c r="E2" s="580"/>
      <c r="F2" s="580"/>
      <c r="G2" s="581"/>
      <c r="H2" s="123"/>
    </row>
    <row r="3" spans="1:8" x14ac:dyDescent="0.25">
      <c r="A3" s="488" t="s">
        <v>52</v>
      </c>
      <c r="B3" s="489" t="s">
        <v>53</v>
      </c>
      <c r="C3" s="489" t="s">
        <v>54</v>
      </c>
      <c r="D3" s="489" t="s">
        <v>55</v>
      </c>
      <c r="E3" s="489" t="s">
        <v>56</v>
      </c>
      <c r="F3" s="489" t="s">
        <v>57</v>
      </c>
      <c r="G3" s="489" t="s">
        <v>58</v>
      </c>
      <c r="H3" s="490" t="s">
        <v>59</v>
      </c>
    </row>
    <row r="4" spans="1:8" x14ac:dyDescent="0.25">
      <c r="A4" s="491" t="s">
        <v>60</v>
      </c>
      <c r="B4" s="492">
        <v>1</v>
      </c>
      <c r="C4" s="493">
        <f>24+7</f>
        <v>31</v>
      </c>
      <c r="D4" s="494">
        <v>90000</v>
      </c>
      <c r="E4" s="494">
        <v>25000</v>
      </c>
      <c r="F4" s="494">
        <v>9000</v>
      </c>
      <c r="G4" s="494">
        <v>9000</v>
      </c>
      <c r="H4" s="495">
        <v>9000</v>
      </c>
    </row>
    <row r="5" spans="1:8" x14ac:dyDescent="0.25">
      <c r="A5" s="491" t="s">
        <v>61</v>
      </c>
      <c r="B5" s="492">
        <v>0</v>
      </c>
      <c r="C5" s="493">
        <v>0</v>
      </c>
      <c r="D5" s="494">
        <f>D4</f>
        <v>90000</v>
      </c>
      <c r="E5" s="494">
        <f>E4</f>
        <v>25000</v>
      </c>
      <c r="F5" s="494">
        <f>F4</f>
        <v>9000</v>
      </c>
      <c r="G5" s="494">
        <v>6000</v>
      </c>
      <c r="H5" s="495">
        <f>H4</f>
        <v>9000</v>
      </c>
    </row>
    <row r="6" spans="1:8" x14ac:dyDescent="0.25">
      <c r="A6" s="491" t="s">
        <v>62</v>
      </c>
      <c r="B6" s="492">
        <v>1</v>
      </c>
      <c r="C6" s="493">
        <f>24+7</f>
        <v>31</v>
      </c>
      <c r="D6" s="494">
        <f t="shared" ref="D6:F8" si="0">D5</f>
        <v>90000</v>
      </c>
      <c r="E6" s="494">
        <f t="shared" si="0"/>
        <v>25000</v>
      </c>
      <c r="F6" s="494">
        <f t="shared" si="0"/>
        <v>9000</v>
      </c>
      <c r="G6" s="496">
        <v>6000</v>
      </c>
      <c r="H6" s="495">
        <f>H5</f>
        <v>9000</v>
      </c>
    </row>
    <row r="7" spans="1:8" x14ac:dyDescent="0.25">
      <c r="A7" s="491" t="s">
        <v>63</v>
      </c>
      <c r="B7" s="492">
        <v>1</v>
      </c>
      <c r="C7" s="493">
        <f>24+7</f>
        <v>31</v>
      </c>
      <c r="D7" s="494">
        <f t="shared" si="0"/>
        <v>90000</v>
      </c>
      <c r="E7" s="494">
        <f t="shared" si="0"/>
        <v>25000</v>
      </c>
      <c r="F7" s="494">
        <f t="shared" si="0"/>
        <v>9000</v>
      </c>
      <c r="G7" s="496">
        <v>9000</v>
      </c>
      <c r="H7" s="495">
        <f>H6</f>
        <v>9000</v>
      </c>
    </row>
    <row r="8" spans="1:8" x14ac:dyDescent="0.25">
      <c r="A8" s="491" t="s">
        <v>64</v>
      </c>
      <c r="B8" s="492">
        <v>1</v>
      </c>
      <c r="C8" s="493">
        <v>0</v>
      </c>
      <c r="D8" s="494">
        <f t="shared" si="0"/>
        <v>90000</v>
      </c>
      <c r="E8" s="494">
        <f t="shared" si="0"/>
        <v>25000</v>
      </c>
      <c r="F8" s="494">
        <f t="shared" si="0"/>
        <v>9000</v>
      </c>
      <c r="G8" s="496">
        <v>9000</v>
      </c>
      <c r="H8" s="495">
        <f>H7</f>
        <v>9000</v>
      </c>
    </row>
    <row r="9" spans="1:8" x14ac:dyDescent="0.25">
      <c r="A9" s="491" t="s">
        <v>65</v>
      </c>
      <c r="B9" s="492">
        <v>1</v>
      </c>
      <c r="C9" s="493">
        <f>24+7</f>
        <v>31</v>
      </c>
      <c r="D9" s="494">
        <f>D7</f>
        <v>90000</v>
      </c>
      <c r="E9" s="494">
        <f>E7</f>
        <v>25000</v>
      </c>
      <c r="F9" s="494">
        <f>F7</f>
        <v>9000</v>
      </c>
      <c r="G9" s="496">
        <v>12000</v>
      </c>
      <c r="H9" s="495">
        <f>H7</f>
        <v>9000</v>
      </c>
    </row>
    <row r="10" spans="1:8" x14ac:dyDescent="0.25">
      <c r="A10" s="497"/>
      <c r="B10" s="123"/>
      <c r="C10" s="123"/>
      <c r="D10" s="123"/>
      <c r="E10" s="123"/>
      <c r="F10" s="123"/>
      <c r="G10" s="498"/>
      <c r="H10" s="123"/>
    </row>
    <row r="11" spans="1:8" x14ac:dyDescent="0.25">
      <c r="A11" s="579" t="s">
        <v>66</v>
      </c>
      <c r="B11" s="580"/>
      <c r="C11" s="580"/>
      <c r="D11" s="580"/>
      <c r="E11" s="580"/>
      <c r="F11" s="580"/>
      <c r="G11" s="581"/>
      <c r="H11" s="123"/>
    </row>
    <row r="12" spans="1:8" x14ac:dyDescent="0.25">
      <c r="A12" s="497"/>
      <c r="B12" s="123"/>
      <c r="C12" s="123"/>
      <c r="D12" s="123"/>
      <c r="E12" s="123"/>
      <c r="F12" s="123"/>
      <c r="G12" s="499"/>
      <c r="H12" s="123"/>
    </row>
    <row r="13" spans="1:8" x14ac:dyDescent="0.25">
      <c r="A13" s="488" t="s">
        <v>67</v>
      </c>
      <c r="B13" s="489" t="s">
        <v>68</v>
      </c>
      <c r="C13" s="489" t="s">
        <v>55</v>
      </c>
      <c r="D13" s="489" t="s">
        <v>56</v>
      </c>
      <c r="E13" s="489" t="s">
        <v>57</v>
      </c>
      <c r="F13" s="489" t="s">
        <v>58</v>
      </c>
      <c r="G13" s="490" t="s">
        <v>59</v>
      </c>
      <c r="H13" s="123"/>
    </row>
    <row r="14" spans="1:8" x14ac:dyDescent="0.25">
      <c r="A14" s="500" t="s">
        <v>69</v>
      </c>
      <c r="B14" s="492">
        <f t="shared" ref="B14:B19" si="1">ROUNDUP(C4*7/6,0)</f>
        <v>37</v>
      </c>
      <c r="C14" s="501">
        <f t="shared" ref="C14:C19" si="2">B4*D4</f>
        <v>90000</v>
      </c>
      <c r="D14" s="501">
        <f t="shared" ref="D14:D19" si="3">B4*E4</f>
        <v>25000</v>
      </c>
      <c r="E14" s="501">
        <f>B4*(B14)*F4</f>
        <v>333000</v>
      </c>
      <c r="F14" s="501">
        <f t="shared" ref="F14:F19" si="4">B4*B14*G4</f>
        <v>333000</v>
      </c>
      <c r="G14" s="502">
        <f>B4*(B14)*H4</f>
        <v>333000</v>
      </c>
      <c r="H14" s="123"/>
    </row>
    <row r="15" spans="1:8" x14ac:dyDescent="0.25">
      <c r="A15" s="500" t="s">
        <v>70</v>
      </c>
      <c r="B15" s="492">
        <f t="shared" si="1"/>
        <v>0</v>
      </c>
      <c r="C15" s="501">
        <f t="shared" si="2"/>
        <v>0</v>
      </c>
      <c r="D15" s="501">
        <f t="shared" si="3"/>
        <v>0</v>
      </c>
      <c r="E15" s="501">
        <f>B5*(B15)*F5</f>
        <v>0</v>
      </c>
      <c r="F15" s="501">
        <f t="shared" si="4"/>
        <v>0</v>
      </c>
      <c r="G15" s="502">
        <f>B5*(B15)*H5</f>
        <v>0</v>
      </c>
      <c r="H15" s="123" t="e">
        <f>ROUNDUP(#REF!/(8*6),0)</f>
        <v>#REF!</v>
      </c>
    </row>
    <row r="16" spans="1:8" x14ac:dyDescent="0.25">
      <c r="A16" s="500" t="s">
        <v>71</v>
      </c>
      <c r="B16" s="492">
        <f t="shared" si="1"/>
        <v>37</v>
      </c>
      <c r="C16" s="501">
        <f t="shared" si="2"/>
        <v>90000</v>
      </c>
      <c r="D16" s="501">
        <f t="shared" si="3"/>
        <v>25000</v>
      </c>
      <c r="E16" s="501">
        <f>B6*(B16)*F6</f>
        <v>333000</v>
      </c>
      <c r="F16" s="501">
        <f t="shared" si="4"/>
        <v>222000</v>
      </c>
      <c r="G16" s="502">
        <f>B6*(B16)*H6</f>
        <v>333000</v>
      </c>
      <c r="H16" s="123"/>
    </row>
    <row r="17" spans="1:8" x14ac:dyDescent="0.25">
      <c r="A17" s="500" t="s">
        <v>72</v>
      </c>
      <c r="B17" s="492">
        <f t="shared" si="1"/>
        <v>37</v>
      </c>
      <c r="C17" s="501">
        <f t="shared" si="2"/>
        <v>90000</v>
      </c>
      <c r="D17" s="501">
        <f t="shared" si="3"/>
        <v>25000</v>
      </c>
      <c r="E17" s="501">
        <f>B7*((B17))*F7</f>
        <v>333000</v>
      </c>
      <c r="F17" s="501">
        <f t="shared" si="4"/>
        <v>333000</v>
      </c>
      <c r="G17" s="502">
        <f>B7*(B17)*H7</f>
        <v>333000</v>
      </c>
      <c r="H17" s="123"/>
    </row>
    <row r="18" spans="1:8" x14ac:dyDescent="0.25">
      <c r="A18" s="500" t="s">
        <v>65</v>
      </c>
      <c r="B18" s="492">
        <f t="shared" si="1"/>
        <v>0</v>
      </c>
      <c r="C18" s="501">
        <f t="shared" si="2"/>
        <v>90000</v>
      </c>
      <c r="D18" s="501">
        <f t="shared" si="3"/>
        <v>25000</v>
      </c>
      <c r="E18" s="501">
        <f>B8*((B18))*F8</f>
        <v>0</v>
      </c>
      <c r="F18" s="501">
        <f t="shared" si="4"/>
        <v>0</v>
      </c>
      <c r="G18" s="502">
        <f>B8*(B18)*H8</f>
        <v>0</v>
      </c>
      <c r="H18" s="123"/>
    </row>
    <row r="19" spans="1:8" x14ac:dyDescent="0.25">
      <c r="A19" s="500" t="s">
        <v>65</v>
      </c>
      <c r="B19" s="492">
        <f t="shared" si="1"/>
        <v>37</v>
      </c>
      <c r="C19" s="501">
        <f t="shared" si="2"/>
        <v>90000</v>
      </c>
      <c r="D19" s="501">
        <f t="shared" si="3"/>
        <v>25000</v>
      </c>
      <c r="E19" s="501">
        <f>B9*(B19)*F9</f>
        <v>333000</v>
      </c>
      <c r="F19" s="501">
        <f t="shared" si="4"/>
        <v>444000</v>
      </c>
      <c r="G19" s="502">
        <f t="shared" ref="G19" si="5">B9*(B19)*H9</f>
        <v>333000</v>
      </c>
      <c r="H19" s="123"/>
    </row>
    <row r="20" spans="1:8" x14ac:dyDescent="0.25">
      <c r="A20" s="497"/>
      <c r="B20" s="489" t="s">
        <v>73</v>
      </c>
      <c r="C20" s="503">
        <v>0</v>
      </c>
      <c r="D20" s="503">
        <v>0</v>
      </c>
      <c r="E20" s="504">
        <f>SUM(E14:E19)</f>
        <v>1332000</v>
      </c>
      <c r="F20" s="504">
        <f>SUM(F14:F19)</f>
        <v>1332000</v>
      </c>
      <c r="G20" s="505">
        <f>SUM(G14:G19)</f>
        <v>1332000</v>
      </c>
      <c r="H20" s="123"/>
    </row>
    <row r="21" spans="1:8" x14ac:dyDescent="0.25">
      <c r="A21" s="497"/>
      <c r="B21" s="489" t="s">
        <v>74</v>
      </c>
      <c r="C21" s="506">
        <f>C20/'[7]Overall Costing'!N2</f>
        <v>0</v>
      </c>
      <c r="D21" s="506">
        <f>D20/'[7]Overall Costing'!N2</f>
        <v>0</v>
      </c>
      <c r="E21" s="506">
        <f>E20/'[7]Overall Costing'!N2</f>
        <v>15310.344827586207</v>
      </c>
      <c r="F21" s="506">
        <f>F20/'[7]Overall Costing'!N2</f>
        <v>15310.344827586207</v>
      </c>
      <c r="G21" s="506">
        <f>G20/'[7]Overall Costing'!N2</f>
        <v>15310.344827586207</v>
      </c>
      <c r="H21" s="123"/>
    </row>
    <row r="22" spans="1:8" x14ac:dyDescent="0.25">
      <c r="A22" s="497"/>
      <c r="B22" s="123"/>
      <c r="C22" s="123"/>
      <c r="D22" s="123"/>
      <c r="E22" s="123"/>
      <c r="F22" s="123"/>
      <c r="G22" s="498"/>
      <c r="H22" s="123"/>
    </row>
    <row r="23" spans="1:8" x14ac:dyDescent="0.25">
      <c r="A23" s="497"/>
      <c r="B23" s="123"/>
      <c r="C23" s="123"/>
      <c r="D23" s="123"/>
      <c r="E23" s="123"/>
      <c r="F23" s="123"/>
      <c r="G23" s="498"/>
      <c r="H23" s="123"/>
    </row>
    <row r="24" spans="1:8" x14ac:dyDescent="0.25">
      <c r="A24" s="497"/>
      <c r="B24" s="507" t="s">
        <v>75</v>
      </c>
      <c r="C24" s="508">
        <f>SUM(C21:G21)</f>
        <v>45931.034482758623</v>
      </c>
      <c r="D24" s="509">
        <f>SUM(C20:G20)</f>
        <v>3996000</v>
      </c>
      <c r="E24" s="123"/>
      <c r="F24" s="123"/>
      <c r="G24" s="498"/>
      <c r="H24" s="123"/>
    </row>
    <row r="25" spans="1:8" x14ac:dyDescent="0.25">
      <c r="A25" s="497"/>
      <c r="B25" s="123" t="s">
        <v>76</v>
      </c>
      <c r="C25" s="510">
        <v>0.05</v>
      </c>
      <c r="D25" s="123"/>
      <c r="E25" s="123"/>
      <c r="F25" s="123"/>
      <c r="G25" s="498"/>
      <c r="H25" s="123"/>
    </row>
    <row r="26" spans="1:8" ht="15.75" thickBot="1" x14ac:dyDescent="0.3">
      <c r="A26" s="511"/>
      <c r="B26" s="512" t="s">
        <v>77</v>
      </c>
      <c r="C26" s="513">
        <f>C24*(1+C25)</f>
        <v>48227.586206896558</v>
      </c>
      <c r="D26" s="514">
        <f>D24*(1+C25)</f>
        <v>4195800</v>
      </c>
      <c r="E26" s="512"/>
      <c r="F26" s="512"/>
      <c r="G26" s="515"/>
      <c r="H26" s="123"/>
    </row>
    <row r="27" spans="1:8" x14ac:dyDescent="0.25">
      <c r="A27" s="123"/>
      <c r="B27" s="123" t="s">
        <v>78</v>
      </c>
      <c r="C27" s="516"/>
      <c r="D27" s="501">
        <f>C27*'[8]Overall Costing'!M5</f>
        <v>0</v>
      </c>
      <c r="E27" s="123"/>
      <c r="F27" s="123"/>
      <c r="G27" s="123"/>
      <c r="H27" s="123"/>
    </row>
    <row r="28" spans="1:8" x14ac:dyDescent="0.25">
      <c r="D28" s="487">
        <f>SUM(D26:D27)</f>
        <v>4195800</v>
      </c>
      <c r="E28" s="526">
        <f>D28/'Overall Costing'!M5</f>
        <v>44636.170212765959</v>
      </c>
    </row>
  </sheetData>
  <mergeCells count="3">
    <mergeCell ref="A1:G1"/>
    <mergeCell ref="A2:G2"/>
    <mergeCell ref="A11:G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B335-6AE7-47F3-948B-94E7E05BA501}">
  <dimension ref="A1:J28"/>
  <sheetViews>
    <sheetView topLeftCell="A13" workbookViewId="0">
      <selection activeCell="C9" sqref="C9"/>
    </sheetView>
  </sheetViews>
  <sheetFormatPr defaultRowHeight="15" x14ac:dyDescent="0.25"/>
  <cols>
    <col min="1" max="1" width="30.85546875" bestFit="1" customWidth="1"/>
    <col min="2" max="2" width="29" bestFit="1" customWidth="1"/>
    <col min="3" max="3" width="27.140625" bestFit="1" customWidth="1"/>
    <col min="4" max="4" width="14.5703125" bestFit="1" customWidth="1"/>
    <col min="5" max="5" width="12.85546875" bestFit="1" customWidth="1"/>
    <col min="6" max="6" width="14.85546875" bestFit="1" customWidth="1"/>
    <col min="7" max="8" width="18.140625" bestFit="1" customWidth="1"/>
    <col min="9" max="10" width="11.5703125" bestFit="1" customWidth="1"/>
  </cols>
  <sheetData>
    <row r="1" spans="1:10" x14ac:dyDescent="0.25">
      <c r="A1" s="576" t="s">
        <v>50</v>
      </c>
      <c r="B1" s="577"/>
      <c r="C1" s="577"/>
      <c r="D1" s="577"/>
      <c r="E1" s="577"/>
      <c r="F1" s="577"/>
      <c r="G1" s="578"/>
      <c r="H1" s="123"/>
    </row>
    <row r="2" spans="1:10" x14ac:dyDescent="0.25">
      <c r="A2" s="579" t="s">
        <v>51</v>
      </c>
      <c r="B2" s="580"/>
      <c r="C2" s="580"/>
      <c r="D2" s="580"/>
      <c r="E2" s="580"/>
      <c r="F2" s="580"/>
      <c r="G2" s="581"/>
      <c r="H2" s="123"/>
    </row>
    <row r="3" spans="1:10" x14ac:dyDescent="0.25">
      <c r="A3" s="488" t="s">
        <v>52</v>
      </c>
      <c r="B3" s="489" t="s">
        <v>53</v>
      </c>
      <c r="C3" s="489" t="s">
        <v>54</v>
      </c>
      <c r="D3" s="489" t="s">
        <v>55</v>
      </c>
      <c r="E3" s="489" t="s">
        <v>56</v>
      </c>
      <c r="F3" s="489" t="s">
        <v>57</v>
      </c>
      <c r="G3" s="489" t="s">
        <v>58</v>
      </c>
      <c r="H3" s="490" t="s">
        <v>59</v>
      </c>
    </row>
    <row r="4" spans="1:10" x14ac:dyDescent="0.25">
      <c r="A4" s="491" t="s">
        <v>60</v>
      </c>
      <c r="B4" s="492">
        <v>1</v>
      </c>
      <c r="C4" s="493">
        <v>90</v>
      </c>
      <c r="D4" s="494">
        <v>90000</v>
      </c>
      <c r="E4" s="494">
        <v>25000</v>
      </c>
      <c r="F4" s="494">
        <v>9000</v>
      </c>
      <c r="G4" s="494">
        <v>9000</v>
      </c>
      <c r="H4" s="495">
        <v>9000</v>
      </c>
    </row>
    <row r="5" spans="1:10" x14ac:dyDescent="0.25">
      <c r="A5" s="491" t="s">
        <v>61</v>
      </c>
      <c r="B5" s="492">
        <v>0</v>
      </c>
      <c r="C5" s="493">
        <v>0</v>
      </c>
      <c r="D5" s="494">
        <f>D4</f>
        <v>90000</v>
      </c>
      <c r="E5" s="494">
        <f>E4</f>
        <v>25000</v>
      </c>
      <c r="F5" s="494">
        <f>F4</f>
        <v>9000</v>
      </c>
      <c r="G5" s="494">
        <v>6000</v>
      </c>
      <c r="H5" s="495">
        <f>H4</f>
        <v>9000</v>
      </c>
    </row>
    <row r="6" spans="1:10" x14ac:dyDescent="0.25">
      <c r="A6" s="491" t="s">
        <v>62</v>
      </c>
      <c r="B6" s="492">
        <v>1</v>
      </c>
      <c r="C6" s="493">
        <v>84</v>
      </c>
      <c r="D6" s="494">
        <f t="shared" ref="D6:F8" si="0">D5</f>
        <v>90000</v>
      </c>
      <c r="E6" s="494">
        <f t="shared" si="0"/>
        <v>25000</v>
      </c>
      <c r="F6" s="494">
        <f t="shared" si="0"/>
        <v>9000</v>
      </c>
      <c r="G6" s="496">
        <v>6000</v>
      </c>
      <c r="H6" s="495">
        <f>H5</f>
        <v>9000</v>
      </c>
    </row>
    <row r="7" spans="1:10" x14ac:dyDescent="0.25">
      <c r="A7" s="491" t="s">
        <v>63</v>
      </c>
      <c r="B7" s="492">
        <v>1</v>
      </c>
      <c r="C7" s="493">
        <v>40</v>
      </c>
      <c r="D7" s="494">
        <f t="shared" si="0"/>
        <v>90000</v>
      </c>
      <c r="E7" s="494">
        <f t="shared" si="0"/>
        <v>25000</v>
      </c>
      <c r="F7" s="494">
        <f t="shared" si="0"/>
        <v>9000</v>
      </c>
      <c r="G7" s="496">
        <v>9000</v>
      </c>
      <c r="H7" s="495">
        <f>H6</f>
        <v>9000</v>
      </c>
    </row>
    <row r="8" spans="1:10" x14ac:dyDescent="0.25">
      <c r="A8" s="491" t="s">
        <v>63</v>
      </c>
      <c r="B8" s="492">
        <v>1</v>
      </c>
      <c r="C8" s="493">
        <v>40</v>
      </c>
      <c r="D8" s="494">
        <f t="shared" si="0"/>
        <v>90000</v>
      </c>
      <c r="E8" s="494">
        <f t="shared" si="0"/>
        <v>25000</v>
      </c>
      <c r="F8" s="494">
        <f t="shared" si="0"/>
        <v>9000</v>
      </c>
      <c r="G8" s="496">
        <v>9000</v>
      </c>
      <c r="H8" s="495">
        <f>H7</f>
        <v>9000</v>
      </c>
    </row>
    <row r="9" spans="1:10" x14ac:dyDescent="0.25">
      <c r="A9" s="491" t="s">
        <v>65</v>
      </c>
      <c r="B9" s="492">
        <v>1</v>
      </c>
      <c r="C9" s="493">
        <v>35</v>
      </c>
      <c r="D9" s="494">
        <f>D7</f>
        <v>90000</v>
      </c>
      <c r="E9" s="494">
        <f>E7</f>
        <v>25000</v>
      </c>
      <c r="F9" s="494">
        <f>F7</f>
        <v>9000</v>
      </c>
      <c r="G9" s="496">
        <v>12000</v>
      </c>
      <c r="H9" s="495">
        <f>H7</f>
        <v>9000</v>
      </c>
    </row>
    <row r="10" spans="1:10" x14ac:dyDescent="0.25">
      <c r="A10" s="497"/>
      <c r="B10" s="123"/>
      <c r="C10" s="123"/>
      <c r="D10" s="123"/>
      <c r="E10" s="123"/>
      <c r="F10" s="123"/>
      <c r="G10" s="498"/>
      <c r="H10" s="123"/>
    </row>
    <row r="11" spans="1:10" x14ac:dyDescent="0.25">
      <c r="A11" s="579" t="s">
        <v>66</v>
      </c>
      <c r="B11" s="580"/>
      <c r="C11" s="580"/>
      <c r="D11" s="580"/>
      <c r="E11" s="580"/>
      <c r="F11" s="580"/>
      <c r="G11" s="581"/>
      <c r="H11" s="123"/>
    </row>
    <row r="12" spans="1:10" x14ac:dyDescent="0.25">
      <c r="A12" s="497"/>
      <c r="B12" s="123"/>
      <c r="C12" s="123"/>
      <c r="D12" s="123"/>
      <c r="E12" s="123"/>
      <c r="F12" s="123"/>
      <c r="G12" s="499"/>
      <c r="H12" s="123"/>
    </row>
    <row r="13" spans="1:10" x14ac:dyDescent="0.25">
      <c r="A13" s="488" t="s">
        <v>67</v>
      </c>
      <c r="B13" s="489" t="s">
        <v>68</v>
      </c>
      <c r="C13" s="489" t="s">
        <v>55</v>
      </c>
      <c r="D13" s="489" t="s">
        <v>56</v>
      </c>
      <c r="E13" s="489" t="s">
        <v>57</v>
      </c>
      <c r="F13" s="489" t="s">
        <v>58</v>
      </c>
      <c r="G13" s="490" t="s">
        <v>59</v>
      </c>
      <c r="H13" s="123"/>
      <c r="I13" s="489" t="s">
        <v>87</v>
      </c>
      <c r="J13" s="489" t="s">
        <v>87</v>
      </c>
    </row>
    <row r="14" spans="1:10" x14ac:dyDescent="0.25">
      <c r="A14" s="500" t="s">
        <v>69</v>
      </c>
      <c r="B14" s="492">
        <f t="shared" ref="B14:B19" si="1">ROUNDUP(C4*7/6,0)</f>
        <v>105</v>
      </c>
      <c r="C14" s="501">
        <f t="shared" ref="C14:C19" si="2">B4*D4</f>
        <v>90000</v>
      </c>
      <c r="D14" s="501">
        <f t="shared" ref="D14:D19" si="3">B4*E4</f>
        <v>25000</v>
      </c>
      <c r="E14" s="501">
        <f>B4*(B14)*F4</f>
        <v>945000</v>
      </c>
      <c r="F14" s="501">
        <f t="shared" ref="F14:F19" si="4">B4*B14*G4</f>
        <v>945000</v>
      </c>
      <c r="G14" s="502">
        <f t="shared" ref="G14:G19" si="5">B4*(B14)*H4</f>
        <v>945000</v>
      </c>
      <c r="H14" s="123"/>
      <c r="I14" s="487">
        <f>SUM(C14:G14)</f>
        <v>2950000</v>
      </c>
      <c r="J14" s="484">
        <f>I14/'Overall Costing'!$M$5</f>
        <v>31382.978723404256</v>
      </c>
    </row>
    <row r="15" spans="1:10" x14ac:dyDescent="0.25">
      <c r="A15" s="500" t="s">
        <v>70</v>
      </c>
      <c r="B15" s="492">
        <f t="shared" si="1"/>
        <v>0</v>
      </c>
      <c r="C15" s="501">
        <f t="shared" si="2"/>
        <v>0</v>
      </c>
      <c r="D15" s="501">
        <f t="shared" si="3"/>
        <v>0</v>
      </c>
      <c r="E15" s="501">
        <f>B5*(B15)*F5</f>
        <v>0</v>
      </c>
      <c r="F15" s="501">
        <f t="shared" si="4"/>
        <v>0</v>
      </c>
      <c r="G15" s="502">
        <f t="shared" si="5"/>
        <v>0</v>
      </c>
      <c r="H15" s="123"/>
      <c r="I15" s="487">
        <f t="shared" ref="I15:I19" si="6">SUM(C15:G15)</f>
        <v>0</v>
      </c>
      <c r="J15" s="484">
        <f>I15/'Overall Costing'!$M$5</f>
        <v>0</v>
      </c>
    </row>
    <row r="16" spans="1:10" x14ac:dyDescent="0.25">
      <c r="A16" s="500" t="s">
        <v>71</v>
      </c>
      <c r="B16" s="492">
        <f t="shared" si="1"/>
        <v>98</v>
      </c>
      <c r="C16" s="501">
        <f t="shared" si="2"/>
        <v>90000</v>
      </c>
      <c r="D16" s="501">
        <f t="shared" si="3"/>
        <v>25000</v>
      </c>
      <c r="E16" s="501">
        <f>B6*(B16)*F6</f>
        <v>882000</v>
      </c>
      <c r="F16" s="501">
        <f t="shared" si="4"/>
        <v>588000</v>
      </c>
      <c r="G16" s="502">
        <f t="shared" si="5"/>
        <v>882000</v>
      </c>
      <c r="H16" s="123"/>
      <c r="I16" s="487">
        <f t="shared" si="6"/>
        <v>2467000</v>
      </c>
      <c r="J16" s="484">
        <f>I16/'Overall Costing'!$M$5</f>
        <v>26244.680851063829</v>
      </c>
    </row>
    <row r="17" spans="1:10" x14ac:dyDescent="0.25">
      <c r="A17" s="500" t="s">
        <v>72</v>
      </c>
      <c r="B17" s="492">
        <f t="shared" si="1"/>
        <v>47</v>
      </c>
      <c r="C17" s="501">
        <f t="shared" si="2"/>
        <v>90000</v>
      </c>
      <c r="D17" s="501">
        <f t="shared" si="3"/>
        <v>25000</v>
      </c>
      <c r="E17" s="501">
        <f>B7*((B17))*F7</f>
        <v>423000</v>
      </c>
      <c r="F17" s="501">
        <f t="shared" si="4"/>
        <v>423000</v>
      </c>
      <c r="G17" s="502">
        <f t="shared" si="5"/>
        <v>423000</v>
      </c>
      <c r="H17" s="123"/>
      <c r="I17" s="487">
        <f t="shared" si="6"/>
        <v>1384000</v>
      </c>
      <c r="J17" s="484">
        <f>I17/'Overall Costing'!$M$5</f>
        <v>14723.404255319148</v>
      </c>
    </row>
    <row r="18" spans="1:10" x14ac:dyDescent="0.25">
      <c r="A18" s="500" t="s">
        <v>72</v>
      </c>
      <c r="B18" s="492">
        <f t="shared" si="1"/>
        <v>47</v>
      </c>
      <c r="C18" s="501">
        <f t="shared" si="2"/>
        <v>90000</v>
      </c>
      <c r="D18" s="501">
        <f t="shared" si="3"/>
        <v>25000</v>
      </c>
      <c r="E18" s="501">
        <f>B8*((B18))*F8</f>
        <v>423000</v>
      </c>
      <c r="F18" s="501">
        <f t="shared" si="4"/>
        <v>423000</v>
      </c>
      <c r="G18" s="502">
        <f t="shared" si="5"/>
        <v>423000</v>
      </c>
      <c r="H18" s="123"/>
      <c r="I18" s="487">
        <f t="shared" ref="I18" si="7">SUM(C18:G18)</f>
        <v>1384000</v>
      </c>
      <c r="J18" s="484">
        <f>I18/'Overall Costing'!$M$5</f>
        <v>14723.404255319148</v>
      </c>
    </row>
    <row r="19" spans="1:10" x14ac:dyDescent="0.25">
      <c r="A19" s="500" t="s">
        <v>65</v>
      </c>
      <c r="B19" s="492">
        <f t="shared" si="1"/>
        <v>41</v>
      </c>
      <c r="C19" s="501">
        <f t="shared" si="2"/>
        <v>90000</v>
      </c>
      <c r="D19" s="501">
        <f t="shared" si="3"/>
        <v>25000</v>
      </c>
      <c r="E19" s="501">
        <f>B9*(B19)*F9</f>
        <v>369000</v>
      </c>
      <c r="F19" s="501">
        <f t="shared" si="4"/>
        <v>492000</v>
      </c>
      <c r="G19" s="502">
        <f t="shared" si="5"/>
        <v>369000</v>
      </c>
      <c r="H19" s="123"/>
      <c r="I19" s="487">
        <f t="shared" si="6"/>
        <v>1345000</v>
      </c>
      <c r="J19" s="484">
        <f>I19/'Overall Costing'!$M$5</f>
        <v>14308.510638297872</v>
      </c>
    </row>
    <row r="20" spans="1:10" x14ac:dyDescent="0.25">
      <c r="A20" s="497"/>
      <c r="B20" s="489" t="s">
        <v>73</v>
      </c>
      <c r="C20" s="504">
        <f>SUM(C14:C19)</f>
        <v>450000</v>
      </c>
      <c r="D20" s="504">
        <f>SUM(D14:D19)</f>
        <v>125000</v>
      </c>
      <c r="E20" s="504">
        <f>SUM(E14:E19)</f>
        <v>3042000</v>
      </c>
      <c r="F20" s="504">
        <f>SUM(F14:F19)</f>
        <v>2871000</v>
      </c>
      <c r="G20" s="505">
        <f>SUM(G14:G19)</f>
        <v>3042000</v>
      </c>
      <c r="H20" s="123"/>
    </row>
    <row r="21" spans="1:10" x14ac:dyDescent="0.25">
      <c r="A21" s="497"/>
      <c r="B21" s="489" t="s">
        <v>74</v>
      </c>
      <c r="C21" s="506">
        <f>C20/'Overall Costing'!$M$5</f>
        <v>4787.2340425531911</v>
      </c>
      <c r="D21" s="506">
        <f>D20/'Overall Costing'!$M$5</f>
        <v>1329.7872340425531</v>
      </c>
      <c r="E21" s="506">
        <f>E20/'Overall Costing'!$M$5</f>
        <v>32361.702127659573</v>
      </c>
      <c r="F21" s="506">
        <f>F20/'Overall Costing'!$M$5</f>
        <v>30542.553191489362</v>
      </c>
      <c r="G21" s="506">
        <f>G20/'Overall Costing'!$M$5</f>
        <v>32361.702127659573</v>
      </c>
      <c r="H21" s="123"/>
    </row>
    <row r="22" spans="1:10" x14ac:dyDescent="0.25">
      <c r="A22" s="497"/>
      <c r="B22" s="123"/>
      <c r="C22" s="123"/>
      <c r="D22" s="123"/>
      <c r="E22" s="123"/>
      <c r="F22" s="123"/>
      <c r="G22" s="498"/>
      <c r="H22" s="123"/>
    </row>
    <row r="23" spans="1:10" x14ac:dyDescent="0.25">
      <c r="A23" s="497"/>
      <c r="B23" s="123"/>
      <c r="C23" s="123"/>
      <c r="D23" s="123"/>
      <c r="E23" s="123"/>
      <c r="F23" s="123"/>
      <c r="G23" s="498"/>
      <c r="H23" s="123"/>
    </row>
    <row r="24" spans="1:10" x14ac:dyDescent="0.25">
      <c r="A24" s="497"/>
      <c r="B24" s="507" t="s">
        <v>75</v>
      </c>
      <c r="C24" s="508">
        <f>SUM(C21:G21)</f>
        <v>101382.97872340426</v>
      </c>
      <c r="D24" s="509">
        <f>SUM(C20:G20)</f>
        <v>9530000</v>
      </c>
      <c r="E24" s="123"/>
      <c r="F24" s="123"/>
      <c r="G24" s="498"/>
      <c r="H24" s="123"/>
    </row>
    <row r="25" spans="1:10" x14ac:dyDescent="0.25">
      <c r="A25" s="497"/>
      <c r="B25" s="123" t="s">
        <v>76</v>
      </c>
      <c r="C25" s="510">
        <v>0.05</v>
      </c>
      <c r="D25" s="123"/>
      <c r="E25" s="123"/>
      <c r="F25" s="123"/>
      <c r="G25" s="498"/>
      <c r="H25" s="123"/>
    </row>
    <row r="26" spans="1:10" ht="15.75" thickBot="1" x14ac:dyDescent="0.3">
      <c r="A26" s="511"/>
      <c r="B26" s="512" t="s">
        <v>77</v>
      </c>
      <c r="C26" s="513">
        <f>C24*(1+C25)</f>
        <v>106452.12765957447</v>
      </c>
      <c r="D26" s="514">
        <f>D24*(1+C25)</f>
        <v>10006500</v>
      </c>
      <c r="E26" s="512"/>
      <c r="F26" s="512"/>
      <c r="G26" s="515"/>
      <c r="H26" s="123"/>
    </row>
    <row r="27" spans="1:10" x14ac:dyDescent="0.25">
      <c r="A27" s="123"/>
      <c r="B27" s="123" t="s">
        <v>78</v>
      </c>
      <c r="C27" s="516">
        <v>10000</v>
      </c>
      <c r="D27" s="501">
        <f>C27*'Overall Costing'!M5</f>
        <v>940000</v>
      </c>
      <c r="E27" s="123"/>
      <c r="F27" s="123"/>
      <c r="G27" s="123"/>
      <c r="H27" s="123"/>
    </row>
    <row r="28" spans="1:10" x14ac:dyDescent="0.25">
      <c r="C28" s="516">
        <f>SUM(C26:C27)</f>
        <v>116452.12765957447</v>
      </c>
      <c r="D28" s="487">
        <f>SUM(D26:D27)</f>
        <v>10946500</v>
      </c>
    </row>
  </sheetData>
  <mergeCells count="3">
    <mergeCell ref="A1:G1"/>
    <mergeCell ref="A2:G2"/>
    <mergeCell ref="A11:G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9433-763F-44F0-B888-56EB72FB569F}">
  <dimension ref="A1:N36"/>
  <sheetViews>
    <sheetView tabSelected="1" zoomScale="110" zoomScaleNormal="110" workbookViewId="0">
      <pane xSplit="2" topLeftCell="C1" activePane="topRight" state="frozen"/>
      <selection pane="topRight" activeCell="B25" sqref="B25"/>
    </sheetView>
  </sheetViews>
  <sheetFormatPr defaultColWidth="9.140625" defaultRowHeight="15" x14ac:dyDescent="0.25"/>
  <cols>
    <col min="1" max="1" width="7.42578125" style="1" bestFit="1" customWidth="1"/>
    <col min="2" max="2" width="42.7109375" bestFit="1" customWidth="1"/>
    <col min="3" max="3" width="8.140625" customWidth="1"/>
    <col min="4" max="4" width="12.7109375" style="1" bestFit="1" customWidth="1"/>
    <col min="5" max="5" width="4.5703125" bestFit="1" customWidth="1"/>
    <col min="6" max="6" width="6.7109375" bestFit="1" customWidth="1"/>
    <col min="7" max="7" width="13.5703125" style="37" bestFit="1" customWidth="1"/>
    <col min="8" max="8" width="28" style="1" bestFit="1" customWidth="1"/>
    <col min="9" max="9" width="18.5703125" style="1" bestFit="1" customWidth="1"/>
    <col min="10" max="10" width="16" style="313" bestFit="1" customWidth="1"/>
    <col min="11" max="11" width="42.7109375" style="1" bestFit="1" customWidth="1"/>
    <col min="12" max="12" width="23.28515625" style="18" bestFit="1" customWidth="1"/>
    <col min="13" max="13" width="7.28515625" bestFit="1" customWidth="1"/>
    <col min="14" max="14" width="16.85546875" customWidth="1"/>
    <col min="15" max="15" width="15.140625" bestFit="1" customWidth="1"/>
  </cols>
  <sheetData>
    <row r="1" spans="1:14" ht="17.25" x14ac:dyDescent="0.25">
      <c r="A1" s="72" t="s">
        <v>103</v>
      </c>
      <c r="B1" s="72" t="s">
        <v>1</v>
      </c>
      <c r="C1" s="72"/>
      <c r="D1" s="72" t="s">
        <v>2</v>
      </c>
      <c r="E1" s="72" t="s">
        <v>3</v>
      </c>
      <c r="F1" s="72" t="s">
        <v>4</v>
      </c>
      <c r="G1" s="73" t="s">
        <v>104</v>
      </c>
      <c r="H1" s="72" t="s">
        <v>105</v>
      </c>
      <c r="I1" s="72" t="s">
        <v>106</v>
      </c>
      <c r="J1" s="312" t="str">
        <f>L5</f>
        <v>EURO</v>
      </c>
      <c r="K1" s="72" t="s">
        <v>107</v>
      </c>
      <c r="L1" s="51" t="s">
        <v>108</v>
      </c>
      <c r="M1" s="556">
        <v>0.67500000000000004</v>
      </c>
      <c r="N1" s="39"/>
    </row>
    <row r="2" spans="1:14" ht="17.25" x14ac:dyDescent="0.25">
      <c r="A2" s="49">
        <v>1</v>
      </c>
      <c r="B2" s="131" t="s">
        <v>109</v>
      </c>
      <c r="C2" s="47"/>
      <c r="D2" s="27">
        <v>1</v>
      </c>
      <c r="E2" s="27">
        <v>1</v>
      </c>
      <c r="F2" s="27" t="s">
        <v>3</v>
      </c>
      <c r="G2" s="32">
        <f>+'Loop CBS'!C133</f>
        <v>123301982.15378836</v>
      </c>
      <c r="H2" s="31">
        <f>G2*E2*D2</f>
        <v>123301982.15378836</v>
      </c>
      <c r="I2" s="31">
        <f>H2*$M$2</f>
        <v>123301982.15378836</v>
      </c>
      <c r="J2" s="480">
        <f t="shared" ref="J2:J16" si="0">I2/$M$5</f>
        <v>1311723.2144020039</v>
      </c>
      <c r="K2" s="74" t="s">
        <v>110</v>
      </c>
      <c r="L2" s="51" t="s">
        <v>111</v>
      </c>
      <c r="M2" s="50">
        <v>1</v>
      </c>
      <c r="N2" s="39"/>
    </row>
    <row r="3" spans="1:14" x14ac:dyDescent="0.25">
      <c r="A3" s="49">
        <v>2</v>
      </c>
      <c r="B3" s="132" t="s">
        <v>112</v>
      </c>
      <c r="C3" s="47"/>
      <c r="D3" s="27">
        <v>1</v>
      </c>
      <c r="E3" s="27">
        <v>1</v>
      </c>
      <c r="F3" s="27" t="s">
        <v>3</v>
      </c>
      <c r="G3" s="32">
        <f>+'Arm Sorter'!C42</f>
        <v>16890000</v>
      </c>
      <c r="H3" s="31">
        <f t="shared" ref="H3:H16" si="1">G3*E3*D3</f>
        <v>16890000</v>
      </c>
      <c r="I3" s="31">
        <f t="shared" ref="I3:I4" si="2">H3*$M$2</f>
        <v>16890000</v>
      </c>
      <c r="J3" s="480">
        <f t="shared" si="0"/>
        <v>179680.85106382979</v>
      </c>
      <c r="K3" s="74" t="s">
        <v>113</v>
      </c>
      <c r="L3" s="51" t="s">
        <v>114</v>
      </c>
      <c r="M3" s="527">
        <v>0.15</v>
      </c>
    </row>
    <row r="4" spans="1:14" x14ac:dyDescent="0.25">
      <c r="A4" s="49">
        <v>3</v>
      </c>
      <c r="B4" s="133" t="s">
        <v>115</v>
      </c>
      <c r="C4" s="47"/>
      <c r="D4" s="27">
        <v>1</v>
      </c>
      <c r="E4" s="27">
        <v>1</v>
      </c>
      <c r="F4" s="27" t="s">
        <v>3</v>
      </c>
      <c r="G4" s="32">
        <f>Conveyors!G70</f>
        <v>62276876.273007959</v>
      </c>
      <c r="H4" s="31">
        <f t="shared" si="1"/>
        <v>62276876.273007959</v>
      </c>
      <c r="I4" s="31">
        <f t="shared" si="2"/>
        <v>62276876.273007959</v>
      </c>
      <c r="J4" s="480">
        <f t="shared" si="0"/>
        <v>662519.9603511485</v>
      </c>
      <c r="K4" s="74" t="s">
        <v>115</v>
      </c>
      <c r="L4" s="51" t="s">
        <v>116</v>
      </c>
      <c r="M4" s="528" t="s">
        <v>117</v>
      </c>
    </row>
    <row r="5" spans="1:14" x14ac:dyDescent="0.25">
      <c r="A5" s="49">
        <v>4</v>
      </c>
      <c r="B5" s="134" t="s">
        <v>118</v>
      </c>
      <c r="C5" s="33"/>
      <c r="D5" s="27">
        <v>1</v>
      </c>
      <c r="E5" s="27">
        <v>1</v>
      </c>
      <c r="F5" s="27" t="s">
        <v>3</v>
      </c>
      <c r="G5" s="32">
        <f>+Destinations!G23</f>
        <v>37678622.821456656</v>
      </c>
      <c r="H5" s="31">
        <f t="shared" si="1"/>
        <v>37678622.821456656</v>
      </c>
      <c r="I5" s="31">
        <f t="shared" ref="I5:I10" si="3">H5*$M$2</f>
        <v>37678622.821456656</v>
      </c>
      <c r="J5" s="480">
        <f t="shared" si="0"/>
        <v>400836.41299421975</v>
      </c>
      <c r="K5" s="74" t="s">
        <v>118</v>
      </c>
      <c r="L5" s="51" t="s">
        <v>119</v>
      </c>
      <c r="M5" s="528">
        <v>94</v>
      </c>
      <c r="N5" t="s">
        <v>120</v>
      </c>
    </row>
    <row r="6" spans="1:14" x14ac:dyDescent="0.25">
      <c r="A6" s="49">
        <v>5</v>
      </c>
      <c r="B6" s="135" t="s">
        <v>121</v>
      </c>
      <c r="C6" s="48"/>
      <c r="D6" s="27">
        <v>1</v>
      </c>
      <c r="E6" s="27">
        <v>1</v>
      </c>
      <c r="F6" s="27" t="s">
        <v>3</v>
      </c>
      <c r="G6" s="32">
        <f>+Steelworks!G10</f>
        <v>59135600</v>
      </c>
      <c r="H6" s="31">
        <f t="shared" si="1"/>
        <v>59135600</v>
      </c>
      <c r="I6" s="31">
        <f t="shared" si="3"/>
        <v>59135600</v>
      </c>
      <c r="J6" s="480">
        <f t="shared" si="0"/>
        <v>629102.1276595745</v>
      </c>
      <c r="K6" s="74" t="s">
        <v>122</v>
      </c>
      <c r="L6" s="43"/>
      <c r="M6" s="265"/>
    </row>
    <row r="7" spans="1:14" x14ac:dyDescent="0.25">
      <c r="A7" s="49"/>
      <c r="B7" s="135" t="s">
        <v>1193</v>
      </c>
      <c r="C7" s="48"/>
      <c r="D7" s="27">
        <v>1</v>
      </c>
      <c r="E7" s="27">
        <v>1</v>
      </c>
      <c r="F7" s="27" t="s">
        <v>3</v>
      </c>
      <c r="G7" s="32">
        <f>'Safety Cost Calc'!$D$19*2</f>
        <v>1040800</v>
      </c>
      <c r="H7" s="31">
        <f>(G7*E7*D7)/$M$1</f>
        <v>1541925.9259259258</v>
      </c>
      <c r="I7" s="31">
        <f t="shared" ref="I7" si="4">H7*$M$2</f>
        <v>1541925.9259259258</v>
      </c>
      <c r="J7" s="480">
        <f t="shared" ref="J7" si="5">I7/$M$5</f>
        <v>16403.467297084317</v>
      </c>
      <c r="K7" s="74" t="s">
        <v>1193</v>
      </c>
      <c r="L7" s="43"/>
      <c r="M7" s="265"/>
    </row>
    <row r="8" spans="1:14" x14ac:dyDescent="0.25">
      <c r="A8" s="49">
        <v>8</v>
      </c>
      <c r="B8" s="136" t="s">
        <v>14</v>
      </c>
      <c r="C8" s="34"/>
      <c r="D8" s="27">
        <v>1</v>
      </c>
      <c r="E8" s="27">
        <v>1</v>
      </c>
      <c r="F8" s="27" t="s">
        <v>3</v>
      </c>
      <c r="G8" s="31">
        <f>+'Software Packages'!F7</f>
        <v>1500000</v>
      </c>
      <c r="H8" s="31">
        <f t="shared" si="1"/>
        <v>1500000</v>
      </c>
      <c r="I8" s="31">
        <f t="shared" ref="I8" si="6">H8*$M$2</f>
        <v>1500000</v>
      </c>
      <c r="J8" s="480">
        <f t="shared" si="0"/>
        <v>15957.446808510638</v>
      </c>
      <c r="K8" s="74" t="s">
        <v>123</v>
      </c>
      <c r="L8" s="43"/>
      <c r="M8" s="104"/>
    </row>
    <row r="9" spans="1:14" x14ac:dyDescent="0.25">
      <c r="A9" s="49">
        <v>9</v>
      </c>
      <c r="B9" s="34" t="s">
        <v>15</v>
      </c>
      <c r="C9" s="34"/>
      <c r="D9" s="27">
        <v>1</v>
      </c>
      <c r="E9" s="27">
        <v>1</v>
      </c>
      <c r="F9" s="27" t="s">
        <v>3</v>
      </c>
      <c r="G9" s="32">
        <f>'Local I&amp;C'!F10+'FAPL I&amp;C'!D28</f>
        <v>51485880</v>
      </c>
      <c r="H9" s="31">
        <f t="shared" si="1"/>
        <v>51485880</v>
      </c>
      <c r="I9" s="31">
        <f>H9*$M$2</f>
        <v>51485880</v>
      </c>
      <c r="J9" s="480">
        <f t="shared" si="0"/>
        <v>547722.1276595745</v>
      </c>
      <c r="K9" s="52" t="s">
        <v>15</v>
      </c>
      <c r="L9" s="43"/>
      <c r="M9" s="104"/>
    </row>
    <row r="10" spans="1:14" x14ac:dyDescent="0.25">
      <c r="A10" s="49">
        <v>10</v>
      </c>
      <c r="B10" s="34" t="s">
        <v>16</v>
      </c>
      <c r="C10" s="34"/>
      <c r="D10" s="27">
        <v>1</v>
      </c>
      <c r="E10" s="27">
        <v>1</v>
      </c>
      <c r="F10" s="27" t="s">
        <v>3</v>
      </c>
      <c r="G10" s="32">
        <f>SUM(H2:H6,)*5%</f>
        <v>14964154.062412649</v>
      </c>
      <c r="H10" s="31">
        <f t="shared" si="1"/>
        <v>14964154.062412649</v>
      </c>
      <c r="I10" s="31">
        <f t="shared" si="3"/>
        <v>14964154.062412649</v>
      </c>
      <c r="J10" s="480">
        <f t="shared" si="0"/>
        <v>159193.12832353881</v>
      </c>
      <c r="K10" s="75" t="s">
        <v>124</v>
      </c>
      <c r="L10" s="40"/>
      <c r="M10" s="41"/>
    </row>
    <row r="11" spans="1:14" ht="15.75" x14ac:dyDescent="0.25">
      <c r="A11" s="49">
        <v>11</v>
      </c>
      <c r="B11" s="33" t="s">
        <v>17</v>
      </c>
      <c r="C11" s="33"/>
      <c r="D11" s="27">
        <v>1</v>
      </c>
      <c r="E11" s="27">
        <v>1</v>
      </c>
      <c r="F11" s="27" t="s">
        <v>3</v>
      </c>
      <c r="G11" s="31">
        <f>SUM(H2:H10)*2.5%</f>
        <v>9219376.0309147891</v>
      </c>
      <c r="H11" s="31">
        <f t="shared" si="1"/>
        <v>9219376.0309147891</v>
      </c>
      <c r="I11" s="31">
        <f t="shared" ref="I11:I16" si="7">H11*$M$2</f>
        <v>9219376.0309147891</v>
      </c>
      <c r="J11" s="480">
        <f t="shared" si="0"/>
        <v>98078.468413987124</v>
      </c>
      <c r="K11" s="27" t="s">
        <v>17</v>
      </c>
      <c r="L11" s="36"/>
      <c r="M11" s="42"/>
    </row>
    <row r="12" spans="1:14" ht="15.75" x14ac:dyDescent="0.25">
      <c r="A12" s="49">
        <v>12</v>
      </c>
      <c r="B12" s="33" t="s">
        <v>125</v>
      </c>
      <c r="C12" s="33"/>
      <c r="D12" s="27">
        <v>1</v>
      </c>
      <c r="E12" s="27">
        <v>1</v>
      </c>
      <c r="F12" s="27" t="s">
        <v>3</v>
      </c>
      <c r="G12" s="31">
        <f>'FAPL SAT'!D28</f>
        <v>4195800</v>
      </c>
      <c r="H12" s="31">
        <f t="shared" si="1"/>
        <v>4195800</v>
      </c>
      <c r="I12" s="31">
        <f t="shared" si="7"/>
        <v>4195800</v>
      </c>
      <c r="J12" s="480">
        <f t="shared" si="0"/>
        <v>44636.170212765959</v>
      </c>
      <c r="K12" s="27"/>
      <c r="L12" s="36"/>
      <c r="M12" s="42"/>
    </row>
    <row r="13" spans="1:14" ht="15.75" x14ac:dyDescent="0.25">
      <c r="A13" s="49">
        <v>13</v>
      </c>
      <c r="B13" s="33" t="s">
        <v>126</v>
      </c>
      <c r="C13" s="33"/>
      <c r="D13" s="27">
        <v>1</v>
      </c>
      <c r="E13" s="27">
        <v>1</v>
      </c>
      <c r="F13" s="27" t="s">
        <v>3</v>
      </c>
      <c r="G13" s="31">
        <f>'I&amp;C Cost'!J7</f>
        <v>19227272.72727273</v>
      </c>
      <c r="H13" s="31">
        <f t="shared" si="1"/>
        <v>19227272.72727273</v>
      </c>
      <c r="I13" s="31">
        <f t="shared" si="7"/>
        <v>19227272.72727273</v>
      </c>
      <c r="J13" s="480">
        <f t="shared" si="0"/>
        <v>204545.45454545459</v>
      </c>
      <c r="K13" s="27"/>
      <c r="L13" s="36"/>
      <c r="M13" s="42"/>
    </row>
    <row r="14" spans="1:14" ht="15.75" x14ac:dyDescent="0.25">
      <c r="A14" s="49">
        <v>14</v>
      </c>
      <c r="B14" s="33" t="s">
        <v>42</v>
      </c>
      <c r="C14" s="33"/>
      <c r="D14" s="27">
        <v>1</v>
      </c>
      <c r="E14" s="27">
        <v>1</v>
      </c>
      <c r="F14" s="27" t="s">
        <v>3</v>
      </c>
      <c r="G14" s="31">
        <f>'Support Rampup'!D28</f>
        <v>1146600</v>
      </c>
      <c r="H14" s="31">
        <f t="shared" si="1"/>
        <v>1146600</v>
      </c>
      <c r="I14" s="31">
        <f t="shared" si="7"/>
        <v>1146600</v>
      </c>
      <c r="J14" s="480">
        <f t="shared" si="0"/>
        <v>12197.872340425532</v>
      </c>
      <c r="K14" s="27"/>
      <c r="L14" s="36"/>
      <c r="M14" s="42"/>
    </row>
    <row r="15" spans="1:14" ht="15.75" x14ac:dyDescent="0.25">
      <c r="A15" s="49">
        <v>15</v>
      </c>
      <c r="B15" s="33" t="s">
        <v>46</v>
      </c>
      <c r="C15" s="33"/>
      <c r="D15" s="27">
        <v>1</v>
      </c>
      <c r="E15" s="27">
        <v>1</v>
      </c>
      <c r="F15" s="27" t="s">
        <v>3</v>
      </c>
      <c r="G15" s="311">
        <f>SUM(G2:G5)*2.5%</f>
        <v>6003687.0312063247</v>
      </c>
      <c r="H15" s="31">
        <f t="shared" si="1"/>
        <v>6003687.0312063247</v>
      </c>
      <c r="I15" s="31">
        <f t="shared" si="7"/>
        <v>6003687.0312063247</v>
      </c>
      <c r="J15" s="480">
        <f t="shared" si="0"/>
        <v>63869.010970280047</v>
      </c>
      <c r="K15" s="27"/>
      <c r="L15" s="36"/>
      <c r="M15" s="42"/>
    </row>
    <row r="16" spans="1:14" ht="15.75" x14ac:dyDescent="0.25">
      <c r="A16" s="49">
        <v>16</v>
      </c>
      <c r="B16" s="33" t="s">
        <v>20</v>
      </c>
      <c r="C16" s="33"/>
      <c r="D16" s="27">
        <v>1</v>
      </c>
      <c r="E16" s="27">
        <v>1</v>
      </c>
      <c r="F16" s="27" t="s">
        <v>3</v>
      </c>
      <c r="G16" s="311">
        <v>1500000</v>
      </c>
      <c r="H16" s="31">
        <f t="shared" si="1"/>
        <v>1500000</v>
      </c>
      <c r="I16" s="31">
        <f t="shared" si="7"/>
        <v>1500000</v>
      </c>
      <c r="J16" s="480">
        <f t="shared" si="0"/>
        <v>15957.446808510638</v>
      </c>
      <c r="K16" s="27"/>
      <c r="L16" s="36"/>
      <c r="M16" s="42"/>
    </row>
    <row r="17" spans="1:13" ht="18.75" x14ac:dyDescent="0.3">
      <c r="A17" s="116"/>
      <c r="B17" s="116"/>
      <c r="C17" s="116"/>
      <c r="D17" s="116"/>
      <c r="E17" s="116"/>
      <c r="F17" s="116"/>
      <c r="G17" s="117" t="s">
        <v>87</v>
      </c>
      <c r="H17" s="143">
        <f>SUM(H2:H11)</f>
        <v>377994417.26750636</v>
      </c>
      <c r="I17" s="143">
        <f>SUM(I2:I12)</f>
        <v>382190217.26750636</v>
      </c>
      <c r="J17" s="481">
        <f>SUM(J2:J16)</f>
        <v>4362423.1598509094</v>
      </c>
      <c r="K17" s="76"/>
      <c r="L17" s="36"/>
      <c r="M17" s="35"/>
    </row>
    <row r="18" spans="1:13" ht="19.5" customHeight="1" x14ac:dyDescent="0.25">
      <c r="H18" s="37"/>
      <c r="I18" s="37"/>
      <c r="L18" s="43"/>
      <c r="M18" s="35"/>
    </row>
    <row r="19" spans="1:13" x14ac:dyDescent="0.25">
      <c r="H19" s="37" t="s">
        <v>127</v>
      </c>
      <c r="I19" s="31">
        <f>SUM(I2:I5)*8%</f>
        <v>19211798.499860238</v>
      </c>
      <c r="J19" s="313">
        <f>SUM(J2:J5)*8%</f>
        <v>204380.83510489616</v>
      </c>
    </row>
    <row r="20" spans="1:13" x14ac:dyDescent="0.25">
      <c r="H20" s="37"/>
      <c r="I20" s="37"/>
    </row>
    <row r="21" spans="1:13" x14ac:dyDescent="0.25">
      <c r="H21" s="37"/>
      <c r="I21" s="37"/>
    </row>
    <row r="22" spans="1:13" x14ac:dyDescent="0.25">
      <c r="H22" s="37"/>
      <c r="I22" s="37"/>
    </row>
    <row r="23" spans="1:13" x14ac:dyDescent="0.25">
      <c r="H23" s="144"/>
      <c r="I23" s="144"/>
      <c r="J23" s="314"/>
    </row>
    <row r="24" spans="1:13" x14ac:dyDescent="0.25">
      <c r="H24" s="144"/>
      <c r="I24" s="144"/>
      <c r="J24" s="314"/>
    </row>
    <row r="25" spans="1:13" ht="15.75" x14ac:dyDescent="0.25">
      <c r="H25" s="144"/>
      <c r="I25" s="144"/>
      <c r="J25" s="314"/>
      <c r="L25" s="44"/>
      <c r="M25" s="45"/>
    </row>
    <row r="26" spans="1:13" s="45" customFormat="1" ht="15.75" x14ac:dyDescent="0.25">
      <c r="A26" s="1"/>
      <c r="B26"/>
      <c r="C26" s="7"/>
      <c r="D26" s="1"/>
      <c r="E26"/>
      <c r="F26"/>
      <c r="G26" s="37"/>
      <c r="H26" s="144"/>
      <c r="I26" s="144"/>
      <c r="J26" s="314"/>
      <c r="K26" s="1"/>
      <c r="L26" s="18"/>
      <c r="M26"/>
    </row>
    <row r="27" spans="1:13" x14ac:dyDescent="0.25">
      <c r="H27" s="144"/>
      <c r="I27" s="144"/>
      <c r="J27" s="314"/>
    </row>
    <row r="28" spans="1:13" x14ac:dyDescent="0.25">
      <c r="D28"/>
      <c r="H28" s="144"/>
      <c r="I28" s="144"/>
      <c r="J28" s="314"/>
    </row>
    <row r="29" spans="1:13" x14ac:dyDescent="0.25">
      <c r="D29" s="53"/>
      <c r="E29" s="54"/>
      <c r="F29" s="55"/>
      <c r="H29" s="144"/>
      <c r="I29" s="144"/>
      <c r="J29" s="314"/>
    </row>
    <row r="30" spans="1:13" x14ac:dyDescent="0.25">
      <c r="D30" s="53"/>
      <c r="E30" s="54"/>
      <c r="F30" s="55"/>
      <c r="H30" s="144"/>
      <c r="I30" s="144"/>
      <c r="J30" s="314"/>
      <c r="K30" s="37"/>
    </row>
    <row r="31" spans="1:13" x14ac:dyDescent="0.25">
      <c r="D31" s="53"/>
      <c r="E31" s="54"/>
      <c r="F31" s="55"/>
      <c r="K31" s="37"/>
    </row>
    <row r="32" spans="1:13" x14ac:dyDescent="0.25">
      <c r="D32" s="53"/>
      <c r="E32" s="54"/>
      <c r="F32" s="55"/>
      <c r="K32" s="37"/>
    </row>
    <row r="33" spans="1:11" x14ac:dyDescent="0.25">
      <c r="D33" s="53"/>
      <c r="E33" s="54"/>
      <c r="F33" s="55"/>
      <c r="K33" s="37"/>
    </row>
    <row r="34" spans="1:11" x14ac:dyDescent="0.25">
      <c r="D34" s="53"/>
      <c r="E34" s="54"/>
      <c r="F34" s="55"/>
    </row>
    <row r="35" spans="1:11" x14ac:dyDescent="0.25">
      <c r="D35" s="53"/>
      <c r="E35" s="54"/>
      <c r="F35" s="55"/>
    </row>
    <row r="36" spans="1:11" x14ac:dyDescent="0.25">
      <c r="A36" s="582"/>
      <c r="B36" s="582"/>
      <c r="C36" s="582"/>
      <c r="D36" s="582"/>
      <c r="E36" s="55"/>
      <c r="F36" s="55"/>
    </row>
  </sheetData>
  <mergeCells count="1">
    <mergeCell ref="A36:D36"/>
  </mergeCells>
  <dataValidations disablePrompts="1" count="2">
    <dataValidation operator="equal" allowBlank="1" showInputMessage="1" showErrorMessage="1" promptTitle="LFT or Non LFT" sqref="G4" xr:uid="{1940F16F-92C5-4E81-98F3-DC07E839CD65}"/>
    <dataValidation type="list" allowBlank="1" showInputMessage="1" showErrorMessage="1" sqref="M4" xr:uid="{15E8B903-0EF6-47C4-9BDE-3A856C88EC45}">
      <formula1>#REF!</formula1>
    </dataValidation>
  </dataValidations>
  <hyperlinks>
    <hyperlink ref="B2" location="'Loop CBS Configurator'!A1" display="Loop Cross Belt Sorter with VMS, ICR" xr:uid="{3E34578B-AA86-44DF-BD2B-CA8535654BA2}"/>
    <hyperlink ref="B3" location="'Arm Sorter'!A1" display="Arm Sorter" xr:uid="{DA77F06F-4A50-42F6-8B8B-ED9CF9B78DAB}"/>
    <hyperlink ref="B4" location="Conveyors!A1" display="Conveyors" xr:uid="{11E8286B-2FD8-41BD-A1EC-616CB194C6C7}"/>
    <hyperlink ref="B5" location="Destinations!A1" display="Destinations" xr:uid="{6527FC26-2A50-42CA-A0A0-FB674141FF42}"/>
    <hyperlink ref="B6" location="Steelworks!A1" display="Steelwork" xr:uid="{394FAEBD-BAFB-4595-B8F6-F3A52FDC33E3}"/>
    <hyperlink ref="B8" location="'Software Packages'!A1" display="Software Packages" xr:uid="{4006A7E9-7A96-489F-96E7-F1586A18ECD4}"/>
  </hyperlink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48D78-B8A3-4F3E-95D3-4FEBF109453D}">
  <dimension ref="A1:G21"/>
  <sheetViews>
    <sheetView topLeftCell="A9" zoomScale="160" zoomScaleNormal="160" workbookViewId="0">
      <selection activeCell="B20" sqref="B20:F21"/>
    </sheetView>
  </sheetViews>
  <sheetFormatPr defaultRowHeight="15" customHeight="1" x14ac:dyDescent="0.25"/>
  <cols>
    <col min="2" max="2" width="6.7109375" bestFit="1" customWidth="1"/>
    <col min="3" max="3" width="30.7109375" bestFit="1" customWidth="1"/>
    <col min="4" max="4" width="14" bestFit="1" customWidth="1"/>
    <col min="5" max="5" width="5.85546875" bestFit="1" customWidth="1"/>
    <col min="6" max="6" width="50.28515625" customWidth="1"/>
  </cols>
  <sheetData>
    <row r="1" spans="1:7" ht="15" customHeight="1" x14ac:dyDescent="0.25">
      <c r="A1" s="652"/>
      <c r="B1" s="652"/>
      <c r="C1" s="652"/>
      <c r="D1" s="652"/>
      <c r="E1" s="652"/>
      <c r="F1" s="652"/>
      <c r="G1" s="652"/>
    </row>
    <row r="2" spans="1:7" ht="15" customHeight="1" x14ac:dyDescent="0.25">
      <c r="A2" s="652"/>
      <c r="B2" s="652"/>
      <c r="C2" s="652"/>
      <c r="D2" s="652"/>
      <c r="E2" s="652"/>
      <c r="F2" s="652"/>
      <c r="G2" s="652"/>
    </row>
    <row r="3" spans="1:7" ht="15" customHeight="1" x14ac:dyDescent="0.25">
      <c r="A3" s="652"/>
      <c r="B3" s="653" t="s">
        <v>1135</v>
      </c>
      <c r="C3" s="654"/>
      <c r="D3" s="655" t="s">
        <v>1186</v>
      </c>
      <c r="E3" s="655"/>
      <c r="F3" s="655"/>
      <c r="G3" s="652"/>
    </row>
    <row r="4" spans="1:7" ht="15" customHeight="1" x14ac:dyDescent="0.25">
      <c r="A4" s="652"/>
      <c r="B4" s="656" t="s">
        <v>1137</v>
      </c>
      <c r="C4" s="657"/>
      <c r="D4" s="658" t="s">
        <v>1190</v>
      </c>
      <c r="E4" s="658"/>
      <c r="F4" s="658"/>
      <c r="G4" s="652"/>
    </row>
    <row r="5" spans="1:7" ht="15" customHeight="1" x14ac:dyDescent="0.25">
      <c r="A5" s="652"/>
      <c r="B5" s="659" t="s">
        <v>1139</v>
      </c>
      <c r="C5" s="659"/>
      <c r="D5" s="660" t="s">
        <v>1140</v>
      </c>
      <c r="E5" s="660"/>
      <c r="F5" s="660"/>
      <c r="G5" s="652"/>
    </row>
    <row r="6" spans="1:7" ht="21" x14ac:dyDescent="0.35">
      <c r="A6" s="652"/>
      <c r="B6" s="661" t="s">
        <v>1141</v>
      </c>
      <c r="C6" s="661"/>
      <c r="D6" s="661"/>
      <c r="E6" s="661"/>
      <c r="F6" s="661"/>
      <c r="G6" s="652"/>
    </row>
    <row r="7" spans="1:7" ht="14.45" customHeight="1" x14ac:dyDescent="0.25">
      <c r="A7" s="652"/>
      <c r="B7" s="662" t="s">
        <v>1142</v>
      </c>
      <c r="C7" s="663" t="s">
        <v>1143</v>
      </c>
      <c r="D7" s="663" t="s">
        <v>325</v>
      </c>
      <c r="E7" s="663" t="s">
        <v>1144</v>
      </c>
      <c r="F7" s="662" t="s">
        <v>693</v>
      </c>
      <c r="G7" s="652"/>
    </row>
    <row r="8" spans="1:7" ht="14.45" customHeight="1" x14ac:dyDescent="0.25">
      <c r="A8" s="652"/>
      <c r="B8" s="662"/>
      <c r="C8" s="664"/>
      <c r="D8" s="664"/>
      <c r="E8" s="664"/>
      <c r="F8" s="662"/>
      <c r="G8" s="652"/>
    </row>
    <row r="9" spans="1:7" ht="30" x14ac:dyDescent="0.25">
      <c r="A9" s="652"/>
      <c r="B9" s="665">
        <v>1</v>
      </c>
      <c r="C9" s="666" t="s">
        <v>1145</v>
      </c>
      <c r="D9" s="667">
        <v>2</v>
      </c>
      <c r="E9" s="665" t="s">
        <v>1146</v>
      </c>
      <c r="F9" s="668" t="s">
        <v>1147</v>
      </c>
      <c r="G9" s="652"/>
    </row>
    <row r="10" spans="1:7" x14ac:dyDescent="0.25">
      <c r="A10" s="652"/>
      <c r="B10" s="669">
        <v>2</v>
      </c>
      <c r="C10" s="670" t="s">
        <v>740</v>
      </c>
      <c r="D10" s="667">
        <v>0</v>
      </c>
      <c r="E10" s="669" t="s">
        <v>1146</v>
      </c>
      <c r="F10" s="670" t="s">
        <v>1148</v>
      </c>
      <c r="G10" s="652"/>
    </row>
    <row r="11" spans="1:7" ht="45" x14ac:dyDescent="0.25">
      <c r="A11" s="652"/>
      <c r="B11" s="665">
        <v>3</v>
      </c>
      <c r="C11" s="668" t="s">
        <v>1149</v>
      </c>
      <c r="D11" s="667">
        <v>1</v>
      </c>
      <c r="E11" s="665" t="s">
        <v>1146</v>
      </c>
      <c r="F11" s="668" t="s">
        <v>1150</v>
      </c>
      <c r="G11" s="652"/>
    </row>
    <row r="12" spans="1:7" x14ac:dyDescent="0.25">
      <c r="A12" s="652"/>
      <c r="B12" s="669">
        <v>4</v>
      </c>
      <c r="C12" s="670" t="s">
        <v>1151</v>
      </c>
      <c r="D12" s="667">
        <v>2</v>
      </c>
      <c r="E12" s="669" t="s">
        <v>1146</v>
      </c>
      <c r="F12" s="670" t="s">
        <v>1152</v>
      </c>
      <c r="G12" s="652"/>
    </row>
    <row r="13" spans="1:7" x14ac:dyDescent="0.25">
      <c r="A13" s="652"/>
      <c r="B13" s="665">
        <v>5</v>
      </c>
      <c r="C13" s="666" t="s">
        <v>1153</v>
      </c>
      <c r="D13" s="667">
        <v>0</v>
      </c>
      <c r="E13" s="665" t="s">
        <v>1146</v>
      </c>
      <c r="F13" s="668" t="s">
        <v>1154</v>
      </c>
      <c r="G13" s="652"/>
    </row>
    <row r="14" spans="1:7" x14ac:dyDescent="0.25">
      <c r="A14" s="652"/>
      <c r="B14" s="669">
        <v>6</v>
      </c>
      <c r="C14" s="670" t="s">
        <v>1155</v>
      </c>
      <c r="D14" s="667">
        <v>2</v>
      </c>
      <c r="E14" s="669" t="s">
        <v>1146</v>
      </c>
      <c r="F14" s="670" t="s">
        <v>1156</v>
      </c>
      <c r="G14" s="652"/>
    </row>
    <row r="15" spans="1:7" x14ac:dyDescent="0.25">
      <c r="A15" s="652"/>
      <c r="B15" s="665">
        <v>7</v>
      </c>
      <c r="C15" s="666" t="s">
        <v>1157</v>
      </c>
      <c r="D15" s="667">
        <v>2</v>
      </c>
      <c r="E15" s="665" t="s">
        <v>1146</v>
      </c>
      <c r="F15" s="666" t="s">
        <v>1158</v>
      </c>
      <c r="G15" s="652"/>
    </row>
    <row r="16" spans="1:7" x14ac:dyDescent="0.25">
      <c r="A16" s="652"/>
      <c r="B16" s="669">
        <v>8</v>
      </c>
      <c r="C16" s="670" t="s">
        <v>1159</v>
      </c>
      <c r="D16" s="667">
        <v>2</v>
      </c>
      <c r="E16" s="669" t="s">
        <v>1146</v>
      </c>
      <c r="F16" s="670" t="s">
        <v>1158</v>
      </c>
      <c r="G16" s="652"/>
    </row>
    <row r="17" spans="1:7" x14ac:dyDescent="0.25">
      <c r="A17" s="652"/>
      <c r="B17" s="665">
        <v>9</v>
      </c>
      <c r="C17" s="671" t="s">
        <v>1160</v>
      </c>
      <c r="D17" s="667">
        <v>2</v>
      </c>
      <c r="E17" s="665" t="s">
        <v>1146</v>
      </c>
      <c r="F17" s="666" t="s">
        <v>1161</v>
      </c>
      <c r="G17" s="652"/>
    </row>
    <row r="18" spans="1:7" x14ac:dyDescent="0.25">
      <c r="A18" s="652"/>
      <c r="B18" s="652"/>
      <c r="C18" s="652"/>
      <c r="D18" s="672"/>
      <c r="E18" s="672"/>
      <c r="F18" s="673"/>
      <c r="G18" s="652"/>
    </row>
    <row r="19" spans="1:7" ht="21" x14ac:dyDescent="0.35">
      <c r="A19" s="652"/>
      <c r="B19" s="673"/>
      <c r="C19" s="674" t="s">
        <v>1162</v>
      </c>
      <c r="D19" s="675">
        <f>Data!N25</f>
        <v>520400</v>
      </c>
      <c r="E19" s="676" t="s">
        <v>581</v>
      </c>
      <c r="F19" s="677" t="s">
        <v>1163</v>
      </c>
      <c r="G19" s="652"/>
    </row>
    <row r="20" spans="1:7" x14ac:dyDescent="0.25">
      <c r="A20" s="652"/>
      <c r="B20" s="678"/>
      <c r="C20" s="678"/>
      <c r="D20" s="678"/>
      <c r="E20" s="678"/>
      <c r="F20" s="678"/>
      <c r="G20" s="652"/>
    </row>
    <row r="21" spans="1:7" ht="15" customHeight="1" x14ac:dyDescent="0.25">
      <c r="A21" s="652"/>
      <c r="B21" s="679"/>
      <c r="C21" s="679"/>
      <c r="D21" s="679"/>
      <c r="E21" s="679"/>
      <c r="F21" s="679"/>
      <c r="G21" s="652"/>
    </row>
  </sheetData>
  <sheetProtection selectLockedCells="1" selectUnlockedCells="1"/>
  <mergeCells count="13">
    <mergeCell ref="B20:F21"/>
    <mergeCell ref="B6:F6"/>
    <mergeCell ref="B7:B8"/>
    <mergeCell ref="C7:C8"/>
    <mergeCell ref="D7:D8"/>
    <mergeCell ref="E7:E8"/>
    <mergeCell ref="F7:F8"/>
    <mergeCell ref="B3:C3"/>
    <mergeCell ref="D3:F3"/>
    <mergeCell ref="B4:C4"/>
    <mergeCell ref="D4:F4"/>
    <mergeCell ref="B5:C5"/>
    <mergeCell ref="D5:F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C3C6AF-806A-4F6A-8E7E-9EDB613548C4}">
          <x14:formula1>
            <xm:f>Data!$C$31:$C$32</xm:f>
          </x14:formula1>
          <xm:sqref>D5:F5</xm:sqref>
        </x14:dataValidation>
        <x14:dataValidation type="list" allowBlank="1" showInputMessage="1" showErrorMessage="1" xr:uid="{1C33D230-B696-468B-872D-35273BB4DA40}">
          <x14:formula1>
            <xm:f>Data!$C$28:$C$29</xm:f>
          </x14:formula1>
          <xm:sqref>D4</xm:sqref>
        </x14:dataValidation>
        <x14:dataValidation type="list" allowBlank="1" showInputMessage="1" showErrorMessage="1" xr:uid="{CD05E4B4-6A19-421B-9D1F-0AF0CEFE73BA}">
          <x14:formula1>
            <xm:f>Data!$J$20:$J$21</xm:f>
          </x14:formula1>
          <xm:sqref>D3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012A0-28DF-4D47-B2C2-27EC81C386D4}">
  <dimension ref="B2:O32"/>
  <sheetViews>
    <sheetView zoomScale="80" zoomScaleNormal="80" workbookViewId="0">
      <selection activeCell="I11" sqref="I11"/>
    </sheetView>
  </sheetViews>
  <sheetFormatPr defaultRowHeight="15" customHeight="1" x14ac:dyDescent="0.25"/>
  <cols>
    <col min="1" max="1" width="1.28515625" customWidth="1"/>
    <col min="2" max="2" width="4.7109375" customWidth="1"/>
    <col min="3" max="3" width="32.5703125" bestFit="1" customWidth="1"/>
    <col min="4" max="4" width="6" bestFit="1" customWidth="1"/>
    <col min="5" max="5" width="9.28515625" customWidth="1"/>
    <col min="6" max="6" width="6.5703125" customWidth="1"/>
    <col min="7" max="7" width="67.42578125" bestFit="1" customWidth="1"/>
    <col min="8" max="8" width="0.7109375" style="652" customWidth="1"/>
    <col min="9" max="9" width="5" customWidth="1"/>
    <col min="10" max="10" width="46.140625" bestFit="1" customWidth="1"/>
    <col min="11" max="11" width="4.5703125" bestFit="1" customWidth="1"/>
    <col min="12" max="12" width="6.5703125" bestFit="1" customWidth="1"/>
    <col min="13" max="13" width="9" customWidth="1"/>
    <col min="15" max="15" width="9.42578125" bestFit="1" customWidth="1"/>
  </cols>
  <sheetData>
    <row r="2" spans="2:15" ht="15" customHeight="1" x14ac:dyDescent="0.25">
      <c r="B2" s="680" t="s">
        <v>1164</v>
      </c>
      <c r="C2" s="681"/>
      <c r="D2" s="681"/>
      <c r="E2" s="681"/>
      <c r="F2" s="681"/>
      <c r="G2" s="681"/>
      <c r="I2" s="680" t="s">
        <v>1165</v>
      </c>
      <c r="J2" s="681"/>
      <c r="K2" s="681"/>
      <c r="L2" s="681"/>
      <c r="M2" s="681"/>
      <c r="N2" s="681"/>
      <c r="O2" s="681"/>
    </row>
    <row r="3" spans="2:15" ht="15.6" customHeight="1" x14ac:dyDescent="0.25">
      <c r="B3" s="682" t="s">
        <v>1142</v>
      </c>
      <c r="C3" s="682" t="s">
        <v>1</v>
      </c>
      <c r="D3" s="682" t="s">
        <v>325</v>
      </c>
      <c r="E3" s="682" t="s">
        <v>224</v>
      </c>
      <c r="F3" s="682" t="s">
        <v>518</v>
      </c>
      <c r="G3" s="682" t="s">
        <v>693</v>
      </c>
      <c r="I3" s="682" t="s">
        <v>1142</v>
      </c>
      <c r="J3" s="682" t="s">
        <v>1143</v>
      </c>
      <c r="K3" s="682" t="s">
        <v>325</v>
      </c>
      <c r="L3" s="682" t="s">
        <v>1144</v>
      </c>
      <c r="M3" s="682" t="s">
        <v>1166</v>
      </c>
      <c r="N3" s="683" t="s">
        <v>597</v>
      </c>
      <c r="O3" s="682" t="s">
        <v>693</v>
      </c>
    </row>
    <row r="4" spans="2:15" ht="15.6" customHeight="1" x14ac:dyDescent="0.25">
      <c r="B4" s="682"/>
      <c r="C4" s="682"/>
      <c r="D4" s="682"/>
      <c r="E4" s="682"/>
      <c r="F4" s="682"/>
      <c r="G4" s="682"/>
      <c r="I4" s="682"/>
      <c r="J4" s="682"/>
      <c r="K4" s="682"/>
      <c r="L4" s="682"/>
      <c r="M4" s="682"/>
      <c r="N4" s="684"/>
      <c r="O4" s="682"/>
    </row>
    <row r="5" spans="2:15" x14ac:dyDescent="0.25">
      <c r="B5" s="685">
        <v>1</v>
      </c>
      <c r="C5" s="686" t="s">
        <v>1167</v>
      </c>
      <c r="D5" s="685">
        <v>1</v>
      </c>
      <c r="E5" s="687">
        <v>15000</v>
      </c>
      <c r="F5" s="688">
        <f>D5*E5</f>
        <v>15000</v>
      </c>
      <c r="G5" s="689" t="s">
        <v>1168</v>
      </c>
      <c r="I5" s="685">
        <v>1</v>
      </c>
      <c r="J5" s="666" t="s">
        <v>1169</v>
      </c>
      <c r="K5" s="685">
        <f>'Safety Cost Calc'!D9</f>
        <v>2</v>
      </c>
      <c r="L5" s="665" t="s">
        <v>1146</v>
      </c>
      <c r="M5" s="685">
        <f>K5*1</f>
        <v>2</v>
      </c>
      <c r="N5" s="688">
        <f>(M5/2)*$D$30</f>
        <v>84600</v>
      </c>
      <c r="O5" s="689"/>
    </row>
    <row r="6" spans="2:15" x14ac:dyDescent="0.25">
      <c r="B6" s="690">
        <v>2</v>
      </c>
      <c r="C6" s="691" t="s">
        <v>1170</v>
      </c>
      <c r="D6" s="690">
        <v>4</v>
      </c>
      <c r="E6" s="692">
        <v>1500</v>
      </c>
      <c r="F6" s="693">
        <f t="shared" ref="F6:F11" si="0">D6*E6</f>
        <v>6000</v>
      </c>
      <c r="G6" s="694" t="s">
        <v>1171</v>
      </c>
      <c r="I6" s="695">
        <v>2</v>
      </c>
      <c r="J6" s="694" t="s">
        <v>740</v>
      </c>
      <c r="K6" s="695">
        <f>'Safety Cost Calc'!D10</f>
        <v>0</v>
      </c>
      <c r="L6" s="695" t="s">
        <v>1146</v>
      </c>
      <c r="M6" s="695">
        <f t="shared" ref="M6:M11" si="1">K6*1</f>
        <v>0</v>
      </c>
      <c r="N6" s="692">
        <f>(M6/2)*$D$30</f>
        <v>0</v>
      </c>
      <c r="O6" s="694"/>
    </row>
    <row r="7" spans="2:15" x14ac:dyDescent="0.25">
      <c r="B7" s="685">
        <v>3</v>
      </c>
      <c r="C7" s="686" t="s">
        <v>1172</v>
      </c>
      <c r="D7" s="685">
        <v>1</v>
      </c>
      <c r="E7" s="687">
        <v>8000</v>
      </c>
      <c r="F7" s="688">
        <f t="shared" si="0"/>
        <v>8000</v>
      </c>
      <c r="G7" s="689"/>
      <c r="I7" s="685">
        <v>3</v>
      </c>
      <c r="J7" s="666" t="str">
        <f>'Safety Cost Calc'!C11</f>
        <v>CBS loop/Arm Sorter/SWEDI Sorter/POP-up Sorter</v>
      </c>
      <c r="K7" s="685">
        <f>'Safety Cost Calc'!D11</f>
        <v>1</v>
      </c>
      <c r="L7" s="665" t="s">
        <v>1146</v>
      </c>
      <c r="M7" s="685">
        <f t="shared" si="1"/>
        <v>1</v>
      </c>
      <c r="N7" s="688">
        <f>(M7/2)*$D$30</f>
        <v>42300</v>
      </c>
      <c r="O7" s="689"/>
    </row>
    <row r="8" spans="2:15" x14ac:dyDescent="0.25">
      <c r="B8" s="690">
        <v>4</v>
      </c>
      <c r="C8" s="696" t="s">
        <v>1173</v>
      </c>
      <c r="D8" s="690">
        <v>1</v>
      </c>
      <c r="E8" s="693">
        <v>10000</v>
      </c>
      <c r="F8" s="693">
        <f t="shared" si="0"/>
        <v>10000</v>
      </c>
      <c r="G8" s="691"/>
      <c r="I8" s="695">
        <v>4</v>
      </c>
      <c r="J8" s="694" t="s">
        <v>1151</v>
      </c>
      <c r="K8" s="695">
        <f>'Safety Cost Calc'!D12</f>
        <v>2</v>
      </c>
      <c r="L8" s="695" t="s">
        <v>1146</v>
      </c>
      <c r="M8" s="695">
        <f t="shared" si="1"/>
        <v>2</v>
      </c>
      <c r="N8" s="692">
        <f>(M8/2)*$D$30</f>
        <v>84600</v>
      </c>
      <c r="O8" s="694"/>
    </row>
    <row r="9" spans="2:15" x14ac:dyDescent="0.25">
      <c r="B9" s="685">
        <v>5</v>
      </c>
      <c r="C9" s="697" t="s">
        <v>1174</v>
      </c>
      <c r="D9" s="698">
        <v>1</v>
      </c>
      <c r="E9" s="688">
        <v>2000</v>
      </c>
      <c r="F9" s="688">
        <f t="shared" si="0"/>
        <v>2000</v>
      </c>
      <c r="G9" s="686"/>
      <c r="I9" s="685">
        <v>5</v>
      </c>
      <c r="J9" s="666" t="s">
        <v>1153</v>
      </c>
      <c r="K9" s="698">
        <f>'Safety Cost Calc'!D13</f>
        <v>0</v>
      </c>
      <c r="L9" s="665" t="s">
        <v>1146</v>
      </c>
      <c r="M9" s="685">
        <f t="shared" si="1"/>
        <v>0</v>
      </c>
      <c r="N9" s="688">
        <f t="shared" ref="N9:N11" si="2">(M9/2)*$D$30</f>
        <v>0</v>
      </c>
      <c r="O9" s="686"/>
    </row>
    <row r="10" spans="2:15" x14ac:dyDescent="0.25">
      <c r="B10" s="690">
        <v>6</v>
      </c>
      <c r="C10" s="696" t="s">
        <v>1175</v>
      </c>
      <c r="D10" s="695">
        <v>1</v>
      </c>
      <c r="E10" s="692">
        <v>7000</v>
      </c>
      <c r="F10" s="693">
        <f t="shared" si="0"/>
        <v>7000</v>
      </c>
      <c r="G10" s="694"/>
      <c r="I10" s="695">
        <v>6</v>
      </c>
      <c r="J10" s="694" t="s">
        <v>1155</v>
      </c>
      <c r="K10" s="695">
        <f>'Safety Cost Calc'!D14</f>
        <v>2</v>
      </c>
      <c r="L10" s="695" t="s">
        <v>1146</v>
      </c>
      <c r="M10" s="695">
        <f t="shared" si="1"/>
        <v>2</v>
      </c>
      <c r="N10" s="692">
        <f t="shared" si="2"/>
        <v>84600</v>
      </c>
      <c r="O10" s="694"/>
    </row>
    <row r="11" spans="2:15" x14ac:dyDescent="0.25">
      <c r="B11" s="699">
        <v>7</v>
      </c>
      <c r="C11" s="700" t="s">
        <v>1176</v>
      </c>
      <c r="D11" s="699">
        <v>8</v>
      </c>
      <c r="E11" s="701">
        <v>2700</v>
      </c>
      <c r="F11" s="701">
        <f t="shared" si="0"/>
        <v>21600</v>
      </c>
      <c r="G11" s="702" t="s">
        <v>1177</v>
      </c>
      <c r="I11" s="685">
        <v>7</v>
      </c>
      <c r="J11" s="666" t="s">
        <v>1157</v>
      </c>
      <c r="K11" s="699">
        <f>'Safety Cost Calc'!D15</f>
        <v>2</v>
      </c>
      <c r="L11" s="665" t="s">
        <v>1146</v>
      </c>
      <c r="M11" s="685">
        <f t="shared" si="1"/>
        <v>2</v>
      </c>
      <c r="N11" s="688">
        <f t="shared" si="2"/>
        <v>84600</v>
      </c>
      <c r="O11" s="702"/>
    </row>
    <row r="12" spans="2:15" x14ac:dyDescent="0.25">
      <c r="B12" s="690"/>
      <c r="C12" s="696"/>
      <c r="D12" s="695"/>
      <c r="E12" s="692"/>
      <c r="F12" s="695">
        <f>SUM(F5:F11)</f>
        <v>69600</v>
      </c>
      <c r="G12" s="694"/>
      <c r="I12" s="703">
        <v>8</v>
      </c>
      <c r="J12" s="704" t="s">
        <v>1159</v>
      </c>
      <c r="K12" s="703">
        <f>'Safety Cost Calc'!D16</f>
        <v>2</v>
      </c>
      <c r="L12" s="703" t="s">
        <v>1146</v>
      </c>
      <c r="M12" s="703" t="s">
        <v>149</v>
      </c>
      <c r="N12" s="705">
        <f>K12*$F$20</f>
        <v>36000</v>
      </c>
      <c r="O12" s="704"/>
    </row>
    <row r="13" spans="2:15" x14ac:dyDescent="0.25">
      <c r="B13" s="685">
        <v>8</v>
      </c>
      <c r="C13" s="697" t="s">
        <v>1178</v>
      </c>
      <c r="D13" s="698">
        <v>0.5</v>
      </c>
      <c r="E13" s="688">
        <v>30000</v>
      </c>
      <c r="F13" s="688">
        <f>D13*E13</f>
        <v>15000</v>
      </c>
      <c r="G13" s="686" t="s">
        <v>1179</v>
      </c>
      <c r="I13" s="685">
        <v>9</v>
      </c>
      <c r="J13" s="700" t="str">
        <f>C21</f>
        <v>Inching Station (Mech+Elec)</v>
      </c>
      <c r="K13" s="699">
        <f>IF('Safety Cost Calc'!D4=Data!J22,0,Data!K7)</f>
        <v>1</v>
      </c>
      <c r="L13" s="699" t="s">
        <v>1146</v>
      </c>
      <c r="M13" s="699" t="s">
        <v>149</v>
      </c>
      <c r="N13" s="701">
        <f>(K13*F21)</f>
        <v>9300</v>
      </c>
      <c r="O13" s="702"/>
    </row>
    <row r="14" spans="2:15" x14ac:dyDescent="0.25">
      <c r="B14" s="690"/>
      <c r="C14" s="696"/>
      <c r="D14" s="695"/>
      <c r="E14" s="692"/>
      <c r="F14" s="695">
        <f>F12+F13</f>
        <v>84600</v>
      </c>
      <c r="G14" s="694"/>
      <c r="I14" s="706">
        <v>10</v>
      </c>
      <c r="J14" s="707" t="str">
        <f>C22</f>
        <v>Pull Cord</v>
      </c>
      <c r="K14" s="708">
        <f>'Safety Cost Calc'!D17</f>
        <v>2</v>
      </c>
      <c r="L14" s="708" t="s">
        <v>1146</v>
      </c>
      <c r="M14" s="708" t="s">
        <v>149</v>
      </c>
      <c r="N14" s="709">
        <f>K14*F22</f>
        <v>18400</v>
      </c>
      <c r="O14" s="691"/>
    </row>
    <row r="15" spans="2:15" x14ac:dyDescent="0.25">
      <c r="B15" s="710" t="s">
        <v>1180</v>
      </c>
      <c r="C15" s="710"/>
      <c r="D15" s="710"/>
      <c r="E15" s="710"/>
      <c r="F15" s="711"/>
      <c r="G15" s="710"/>
      <c r="I15" s="712">
        <v>11</v>
      </c>
      <c r="J15" s="713" t="str">
        <f>C18</f>
        <v>Speed Monitoring Controller (SMC)</v>
      </c>
      <c r="K15" s="714">
        <f>IF('Safety Cost Calc'!D4=Data!J22,0,Data!K7)</f>
        <v>1</v>
      </c>
      <c r="L15" s="714" t="s">
        <v>1146</v>
      </c>
      <c r="M15" s="714" t="s">
        <v>149</v>
      </c>
      <c r="N15" s="713">
        <f>K15*(F18+F19)</f>
        <v>76000</v>
      </c>
      <c r="O15" s="715"/>
    </row>
    <row r="16" spans="2:15" ht="15.75" x14ac:dyDescent="0.25">
      <c r="B16" s="664" t="s">
        <v>1142</v>
      </c>
      <c r="C16" s="716" t="s">
        <v>1</v>
      </c>
      <c r="D16" s="716" t="s">
        <v>325</v>
      </c>
      <c r="E16" s="717" t="s">
        <v>224</v>
      </c>
      <c r="F16" s="683" t="s">
        <v>518</v>
      </c>
      <c r="G16" s="718"/>
      <c r="I16" s="719"/>
      <c r="J16" s="719"/>
      <c r="K16" s="719"/>
      <c r="L16" s="719"/>
      <c r="M16" s="719"/>
      <c r="N16" s="719"/>
      <c r="O16" s="720"/>
    </row>
    <row r="17" spans="2:15" ht="15.75" x14ac:dyDescent="0.25">
      <c r="B17" s="663"/>
      <c r="C17" s="716"/>
      <c r="D17" s="716"/>
      <c r="E17" s="717"/>
      <c r="F17" s="684"/>
      <c r="G17" s="718"/>
      <c r="I17" s="719"/>
      <c r="J17" s="719"/>
      <c r="K17" s="719"/>
      <c r="L17" s="719"/>
      <c r="M17" s="719"/>
      <c r="N17" s="719"/>
      <c r="O17" s="720"/>
    </row>
    <row r="18" spans="2:15" x14ac:dyDescent="0.25">
      <c r="B18" s="685">
        <v>1</v>
      </c>
      <c r="C18" s="686" t="s">
        <v>1181</v>
      </c>
      <c r="D18" s="685">
        <v>1</v>
      </c>
      <c r="E18" s="713">
        <v>60000</v>
      </c>
      <c r="F18" s="721">
        <f>E18*D18</f>
        <v>60000</v>
      </c>
      <c r="G18" s="686" t="s">
        <v>1182</v>
      </c>
      <c r="I18" s="492"/>
      <c r="J18" s="722"/>
      <c r="K18" s="492"/>
      <c r="L18" s="123"/>
      <c r="M18" s="492"/>
      <c r="N18" s="723"/>
      <c r="O18" s="722"/>
    </row>
    <row r="19" spans="2:15" x14ac:dyDescent="0.25">
      <c r="B19" s="708">
        <v>2</v>
      </c>
      <c r="C19" s="724" t="s">
        <v>1183</v>
      </c>
      <c r="D19" s="708">
        <v>2</v>
      </c>
      <c r="E19" s="725">
        <v>8000</v>
      </c>
      <c r="F19" s="696">
        <f>E19*D19</f>
        <v>16000</v>
      </c>
      <c r="G19" s="691" t="s">
        <v>1182</v>
      </c>
      <c r="I19" s="492"/>
      <c r="J19" s="725" t="s">
        <v>1184</v>
      </c>
      <c r="K19" s="492"/>
      <c r="L19" s="123"/>
      <c r="M19" s="492"/>
      <c r="N19" s="695" t="s">
        <v>224</v>
      </c>
      <c r="O19" s="722"/>
    </row>
    <row r="20" spans="2:15" x14ac:dyDescent="0.25">
      <c r="B20" s="685">
        <v>3</v>
      </c>
      <c r="C20" s="726" t="s">
        <v>1185</v>
      </c>
      <c r="D20" s="685">
        <v>1</v>
      </c>
      <c r="E20" s="727">
        <v>18000</v>
      </c>
      <c r="F20" s="721">
        <f>E20*D20</f>
        <v>18000</v>
      </c>
      <c r="G20" s="686"/>
      <c r="I20" s="492"/>
      <c r="J20" s="728" t="s">
        <v>1186</v>
      </c>
      <c r="K20" s="492"/>
      <c r="L20" s="123"/>
      <c r="M20" s="492"/>
      <c r="N20" s="729">
        <f>(SUM(N5:N15))</f>
        <v>520400</v>
      </c>
      <c r="O20" s="722"/>
    </row>
    <row r="21" spans="2:15" x14ac:dyDescent="0.25">
      <c r="B21" s="708">
        <v>4</v>
      </c>
      <c r="C21" s="724" t="s">
        <v>1187</v>
      </c>
      <c r="D21" s="708">
        <v>1</v>
      </c>
      <c r="E21" s="725">
        <f>5000+4300</f>
        <v>9300</v>
      </c>
      <c r="F21" s="693">
        <f>E21*D21</f>
        <v>9300</v>
      </c>
      <c r="G21" s="691" t="s">
        <v>1188</v>
      </c>
      <c r="I21" s="492"/>
      <c r="J21" s="713" t="s">
        <v>1136</v>
      </c>
      <c r="K21" s="492"/>
      <c r="L21" s="123"/>
      <c r="M21" s="492"/>
      <c r="N21" s="729">
        <f>SUM(N5:N14)</f>
        <v>444400</v>
      </c>
      <c r="O21" s="722"/>
    </row>
    <row r="22" spans="2:15" x14ac:dyDescent="0.25">
      <c r="B22" s="685">
        <v>5</v>
      </c>
      <c r="C22" s="726" t="s">
        <v>1160</v>
      </c>
      <c r="D22" s="685">
        <v>1</v>
      </c>
      <c r="E22" s="727">
        <v>9200</v>
      </c>
      <c r="F22" s="721">
        <f>E22*D22</f>
        <v>9200</v>
      </c>
      <c r="G22" s="686" t="s">
        <v>1189</v>
      </c>
      <c r="I22" s="492"/>
      <c r="J22" s="713" t="s">
        <v>1138</v>
      </c>
      <c r="K22" s="492"/>
      <c r="L22" s="123"/>
      <c r="M22" s="492"/>
      <c r="N22" s="729">
        <f>SUM(N5:N12)+N14</f>
        <v>435100</v>
      </c>
      <c r="O22" s="722"/>
    </row>
    <row r="23" spans="2:15" x14ac:dyDescent="0.25">
      <c r="B23" s="730"/>
      <c r="C23" s="731"/>
      <c r="D23" s="730"/>
      <c r="E23" s="732"/>
      <c r="F23" s="671"/>
      <c r="G23" s="733"/>
      <c r="I23" s="492"/>
      <c r="J23" s="722"/>
      <c r="K23" s="492"/>
      <c r="L23" s="123"/>
      <c r="M23" s="492"/>
      <c r="N23" s="723"/>
      <c r="O23" s="722"/>
    </row>
    <row r="24" spans="2:15" x14ac:dyDescent="0.25">
      <c r="B24" s="730"/>
      <c r="C24" s="731"/>
      <c r="D24" s="730"/>
      <c r="E24" s="732"/>
      <c r="F24" s="671"/>
      <c r="G24" s="733"/>
      <c r="I24" s="492"/>
      <c r="J24" s="722"/>
      <c r="K24" s="492"/>
      <c r="L24" s="123"/>
      <c r="M24" s="492"/>
      <c r="N24" s="723"/>
      <c r="O24" s="722"/>
    </row>
    <row r="25" spans="2:15" x14ac:dyDescent="0.25">
      <c r="I25" s="123"/>
      <c r="J25" s="123"/>
      <c r="K25" s="123"/>
      <c r="L25" s="123"/>
      <c r="M25" s="123"/>
      <c r="N25" s="734">
        <f>IF('Safety Cost Calc'!D4=Data!J22,Data!N22,IF('Safety Cost Calc'!D3=Data!J20,Data!N20,Data!N21))</f>
        <v>520400</v>
      </c>
      <c r="O25" s="123"/>
    </row>
    <row r="26" spans="2:15" x14ac:dyDescent="0.25">
      <c r="I26" s="123"/>
      <c r="J26" s="123"/>
      <c r="K26" s="123"/>
      <c r="L26" s="123"/>
      <c r="M26" s="123"/>
      <c r="N26" s="123"/>
      <c r="O26" s="123"/>
    </row>
    <row r="27" spans="2:15" x14ac:dyDescent="0.25">
      <c r="C27" s="735" t="s">
        <v>1185</v>
      </c>
      <c r="D27" s="695"/>
      <c r="L27" s="694"/>
    </row>
    <row r="28" spans="2:15" x14ac:dyDescent="0.25">
      <c r="C28" s="736" t="s">
        <v>1190</v>
      </c>
      <c r="D28" s="737"/>
    </row>
    <row r="29" spans="2:15" x14ac:dyDescent="0.25">
      <c r="C29" s="713" t="s">
        <v>1138</v>
      </c>
      <c r="D29" s="713"/>
    </row>
    <row r="30" spans="2:15" x14ac:dyDescent="0.25">
      <c r="C30" s="713" t="s">
        <v>1191</v>
      </c>
      <c r="D30" s="713">
        <f>IF('Safety Cost Calc'!D5=Data!C31,Data!D31,Data!D32)</f>
        <v>84600</v>
      </c>
    </row>
    <row r="31" spans="2:15" x14ac:dyDescent="0.25">
      <c r="C31" s="713" t="s">
        <v>1192</v>
      </c>
      <c r="D31" s="713">
        <f>F12</f>
        <v>69600</v>
      </c>
    </row>
    <row r="32" spans="2:15" x14ac:dyDescent="0.25">
      <c r="C32" s="713" t="s">
        <v>1140</v>
      </c>
      <c r="D32" s="713">
        <f>F14</f>
        <v>84600</v>
      </c>
    </row>
  </sheetData>
  <sheetProtection algorithmName="SHA-512" hashValue="17WnzZy3N2TCaHvaxPWDLeGMh1hPhSYnk3AEsuSkRtZZupap6oYZqBvwjf473zAto8PnuZJecTikvD1fGXm3zQ==" saltValue="Y7HirwKVCYV5Zv7b3c8TOg==" spinCount="100000" sheet="1" selectLockedCells="1" selectUnlockedCells="1"/>
  <mergeCells count="27">
    <mergeCell ref="J16:J17"/>
    <mergeCell ref="K16:K17"/>
    <mergeCell ref="L16:L17"/>
    <mergeCell ref="M16:M17"/>
    <mergeCell ref="N16:N17"/>
    <mergeCell ref="B16:B17"/>
    <mergeCell ref="C16:C17"/>
    <mergeCell ref="D16:D17"/>
    <mergeCell ref="E16:E17"/>
    <mergeCell ref="F16:F17"/>
    <mergeCell ref="I16:I17"/>
    <mergeCell ref="K3:K4"/>
    <mergeCell ref="L3:L4"/>
    <mergeCell ref="M3:M4"/>
    <mergeCell ref="N3:N4"/>
    <mergeCell ref="O3:O4"/>
    <mergeCell ref="B15:G15"/>
    <mergeCell ref="B2:G2"/>
    <mergeCell ref="I2:O2"/>
    <mergeCell ref="B3:B4"/>
    <mergeCell ref="C3:C4"/>
    <mergeCell ref="D3:D4"/>
    <mergeCell ref="E3:E4"/>
    <mergeCell ref="F3:F4"/>
    <mergeCell ref="G3:G4"/>
    <mergeCell ref="I3:I4"/>
    <mergeCell ref="J3:J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99944-C194-4AF4-BB22-C8D857EB288E}">
  <dimension ref="A3:B13"/>
  <sheetViews>
    <sheetView zoomScaleNormal="100" workbookViewId="0">
      <selection activeCell="I11" sqref="I11"/>
    </sheetView>
  </sheetViews>
  <sheetFormatPr defaultRowHeight="15" x14ac:dyDescent="0.25"/>
  <cols>
    <col min="1" max="1" width="6.85546875" bestFit="1" customWidth="1"/>
    <col min="2" max="2" width="36.7109375" customWidth="1"/>
    <col min="3" max="3" width="69.85546875" customWidth="1"/>
    <col min="4" max="4" width="62.42578125" customWidth="1"/>
    <col min="5" max="5" width="53.5703125" customWidth="1"/>
    <col min="6" max="6" width="46.85546875" customWidth="1"/>
  </cols>
  <sheetData>
    <row r="3" spans="1:2" x14ac:dyDescent="0.25">
      <c r="A3" s="662" t="s">
        <v>1142</v>
      </c>
      <c r="B3" s="663" t="s">
        <v>1143</v>
      </c>
    </row>
    <row r="4" spans="1:2" x14ac:dyDescent="0.25">
      <c r="A4" s="662"/>
      <c r="B4" s="664"/>
    </row>
    <row r="5" spans="1:2" ht="213" customHeight="1" x14ac:dyDescent="0.25">
      <c r="A5" s="665">
        <v>1</v>
      </c>
      <c r="B5" s="666" t="s">
        <v>1145</v>
      </c>
    </row>
    <row r="6" spans="1:2" ht="205.5" customHeight="1" x14ac:dyDescent="0.25">
      <c r="A6" s="669">
        <v>2</v>
      </c>
      <c r="B6" s="670" t="s">
        <v>740</v>
      </c>
    </row>
    <row r="7" spans="1:2" ht="168.75" customHeight="1" x14ac:dyDescent="0.25">
      <c r="A7" s="665">
        <v>3</v>
      </c>
      <c r="B7" s="668" t="s">
        <v>1149</v>
      </c>
    </row>
    <row r="8" spans="1:2" ht="155.25" customHeight="1" x14ac:dyDescent="0.25">
      <c r="A8" s="669">
        <v>4</v>
      </c>
      <c r="B8" s="670" t="s">
        <v>1151</v>
      </c>
    </row>
    <row r="9" spans="1:2" ht="161.25" customHeight="1" x14ac:dyDescent="0.25">
      <c r="A9" s="665">
        <v>5</v>
      </c>
      <c r="B9" s="666" t="s">
        <v>1153</v>
      </c>
    </row>
    <row r="10" spans="1:2" ht="177" customHeight="1" x14ac:dyDescent="0.25">
      <c r="A10" s="669">
        <v>6</v>
      </c>
      <c r="B10" s="670" t="s">
        <v>1155</v>
      </c>
    </row>
    <row r="11" spans="1:2" ht="155.25" customHeight="1" x14ac:dyDescent="0.25">
      <c r="A11" s="665">
        <v>7</v>
      </c>
      <c r="B11" s="666" t="s">
        <v>1157</v>
      </c>
    </row>
    <row r="12" spans="1:2" ht="147.75" customHeight="1" x14ac:dyDescent="0.25">
      <c r="A12" s="669">
        <v>8</v>
      </c>
      <c r="B12" s="670" t="s">
        <v>1159</v>
      </c>
    </row>
    <row r="13" spans="1:2" ht="148.5" customHeight="1" x14ac:dyDescent="0.25">
      <c r="A13" s="665">
        <v>9</v>
      </c>
      <c r="B13" s="738" t="s">
        <v>1160</v>
      </c>
    </row>
  </sheetData>
  <sheetProtection algorithmName="SHA-512" hashValue="PDKhjXMqrdq4V7e1TwMytTA74FJzBCgSESp40x4eiW9kXN3jhCq4PlV9GrUaEIRLY/bi87XrNmCl/+hL8E8sSg==" saltValue="MiAZcRYz5yjtcL5uSYNdvg==" spinCount="100000" sheet="1" objects="1" scenarios="1"/>
  <mergeCells count="2">
    <mergeCell ref="A3:A4"/>
    <mergeCell ref="B3:B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B659-89A0-4F4B-BF9B-5C7CEC3EE6BC}">
  <sheetPr>
    <tabColor rgb="FF7030A0"/>
  </sheetPr>
  <dimension ref="A1:J144"/>
  <sheetViews>
    <sheetView topLeftCell="B93" zoomScaleNormal="100" workbookViewId="0">
      <selection activeCell="E155" sqref="E155"/>
    </sheetView>
  </sheetViews>
  <sheetFormatPr defaultColWidth="8.7109375" defaultRowHeight="15" outlineLevelRow="1" x14ac:dyDescent="0.25"/>
  <cols>
    <col min="1" max="1" width="18.28515625" style="1" bestFit="1" customWidth="1"/>
    <col min="2" max="2" width="55.5703125" style="1" bestFit="1" customWidth="1"/>
    <col min="3" max="3" width="22" style="1" bestFit="1" customWidth="1"/>
    <col min="4" max="4" width="17.85546875" style="1" bestFit="1" customWidth="1"/>
    <col min="5" max="5" width="16.7109375" style="1" bestFit="1" customWidth="1"/>
    <col min="6" max="6" width="19.140625" style="1" customWidth="1"/>
    <col min="7" max="7" width="15.28515625" style="1" bestFit="1" customWidth="1"/>
    <col min="8" max="8" width="8.85546875" style="1" bestFit="1" customWidth="1"/>
    <col min="9" max="9" width="18.85546875" style="1" customWidth="1"/>
    <col min="10" max="10" width="13.28515625" style="1" customWidth="1"/>
    <col min="11" max="16384" width="8.7109375" style="1"/>
  </cols>
  <sheetData>
    <row r="1" spans="1:10" x14ac:dyDescent="0.25">
      <c r="B1" s="2" t="s">
        <v>128</v>
      </c>
      <c r="C1" s="2">
        <f>'Overall Costing'!$M$1</f>
        <v>0.67500000000000004</v>
      </c>
      <c r="D1" s="1" t="s">
        <v>129</v>
      </c>
      <c r="E1" s="1">
        <v>1.1000000000000001</v>
      </c>
    </row>
    <row r="3" spans="1:10" s="4" customFormat="1" ht="30" x14ac:dyDescent="0.25">
      <c r="A3" s="11" t="s">
        <v>130</v>
      </c>
      <c r="B3" s="11" t="s">
        <v>131</v>
      </c>
    </row>
    <row r="4" spans="1:10" s="4" customFormat="1" ht="30" x14ac:dyDescent="0.25">
      <c r="A4" s="10" t="s">
        <v>132</v>
      </c>
      <c r="B4" s="10" t="s">
        <v>133</v>
      </c>
      <c r="C4" s="10" t="s">
        <v>134</v>
      </c>
      <c r="D4" s="10" t="s">
        <v>135</v>
      </c>
      <c r="E4" s="10" t="s">
        <v>136</v>
      </c>
      <c r="F4" s="10" t="s">
        <v>137</v>
      </c>
      <c r="G4" s="10" t="s">
        <v>138</v>
      </c>
      <c r="H4" s="11" t="s">
        <v>139</v>
      </c>
      <c r="I4" s="11" t="s">
        <v>140</v>
      </c>
      <c r="J4" s="11" t="s">
        <v>141</v>
      </c>
    </row>
    <row r="5" spans="1:10" x14ac:dyDescent="0.25">
      <c r="A5" s="49" t="s">
        <v>142</v>
      </c>
      <c r="B5" s="9" t="s">
        <v>143</v>
      </c>
      <c r="C5" s="9">
        <v>600</v>
      </c>
      <c r="D5" s="9" t="s">
        <v>144</v>
      </c>
      <c r="E5" s="49">
        <v>3.5</v>
      </c>
      <c r="F5" s="49" t="s">
        <v>145</v>
      </c>
      <c r="G5" s="49" t="s">
        <v>145</v>
      </c>
      <c r="H5" s="1">
        <v>1</v>
      </c>
      <c r="I5" s="1">
        <v>40</v>
      </c>
      <c r="J5" s="1">
        <v>60</v>
      </c>
    </row>
    <row r="6" spans="1:10" x14ac:dyDescent="0.25">
      <c r="A6" s="49" t="s">
        <v>146</v>
      </c>
      <c r="B6" s="9" t="s">
        <v>147</v>
      </c>
      <c r="C6" s="9">
        <v>1175</v>
      </c>
      <c r="D6" s="9" t="s">
        <v>144</v>
      </c>
      <c r="E6" s="49">
        <v>4.5</v>
      </c>
      <c r="F6" s="49" t="s">
        <v>145</v>
      </c>
      <c r="G6" s="49" t="s">
        <v>148</v>
      </c>
      <c r="H6" s="1">
        <v>2</v>
      </c>
      <c r="I6" s="1">
        <v>40</v>
      </c>
      <c r="J6" s="1" t="s">
        <v>149</v>
      </c>
    </row>
    <row r="7" spans="1:10" x14ac:dyDescent="0.25">
      <c r="A7" s="49" t="s">
        <v>150</v>
      </c>
      <c r="B7" s="9" t="s">
        <v>151</v>
      </c>
      <c r="C7" s="9">
        <v>1200</v>
      </c>
      <c r="D7" s="9" t="s">
        <v>152</v>
      </c>
      <c r="E7" s="49">
        <v>4.58</v>
      </c>
      <c r="F7" s="49" t="s">
        <v>145</v>
      </c>
      <c r="G7" s="49" t="s">
        <v>145</v>
      </c>
      <c r="H7" s="1">
        <v>2</v>
      </c>
      <c r="I7" s="1">
        <v>32</v>
      </c>
      <c r="J7" s="1">
        <v>36</v>
      </c>
    </row>
    <row r="8" spans="1:10" x14ac:dyDescent="0.25">
      <c r="A8" s="49" t="s">
        <v>153</v>
      </c>
      <c r="B8" s="9" t="s">
        <v>154</v>
      </c>
      <c r="C8" s="9">
        <v>800</v>
      </c>
      <c r="D8" s="9" t="s">
        <v>155</v>
      </c>
      <c r="E8" s="49">
        <v>4.58</v>
      </c>
      <c r="F8" s="49" t="s">
        <v>145</v>
      </c>
      <c r="G8" s="49" t="s">
        <v>145</v>
      </c>
      <c r="H8" s="1">
        <v>1</v>
      </c>
      <c r="I8" s="1">
        <v>32</v>
      </c>
      <c r="J8" s="1">
        <v>36</v>
      </c>
    </row>
    <row r="11" spans="1:10" x14ac:dyDescent="0.25">
      <c r="A11" s="12">
        <v>1</v>
      </c>
      <c r="B11" s="12" t="s">
        <v>156</v>
      </c>
      <c r="C11" s="12" t="s">
        <v>146</v>
      </c>
    </row>
    <row r="12" spans="1:10" hidden="1" outlineLevel="1" x14ac:dyDescent="0.25">
      <c r="A12" s="1" t="s">
        <v>157</v>
      </c>
      <c r="B12" s="1" t="s">
        <v>158</v>
      </c>
      <c r="C12" s="1">
        <f>VLOOKUP(C11,A4:G8,5,FALSE)</f>
        <v>4.5</v>
      </c>
    </row>
    <row r="13" spans="1:10" hidden="1" outlineLevel="1" x14ac:dyDescent="0.25">
      <c r="A13" s="1" t="s">
        <v>157</v>
      </c>
      <c r="B13" s="1" t="s">
        <v>159</v>
      </c>
      <c r="C13" s="3">
        <f>VLOOKUP(C12,Loop!$C$4:$D$6,2,FALSE)</f>
        <v>27466.435714285708</v>
      </c>
    </row>
    <row r="14" spans="1:10" collapsed="1" x14ac:dyDescent="0.25">
      <c r="A14" s="12">
        <v>2</v>
      </c>
      <c r="B14" s="56" t="s">
        <v>160</v>
      </c>
      <c r="C14" s="12">
        <f>(16*45)/30</f>
        <v>24</v>
      </c>
    </row>
    <row r="15" spans="1:10" x14ac:dyDescent="0.25">
      <c r="A15" s="12">
        <v>3</v>
      </c>
      <c r="B15" s="56" t="s">
        <v>161</v>
      </c>
      <c r="C15" s="12">
        <f>(146.875*2)+(3.6*16)</f>
        <v>351.35</v>
      </c>
    </row>
    <row r="16" spans="1:10" hidden="1" outlineLevel="1" x14ac:dyDescent="0.25">
      <c r="A16" s="1" t="s">
        <v>157</v>
      </c>
      <c r="B16" s="1" t="s">
        <v>162</v>
      </c>
      <c r="C16" s="1">
        <f>C14*2*3.14*C12/12</f>
        <v>56.52</v>
      </c>
    </row>
    <row r="17" spans="1:4" hidden="1" outlineLevel="1" x14ac:dyDescent="0.25">
      <c r="A17" s="1" t="s">
        <v>157</v>
      </c>
      <c r="B17" s="1" t="s">
        <v>163</v>
      </c>
      <c r="C17" s="1">
        <f>C15-C16</f>
        <v>294.83000000000004</v>
      </c>
    </row>
    <row r="18" spans="1:4" hidden="1" outlineLevel="1" x14ac:dyDescent="0.25">
      <c r="A18" s="1" t="s">
        <v>157</v>
      </c>
      <c r="B18" s="1" t="s">
        <v>164</v>
      </c>
      <c r="C18" s="1">
        <f>IF(OR(C11=A5,C11=A6),C17*Loop!D2,C17*Loop!D3)</f>
        <v>6445086.9905000003</v>
      </c>
    </row>
    <row r="19" spans="1:4" hidden="1" outlineLevel="1" x14ac:dyDescent="0.25">
      <c r="A19" s="1" t="s">
        <v>157</v>
      </c>
      <c r="B19" s="1" t="s">
        <v>165</v>
      </c>
      <c r="C19" s="1">
        <f>C13*C14</f>
        <v>659194.45714285702</v>
      </c>
    </row>
    <row r="20" spans="1:4" hidden="1" outlineLevel="1" x14ac:dyDescent="0.25">
      <c r="A20" s="1" t="s">
        <v>157</v>
      </c>
      <c r="B20" s="2" t="s">
        <v>166</v>
      </c>
      <c r="C20" s="1">
        <f>C19+C18</f>
        <v>7104281.4476428572</v>
      </c>
    </row>
    <row r="21" spans="1:4" hidden="1" outlineLevel="1" x14ac:dyDescent="0.25">
      <c r="A21" s="1" t="s">
        <v>157</v>
      </c>
      <c r="B21" s="1" t="s">
        <v>134</v>
      </c>
      <c r="C21" s="1">
        <f>VLOOKUP(C11,A4:G8,3,FALSE)</f>
        <v>1175</v>
      </c>
    </row>
    <row r="22" spans="1:4" hidden="1" outlineLevel="1" x14ac:dyDescent="0.25">
      <c r="A22" s="1" t="s">
        <v>157</v>
      </c>
      <c r="B22" s="1" t="s">
        <v>167</v>
      </c>
      <c r="C22" s="1">
        <f>VLOOKUP(C21,Loop!C7:D10,2,FALSE)</f>
        <v>14796.019999999999</v>
      </c>
    </row>
    <row r="23" spans="1:4" hidden="1" outlineLevel="1" x14ac:dyDescent="0.25">
      <c r="A23" s="1" t="s">
        <v>157</v>
      </c>
      <c r="B23" s="1" t="s">
        <v>168</v>
      </c>
      <c r="C23" s="1">
        <f>ROUND(C15*1000/C21,0)</f>
        <v>299</v>
      </c>
    </row>
    <row r="24" spans="1:4" hidden="1" outlineLevel="1" x14ac:dyDescent="0.25">
      <c r="A24" s="1" t="s">
        <v>157</v>
      </c>
      <c r="B24" s="2" t="s">
        <v>169</v>
      </c>
      <c r="C24" s="1">
        <f>C23*C22</f>
        <v>4424009.9799999995</v>
      </c>
    </row>
    <row r="25" spans="1:4" hidden="1" outlineLevel="1" x14ac:dyDescent="0.25">
      <c r="A25" s="1" t="s">
        <v>157</v>
      </c>
      <c r="B25" s="1" t="s">
        <v>170</v>
      </c>
      <c r="C25" s="1">
        <f>VLOOKUP(C11,A4:H8,8,FALSE)</f>
        <v>2</v>
      </c>
    </row>
    <row r="26" spans="1:4" hidden="1" outlineLevel="1" x14ac:dyDescent="0.25">
      <c r="A26" s="1" t="s">
        <v>157</v>
      </c>
      <c r="B26" s="1" t="s">
        <v>171</v>
      </c>
      <c r="C26" s="1">
        <f>C23*C25</f>
        <v>598</v>
      </c>
    </row>
    <row r="27" spans="1:4" hidden="1" outlineLevel="1" x14ac:dyDescent="0.25">
      <c r="A27" s="1" t="s">
        <v>157</v>
      </c>
      <c r="B27" s="1" t="s">
        <v>172</v>
      </c>
      <c r="C27" s="1" t="str">
        <f>VLOOKUP(C11,A4:H8,4,FALSE)</f>
        <v>600/800</v>
      </c>
    </row>
    <row r="28" spans="1:4" hidden="1" outlineLevel="1" x14ac:dyDescent="0.25">
      <c r="A28" s="1" t="s">
        <v>157</v>
      </c>
      <c r="B28" s="1" t="s">
        <v>173</v>
      </c>
      <c r="C28" s="1">
        <f>VLOOKUP(C27,Loop!C12:D14,2,FALSE)</f>
        <v>30378.600000000002</v>
      </c>
    </row>
    <row r="29" spans="1:4" hidden="1" outlineLevel="1" x14ac:dyDescent="0.25">
      <c r="A29" s="1" t="s">
        <v>157</v>
      </c>
      <c r="B29" s="2" t="s">
        <v>174</v>
      </c>
      <c r="C29" s="1">
        <f>C28*C26</f>
        <v>18166402.800000001</v>
      </c>
    </row>
    <row r="30" spans="1:4" s="4" customFormat="1" ht="30" collapsed="1" x14ac:dyDescent="0.25">
      <c r="A30" s="13">
        <v>4</v>
      </c>
      <c r="B30" s="57" t="s">
        <v>175</v>
      </c>
      <c r="C30" s="13" t="s">
        <v>176</v>
      </c>
      <c r="D30" s="4" t="s">
        <v>1129</v>
      </c>
    </row>
    <row r="31" spans="1:4" hidden="1" outlineLevel="1" x14ac:dyDescent="0.25">
      <c r="A31" s="1" t="s">
        <v>157</v>
      </c>
      <c r="B31" s="1" t="s">
        <v>177</v>
      </c>
      <c r="C31" s="1">
        <f>VLOOKUP(C30,Loop!C16:D18,2,FALSE)</f>
        <v>15584.8</v>
      </c>
    </row>
    <row r="32" spans="1:4" ht="36" hidden="1" customHeight="1" outlineLevel="1" x14ac:dyDescent="0.25">
      <c r="A32" s="1" t="s">
        <v>157</v>
      </c>
      <c r="B32" s="1" t="s">
        <v>178</v>
      </c>
      <c r="C32" s="1">
        <f>ROUNDUP(C15/2.4,0)</f>
        <v>147</v>
      </c>
    </row>
    <row r="33" spans="1:3" ht="27" hidden="1" customHeight="1" outlineLevel="1" x14ac:dyDescent="0.25">
      <c r="A33" s="1" t="s">
        <v>157</v>
      </c>
      <c r="B33" s="2" t="s">
        <v>179</v>
      </c>
      <c r="C33" s="2">
        <f>C32*C31</f>
        <v>2290965.6</v>
      </c>
    </row>
    <row r="34" spans="1:3" collapsed="1" x14ac:dyDescent="0.25">
      <c r="A34" s="12">
        <v>5</v>
      </c>
      <c r="B34" s="56" t="s">
        <v>180</v>
      </c>
      <c r="C34" s="12" t="s">
        <v>181</v>
      </c>
    </row>
    <row r="35" spans="1:3" hidden="1" outlineLevel="1" x14ac:dyDescent="0.25">
      <c r="A35" s="1" t="s">
        <v>157</v>
      </c>
      <c r="B35" s="56" t="s">
        <v>182</v>
      </c>
      <c r="C35" s="1">
        <f>IF(C34="LSM",VLOOKUP(C11,A4:J8,10,FALSE),VLOOKUP(C11,A4:J8,9,FALSE))</f>
        <v>40</v>
      </c>
    </row>
    <row r="36" spans="1:3" hidden="1" outlineLevel="1" x14ac:dyDescent="0.25">
      <c r="A36" s="1" t="s">
        <v>157</v>
      </c>
      <c r="B36" s="56" t="s">
        <v>183</v>
      </c>
      <c r="C36" s="1">
        <f>ROUNDUP(C26/C35,0)</f>
        <v>15</v>
      </c>
    </row>
    <row r="37" spans="1:3" hidden="1" outlineLevel="1" x14ac:dyDescent="0.25">
      <c r="A37" s="1" t="s">
        <v>157</v>
      </c>
      <c r="B37" s="56" t="s">
        <v>184</v>
      </c>
      <c r="C37" s="1">
        <f>VLOOKUP(C34,Loop!C20:D21,2,FALSE)</f>
        <v>364930.65</v>
      </c>
    </row>
    <row r="38" spans="1:3" hidden="1" outlineLevel="1" x14ac:dyDescent="0.25">
      <c r="A38" s="1" t="s">
        <v>157</v>
      </c>
      <c r="B38" s="230" t="s">
        <v>185</v>
      </c>
      <c r="C38" s="1">
        <f>C36*C37</f>
        <v>5473959.75</v>
      </c>
    </row>
    <row r="39" spans="1:3" hidden="1" outlineLevel="1" x14ac:dyDescent="0.25">
      <c r="A39" s="1" t="s">
        <v>157</v>
      </c>
      <c r="B39" s="230" t="s">
        <v>186</v>
      </c>
      <c r="C39" s="2">
        <f>IF(OR(C11=A5,C11=A6),Loop!D23,Loop!D24)</f>
        <v>432669.44000000006</v>
      </c>
    </row>
    <row r="40" spans="1:3" collapsed="1" x14ac:dyDescent="0.25">
      <c r="A40" s="12">
        <v>6</v>
      </c>
      <c r="B40" s="56" t="s">
        <v>187</v>
      </c>
      <c r="C40" s="12" t="s">
        <v>188</v>
      </c>
    </row>
    <row r="41" spans="1:3" hidden="1" outlineLevel="1" x14ac:dyDescent="0.25">
      <c r="A41" s="1" t="s">
        <v>157</v>
      </c>
      <c r="B41" s="230" t="s">
        <v>189</v>
      </c>
      <c r="C41" s="2">
        <f>VLOOKUP(C40,Loop!C25:D26,2,FALSE)</f>
        <v>4015547.1104000001</v>
      </c>
    </row>
    <row r="42" spans="1:3" collapsed="1" x14ac:dyDescent="0.25">
      <c r="A42" s="12">
        <v>7</v>
      </c>
      <c r="B42" s="56" t="s">
        <v>190</v>
      </c>
      <c r="C42" s="12" t="s">
        <v>148</v>
      </c>
    </row>
    <row r="43" spans="1:3" x14ac:dyDescent="0.25">
      <c r="A43" s="12">
        <v>8</v>
      </c>
      <c r="B43" s="56" t="s">
        <v>191</v>
      </c>
      <c r="C43" s="12" t="s">
        <v>192</v>
      </c>
    </row>
    <row r="44" spans="1:3" hidden="1" outlineLevel="1" x14ac:dyDescent="0.25">
      <c r="A44" s="1" t="s">
        <v>157</v>
      </c>
      <c r="B44" s="1" t="s">
        <v>193</v>
      </c>
      <c r="C44" s="1">
        <f>IF(C42="Yes",VLOOKUP(C43,Loop!C28:D29,2,FALSE),0)</f>
        <v>0</v>
      </c>
    </row>
    <row r="45" spans="1:3" hidden="1" outlineLevel="1" x14ac:dyDescent="0.25">
      <c r="A45" s="1" t="s">
        <v>157</v>
      </c>
      <c r="B45" s="2" t="s">
        <v>194</v>
      </c>
      <c r="C45" s="2">
        <f>C44</f>
        <v>0</v>
      </c>
    </row>
    <row r="46" spans="1:3" collapsed="1" x14ac:dyDescent="0.25">
      <c r="A46" s="12">
        <v>9</v>
      </c>
      <c r="B46" s="56" t="s">
        <v>195</v>
      </c>
      <c r="C46" s="12">
        <v>2</v>
      </c>
    </row>
    <row r="47" spans="1:3" x14ac:dyDescent="0.25">
      <c r="A47" s="12">
        <v>10</v>
      </c>
      <c r="B47" s="6" t="s">
        <v>196</v>
      </c>
      <c r="C47" s="46">
        <v>1</v>
      </c>
    </row>
    <row r="48" spans="1:3" x14ac:dyDescent="0.25">
      <c r="A48" s="12"/>
      <c r="B48" s="56"/>
      <c r="C48" s="12"/>
    </row>
    <row r="49" spans="1:8" hidden="1" outlineLevel="1" x14ac:dyDescent="0.25">
      <c r="A49" s="1" t="s">
        <v>157</v>
      </c>
    </row>
    <row r="50" spans="1:8" hidden="1" outlineLevel="1" x14ac:dyDescent="0.25">
      <c r="A50" s="1" t="s">
        <v>157</v>
      </c>
    </row>
    <row r="51" spans="1:8" hidden="1" outlineLevel="1" x14ac:dyDescent="0.25">
      <c r="A51" s="1" t="s">
        <v>157</v>
      </c>
      <c r="B51" s="1" t="s">
        <v>197</v>
      </c>
      <c r="C51" s="1">
        <f>C47*C46*VLOOKUP(B47, Loop!$C$31:$D$37,2,0)</f>
        <v>11600000</v>
      </c>
      <c r="D51" s="525">
        <f>(C51/'Overall Costing'!M1)/'Overall Costing'!M5</f>
        <v>182821.11899133172</v>
      </c>
    </row>
    <row r="52" spans="1:8" collapsed="1" x14ac:dyDescent="0.25">
      <c r="A52" s="12"/>
      <c r="B52" s="56"/>
      <c r="C52" s="12"/>
    </row>
    <row r="53" spans="1:8" x14ac:dyDescent="0.25">
      <c r="A53" s="12">
        <v>12</v>
      </c>
      <c r="B53" s="6" t="s">
        <v>198</v>
      </c>
      <c r="C53" s="12">
        <v>1</v>
      </c>
    </row>
    <row r="54" spans="1:8" hidden="1" outlineLevel="1" x14ac:dyDescent="0.25">
      <c r="A54" s="1" t="s">
        <v>157</v>
      </c>
    </row>
    <row r="55" spans="1:8" hidden="1" outlineLevel="1" x14ac:dyDescent="0.25">
      <c r="A55" s="1" t="s">
        <v>157</v>
      </c>
    </row>
    <row r="56" spans="1:8" hidden="1" outlineLevel="1" x14ac:dyDescent="0.25">
      <c r="A56" s="1" t="s">
        <v>157</v>
      </c>
      <c r="B56" s="1" t="s">
        <v>199</v>
      </c>
      <c r="C56" s="1">
        <f>C53*C46*VLOOKUP(B53,Loop!$C$39:$D$41,2,0)</f>
        <v>2090000.0000000002</v>
      </c>
      <c r="D56" s="525">
        <f>(C56/'Overall Costing'!M1)/'Overall Costing'!M5</f>
        <v>32939.322301024433</v>
      </c>
    </row>
    <row r="57" spans="1:8" hidden="1" outlineLevel="1" x14ac:dyDescent="0.25">
      <c r="A57" s="1" t="s">
        <v>157</v>
      </c>
      <c r="B57" s="2" t="s">
        <v>200</v>
      </c>
      <c r="C57" s="2">
        <f>C56+C51</f>
        <v>13690000</v>
      </c>
    </row>
    <row r="58" spans="1:8" collapsed="1" x14ac:dyDescent="0.25">
      <c r="A58" s="12">
        <v>13</v>
      </c>
      <c r="B58" s="56" t="s">
        <v>201</v>
      </c>
      <c r="C58" s="1" t="s">
        <v>202</v>
      </c>
    </row>
    <row r="59" spans="1:8" hidden="1" outlineLevel="1" x14ac:dyDescent="0.25">
      <c r="A59" s="1" t="s">
        <v>157</v>
      </c>
      <c r="B59" s="1" t="s">
        <v>203</v>
      </c>
      <c r="C59" s="1">
        <f>IF(C58="&gt;=10 mm",Loop!D43,Loop!D44)</f>
        <v>385828.80000000005</v>
      </c>
    </row>
    <row r="60" spans="1:8" hidden="1" outlineLevel="1" x14ac:dyDescent="0.25">
      <c r="A60" s="1" t="s">
        <v>157</v>
      </c>
      <c r="B60" s="2" t="s">
        <v>204</v>
      </c>
      <c r="C60" s="1">
        <f>C59*C46</f>
        <v>771657.60000000009</v>
      </c>
    </row>
    <row r="61" spans="1:8" collapsed="1" x14ac:dyDescent="0.25">
      <c r="A61" s="12">
        <v>14</v>
      </c>
      <c r="B61" s="56" t="s">
        <v>205</v>
      </c>
      <c r="C61" s="56">
        <f>(8*15)+(33.768+70.067+2.3+11.612)*2</f>
        <v>355.49399999999997</v>
      </c>
    </row>
    <row r="62" spans="1:8" hidden="1" outlineLevel="1" x14ac:dyDescent="0.25">
      <c r="A62" s="1" t="s">
        <v>157</v>
      </c>
      <c r="B62" s="2" t="s">
        <v>206</v>
      </c>
      <c r="C62" s="1">
        <f>C61*Loop!D48</f>
        <v>3129911.3735999996</v>
      </c>
    </row>
    <row r="63" spans="1:8" ht="15.75" collapsed="1" x14ac:dyDescent="0.25">
      <c r="A63" s="12">
        <v>15</v>
      </c>
      <c r="B63" s="56" t="s">
        <v>207</v>
      </c>
      <c r="C63" s="6">
        <f>(C74+1+1)*6.5</f>
        <v>104</v>
      </c>
      <c r="H63" s="15"/>
    </row>
    <row r="64" spans="1:8" hidden="1" outlineLevel="1" x14ac:dyDescent="0.25">
      <c r="A64" s="1" t="s">
        <v>157</v>
      </c>
      <c r="B64" s="2" t="s">
        <v>208</v>
      </c>
      <c r="C64" s="1">
        <f>C63*Loop!D49</f>
        <v>788163.99999999988</v>
      </c>
    </row>
    <row r="65" spans="1:4" collapsed="1" x14ac:dyDescent="0.25">
      <c r="A65" s="12">
        <v>16</v>
      </c>
      <c r="B65" s="56" t="s">
        <v>209</v>
      </c>
      <c r="C65" s="56">
        <f>94.44*2</f>
        <v>188.88</v>
      </c>
    </row>
    <row r="66" spans="1:4" hidden="1" outlineLevel="1" x14ac:dyDescent="0.25">
      <c r="A66" s="1" t="s">
        <v>157</v>
      </c>
      <c r="B66" s="2" t="s">
        <v>210</v>
      </c>
      <c r="C66" s="1">
        <f>C65*Loop!D50</f>
        <v>800426.22</v>
      </c>
    </row>
    <row r="67" spans="1:4" collapsed="1" x14ac:dyDescent="0.25"/>
    <row r="69" spans="1:4" x14ac:dyDescent="0.25">
      <c r="B69" s="1" t="s">
        <v>211</v>
      </c>
      <c r="C69" s="3">
        <f>(C20+C24+C29+C33+C38+C39+C41+C45+C57+C60+C62+C64+C66)*E1</f>
        <v>67196794.853807151</v>
      </c>
    </row>
    <row r="70" spans="1:4" ht="15.75" x14ac:dyDescent="0.25">
      <c r="B70" s="14" t="s">
        <v>212</v>
      </c>
      <c r="C70" s="15">
        <f>C69/C1</f>
        <v>99550807.190825403</v>
      </c>
      <c r="D70" s="525">
        <f>C70/'Overall Costing'!M5</f>
        <v>1059051.1403279298</v>
      </c>
    </row>
    <row r="73" spans="1:4" x14ac:dyDescent="0.25">
      <c r="B73" s="583" t="s">
        <v>213</v>
      </c>
      <c r="C73" s="583"/>
    </row>
    <row r="74" spans="1:4" x14ac:dyDescent="0.25">
      <c r="A74" s="1">
        <v>17</v>
      </c>
      <c r="B74" s="12" t="s">
        <v>214</v>
      </c>
      <c r="C74" s="12">
        <v>14</v>
      </c>
    </row>
    <row r="75" spans="1:4" x14ac:dyDescent="0.25">
      <c r="A75" s="1">
        <v>18</v>
      </c>
      <c r="B75" s="12" t="s">
        <v>215</v>
      </c>
      <c r="C75" s="12">
        <v>1000</v>
      </c>
    </row>
    <row r="76" spans="1:4" x14ac:dyDescent="0.25">
      <c r="A76" s="1">
        <v>19</v>
      </c>
      <c r="B76" s="12" t="s">
        <v>216</v>
      </c>
      <c r="C76" s="12">
        <v>1</v>
      </c>
    </row>
    <row r="77" spans="1:4" x14ac:dyDescent="0.25">
      <c r="A77" s="1">
        <v>20</v>
      </c>
      <c r="B77" s="12" t="s">
        <v>217</v>
      </c>
      <c r="C77" s="12">
        <v>2</v>
      </c>
    </row>
    <row r="78" spans="1:4" x14ac:dyDescent="0.25">
      <c r="A78" s="1">
        <v>21</v>
      </c>
      <c r="B78" s="12" t="s">
        <v>218</v>
      </c>
      <c r="C78" s="12">
        <v>1</v>
      </c>
    </row>
    <row r="79" spans="1:4" x14ac:dyDescent="0.25">
      <c r="A79" s="1">
        <v>22</v>
      </c>
      <c r="B79" s="12" t="s">
        <v>219</v>
      </c>
      <c r="C79" s="12">
        <v>1</v>
      </c>
    </row>
    <row r="80" spans="1:4" x14ac:dyDescent="0.25">
      <c r="A80" s="1">
        <v>23</v>
      </c>
      <c r="B80" s="12" t="s">
        <v>220</v>
      </c>
      <c r="C80" s="12">
        <v>0</v>
      </c>
    </row>
    <row r="81" spans="1:5" x14ac:dyDescent="0.25">
      <c r="A81" s="1">
        <v>24</v>
      </c>
      <c r="B81" s="12" t="s">
        <v>221</v>
      </c>
      <c r="C81" s="12">
        <v>0</v>
      </c>
    </row>
    <row r="82" spans="1:5" hidden="1" outlineLevel="1" x14ac:dyDescent="0.25">
      <c r="A82" s="1" t="s">
        <v>157</v>
      </c>
      <c r="B82" s="584" t="s">
        <v>222</v>
      </c>
      <c r="C82" s="584"/>
    </row>
    <row r="83" spans="1:5" hidden="1" outlineLevel="1" x14ac:dyDescent="0.25">
      <c r="A83" s="1" t="s">
        <v>157</v>
      </c>
      <c r="C83" s="1" t="s">
        <v>223</v>
      </c>
      <c r="D83" s="1" t="s">
        <v>224</v>
      </c>
      <c r="E83" s="1" t="s">
        <v>225</v>
      </c>
    </row>
    <row r="84" spans="1:5" hidden="1" outlineLevel="1" x14ac:dyDescent="0.25">
      <c r="A84" s="1" t="s">
        <v>157</v>
      </c>
      <c r="B84" s="457" t="s">
        <v>226</v>
      </c>
      <c r="C84" s="1">
        <f>C76*$C$74</f>
        <v>14</v>
      </c>
      <c r="D84" s="1">
        <f>VLOOKUP($C$75,Inducts!$C$3:$E$6,MATCH('Loop CBS'!$C$58,Inducts!$C$2:$E$2,0))*C84</f>
        <v>2081945.25</v>
      </c>
      <c r="E84" s="1">
        <f>VLOOKUP($C$75,Inducts!$C$3:$F$6,4,0)*C84</f>
        <v>42</v>
      </c>
    </row>
    <row r="85" spans="1:5" hidden="1" outlineLevel="1" x14ac:dyDescent="0.25">
      <c r="A85" s="1" t="s">
        <v>157</v>
      </c>
      <c r="B85" s="457" t="s">
        <v>227</v>
      </c>
      <c r="C85" s="1">
        <f t="shared" ref="C85:C89" si="0">C77*$C$74</f>
        <v>28</v>
      </c>
      <c r="D85" s="1">
        <f>VLOOKUP($C$75,Inducts!$C$7:$E$10,MATCH('Loop CBS'!$C$58,Inducts!$C$2:$E$2,0))*C85</f>
        <v>3510634.0500000003</v>
      </c>
      <c r="E85" s="1">
        <f>VLOOKUP($C$75,Inducts!$C$7:$F$10,4,0)*C85</f>
        <v>28</v>
      </c>
    </row>
    <row r="86" spans="1:5" hidden="1" outlineLevel="1" x14ac:dyDescent="0.25">
      <c r="A86" s="1" t="s">
        <v>157</v>
      </c>
      <c r="B86" s="457" t="s">
        <v>228</v>
      </c>
      <c r="C86" s="1">
        <f t="shared" si="0"/>
        <v>14</v>
      </c>
      <c r="D86" s="1">
        <f>VLOOKUP($C$75,Inducts!$C$11:$E$14,MATCH('Loop CBS'!$C$58,Inducts!$C$2:$E$2,0))*C86</f>
        <v>1833279.5250000001</v>
      </c>
      <c r="E86" s="1">
        <f>VLOOKUP($C$75,Inducts!$C$11:$F$14,4,0)*C86</f>
        <v>21</v>
      </c>
    </row>
    <row r="87" spans="1:5" hidden="1" outlineLevel="1" x14ac:dyDescent="0.25">
      <c r="A87" s="1" t="s">
        <v>157</v>
      </c>
      <c r="B87" s="457" t="s">
        <v>229</v>
      </c>
      <c r="C87" s="1">
        <f t="shared" si="0"/>
        <v>14</v>
      </c>
      <c r="D87" s="1">
        <f>VLOOKUP($C$75,Inducts!$C$15:$E$18,MATCH('Loop CBS'!$C$58,Inducts!$C$2:$E$2,0))*C87</f>
        <v>2602644.2749999999</v>
      </c>
      <c r="E87" s="1">
        <f>VLOOKUP($C$75,Inducts!$C$15:$F$18,4,0)*C87</f>
        <v>21</v>
      </c>
    </row>
    <row r="88" spans="1:5" hidden="1" outlineLevel="1" x14ac:dyDescent="0.25">
      <c r="A88" s="1" t="s">
        <v>157</v>
      </c>
      <c r="B88" s="457" t="s">
        <v>230</v>
      </c>
      <c r="C88" s="1">
        <f t="shared" si="0"/>
        <v>0</v>
      </c>
      <c r="D88" s="1">
        <f>VLOOKUP($C$75,Inducts!$C$19:$E$22,MATCH('Loop CBS'!$C$58,Inducts!$C$2:$E$2,0))*C88</f>
        <v>0</v>
      </c>
      <c r="E88" s="1">
        <f>VLOOKUP($C$75,Inducts!$C$19:$F$22,4,0)*C88</f>
        <v>0</v>
      </c>
    </row>
    <row r="89" spans="1:5" hidden="1" outlineLevel="1" x14ac:dyDescent="0.25">
      <c r="A89" s="1" t="s">
        <v>157</v>
      </c>
      <c r="B89" s="457" t="s">
        <v>231</v>
      </c>
      <c r="C89" s="1">
        <f t="shared" si="0"/>
        <v>0</v>
      </c>
      <c r="D89" s="1">
        <f>VLOOKUP($C$75,Inducts!$C$23:$E$26,MATCH('Loop CBS'!$C$58,Inducts!$C$2:$E$2,0))*C89</f>
        <v>0</v>
      </c>
      <c r="E89" s="1">
        <f>VLOOKUP($C$75,Inducts!$C$23:$F$26,4,0)*C89</f>
        <v>0</v>
      </c>
    </row>
    <row r="90" spans="1:5" hidden="1" outlineLevel="1" x14ac:dyDescent="0.25">
      <c r="A90" s="1" t="s">
        <v>157</v>
      </c>
      <c r="B90" s="1" t="s">
        <v>87</v>
      </c>
      <c r="D90" s="1">
        <f>SUM(D84:D89)</f>
        <v>10028503.100000001</v>
      </c>
      <c r="E90" s="1">
        <f>SUM(E84:E89)</f>
        <v>112</v>
      </c>
    </row>
    <row r="91" spans="1:5" collapsed="1" x14ac:dyDescent="0.25"/>
    <row r="92" spans="1:5" x14ac:dyDescent="0.25">
      <c r="B92" s="583" t="s">
        <v>232</v>
      </c>
      <c r="C92" s="583"/>
    </row>
    <row r="93" spans="1:5" x14ac:dyDescent="0.25">
      <c r="A93" s="1">
        <v>25</v>
      </c>
      <c r="B93" s="12" t="s">
        <v>214</v>
      </c>
      <c r="C93" s="12">
        <v>0</v>
      </c>
    </row>
    <row r="94" spans="1:5" x14ac:dyDescent="0.25">
      <c r="A94" s="1">
        <v>26</v>
      </c>
      <c r="B94" s="12" t="s">
        <v>215</v>
      </c>
      <c r="C94" s="12">
        <v>800</v>
      </c>
    </row>
    <row r="95" spans="1:5" x14ac:dyDescent="0.25">
      <c r="A95" s="1">
        <v>27</v>
      </c>
      <c r="B95" s="12" t="s">
        <v>216</v>
      </c>
      <c r="C95" s="12">
        <v>0</v>
      </c>
      <c r="D95" s="4"/>
    </row>
    <row r="96" spans="1:5" x14ac:dyDescent="0.25">
      <c r="A96" s="1">
        <v>28</v>
      </c>
      <c r="B96" s="12" t="s">
        <v>217</v>
      </c>
      <c r="C96" s="12">
        <v>0</v>
      </c>
    </row>
    <row r="97" spans="1:5" x14ac:dyDescent="0.25">
      <c r="A97" s="1">
        <v>29</v>
      </c>
      <c r="B97" s="12" t="s">
        <v>218</v>
      </c>
      <c r="C97" s="12">
        <v>0</v>
      </c>
    </row>
    <row r="98" spans="1:5" x14ac:dyDescent="0.25">
      <c r="A98" s="1">
        <v>30</v>
      </c>
      <c r="B98" s="12" t="s">
        <v>219</v>
      </c>
      <c r="C98" s="12">
        <v>0</v>
      </c>
    </row>
    <row r="99" spans="1:5" x14ac:dyDescent="0.25">
      <c r="A99" s="1">
        <v>31</v>
      </c>
      <c r="B99" s="12" t="s">
        <v>220</v>
      </c>
      <c r="C99" s="12">
        <v>0</v>
      </c>
    </row>
    <row r="100" spans="1:5" x14ac:dyDescent="0.25">
      <c r="A100" s="1">
        <v>32</v>
      </c>
      <c r="B100" s="12" t="s">
        <v>221</v>
      </c>
      <c r="C100" s="12">
        <v>0</v>
      </c>
    </row>
    <row r="101" spans="1:5" hidden="1" outlineLevel="1" x14ac:dyDescent="0.25">
      <c r="A101" s="1" t="s">
        <v>157</v>
      </c>
      <c r="B101" s="584" t="s">
        <v>233</v>
      </c>
      <c r="C101" s="584"/>
    </row>
    <row r="102" spans="1:5" hidden="1" outlineLevel="1" x14ac:dyDescent="0.25">
      <c r="A102" s="1" t="s">
        <v>157</v>
      </c>
      <c r="C102" s="1" t="s">
        <v>223</v>
      </c>
      <c r="D102" s="1" t="s">
        <v>224</v>
      </c>
      <c r="E102" s="1" t="s">
        <v>225</v>
      </c>
    </row>
    <row r="103" spans="1:5" hidden="1" outlineLevel="1" x14ac:dyDescent="0.25">
      <c r="A103" s="1" t="s">
        <v>157</v>
      </c>
      <c r="B103" s="457" t="s">
        <v>226</v>
      </c>
      <c r="C103" s="1">
        <f>C95*$C$93</f>
        <v>0</v>
      </c>
      <c r="D103" s="1">
        <f>VLOOKUP($C$94,Inducts!$C$3:$E$6,MATCH('Loop CBS'!$C$58,Inducts!$C$2:$E$2,0))*C103</f>
        <v>0</v>
      </c>
      <c r="E103" s="1">
        <f>VLOOKUP($C$94,Inducts!$C$3:$F$6,4,0)*C103</f>
        <v>0</v>
      </c>
    </row>
    <row r="104" spans="1:5" hidden="1" outlineLevel="1" x14ac:dyDescent="0.25">
      <c r="A104" s="1" t="s">
        <v>157</v>
      </c>
      <c r="B104" s="457" t="s">
        <v>227</v>
      </c>
      <c r="C104" s="1">
        <f t="shared" ref="C104:C108" si="1">C96*$C$93</f>
        <v>0</v>
      </c>
      <c r="D104" s="1">
        <f>VLOOKUP($C$94,Inducts!$C$7:$E$10,MATCH('Loop CBS'!$C$58,Inducts!$C$2:$E$2,0))*C104</f>
        <v>0</v>
      </c>
      <c r="E104" s="1">
        <f>VLOOKUP($C$94,Inducts!$C$7:$F$10,4,0)*C104</f>
        <v>0</v>
      </c>
    </row>
    <row r="105" spans="1:5" hidden="1" outlineLevel="1" x14ac:dyDescent="0.25">
      <c r="A105" s="1" t="s">
        <v>157</v>
      </c>
      <c r="B105" s="457" t="s">
        <v>228</v>
      </c>
      <c r="C105" s="1">
        <f t="shared" si="1"/>
        <v>0</v>
      </c>
      <c r="D105" s="1">
        <f>VLOOKUP($C$94,Inducts!$C$11:$E$14,MATCH('Loop CBS'!$C$58,Inducts!$C$2:$E$2,0))*C105</f>
        <v>0</v>
      </c>
      <c r="E105" s="1">
        <f>VLOOKUP($C$94,Inducts!$C$11:$F$14,4,0)*C105</f>
        <v>0</v>
      </c>
    </row>
    <row r="106" spans="1:5" hidden="1" outlineLevel="1" x14ac:dyDescent="0.25">
      <c r="A106" s="1" t="s">
        <v>157</v>
      </c>
      <c r="B106" s="457" t="s">
        <v>229</v>
      </c>
      <c r="C106" s="1">
        <f t="shared" si="1"/>
        <v>0</v>
      </c>
      <c r="D106" s="1">
        <f>VLOOKUP($C$94,Inducts!$C$15:$E$18,MATCH('Loop CBS'!$C$58,Inducts!$C$2:$E$2,0))*C106</f>
        <v>0</v>
      </c>
      <c r="E106" s="1">
        <f>VLOOKUP($C$94,Inducts!$C$15:$F$18,4,0)*C106</f>
        <v>0</v>
      </c>
    </row>
    <row r="107" spans="1:5" hidden="1" outlineLevel="1" x14ac:dyDescent="0.25">
      <c r="A107" s="1" t="s">
        <v>157</v>
      </c>
      <c r="B107" s="457" t="s">
        <v>230</v>
      </c>
      <c r="C107" s="1">
        <f t="shared" si="1"/>
        <v>0</v>
      </c>
      <c r="D107" s="1">
        <f>VLOOKUP($C$94,Inducts!$C$19:$E$22,MATCH('Loop CBS'!$C$58,Inducts!$C$2:$E$2,0))*C107</f>
        <v>0</v>
      </c>
      <c r="E107" s="1">
        <f>VLOOKUP($C$94,Inducts!$C$19:$F$22,4,0)*C107</f>
        <v>0</v>
      </c>
    </row>
    <row r="108" spans="1:5" hidden="1" outlineLevel="1" x14ac:dyDescent="0.25">
      <c r="A108" s="1" t="s">
        <v>157</v>
      </c>
      <c r="B108" s="457" t="s">
        <v>231</v>
      </c>
      <c r="C108" s="1">
        <f t="shared" si="1"/>
        <v>0</v>
      </c>
      <c r="D108" s="1">
        <f>VLOOKUP($C$94,Inducts!$C$23:$E$26,MATCH('Loop CBS'!$C$58,Inducts!$C$2:$E$2,0))*C108</f>
        <v>0</v>
      </c>
      <c r="E108" s="1">
        <f>VLOOKUP($C$94,Inducts!$C$23:$F$26,4,0)*C108</f>
        <v>0</v>
      </c>
    </row>
    <row r="109" spans="1:5" hidden="1" outlineLevel="1" x14ac:dyDescent="0.25">
      <c r="A109" s="1" t="s">
        <v>157</v>
      </c>
      <c r="B109" s="1" t="s">
        <v>87</v>
      </c>
      <c r="D109" s="1">
        <f>SUM(D103:D108)</f>
        <v>0</v>
      </c>
      <c r="E109" s="1">
        <f>SUM(E103:E108)</f>
        <v>0</v>
      </c>
    </row>
    <row r="110" spans="1:5" hidden="1" outlineLevel="1" x14ac:dyDescent="0.25">
      <c r="A110" s="1" t="s">
        <v>157</v>
      </c>
    </row>
    <row r="111" spans="1:5" hidden="1" outlineLevel="1" x14ac:dyDescent="0.25">
      <c r="A111" s="1" t="s">
        <v>157</v>
      </c>
    </row>
    <row r="112" spans="1:5" hidden="1" outlineLevel="1" x14ac:dyDescent="0.25">
      <c r="A112" s="1" t="s">
        <v>157</v>
      </c>
      <c r="B112" s="1" t="s">
        <v>234</v>
      </c>
      <c r="C112" s="1">
        <f>C84+C103</f>
        <v>14</v>
      </c>
    </row>
    <row r="113" spans="1:5" hidden="1" outlineLevel="1" x14ac:dyDescent="0.25">
      <c r="A113" s="1" t="s">
        <v>157</v>
      </c>
      <c r="B113" s="1" t="s">
        <v>235</v>
      </c>
      <c r="C113" s="1">
        <f>C85+C104</f>
        <v>28</v>
      </c>
    </row>
    <row r="114" spans="1:5" hidden="1" outlineLevel="1" x14ac:dyDescent="0.25">
      <c r="A114" s="1" t="s">
        <v>157</v>
      </c>
      <c r="B114" s="1" t="s">
        <v>236</v>
      </c>
      <c r="C114" s="1">
        <f>C105+C86</f>
        <v>14</v>
      </c>
    </row>
    <row r="115" spans="1:5" hidden="1" outlineLevel="1" x14ac:dyDescent="0.25">
      <c r="A115" s="1" t="s">
        <v>157</v>
      </c>
      <c r="B115" s="1" t="s">
        <v>237</v>
      </c>
      <c r="C115" s="1">
        <f>C106+C87</f>
        <v>14</v>
      </c>
    </row>
    <row r="116" spans="1:5" hidden="1" outlineLevel="1" x14ac:dyDescent="0.25">
      <c r="A116" s="1" t="s">
        <v>157</v>
      </c>
      <c r="B116" s="1" t="s">
        <v>238</v>
      </c>
      <c r="C116" s="1">
        <f>C107+C88</f>
        <v>0</v>
      </c>
    </row>
    <row r="117" spans="1:5" hidden="1" outlineLevel="1" x14ac:dyDescent="0.25">
      <c r="A117" s="1" t="s">
        <v>157</v>
      </c>
      <c r="B117" s="1" t="s">
        <v>239</v>
      </c>
      <c r="C117" s="1">
        <f>C108+C89</f>
        <v>0</v>
      </c>
    </row>
    <row r="118" spans="1:5" hidden="1" outlineLevel="1" x14ac:dyDescent="0.25">
      <c r="A118" s="1" t="s">
        <v>157</v>
      </c>
    </row>
    <row r="119" spans="1:5" hidden="1" outlineLevel="1" x14ac:dyDescent="0.25">
      <c r="A119" s="1" t="s">
        <v>157</v>
      </c>
      <c r="B119" s="1" t="s">
        <v>240</v>
      </c>
      <c r="C119" s="3">
        <f>D90+D109</f>
        <v>10028503.100000001</v>
      </c>
    </row>
    <row r="120" spans="1:5" hidden="1" outlineLevel="1" x14ac:dyDescent="0.25">
      <c r="A120" s="1" t="s">
        <v>157</v>
      </c>
      <c r="B120" s="1" t="s">
        <v>241</v>
      </c>
      <c r="C120" s="3">
        <f>(E90+E109)*Inducts!$D$30</f>
        <v>1609999.9999999998</v>
      </c>
    </row>
    <row r="121" spans="1:5" hidden="1" outlineLevel="1" x14ac:dyDescent="0.25">
      <c r="A121" s="1" t="s">
        <v>157</v>
      </c>
      <c r="B121" s="1" t="s">
        <v>242</v>
      </c>
      <c r="C121" s="3">
        <f>(C74+C93)*Inducts!D31</f>
        <v>225399.99999999997</v>
      </c>
    </row>
    <row r="122" spans="1:5" hidden="1" outlineLevel="1" x14ac:dyDescent="0.25">
      <c r="A122" s="1" t="s">
        <v>157</v>
      </c>
      <c r="B122" s="1" t="s">
        <v>243</v>
      </c>
      <c r="C122" s="3">
        <f>(C74+C93)*Inducts!$D$29</f>
        <v>3104640.0000000005</v>
      </c>
    </row>
    <row r="123" spans="1:5" hidden="1" outlineLevel="1" x14ac:dyDescent="0.25">
      <c r="A123" s="1" t="s">
        <v>157</v>
      </c>
      <c r="B123" s="2" t="s">
        <v>244</v>
      </c>
      <c r="C123" s="16">
        <f>SUM(C119:C122)</f>
        <v>14968543.100000001</v>
      </c>
    </row>
    <row r="124" spans="1:5" hidden="1" outlineLevel="1" x14ac:dyDescent="0.25">
      <c r="A124" s="1" t="s">
        <v>157</v>
      </c>
      <c r="B124" s="1" t="s">
        <v>245</v>
      </c>
      <c r="C124" s="3">
        <f>+(C74+C93)</f>
        <v>14</v>
      </c>
    </row>
    <row r="125" spans="1:5" collapsed="1" x14ac:dyDescent="0.25">
      <c r="B125" s="12" t="s">
        <v>246</v>
      </c>
      <c r="C125" s="12" t="s">
        <v>145</v>
      </c>
      <c r="D125" s="6"/>
    </row>
    <row r="126" spans="1:5" x14ac:dyDescent="0.25">
      <c r="B126" s="1" t="s">
        <v>247</v>
      </c>
      <c r="C126" s="3">
        <f>+IF(C125="Yes",(C124*'Quote Master'!I72),0)</f>
        <v>420000</v>
      </c>
    </row>
    <row r="127" spans="1:5" x14ac:dyDescent="0.25">
      <c r="B127" s="12" t="s">
        <v>248</v>
      </c>
      <c r="C127" s="12">
        <v>0</v>
      </c>
      <c r="D127" s="6"/>
      <c r="E127" s="6"/>
    </row>
    <row r="128" spans="1:5" x14ac:dyDescent="0.25">
      <c r="B128" s="12" t="s">
        <v>249</v>
      </c>
      <c r="C128" s="12" t="s">
        <v>250</v>
      </c>
      <c r="D128" s="6"/>
      <c r="E128" s="6"/>
    </row>
    <row r="129" spans="2:5" x14ac:dyDescent="0.25">
      <c r="B129" s="1" t="s">
        <v>251</v>
      </c>
      <c r="C129" s="3">
        <f>+VLOOKUP(C128,'Weighing Conveyors'!$D$1:$L$8,9,FALSE)*(C127)</f>
        <v>0</v>
      </c>
    </row>
    <row r="130" spans="2:5" ht="15.75" x14ac:dyDescent="0.25">
      <c r="B130" s="14" t="s">
        <v>252</v>
      </c>
      <c r="C130" s="536">
        <f>(C123/C1)+C126+C129</f>
        <v>22595619.407407407</v>
      </c>
      <c r="D130" s="1">
        <f>C130/'Overall Costing'!M5</f>
        <v>240378.92986603625</v>
      </c>
    </row>
    <row r="131" spans="2:5" x14ac:dyDescent="0.25">
      <c r="B131" s="1" t="s">
        <v>253</v>
      </c>
      <c r="C131" s="1">
        <f>2*C46</f>
        <v>4</v>
      </c>
    </row>
    <row r="132" spans="2:5" ht="15.75" x14ac:dyDescent="0.25">
      <c r="B132" s="14" t="s">
        <v>254</v>
      </c>
      <c r="C132" s="534">
        <f>C131*'Quote Master'!I136+800000</f>
        <v>1155555.5555555555</v>
      </c>
      <c r="D132" s="1">
        <f>C132/'Overall Costing'!M5</f>
        <v>12293.144208037824</v>
      </c>
    </row>
    <row r="133" spans="2:5" ht="42" x14ac:dyDescent="0.35">
      <c r="B133" s="112" t="s">
        <v>255</v>
      </c>
      <c r="C133" s="113">
        <f>C130+C70+C132</f>
        <v>123301982.15378836</v>
      </c>
      <c r="E133" s="3"/>
    </row>
    <row r="135" spans="2:5" x14ac:dyDescent="0.25">
      <c r="B135" s="17"/>
    </row>
    <row r="136" spans="2:5" ht="30" hidden="1" x14ac:dyDescent="0.25">
      <c r="B136" s="18" t="s">
        <v>256</v>
      </c>
      <c r="C136" s="4" t="s">
        <v>257</v>
      </c>
    </row>
    <row r="137" spans="2:5" hidden="1" x14ac:dyDescent="0.25">
      <c r="B137" s="18" t="s">
        <v>258</v>
      </c>
    </row>
    <row r="138" spans="2:5" hidden="1" x14ac:dyDescent="0.25">
      <c r="B138" s="18" t="s">
        <v>259</v>
      </c>
    </row>
    <row r="139" spans="2:5" hidden="1" x14ac:dyDescent="0.25">
      <c r="B139" s="18" t="s">
        <v>260</v>
      </c>
    </row>
    <row r="140" spans="2:5" hidden="1" x14ac:dyDescent="0.25">
      <c r="B140" s="18" t="s">
        <v>261</v>
      </c>
    </row>
    <row r="141" spans="2:5" ht="30" hidden="1" x14ac:dyDescent="0.25">
      <c r="B141" s="18" t="s">
        <v>262</v>
      </c>
      <c r="C141" s="4" t="s">
        <v>257</v>
      </c>
    </row>
    <row r="142" spans="2:5" hidden="1" x14ac:dyDescent="0.25">
      <c r="B142" s="18" t="s">
        <v>263</v>
      </c>
    </row>
    <row r="143" spans="2:5" hidden="1" x14ac:dyDescent="0.25">
      <c r="B143" s="18" t="s">
        <v>264</v>
      </c>
    </row>
    <row r="144" spans="2:5" hidden="1" x14ac:dyDescent="0.25">
      <c r="B144" s="18" t="s">
        <v>265</v>
      </c>
    </row>
  </sheetData>
  <dataConsolidate/>
  <mergeCells count="4">
    <mergeCell ref="B73:C73"/>
    <mergeCell ref="B92:C92"/>
    <mergeCell ref="B82:C82"/>
    <mergeCell ref="B101:C101"/>
  </mergeCells>
  <dataValidations disablePrompts="1" count="4">
    <dataValidation type="decimal" operator="greaterThanOrEqual" allowBlank="1" showInputMessage="1" showErrorMessage="1" sqref="C65 C61 C63" xr:uid="{BE662F72-A3A2-49DC-B08F-0E2E30B6EEA2}">
      <formula1>0</formula1>
    </dataValidation>
    <dataValidation type="whole" operator="greaterThanOrEqual" allowBlank="1" showInputMessage="1" showErrorMessage="1" sqref="C46 C93 C74" xr:uid="{8A242FCD-C4FA-4390-9B32-2A03877E329B}">
      <formula1>0</formula1>
    </dataValidation>
    <dataValidation type="whole" operator="greaterThan" allowBlank="1" showInputMessage="1" showErrorMessage="1" sqref="C14" xr:uid="{07E73236-25A5-4697-9053-5121296EDCC7}">
      <formula1>11</formula1>
    </dataValidation>
    <dataValidation type="list" allowBlank="1" showInputMessage="1" showErrorMessage="1" sqref="C11" xr:uid="{6733764E-43CC-440A-A7A6-409F93429C7B}">
      <formula1>$A$5:$A$8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0">
        <x14:dataValidation type="list" allowBlank="1" showInputMessage="1" showErrorMessage="1" xr:uid="{6988DF78-E0E1-446A-8FE7-DD60B8D27D18}">
          <x14:formula1>
            <xm:f>Inducts!$C$3:$C$6</xm:f>
          </x14:formula1>
          <xm:sqref>C75 C94</xm:sqref>
        </x14:dataValidation>
        <x14:dataValidation type="list" allowBlank="1" showInputMessage="1" showErrorMessage="1" xr:uid="{9A33380A-F041-46B9-8F75-5478A4D17D97}">
          <x14:formula1>
            <xm:f>Selection!$B$13:$B$14</xm:f>
          </x14:formula1>
          <xm:sqref>C42 C125</xm:sqref>
        </x14:dataValidation>
        <x14:dataValidation type="list" allowBlank="1" showInputMessage="1" showErrorMessage="1" xr:uid="{09E8F70C-5F0A-4AAA-8A83-AB1958042C05}">
          <x14:formula1>
            <xm:f>Loop!$C$25:$C$26</xm:f>
          </x14:formula1>
          <xm:sqref>C40</xm:sqref>
        </x14:dataValidation>
        <x14:dataValidation type="list" showInputMessage="1" showErrorMessage="1" xr:uid="{32C779DC-83B4-477D-AED3-D93FA0457E2A}">
          <x14:formula1>
            <xm:f>Selection!$G$1:$G$2</xm:f>
          </x14:formula1>
          <xm:sqref>C34</xm:sqref>
        </x14:dataValidation>
        <x14:dataValidation type="list" allowBlank="1" showInputMessage="1" showErrorMessage="1" xr:uid="{05EEEF54-0AC3-47FA-A4DB-6D1632FF8CD4}">
          <x14:formula1>
            <xm:f>Selection!$B$8:$B$10</xm:f>
          </x14:formula1>
          <xm:sqref>C30</xm:sqref>
        </x14:dataValidation>
        <x14:dataValidation type="list" allowBlank="1" showInputMessage="1" showErrorMessage="1" xr:uid="{E40B3205-685D-4CE5-8D9F-9FB52D21D517}">
          <x14:formula1>
            <xm:f>Selection!$B$4:$B$5</xm:f>
          </x14:formula1>
          <xm:sqref>C58</xm:sqref>
        </x14:dataValidation>
        <x14:dataValidation type="list" allowBlank="1" showInputMessage="1" showErrorMessage="1" xr:uid="{E5A7EE0F-7DC4-4C23-87D6-B7240C7858F8}">
          <x14:formula1>
            <xm:f>Loop!$C$28:$C$29</xm:f>
          </x14:formula1>
          <xm:sqref>C43</xm:sqref>
        </x14:dataValidation>
        <x14:dataValidation type="list" allowBlank="1" showInputMessage="1" showErrorMessage="1" xr:uid="{D7E0542B-CD12-4EEE-BFAB-8C18530C779F}">
          <x14:formula1>
            <xm:f>'Weighing Conveyors'!$D$2:$D$8</xm:f>
          </x14:formula1>
          <xm:sqref>C128</xm:sqref>
        </x14:dataValidation>
        <x14:dataValidation type="list" allowBlank="1" showInputMessage="1" showErrorMessage="1" xr:uid="{FEE12C52-D16F-4A79-B7B6-95981F2FB362}">
          <x14:formula1>
            <xm:f>Loop!$C$31:$C$37</xm:f>
          </x14:formula1>
          <xm:sqref>B47</xm:sqref>
        </x14:dataValidation>
        <x14:dataValidation type="list" allowBlank="1" showInputMessage="1" showErrorMessage="1" xr:uid="{5C8DC068-519C-462B-B90A-7FCBB03A656E}">
          <x14:formula1>
            <xm:f>Loop!$C$39:$C$41</xm:f>
          </x14:formula1>
          <xm:sqref>B53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B2:F40"/>
  <sheetViews>
    <sheetView topLeftCell="A10" zoomScale="120" zoomScaleNormal="120" workbookViewId="0">
      <selection activeCell="C35" sqref="C35"/>
    </sheetView>
  </sheetViews>
  <sheetFormatPr defaultColWidth="8.7109375" defaultRowHeight="15" x14ac:dyDescent="0.25"/>
  <cols>
    <col min="1" max="1" width="8.7109375" style="1"/>
    <col min="2" max="2" width="35.28515625" style="1" bestFit="1" customWidth="1"/>
    <col min="3" max="3" width="21.85546875" style="1" customWidth="1"/>
    <col min="4" max="4" width="17.7109375" style="1" customWidth="1"/>
    <col min="5" max="5" width="16.7109375" style="1" customWidth="1"/>
    <col min="6" max="16384" width="8.7109375" style="1"/>
  </cols>
  <sheetData>
    <row r="2" spans="2:6" x14ac:dyDescent="0.25">
      <c r="B2" s="2" t="s">
        <v>266</v>
      </c>
      <c r="C2" s="2" t="s">
        <v>267</v>
      </c>
      <c r="D2" s="2" t="s">
        <v>202</v>
      </c>
      <c r="E2" s="2" t="s">
        <v>268</v>
      </c>
      <c r="F2" s="2" t="s">
        <v>269</v>
      </c>
    </row>
    <row r="3" spans="2:6" x14ac:dyDescent="0.25">
      <c r="B3" s="1" t="s">
        <v>226</v>
      </c>
      <c r="C3" s="1">
        <v>800</v>
      </c>
      <c r="D3" s="1">
        <f>120170*1.125</f>
        <v>135191.25</v>
      </c>
      <c r="E3" s="1">
        <f>120170*1.125</f>
        <v>135191.25</v>
      </c>
      <c r="F3" s="1">
        <v>2</v>
      </c>
    </row>
    <row r="4" spans="2:6" x14ac:dyDescent="0.25">
      <c r="B4" s="1" t="s">
        <v>226</v>
      </c>
      <c r="C4" s="1">
        <v>1000</v>
      </c>
      <c r="D4" s="1">
        <f>D3*1.1</f>
        <v>148710.375</v>
      </c>
      <c r="E4" s="1">
        <f>E3*1.1</f>
        <v>148710.375</v>
      </c>
      <c r="F4" s="1">
        <v>3</v>
      </c>
    </row>
    <row r="5" spans="2:6" x14ac:dyDescent="0.25">
      <c r="B5" s="46" t="s">
        <v>270</v>
      </c>
      <c r="C5" s="46" t="s">
        <v>271</v>
      </c>
      <c r="D5" s="46">
        <f>D4*1.1</f>
        <v>163581.41250000001</v>
      </c>
      <c r="E5" s="46">
        <f>E4*1.1</f>
        <v>163581.41250000001</v>
      </c>
      <c r="F5" s="46">
        <v>3</v>
      </c>
    </row>
    <row r="6" spans="2:6" x14ac:dyDescent="0.25">
      <c r="B6" s="126" t="s">
        <v>226</v>
      </c>
      <c r="C6" s="126">
        <v>1200</v>
      </c>
      <c r="D6" s="126">
        <f>D4*1.2</f>
        <v>178452.44999999998</v>
      </c>
      <c r="E6" s="126">
        <f>E4*1.2</f>
        <v>178452.44999999998</v>
      </c>
      <c r="F6" s="126">
        <v>3</v>
      </c>
    </row>
    <row r="7" spans="2:6" x14ac:dyDescent="0.25">
      <c r="B7" s="1" t="s">
        <v>272</v>
      </c>
      <c r="C7" s="1">
        <v>800</v>
      </c>
      <c r="D7" s="1">
        <f>101317*1.125</f>
        <v>113981.625</v>
      </c>
      <c r="E7" s="1">
        <f>D7-24000+4000</f>
        <v>93981.625</v>
      </c>
      <c r="F7" s="1">
        <v>1</v>
      </c>
    </row>
    <row r="8" spans="2:6" x14ac:dyDescent="0.25">
      <c r="B8" s="1" t="s">
        <v>272</v>
      </c>
      <c r="C8" s="1">
        <v>1000</v>
      </c>
      <c r="D8" s="1">
        <f>D7*1.1</f>
        <v>125379.78750000001</v>
      </c>
      <c r="E8" s="1">
        <f>E7*1.1</f>
        <v>103379.78750000001</v>
      </c>
      <c r="F8" s="1">
        <v>1</v>
      </c>
    </row>
    <row r="9" spans="2:6" x14ac:dyDescent="0.25">
      <c r="B9" s="46" t="s">
        <v>273</v>
      </c>
      <c r="C9" s="46" t="s">
        <v>271</v>
      </c>
      <c r="D9" s="46" t="s">
        <v>274</v>
      </c>
      <c r="E9" s="46">
        <f>E8*1.1</f>
        <v>113717.76625000002</v>
      </c>
      <c r="F9" s="46">
        <v>0.5</v>
      </c>
    </row>
    <row r="10" spans="2:6" x14ac:dyDescent="0.25">
      <c r="B10" s="126" t="s">
        <v>272</v>
      </c>
      <c r="C10" s="126">
        <v>1200</v>
      </c>
      <c r="D10" s="126">
        <f>D8*1.2</f>
        <v>150455.745</v>
      </c>
      <c r="E10" s="126">
        <f>E8*1.2</f>
        <v>124055.745</v>
      </c>
      <c r="F10" s="126">
        <f>F8</f>
        <v>1</v>
      </c>
    </row>
    <row r="11" spans="2:6" x14ac:dyDescent="0.25">
      <c r="B11" s="1" t="s">
        <v>228</v>
      </c>
      <c r="C11" s="1">
        <v>800</v>
      </c>
      <c r="D11" s="1">
        <f>105817*1.125</f>
        <v>119044.125</v>
      </c>
      <c r="E11" s="1">
        <f>D11-24000+4000</f>
        <v>99044.125</v>
      </c>
      <c r="F11" s="1">
        <v>1</v>
      </c>
    </row>
    <row r="12" spans="2:6" x14ac:dyDescent="0.25">
      <c r="B12" s="1" t="s">
        <v>228</v>
      </c>
      <c r="C12" s="1">
        <v>1000</v>
      </c>
      <c r="D12" s="1">
        <f>D11*1.1</f>
        <v>130948.53750000001</v>
      </c>
      <c r="E12" s="1">
        <f>E11*1.1</f>
        <v>108948.53750000001</v>
      </c>
      <c r="F12" s="1">
        <v>1.5</v>
      </c>
    </row>
    <row r="13" spans="2:6" x14ac:dyDescent="0.25">
      <c r="B13" s="46" t="s">
        <v>275</v>
      </c>
      <c r="C13" s="46" t="s">
        <v>271</v>
      </c>
      <c r="D13" s="46" t="s">
        <v>274</v>
      </c>
      <c r="E13" s="46">
        <f>E12*1.1</f>
        <v>119843.39125000002</v>
      </c>
      <c r="F13" s="46">
        <v>1.2</v>
      </c>
    </row>
    <row r="14" spans="2:6" x14ac:dyDescent="0.25">
      <c r="B14" s="126" t="s">
        <v>228</v>
      </c>
      <c r="C14" s="126">
        <v>1200</v>
      </c>
      <c r="D14" s="126">
        <f>D12*1.2</f>
        <v>157138.245</v>
      </c>
      <c r="E14" s="126">
        <f>E12*1.2</f>
        <v>130738.245</v>
      </c>
      <c r="F14" s="126">
        <f>F12</f>
        <v>1.5</v>
      </c>
    </row>
    <row r="15" spans="2:6" x14ac:dyDescent="0.25">
      <c r="B15" s="1" t="s">
        <v>229</v>
      </c>
      <c r="C15" s="1">
        <v>800</v>
      </c>
      <c r="D15" s="1">
        <f>E15+24000-4000</f>
        <v>169002.875</v>
      </c>
      <c r="E15" s="1">
        <f>132447*1.125</f>
        <v>149002.875</v>
      </c>
      <c r="F15" s="1">
        <v>1.5</v>
      </c>
    </row>
    <row r="16" spans="2:6" x14ac:dyDescent="0.25">
      <c r="B16" s="1" t="s">
        <v>229</v>
      </c>
      <c r="C16" s="1">
        <v>1000</v>
      </c>
      <c r="D16" s="1">
        <f>D15*1.1</f>
        <v>185903.16250000001</v>
      </c>
      <c r="E16" s="1">
        <f>E15*1.1</f>
        <v>163903.16250000001</v>
      </c>
      <c r="F16" s="1">
        <v>1.5</v>
      </c>
    </row>
    <row r="17" spans="2:6" x14ac:dyDescent="0.25">
      <c r="B17" s="126" t="s">
        <v>276</v>
      </c>
      <c r="C17" s="46" t="s">
        <v>271</v>
      </c>
      <c r="D17" s="126" t="s">
        <v>274</v>
      </c>
      <c r="E17" s="126">
        <f>E16*1.1</f>
        <v>180293.47875000001</v>
      </c>
      <c r="F17" s="126">
        <f>F16</f>
        <v>1.5</v>
      </c>
    </row>
    <row r="18" spans="2:6" x14ac:dyDescent="0.25">
      <c r="B18" s="126" t="s">
        <v>229</v>
      </c>
      <c r="C18" s="126">
        <v>1200</v>
      </c>
      <c r="D18" s="126">
        <f>D16*1.2</f>
        <v>223083.79500000001</v>
      </c>
      <c r="E18" s="126">
        <f>E16*1.2</f>
        <v>196683.79500000001</v>
      </c>
      <c r="F18" s="126">
        <f>F16</f>
        <v>1.5</v>
      </c>
    </row>
    <row r="19" spans="2:6" x14ac:dyDescent="0.25">
      <c r="B19" s="1" t="s">
        <v>230</v>
      </c>
      <c r="C19" s="1">
        <v>800</v>
      </c>
      <c r="D19" s="1">
        <f>E19+24000-4000</f>
        <v>284375</v>
      </c>
      <c r="E19" s="1">
        <f>235000*1.125</f>
        <v>264375</v>
      </c>
      <c r="F19" s="1">
        <v>3.5</v>
      </c>
    </row>
    <row r="20" spans="2:6" x14ac:dyDescent="0.25">
      <c r="B20" s="1" t="s">
        <v>230</v>
      </c>
      <c r="C20" s="1">
        <v>1000</v>
      </c>
      <c r="D20" s="1">
        <f>D19*1.1</f>
        <v>312812.5</v>
      </c>
      <c r="E20" s="1">
        <f>E19*1.1</f>
        <v>290812.5</v>
      </c>
      <c r="F20" s="1">
        <v>5</v>
      </c>
    </row>
    <row r="21" spans="2:6" x14ac:dyDescent="0.25">
      <c r="B21" s="126" t="s">
        <v>277</v>
      </c>
      <c r="C21" s="46" t="s">
        <v>271</v>
      </c>
      <c r="D21" s="126" t="s">
        <v>274</v>
      </c>
      <c r="E21" s="126">
        <f>E20*1.1</f>
        <v>319893.75</v>
      </c>
      <c r="F21" s="126">
        <f>F20</f>
        <v>5</v>
      </c>
    </row>
    <row r="22" spans="2:6" x14ac:dyDescent="0.25">
      <c r="B22" s="126" t="s">
        <v>230</v>
      </c>
      <c r="C22" s="126">
        <v>1200</v>
      </c>
      <c r="D22" s="126">
        <f>D20*1.2</f>
        <v>375375</v>
      </c>
      <c r="E22" s="126">
        <f>E20*1.2</f>
        <v>348975</v>
      </c>
      <c r="F22" s="126">
        <f>F20</f>
        <v>5</v>
      </c>
    </row>
    <row r="23" spans="2:6" x14ac:dyDescent="0.25">
      <c r="B23" s="1" t="s">
        <v>231</v>
      </c>
      <c r="C23" s="1">
        <v>800</v>
      </c>
      <c r="D23" s="1">
        <f>E23+24000-4000</f>
        <v>284375</v>
      </c>
      <c r="E23" s="1">
        <f>235000*1.125</f>
        <v>264375</v>
      </c>
      <c r="F23" s="1">
        <v>3.5</v>
      </c>
    </row>
    <row r="24" spans="2:6" x14ac:dyDescent="0.25">
      <c r="B24" s="1" t="s">
        <v>231</v>
      </c>
      <c r="C24" s="1">
        <v>1000</v>
      </c>
      <c r="D24" s="1">
        <f>D23*1.1</f>
        <v>312812.5</v>
      </c>
      <c r="E24" s="1">
        <f>E23*1.1</f>
        <v>290812.5</v>
      </c>
      <c r="F24" s="1">
        <v>5</v>
      </c>
    </row>
    <row r="25" spans="2:6" x14ac:dyDescent="0.25">
      <c r="B25" s="46" t="s">
        <v>278</v>
      </c>
      <c r="C25" s="46" t="s">
        <v>271</v>
      </c>
      <c r="D25" s="46" t="s">
        <v>274</v>
      </c>
      <c r="E25" s="46">
        <f>E24*1</f>
        <v>290812.5</v>
      </c>
      <c r="F25" s="46">
        <v>3.3</v>
      </c>
    </row>
    <row r="26" spans="2:6" x14ac:dyDescent="0.25">
      <c r="B26" s="126" t="s">
        <v>231</v>
      </c>
      <c r="C26" s="126">
        <v>1200</v>
      </c>
      <c r="D26" s="126">
        <f>D24*1.2</f>
        <v>375375</v>
      </c>
      <c r="E26" s="126">
        <f>E24*1.2</f>
        <v>348975</v>
      </c>
      <c r="F26" s="126">
        <f>F24</f>
        <v>5</v>
      </c>
    </row>
    <row r="27" spans="2:6" x14ac:dyDescent="0.25">
      <c r="B27" s="126" t="s">
        <v>279</v>
      </c>
      <c r="C27" s="126">
        <v>800</v>
      </c>
      <c r="D27" s="126">
        <v>130948.53750000001</v>
      </c>
      <c r="E27" s="126">
        <v>108948.53750000001</v>
      </c>
      <c r="F27" s="126">
        <v>1</v>
      </c>
    </row>
    <row r="29" spans="2:6" x14ac:dyDescent="0.25">
      <c r="C29" s="1" t="s">
        <v>280</v>
      </c>
      <c r="D29" s="1">
        <f>198000*1.12</f>
        <v>221760.00000000003</v>
      </c>
    </row>
    <row r="30" spans="2:6" x14ac:dyDescent="0.25">
      <c r="C30" s="1" t="s">
        <v>281</v>
      </c>
      <c r="D30" s="1">
        <f>(75000/6)*1.15</f>
        <v>14374.999999999998</v>
      </c>
    </row>
    <row r="31" spans="2:6" x14ac:dyDescent="0.25">
      <c r="C31" s="1" t="s">
        <v>282</v>
      </c>
      <c r="D31" s="1">
        <f>14000*1.15</f>
        <v>16099.999999999998</v>
      </c>
    </row>
    <row r="40" spans="3:3" x14ac:dyDescent="0.25">
      <c r="C40" s="28">
        <v>13</v>
      </c>
    </row>
  </sheetData>
  <pageMargins left="0.7" right="0.7" top="0.75" bottom="0.75" header="0.3" footer="0.3"/>
  <pageSetup orientation="portrait" r:id="rId1"/>
  <ignoredErrors>
    <ignoredError sqref="D8:E8 E7 D12:E12 E11 D16:E16 D15 D20:E20 D19 D23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77F4B-4422-44A8-A1A3-6EDF320B95F2}">
  <sheetPr>
    <tabColor theme="0" tint="-0.499984740745262"/>
  </sheetPr>
  <dimension ref="A1:J120"/>
  <sheetViews>
    <sheetView topLeftCell="A66" zoomScaleNormal="100" workbookViewId="0">
      <selection activeCell="E102" sqref="E102"/>
    </sheetView>
  </sheetViews>
  <sheetFormatPr defaultColWidth="8.7109375" defaultRowHeight="15" outlineLevelRow="1" x14ac:dyDescent="0.25"/>
  <cols>
    <col min="1" max="1" width="16.5703125" style="1" customWidth="1"/>
    <col min="2" max="2" width="57.42578125" style="1" bestFit="1" customWidth="1"/>
    <col min="3" max="3" width="21.42578125" style="1" bestFit="1" customWidth="1"/>
    <col min="4" max="4" width="28.7109375" style="1" bestFit="1" customWidth="1"/>
    <col min="5" max="5" width="15.140625" style="1" bestFit="1" customWidth="1"/>
    <col min="6" max="6" width="19.140625" style="1" customWidth="1"/>
    <col min="7" max="7" width="15.28515625" style="1" bestFit="1" customWidth="1"/>
    <col min="8" max="8" width="8.85546875" style="1" bestFit="1" customWidth="1"/>
    <col min="9" max="9" width="18.85546875" style="1" customWidth="1"/>
    <col min="10" max="10" width="13.28515625" style="1" customWidth="1"/>
    <col min="11" max="16384" width="8.7109375" style="1"/>
  </cols>
  <sheetData>
    <row r="1" spans="1:10" x14ac:dyDescent="0.25">
      <c r="B1" s="2" t="s">
        <v>128</v>
      </c>
      <c r="C1" s="2">
        <f>'Overall Costing'!$M$1</f>
        <v>0.67500000000000004</v>
      </c>
    </row>
    <row r="3" spans="1:10" s="4" customFormat="1" ht="45" x14ac:dyDescent="0.25">
      <c r="A3" s="11" t="s">
        <v>130</v>
      </c>
      <c r="B3" s="11" t="s">
        <v>131</v>
      </c>
    </row>
    <row r="4" spans="1:10" s="4" customFormat="1" ht="30" x14ac:dyDescent="0.25">
      <c r="A4" s="10" t="s">
        <v>132</v>
      </c>
      <c r="B4" s="10" t="s">
        <v>133</v>
      </c>
      <c r="C4" s="10" t="s">
        <v>134</v>
      </c>
      <c r="D4" s="10" t="s">
        <v>135</v>
      </c>
      <c r="E4" s="10" t="s">
        <v>136</v>
      </c>
      <c r="F4" s="10" t="s">
        <v>137</v>
      </c>
      <c r="G4" s="10" t="s">
        <v>138</v>
      </c>
      <c r="H4" s="10" t="s">
        <v>139</v>
      </c>
      <c r="I4" s="10" t="s">
        <v>140</v>
      </c>
      <c r="J4" s="10" t="s">
        <v>141</v>
      </c>
    </row>
    <row r="5" spans="1:10" x14ac:dyDescent="0.25">
      <c r="A5" s="49" t="s">
        <v>283</v>
      </c>
      <c r="B5" s="9" t="s">
        <v>143</v>
      </c>
      <c r="C5" s="9">
        <v>500</v>
      </c>
      <c r="D5" s="9" t="s">
        <v>284</v>
      </c>
      <c r="E5" s="49" t="s">
        <v>149</v>
      </c>
      <c r="F5" s="49" t="s">
        <v>145</v>
      </c>
      <c r="G5" s="49" t="s">
        <v>145</v>
      </c>
      <c r="H5" s="49">
        <v>1</v>
      </c>
      <c r="I5" s="49">
        <v>20</v>
      </c>
      <c r="J5" s="49">
        <f>VLOOKUP($C$8,Linear!$C$2:$E$3,3,0)</f>
        <v>30</v>
      </c>
    </row>
    <row r="8" spans="1:10" x14ac:dyDescent="0.25">
      <c r="A8" s="49">
        <v>1</v>
      </c>
      <c r="B8" s="381" t="s">
        <v>156</v>
      </c>
      <c r="C8" s="49" t="s">
        <v>285</v>
      </c>
      <c r="D8" s="382" t="s">
        <v>286</v>
      </c>
    </row>
    <row r="9" spans="1:10" x14ac:dyDescent="0.25">
      <c r="A9" s="49">
        <v>2</v>
      </c>
      <c r="B9" s="49" t="s">
        <v>287</v>
      </c>
      <c r="C9" s="49">
        <v>20.079999999999998</v>
      </c>
    </row>
    <row r="10" spans="1:10" hidden="1" outlineLevel="1" x14ac:dyDescent="0.25">
      <c r="A10" s="49" t="s">
        <v>157</v>
      </c>
      <c r="B10" s="49" t="s">
        <v>163</v>
      </c>
      <c r="C10" s="49">
        <f>+C9*2</f>
        <v>40.159999999999997</v>
      </c>
    </row>
    <row r="11" spans="1:10" hidden="1" outlineLevel="1" x14ac:dyDescent="0.25">
      <c r="A11" s="49" t="s">
        <v>157</v>
      </c>
      <c r="B11" s="49" t="s">
        <v>164</v>
      </c>
      <c r="C11" s="49">
        <f>(VLOOKUP($C$8,Linear!C2:$D$3,2,0))*C10</f>
        <v>1465839.9999999998</v>
      </c>
    </row>
    <row r="12" spans="1:10" hidden="1" outlineLevel="1" x14ac:dyDescent="0.25">
      <c r="A12" s="49" t="s">
        <v>157</v>
      </c>
      <c r="B12" s="49" t="s">
        <v>165</v>
      </c>
      <c r="C12" s="49">
        <f>+Linear!D4</f>
        <v>76500</v>
      </c>
    </row>
    <row r="13" spans="1:10" hidden="1" outlineLevel="1" x14ac:dyDescent="0.25">
      <c r="A13" s="49" t="s">
        <v>157</v>
      </c>
      <c r="B13" s="227" t="s">
        <v>166</v>
      </c>
      <c r="C13" s="49">
        <f>C12+C11</f>
        <v>1542339.9999999998</v>
      </c>
    </row>
    <row r="14" spans="1:10" hidden="1" outlineLevel="1" collapsed="1" x14ac:dyDescent="0.25">
      <c r="A14" s="49" t="s">
        <v>157</v>
      </c>
      <c r="B14" s="49" t="s">
        <v>167</v>
      </c>
      <c r="C14" s="49">
        <f>VLOOKUP($C$8,Linear!$C$7:$D$8,2,0)</f>
        <v>41500</v>
      </c>
    </row>
    <row r="15" spans="1:10" hidden="1" outlineLevel="1" x14ac:dyDescent="0.25">
      <c r="A15" s="49" t="s">
        <v>157</v>
      </c>
      <c r="B15" s="49" t="s">
        <v>168</v>
      </c>
      <c r="C15" s="49">
        <f>ROUNDUP((C9*1000/C5)*2+8,0)</f>
        <v>89</v>
      </c>
    </row>
    <row r="16" spans="1:10" hidden="1" outlineLevel="1" x14ac:dyDescent="0.25">
      <c r="A16" s="49" t="s">
        <v>157</v>
      </c>
      <c r="B16" s="227" t="s">
        <v>169</v>
      </c>
      <c r="C16" s="49">
        <f>C15*C14</f>
        <v>3693500</v>
      </c>
    </row>
    <row r="17" spans="1:6" s="4" customFormat="1" hidden="1" outlineLevel="1" x14ac:dyDescent="0.25">
      <c r="A17" s="49" t="s">
        <v>157</v>
      </c>
      <c r="B17" s="49" t="s">
        <v>177</v>
      </c>
      <c r="C17" s="49">
        <f>Linear!$D$10</f>
        <v>8000</v>
      </c>
      <c r="D17" s="1" t="s">
        <v>288</v>
      </c>
    </row>
    <row r="18" spans="1:6" hidden="1" outlineLevel="1" x14ac:dyDescent="0.25">
      <c r="A18" s="49" t="s">
        <v>157</v>
      </c>
      <c r="B18" s="49" t="s">
        <v>178</v>
      </c>
      <c r="C18" s="49">
        <f>ROUNDUP(C9/2.4,0)</f>
        <v>9</v>
      </c>
    </row>
    <row r="19" spans="1:6" ht="36" hidden="1" customHeight="1" outlineLevel="1" x14ac:dyDescent="0.25">
      <c r="A19" s="49" t="s">
        <v>157</v>
      </c>
      <c r="B19" s="227" t="s">
        <v>289</v>
      </c>
      <c r="C19" s="49">
        <f>C18*C17</f>
        <v>72000</v>
      </c>
    </row>
    <row r="20" spans="1:6" ht="27" customHeight="1" collapsed="1" x14ac:dyDescent="0.25">
      <c r="A20" s="49">
        <v>3</v>
      </c>
      <c r="B20" s="384" t="s">
        <v>180</v>
      </c>
      <c r="C20" s="49" t="s">
        <v>290</v>
      </c>
    </row>
    <row r="21" spans="1:6" hidden="1" outlineLevel="1" x14ac:dyDescent="0.25">
      <c r="A21" s="49" t="s">
        <v>157</v>
      </c>
      <c r="B21" s="384" t="s">
        <v>182</v>
      </c>
      <c r="C21" s="49">
        <f>IF(C20="LSM",$J$5,IF(C20="LIM",$I$5,0))</f>
        <v>30</v>
      </c>
      <c r="D21" s="1" t="s">
        <v>291</v>
      </c>
    </row>
    <row r="22" spans="1:6" hidden="1" outlineLevel="1" x14ac:dyDescent="0.25">
      <c r="A22" s="49" t="s">
        <v>157</v>
      </c>
      <c r="B22" s="384" t="s">
        <v>183</v>
      </c>
      <c r="C22" s="49">
        <f>ROUNDUP(C15/C21,0)</f>
        <v>3</v>
      </c>
    </row>
    <row r="23" spans="1:6" hidden="1" outlineLevel="1" x14ac:dyDescent="0.25">
      <c r="A23" s="49" t="s">
        <v>157</v>
      </c>
      <c r="B23" s="384" t="s">
        <v>184</v>
      </c>
      <c r="C23" s="49">
        <f>VLOOKUP(C20,Linear!C12:D13,2,FALSE)</f>
        <v>681000</v>
      </c>
      <c r="F23" s="1" t="s">
        <v>292</v>
      </c>
    </row>
    <row r="24" spans="1:6" hidden="1" outlineLevel="1" x14ac:dyDescent="0.25">
      <c r="A24" s="49" t="s">
        <v>157</v>
      </c>
      <c r="B24" s="385" t="s">
        <v>293</v>
      </c>
      <c r="C24" s="49">
        <f>C22*C23</f>
        <v>2043000</v>
      </c>
    </row>
    <row r="25" spans="1:6" hidden="1" outlineLevel="1" x14ac:dyDescent="0.25">
      <c r="A25" s="49" t="s">
        <v>157</v>
      </c>
      <c r="B25" s="385" t="s">
        <v>294</v>
      </c>
      <c r="C25" s="49">
        <f>Linear!D15</f>
        <v>333987.56000000023</v>
      </c>
    </row>
    <row r="26" spans="1:6" collapsed="1" x14ac:dyDescent="0.25">
      <c r="A26" s="49">
        <v>4</v>
      </c>
      <c r="B26" s="384" t="s">
        <v>295</v>
      </c>
      <c r="C26" s="49" t="s">
        <v>296</v>
      </c>
    </row>
    <row r="27" spans="1:6" hidden="1" outlineLevel="1" x14ac:dyDescent="0.25">
      <c r="A27" s="49" t="s">
        <v>157</v>
      </c>
      <c r="B27" s="384" t="s">
        <v>297</v>
      </c>
      <c r="C27" s="49">
        <f>VLOOKUP($C$26,Linear!$C$16:$D$17,2,0)</f>
        <v>250000</v>
      </c>
    </row>
    <row r="28" spans="1:6" hidden="1" outlineLevel="1" x14ac:dyDescent="0.25">
      <c r="A28" s="49" t="s">
        <v>157</v>
      </c>
      <c r="B28" s="384" t="s">
        <v>298</v>
      </c>
      <c r="C28" s="49">
        <f>VLOOKUP($C$26,Linear!$C$19:$D$20,2,0)</f>
        <v>1400000</v>
      </c>
    </row>
    <row r="29" spans="1:6" hidden="1" outlineLevel="1" x14ac:dyDescent="0.25">
      <c r="A29" s="49" t="s">
        <v>157</v>
      </c>
      <c r="B29" s="385" t="s">
        <v>299</v>
      </c>
      <c r="C29" s="49">
        <f>C27+C28</f>
        <v>1650000</v>
      </c>
    </row>
    <row r="30" spans="1:6" collapsed="1" x14ac:dyDescent="0.25">
      <c r="A30" s="49">
        <v>5</v>
      </c>
      <c r="B30" s="384" t="s">
        <v>190</v>
      </c>
      <c r="C30" s="49" t="s">
        <v>300</v>
      </c>
      <c r="D30" s="1" t="s">
        <v>301</v>
      </c>
    </row>
    <row r="31" spans="1:6" x14ac:dyDescent="0.25">
      <c r="A31" s="49">
        <v>6</v>
      </c>
      <c r="B31" s="384" t="s">
        <v>191</v>
      </c>
      <c r="C31" s="49" t="s">
        <v>302</v>
      </c>
    </row>
    <row r="32" spans="1:6" hidden="1" outlineLevel="1" x14ac:dyDescent="0.25">
      <c r="A32" s="49" t="s">
        <v>157</v>
      </c>
      <c r="B32" s="49" t="s">
        <v>193</v>
      </c>
      <c r="C32" s="49">
        <f>IF(C30="Yes",VLOOKUP(C31,Linear!C22:D23,2,FALSE),0)</f>
        <v>2128000</v>
      </c>
    </row>
    <row r="33" spans="1:8" hidden="1" outlineLevel="1" x14ac:dyDescent="0.25">
      <c r="A33" s="49" t="s">
        <v>157</v>
      </c>
      <c r="B33" s="227" t="s">
        <v>303</v>
      </c>
      <c r="C33" s="49">
        <f>C32</f>
        <v>2128000</v>
      </c>
    </row>
    <row r="34" spans="1:8" collapsed="1" x14ac:dyDescent="0.25">
      <c r="A34" s="49">
        <v>7</v>
      </c>
      <c r="B34" s="49" t="s">
        <v>195</v>
      </c>
      <c r="C34" s="49">
        <v>0</v>
      </c>
    </row>
    <row r="35" spans="1:8" x14ac:dyDescent="0.25">
      <c r="A35" s="49">
        <v>8</v>
      </c>
      <c r="B35" s="49" t="s">
        <v>304</v>
      </c>
      <c r="C35" s="49">
        <v>0</v>
      </c>
    </row>
    <row r="36" spans="1:8" x14ac:dyDescent="0.25">
      <c r="A36" s="49">
        <v>9</v>
      </c>
      <c r="B36" s="49" t="s">
        <v>305</v>
      </c>
      <c r="C36" s="49">
        <f>VLOOKUP(B36,Linear!$C$25:$D$31,2,0)</f>
        <v>1880402.9000000001</v>
      </c>
    </row>
    <row r="37" spans="1:8" hidden="1" outlineLevel="1" x14ac:dyDescent="0.25">
      <c r="A37" s="49" t="s">
        <v>157</v>
      </c>
      <c r="B37" s="49" t="s">
        <v>197</v>
      </c>
      <c r="C37" s="49">
        <f>C36*C35*C34</f>
        <v>0</v>
      </c>
    </row>
    <row r="38" spans="1:8" collapsed="1" x14ac:dyDescent="0.25">
      <c r="A38" s="49">
        <v>10</v>
      </c>
      <c r="B38" s="49" t="s">
        <v>306</v>
      </c>
      <c r="C38" s="49">
        <v>0</v>
      </c>
    </row>
    <row r="39" spans="1:8" x14ac:dyDescent="0.25">
      <c r="A39" s="49">
        <v>11</v>
      </c>
      <c r="B39" s="49" t="s">
        <v>307</v>
      </c>
      <c r="C39" s="49">
        <f>VLOOKUP(B39,Linear!$C$32:$D$34,2,0)</f>
        <v>825000.00000000012</v>
      </c>
    </row>
    <row r="40" spans="1:8" hidden="1" outlineLevel="1" x14ac:dyDescent="0.25">
      <c r="A40" s="49" t="s">
        <v>157</v>
      </c>
      <c r="B40" s="49" t="s">
        <v>199</v>
      </c>
      <c r="C40" s="49">
        <f>C39*C38*C34</f>
        <v>0</v>
      </c>
    </row>
    <row r="41" spans="1:8" hidden="1" outlineLevel="1" x14ac:dyDescent="0.25">
      <c r="A41" s="49" t="s">
        <v>157</v>
      </c>
      <c r="B41" s="227" t="s">
        <v>308</v>
      </c>
      <c r="C41" s="49">
        <f>C40+C37</f>
        <v>0</v>
      </c>
    </row>
    <row r="42" spans="1:8" collapsed="1" x14ac:dyDescent="0.25">
      <c r="A42" s="49">
        <v>12</v>
      </c>
      <c r="B42" s="49" t="s">
        <v>201</v>
      </c>
      <c r="C42" s="49" t="s">
        <v>268</v>
      </c>
    </row>
    <row r="43" spans="1:8" x14ac:dyDescent="0.25">
      <c r="A43" s="49">
        <v>13</v>
      </c>
      <c r="B43" s="49" t="s">
        <v>207</v>
      </c>
      <c r="C43" s="49"/>
    </row>
    <row r="44" spans="1:8" hidden="1" outlineLevel="1" x14ac:dyDescent="0.25">
      <c r="A44" s="49" t="s">
        <v>157</v>
      </c>
      <c r="B44" s="227" t="s">
        <v>309</v>
      </c>
      <c r="C44" s="49">
        <f>C43*Loop!D49</f>
        <v>0</v>
      </c>
    </row>
    <row r="45" spans="1:8" collapsed="1" x14ac:dyDescent="0.25">
      <c r="A45" s="49">
        <v>14</v>
      </c>
      <c r="B45" s="49" t="s">
        <v>209</v>
      </c>
      <c r="C45" s="49"/>
    </row>
    <row r="46" spans="1:8" ht="15.75" hidden="1" outlineLevel="1" x14ac:dyDescent="0.25">
      <c r="A46" s="49" t="s">
        <v>157</v>
      </c>
      <c r="B46" s="227" t="s">
        <v>310</v>
      </c>
      <c r="C46" s="49">
        <f>C45*Loop!D50</f>
        <v>0</v>
      </c>
      <c r="H46" s="15"/>
    </row>
    <row r="47" spans="1:8" collapsed="1" x14ac:dyDescent="0.25">
      <c r="A47" s="49">
        <v>15</v>
      </c>
      <c r="B47" s="49" t="s">
        <v>311</v>
      </c>
      <c r="C47" s="49">
        <v>1</v>
      </c>
    </row>
    <row r="48" spans="1:8" hidden="1" outlineLevel="1" x14ac:dyDescent="0.25">
      <c r="A48" s="1" t="s">
        <v>157</v>
      </c>
      <c r="B48" s="1" t="s">
        <v>312</v>
      </c>
      <c r="C48" s="1">
        <f>'Quote Master'!$H$136*C47</f>
        <v>60000</v>
      </c>
    </row>
    <row r="49" spans="1:3" collapsed="1" x14ac:dyDescent="0.25">
      <c r="B49" s="1" t="s">
        <v>313</v>
      </c>
      <c r="C49" s="3">
        <f>C13+C16+C19+C24+C25+C29+C33+C41+C44+C46+C48</f>
        <v>11522827.560000001</v>
      </c>
    </row>
    <row r="50" spans="1:3" ht="15.75" x14ac:dyDescent="0.25">
      <c r="B50" s="386" t="s">
        <v>212</v>
      </c>
      <c r="C50" s="387">
        <f>C49/C1</f>
        <v>17070855.644444443</v>
      </c>
    </row>
    <row r="53" spans="1:3" x14ac:dyDescent="0.25">
      <c r="B53" s="585" t="s">
        <v>213</v>
      </c>
      <c r="C53" s="585"/>
    </row>
    <row r="54" spans="1:3" x14ac:dyDescent="0.25">
      <c r="A54" s="1">
        <v>16</v>
      </c>
      <c r="B54" s="49" t="s">
        <v>214</v>
      </c>
      <c r="C54" s="49">
        <v>0</v>
      </c>
    </row>
    <row r="55" spans="1:3" x14ac:dyDescent="0.25">
      <c r="A55" s="1">
        <v>17</v>
      </c>
      <c r="B55" s="49" t="s">
        <v>215</v>
      </c>
      <c r="C55" s="49">
        <v>1000</v>
      </c>
    </row>
    <row r="56" spans="1:3" x14ac:dyDescent="0.25">
      <c r="A56" s="1">
        <v>18</v>
      </c>
      <c r="B56" s="49" t="s">
        <v>216</v>
      </c>
      <c r="C56" s="49">
        <v>1</v>
      </c>
    </row>
    <row r="57" spans="1:3" x14ac:dyDescent="0.25">
      <c r="A57" s="1">
        <v>19</v>
      </c>
      <c r="B57" s="49" t="s">
        <v>217</v>
      </c>
      <c r="C57" s="49">
        <v>1</v>
      </c>
    </row>
    <row r="58" spans="1:3" x14ac:dyDescent="0.25">
      <c r="A58" s="1">
        <v>20</v>
      </c>
      <c r="B58" s="49" t="s">
        <v>218</v>
      </c>
      <c r="C58" s="49">
        <v>1</v>
      </c>
    </row>
    <row r="59" spans="1:3" x14ac:dyDescent="0.25">
      <c r="A59" s="1">
        <v>21</v>
      </c>
      <c r="B59" s="49" t="s">
        <v>219</v>
      </c>
      <c r="C59" s="49">
        <v>1</v>
      </c>
    </row>
    <row r="60" spans="1:3" x14ac:dyDescent="0.25">
      <c r="A60" s="1">
        <v>22</v>
      </c>
      <c r="B60" s="49" t="s">
        <v>220</v>
      </c>
      <c r="C60" s="49">
        <v>1</v>
      </c>
    </row>
    <row r="61" spans="1:3" x14ac:dyDescent="0.25">
      <c r="A61" s="1">
        <v>23</v>
      </c>
      <c r="B61" s="49" t="s">
        <v>221</v>
      </c>
      <c r="C61" s="49">
        <v>1</v>
      </c>
    </row>
    <row r="63" spans="1:3" x14ac:dyDescent="0.25">
      <c r="B63" s="585" t="s">
        <v>314</v>
      </c>
      <c r="C63" s="585"/>
    </row>
    <row r="64" spans="1:3" x14ac:dyDescent="0.25">
      <c r="A64" s="1">
        <v>24</v>
      </c>
      <c r="B64" s="49" t="s">
        <v>214</v>
      </c>
      <c r="C64" s="49">
        <v>1</v>
      </c>
    </row>
    <row r="65" spans="1:4" x14ac:dyDescent="0.25">
      <c r="A65" s="1">
        <v>25</v>
      </c>
      <c r="B65" s="49" t="s">
        <v>215</v>
      </c>
      <c r="C65" s="49">
        <v>1000</v>
      </c>
    </row>
    <row r="66" spans="1:4" x14ac:dyDescent="0.25">
      <c r="A66" s="1">
        <v>26</v>
      </c>
      <c r="B66" s="49" t="s">
        <v>216</v>
      </c>
      <c r="C66" s="49">
        <v>0</v>
      </c>
    </row>
    <row r="67" spans="1:4" x14ac:dyDescent="0.25">
      <c r="A67" s="1">
        <v>27</v>
      </c>
      <c r="B67" s="49" t="s">
        <v>217</v>
      </c>
      <c r="C67" s="49">
        <v>1</v>
      </c>
      <c r="D67" s="4"/>
    </row>
    <row r="68" spans="1:4" x14ac:dyDescent="0.25">
      <c r="A68" s="1">
        <v>28</v>
      </c>
      <c r="B68" s="49" t="s">
        <v>218</v>
      </c>
      <c r="C68" s="49">
        <v>1</v>
      </c>
    </row>
    <row r="69" spans="1:4" x14ac:dyDescent="0.25">
      <c r="A69" s="1">
        <v>29</v>
      </c>
      <c r="B69" s="49" t="s">
        <v>315</v>
      </c>
      <c r="C69" s="49">
        <v>1</v>
      </c>
    </row>
    <row r="70" spans="1:4" x14ac:dyDescent="0.25">
      <c r="A70" s="1">
        <v>30</v>
      </c>
      <c r="B70" s="49" t="s">
        <v>219</v>
      </c>
      <c r="C70" s="49">
        <v>1</v>
      </c>
    </row>
    <row r="71" spans="1:4" x14ac:dyDescent="0.25">
      <c r="A71" s="1">
        <v>31</v>
      </c>
      <c r="B71" s="49" t="s">
        <v>220</v>
      </c>
      <c r="C71" s="49">
        <v>1</v>
      </c>
    </row>
    <row r="72" spans="1:4" x14ac:dyDescent="0.25">
      <c r="A72" s="1">
        <v>32</v>
      </c>
      <c r="B72" s="49" t="s">
        <v>221</v>
      </c>
      <c r="C72" s="49">
        <v>1</v>
      </c>
    </row>
    <row r="74" spans="1:4" x14ac:dyDescent="0.25">
      <c r="B74" s="585" t="s">
        <v>316</v>
      </c>
      <c r="C74" s="585"/>
    </row>
    <row r="75" spans="1:4" x14ac:dyDescent="0.25">
      <c r="A75" s="1">
        <v>33</v>
      </c>
      <c r="B75" s="49" t="s">
        <v>214</v>
      </c>
      <c r="C75" s="49">
        <v>0</v>
      </c>
    </row>
    <row r="76" spans="1:4" x14ac:dyDescent="0.25">
      <c r="A76" s="1">
        <v>34</v>
      </c>
      <c r="B76" s="49" t="s">
        <v>215</v>
      </c>
      <c r="C76" s="49">
        <v>1000</v>
      </c>
    </row>
    <row r="77" spans="1:4" x14ac:dyDescent="0.25">
      <c r="A77" s="1">
        <v>35</v>
      </c>
      <c r="B77" s="49" t="s">
        <v>216</v>
      </c>
      <c r="C77" s="49">
        <v>0</v>
      </c>
    </row>
    <row r="78" spans="1:4" x14ac:dyDescent="0.25">
      <c r="A78" s="1">
        <v>36</v>
      </c>
      <c r="B78" s="49" t="s">
        <v>217</v>
      </c>
      <c r="C78" s="49">
        <v>0</v>
      </c>
      <c r="D78" s="4"/>
    </row>
    <row r="79" spans="1:4" x14ac:dyDescent="0.25">
      <c r="A79" s="1">
        <v>37</v>
      </c>
      <c r="B79" s="49" t="s">
        <v>218</v>
      </c>
      <c r="C79" s="49">
        <v>0</v>
      </c>
    </row>
    <row r="80" spans="1:4" x14ac:dyDescent="0.25">
      <c r="A80" s="1">
        <v>38</v>
      </c>
      <c r="B80" s="49" t="s">
        <v>219</v>
      </c>
      <c r="C80" s="49">
        <v>0</v>
      </c>
    </row>
    <row r="81" spans="1:8" x14ac:dyDescent="0.25">
      <c r="A81" s="1">
        <v>39</v>
      </c>
      <c r="B81" s="49" t="s">
        <v>220</v>
      </c>
      <c r="C81" s="49">
        <v>0</v>
      </c>
    </row>
    <row r="82" spans="1:8" x14ac:dyDescent="0.25">
      <c r="A82" s="1">
        <v>40</v>
      </c>
      <c r="B82" s="49" t="s">
        <v>221</v>
      </c>
      <c r="C82" s="49">
        <v>0</v>
      </c>
    </row>
    <row r="83" spans="1:8" x14ac:dyDescent="0.25">
      <c r="B83" s="2"/>
    </row>
    <row r="84" spans="1:8" hidden="1" outlineLevel="1" x14ac:dyDescent="0.25"/>
    <row r="85" spans="1:8" hidden="1" outlineLevel="1" x14ac:dyDescent="0.25"/>
    <row r="86" spans="1:8" ht="45" hidden="1" outlineLevel="1" x14ac:dyDescent="0.25">
      <c r="D86" s="2" t="s">
        <v>317</v>
      </c>
      <c r="E86" s="2" t="s">
        <v>318</v>
      </c>
      <c r="F86" s="11" t="s">
        <v>319</v>
      </c>
      <c r="G86" s="2" t="s">
        <v>320</v>
      </c>
      <c r="H86" s="2" t="s">
        <v>321</v>
      </c>
    </row>
    <row r="87" spans="1:8" hidden="1" outlineLevel="1" x14ac:dyDescent="0.25">
      <c r="A87" s="1" t="s">
        <v>157</v>
      </c>
      <c r="B87" s="49" t="s">
        <v>234</v>
      </c>
      <c r="C87" s="49">
        <f>C54*C56+C75*C77+C66*C64</f>
        <v>0</v>
      </c>
      <c r="D87" s="1" cm="1">
        <f t="array" ref="D87">INDEX(Inducts!D3:E4,'Linear CBS'!G87,'Linear CBS'!H87)</f>
        <v>148710.375</v>
      </c>
      <c r="E87" s="1">
        <f t="shared" ref="E87:E93" si="0">C87*D87</f>
        <v>0</v>
      </c>
      <c r="F87" s="1" cm="1">
        <f t="array" ref="F87">INDEX(Inducts!F3:F4,'Linear CBS'!G87,1)*C87</f>
        <v>0</v>
      </c>
      <c r="G87" s="1">
        <f>MATCH($C$55,Inducts!C3:C4,0)</f>
        <v>2</v>
      </c>
      <c r="H87" s="1">
        <f>MATCH(C42,Inducts!D2:E2,0)</f>
        <v>2</v>
      </c>
    </row>
    <row r="88" spans="1:8" hidden="1" outlineLevel="1" x14ac:dyDescent="0.25">
      <c r="A88" s="1" t="s">
        <v>157</v>
      </c>
      <c r="B88" s="49" t="s">
        <v>235</v>
      </c>
      <c r="C88" s="49">
        <f>C54*C57+C75*C78+C67*C64</f>
        <v>1</v>
      </c>
      <c r="D88" s="1" cm="1">
        <f t="array" ref="D88">INDEX(Inducts!D7:E8,'Linear CBS'!G88,'Linear CBS'!H88)</f>
        <v>103379.78750000001</v>
      </c>
      <c r="E88" s="1">
        <f t="shared" si="0"/>
        <v>103379.78750000001</v>
      </c>
      <c r="F88" s="1" cm="1">
        <f t="array" ref="F88">INDEX(Inducts!F7:F8,'Linear CBS'!G88,1)*C88</f>
        <v>1</v>
      </c>
      <c r="G88" s="1">
        <f>G87</f>
        <v>2</v>
      </c>
      <c r="H88" s="1">
        <f>H87</f>
        <v>2</v>
      </c>
    </row>
    <row r="89" spans="1:8" hidden="1" outlineLevel="1" x14ac:dyDescent="0.25">
      <c r="A89" s="1" t="s">
        <v>157</v>
      </c>
      <c r="B89" s="49" t="s">
        <v>236</v>
      </c>
      <c r="C89" s="49">
        <f>C54*C58+C75*C79+C68*C64</f>
        <v>1</v>
      </c>
      <c r="D89" s="1" cm="1">
        <f t="array" ref="D89">INDEX(Inducts!D11:E12,'Linear CBS'!G89,'Linear CBS'!H89)</f>
        <v>108948.53750000001</v>
      </c>
      <c r="E89" s="1">
        <f t="shared" si="0"/>
        <v>108948.53750000001</v>
      </c>
      <c r="F89" s="1" cm="1">
        <f t="array" ref="F89">INDEX(Inducts!F11:F12,'Linear CBS'!G89,1)*C89</f>
        <v>1.5</v>
      </c>
      <c r="G89" s="1">
        <f t="shared" ref="G89:H93" si="1">G88</f>
        <v>2</v>
      </c>
      <c r="H89" s="1">
        <f t="shared" si="1"/>
        <v>2</v>
      </c>
    </row>
    <row r="90" spans="1:8" hidden="1" outlineLevel="1" x14ac:dyDescent="0.25">
      <c r="A90" s="1" t="s">
        <v>157</v>
      </c>
      <c r="B90" s="49" t="s">
        <v>237</v>
      </c>
      <c r="C90" s="49">
        <f>C54*C59+C75*C80+C70*C64</f>
        <v>1</v>
      </c>
      <c r="D90" s="1" cm="1">
        <f t="array" ref="D90">INDEX(Inducts!D15:E16,'Linear CBS'!G90,'Linear CBS'!H90)</f>
        <v>163903.16250000001</v>
      </c>
      <c r="E90" s="1">
        <f t="shared" si="0"/>
        <v>163903.16250000001</v>
      </c>
      <c r="F90" s="1" cm="1">
        <f t="array" ref="F90">INDEX(Inducts!F15:F16,'Linear CBS'!G90,1)*C90</f>
        <v>1.5</v>
      </c>
      <c r="G90" s="1">
        <f t="shared" si="1"/>
        <v>2</v>
      </c>
      <c r="H90" s="1">
        <f t="shared" si="1"/>
        <v>2</v>
      </c>
    </row>
    <row r="91" spans="1:8" hidden="1" outlineLevel="1" x14ac:dyDescent="0.25">
      <c r="A91" s="1" t="s">
        <v>157</v>
      </c>
      <c r="B91" s="49" t="s">
        <v>238</v>
      </c>
      <c r="C91" s="49">
        <f>C54*C60+C75*C81+C71*C64</f>
        <v>1</v>
      </c>
      <c r="D91" s="1" cm="1">
        <f t="array" ref="D91">INDEX(Inducts!D19:E20,'Linear CBS'!G91,'Linear CBS'!H91)</f>
        <v>290812.5</v>
      </c>
      <c r="E91" s="1">
        <f t="shared" si="0"/>
        <v>290812.5</v>
      </c>
      <c r="F91" s="1" cm="1">
        <f t="array" ref="F91">INDEX(Inducts!F19:F20,'Linear CBS'!G91,1)*C91</f>
        <v>5</v>
      </c>
      <c r="G91" s="1">
        <f t="shared" si="1"/>
        <v>2</v>
      </c>
      <c r="H91" s="1">
        <f t="shared" si="1"/>
        <v>2</v>
      </c>
    </row>
    <row r="92" spans="1:8" hidden="1" outlineLevel="1" x14ac:dyDescent="0.25">
      <c r="A92" s="1" t="s">
        <v>157</v>
      </c>
      <c r="B92" s="49" t="s">
        <v>239</v>
      </c>
      <c r="C92" s="49">
        <f>C54*C61+C75*C82+C72*C64</f>
        <v>1</v>
      </c>
      <c r="D92" s="1" cm="1">
        <f t="array" ref="D92">INDEX(Inducts!D23:E24,'Linear CBS'!G92,'Linear CBS'!H92)</f>
        <v>290812.5</v>
      </c>
      <c r="E92" s="1">
        <f t="shared" si="0"/>
        <v>290812.5</v>
      </c>
      <c r="F92" s="1" cm="1">
        <f t="array" ref="F92">INDEX(Inducts!F23:F24,'Linear CBS'!G92,1)*C92</f>
        <v>5</v>
      </c>
      <c r="G92" s="1">
        <f t="shared" si="1"/>
        <v>2</v>
      </c>
      <c r="H92" s="1">
        <f t="shared" si="1"/>
        <v>2</v>
      </c>
    </row>
    <row r="93" spans="1:8" hidden="1" outlineLevel="1" x14ac:dyDescent="0.25">
      <c r="A93" s="1" t="s">
        <v>157</v>
      </c>
      <c r="B93" s="49" t="s">
        <v>322</v>
      </c>
      <c r="C93" s="49">
        <f>C69*C64</f>
        <v>1</v>
      </c>
      <c r="D93" s="1" t="e" cm="1">
        <f t="array" ref="D93">INDEX(Inducts!D27:E27,'Linear CBS'!G93,'Linear CBS'!H93)</f>
        <v>#REF!</v>
      </c>
      <c r="E93" s="1" t="e">
        <f t="shared" si="0"/>
        <v>#REF!</v>
      </c>
      <c r="F93" s="1" cm="1">
        <f t="array" ref="F93">INDEX(Inducts!F24:F27,'Linear CBS'!G93,1)*C93</f>
        <v>3.3</v>
      </c>
      <c r="G93" s="1">
        <f>MATCH($C$65,Inducts!C15:C16,0)</f>
        <v>2</v>
      </c>
      <c r="H93" s="1">
        <f t="shared" si="1"/>
        <v>2</v>
      </c>
    </row>
    <row r="94" spans="1:8" hidden="1" outlineLevel="1" x14ac:dyDescent="0.25">
      <c r="A94" s="1" t="s">
        <v>157</v>
      </c>
      <c r="B94" s="49"/>
      <c r="C94" s="49"/>
      <c r="D94" s="2" t="s">
        <v>87</v>
      </c>
      <c r="E94" s="2" t="e">
        <f>SUM(E87:E93)</f>
        <v>#REF!</v>
      </c>
      <c r="F94" s="1">
        <f>SUM(F87:F93)</f>
        <v>17.3</v>
      </c>
    </row>
    <row r="95" spans="1:8" hidden="1" outlineLevel="1" x14ac:dyDescent="0.25">
      <c r="B95" s="49" t="s">
        <v>240</v>
      </c>
      <c r="C95" s="99" t="e">
        <f>E94</f>
        <v>#REF!</v>
      </c>
    </row>
    <row r="96" spans="1:8" collapsed="1" x14ac:dyDescent="0.25">
      <c r="A96" s="1" t="s">
        <v>157</v>
      </c>
      <c r="B96" s="49" t="s">
        <v>241</v>
      </c>
      <c r="C96" s="99">
        <f>F94*Inducts!D30</f>
        <v>248687.49999999997</v>
      </c>
    </row>
    <row r="97" spans="1:5" x14ac:dyDescent="0.25">
      <c r="A97" s="1" t="s">
        <v>157</v>
      </c>
      <c r="B97" s="49" t="s">
        <v>242</v>
      </c>
      <c r="C97" s="99">
        <f>(C54+C75+C64)*Inducts!D31</f>
        <v>16099.999999999998</v>
      </c>
    </row>
    <row r="98" spans="1:5" x14ac:dyDescent="0.25">
      <c r="A98" s="1" t="s">
        <v>157</v>
      </c>
      <c r="B98" s="49" t="s">
        <v>243</v>
      </c>
      <c r="C98" s="99">
        <f>(C54+C64+C75)*Inducts!D29</f>
        <v>221760.00000000003</v>
      </c>
    </row>
    <row r="99" spans="1:5" x14ac:dyDescent="0.25">
      <c r="A99" s="1" t="s">
        <v>157</v>
      </c>
      <c r="B99" s="227" t="s">
        <v>244</v>
      </c>
      <c r="C99" s="316">
        <f>SUM(C96:C98)</f>
        <v>486547.5</v>
      </c>
    </row>
    <row r="100" spans="1:5" x14ac:dyDescent="0.25">
      <c r="A100" s="1" t="s">
        <v>157</v>
      </c>
      <c r="B100" s="49" t="s">
        <v>245</v>
      </c>
      <c r="C100" s="99">
        <f>+(C54+C64+C75)</f>
        <v>1</v>
      </c>
    </row>
    <row r="101" spans="1:5" x14ac:dyDescent="0.25">
      <c r="B101" s="49" t="s">
        <v>246</v>
      </c>
      <c r="C101" s="49" t="s">
        <v>300</v>
      </c>
    </row>
    <row r="102" spans="1:5" x14ac:dyDescent="0.25">
      <c r="B102" s="49" t="s">
        <v>247</v>
      </c>
      <c r="C102" s="99">
        <f>+IF(C101="Yes",(C100*'Quote Master'!$I$72),0)</f>
        <v>30000</v>
      </c>
    </row>
    <row r="103" spans="1:5" ht="15.75" x14ac:dyDescent="0.25">
      <c r="B103" s="14" t="s">
        <v>212</v>
      </c>
      <c r="C103" s="16">
        <f>(C99/C1)+C102</f>
        <v>750811.11111111101</v>
      </c>
    </row>
    <row r="104" spans="1:5" x14ac:dyDescent="0.25">
      <c r="B104" s="49" t="s">
        <v>248</v>
      </c>
      <c r="C104" s="49">
        <v>0</v>
      </c>
    </row>
    <row r="105" spans="1:5" x14ac:dyDescent="0.25">
      <c r="B105" s="49" t="s">
        <v>249</v>
      </c>
      <c r="C105" s="49" t="s">
        <v>250</v>
      </c>
    </row>
    <row r="106" spans="1:5" x14ac:dyDescent="0.25">
      <c r="B106" s="227" t="s">
        <v>251</v>
      </c>
      <c r="C106" s="316">
        <f>+VLOOKUP(C105,'Weighing Conveyors'!$D$1:$L$8,9,FALSE)*(C104)</f>
        <v>0</v>
      </c>
    </row>
    <row r="107" spans="1:5" x14ac:dyDescent="0.25">
      <c r="C107" s="3"/>
    </row>
    <row r="108" spans="1:5" ht="42" x14ac:dyDescent="0.35">
      <c r="B108" s="114" t="s">
        <v>255</v>
      </c>
      <c r="C108" s="115">
        <f>C103+C50+C106</f>
        <v>17821666.755555555</v>
      </c>
      <c r="E108" s="3"/>
    </row>
    <row r="109" spans="1:5" x14ac:dyDescent="0.25">
      <c r="B109" s="17"/>
    </row>
    <row r="110" spans="1:5" x14ac:dyDescent="0.25">
      <c r="B110" s="17"/>
    </row>
    <row r="111" spans="1:5" x14ac:dyDescent="0.25">
      <c r="B111" s="17"/>
    </row>
    <row r="112" spans="1:5" x14ac:dyDescent="0.25">
      <c r="B112" s="17"/>
    </row>
    <row r="113" spans="2:2" x14ac:dyDescent="0.25">
      <c r="B113" s="17"/>
    </row>
    <row r="114" spans="2:2" x14ac:dyDescent="0.25">
      <c r="B114" s="17"/>
    </row>
    <row r="115" spans="2:2" x14ac:dyDescent="0.25">
      <c r="B115" s="17"/>
    </row>
    <row r="116" spans="2:2" x14ac:dyDescent="0.25">
      <c r="B116" s="17"/>
    </row>
    <row r="117" spans="2:2" x14ac:dyDescent="0.25">
      <c r="B117" s="17"/>
    </row>
    <row r="118" spans="2:2" x14ac:dyDescent="0.25">
      <c r="B118" s="17"/>
    </row>
    <row r="119" spans="2:2" x14ac:dyDescent="0.25">
      <c r="B119" s="17"/>
    </row>
    <row r="120" spans="2:2" x14ac:dyDescent="0.25">
      <c r="B120" s="17"/>
    </row>
  </sheetData>
  <dataConsolidate/>
  <mergeCells count="3">
    <mergeCell ref="B53:C53"/>
    <mergeCell ref="B63:C63"/>
    <mergeCell ref="B74:C74"/>
  </mergeCells>
  <dataValidations count="3">
    <dataValidation type="whole" operator="greaterThanOrEqual" allowBlank="1" showInputMessage="1" showErrorMessage="1" sqref="C34 C56 C54 C77 C75 C66 C64" xr:uid="{513E3B8C-3296-4633-8383-673D51923E56}">
      <formula1>0</formula1>
    </dataValidation>
    <dataValidation type="decimal" operator="greaterThanOrEqual" allowBlank="1" showInputMessage="1" showErrorMessage="1" sqref="C45 C43" xr:uid="{C6BC2366-4D6F-4F99-AE7B-9BE194D29BC8}">
      <formula1>0</formula1>
    </dataValidation>
    <dataValidation type="list" allowBlank="1" showInputMessage="1" showErrorMessage="1" sqref="C56 C77 C66" xr:uid="{77C60336-C54E-4AC6-91F9-B078196E6613}">
      <formula1>#REF!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showInputMessage="1" showErrorMessage="1" xr:uid="{FCC0EB01-1941-48F6-9A74-25FA9669CE4C}">
          <x14:formula1>
            <xm:f>Linear!$C$22:$C$23</xm:f>
          </x14:formula1>
          <xm:sqref>C31</xm:sqref>
        </x14:dataValidation>
        <x14:dataValidation type="list" allowBlank="1" showInputMessage="1" showErrorMessage="1" xr:uid="{17594F7C-34EF-45DA-B19F-486538A6F480}">
          <x14:formula1>
            <xm:f>Inducts!D$2:E$2</xm:f>
          </x14:formula1>
          <xm:sqref>C42</xm:sqref>
        </x14:dataValidation>
        <x14:dataValidation type="list" allowBlank="1" showInputMessage="1" showErrorMessage="1" xr:uid="{D1135633-2BF0-49F6-A5F8-C805373BC76D}">
          <x14:formula1>
            <xm:f>Inducts!C$3:C$4</xm:f>
          </x14:formula1>
          <xm:sqref>C55 C76 C65</xm:sqref>
        </x14:dataValidation>
        <x14:dataValidation type="list" allowBlank="1" showInputMessage="1" showErrorMessage="1" xr:uid="{AD9C3DBD-33BF-44D8-8313-64B2ED9A43DE}">
          <x14:formula1>
            <xm:f>Linear!G$1:G$2</xm:f>
          </x14:formula1>
          <xm:sqref>C101 C30</xm:sqref>
        </x14:dataValidation>
        <x14:dataValidation type="list" allowBlank="1" showInputMessage="1" showErrorMessage="1" xr:uid="{F06829AD-3EBD-42E6-BD74-CF87D3DE683E}">
          <x14:formula1>
            <xm:f>'Weighing Conveyors'!D$2:D$8</xm:f>
          </x14:formula1>
          <xm:sqref>C105</xm:sqref>
        </x14:dataValidation>
        <x14:dataValidation type="list" allowBlank="1" showInputMessage="1" showErrorMessage="1" xr:uid="{675E1E00-E562-420F-8865-A02287C93E1E}">
          <x14:formula1>
            <xm:f>Linear!C$16:C$17</xm:f>
          </x14:formula1>
          <xm:sqref>C26</xm:sqref>
        </x14:dataValidation>
        <x14:dataValidation type="list" allowBlank="1" showInputMessage="1" showErrorMessage="1" xr:uid="{A2092818-FA37-4A22-BD8E-7F724EBEC841}">
          <x14:formula1>
            <xm:f>Linear!C$12:C$13</xm:f>
          </x14:formula1>
          <xm:sqref>C20</xm:sqref>
        </x14:dataValidation>
        <x14:dataValidation type="list" allowBlank="1" showInputMessage="1" showErrorMessage="1" xr:uid="{999A2D5E-32F6-4CE9-BF7C-1184568A3D23}">
          <x14:formula1>
            <xm:f>Linear!C$25:C$31</xm:f>
          </x14:formula1>
          <xm:sqref>B36</xm:sqref>
        </x14:dataValidation>
        <x14:dataValidation type="list" allowBlank="1" showInputMessage="1" showErrorMessage="1" xr:uid="{4CC71DCC-FCB6-4FA4-87B4-937341BD8226}">
          <x14:formula1>
            <xm:f>Linear!C$32:C$34</xm:f>
          </x14:formula1>
          <xm:sqref>B39</xm:sqref>
        </x14:dataValidation>
        <x14:dataValidation type="list" allowBlank="1" showInputMessage="1" showErrorMessage="1" xr:uid="{C42966F9-C670-4E0D-BBC1-DAD09B534F07}">
          <x14:formula1>
            <xm:f>Linear!G$1:G$2</xm:f>
          </x14:formula1>
          <xm:sqref>F30</xm:sqref>
        </x14:dataValidation>
        <x14:dataValidation type="list" allowBlank="1" showInputMessage="1" showErrorMessage="1" xr:uid="{00C9704E-E470-4BE3-8C08-6E8AB01664E3}">
          <x14:formula1>
            <xm:f>Linear!C$2:C$3</xm:f>
          </x14:formula1>
          <xm:sqref>C8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04628-5C29-48F1-B249-252940A9A227}">
  <sheetPr>
    <tabColor rgb="FFFFFF00"/>
  </sheetPr>
  <dimension ref="A1:L32"/>
  <sheetViews>
    <sheetView workbookViewId="0">
      <selection activeCell="E32" sqref="E32"/>
    </sheetView>
  </sheetViews>
  <sheetFormatPr defaultRowHeight="15" x14ac:dyDescent="0.25"/>
  <cols>
    <col min="2" max="2" width="40.7109375" bestFit="1" customWidth="1"/>
    <col min="3" max="3" width="14.140625" bestFit="1" customWidth="1"/>
    <col min="4" max="4" width="8.28515625" bestFit="1" customWidth="1"/>
    <col min="5" max="5" width="15" bestFit="1" customWidth="1"/>
    <col min="6" max="6" width="16" bestFit="1" customWidth="1"/>
    <col min="7" max="7" width="17.7109375" bestFit="1" customWidth="1"/>
    <col min="8" max="8" width="55.7109375" bestFit="1" customWidth="1"/>
    <col min="12" max="12" width="12.85546875" bestFit="1" customWidth="1"/>
  </cols>
  <sheetData>
    <row r="1" spans="1:12" ht="18.75" x14ac:dyDescent="0.3">
      <c r="B1" s="421" t="s">
        <v>116</v>
      </c>
      <c r="C1" s="422" t="s">
        <v>323</v>
      </c>
      <c r="D1" s="305"/>
      <c r="E1" s="305"/>
      <c r="F1" s="305"/>
      <c r="G1" s="423"/>
      <c r="H1" t="s">
        <v>108</v>
      </c>
      <c r="I1">
        <v>0.6</v>
      </c>
    </row>
    <row r="2" spans="1:12" x14ac:dyDescent="0.25">
      <c r="B2" s="424" t="s">
        <v>324</v>
      </c>
      <c r="C2" s="425" t="s">
        <v>325</v>
      </c>
      <c r="D2" s="425" t="s">
        <v>4</v>
      </c>
      <c r="E2" s="425" t="s">
        <v>3</v>
      </c>
      <c r="F2" s="425" t="s">
        <v>317</v>
      </c>
      <c r="G2" s="426" t="s">
        <v>318</v>
      </c>
    </row>
    <row r="3" spans="1:12" x14ac:dyDescent="0.25">
      <c r="B3" s="306" t="s">
        <v>326</v>
      </c>
      <c r="C3" s="309">
        <v>0</v>
      </c>
      <c r="D3" s="58" t="s">
        <v>327</v>
      </c>
      <c r="E3" s="58">
        <v>1</v>
      </c>
      <c r="F3" s="307">
        <f>HLOOKUP($C$1,'NEO New rate data'!$C$2:$E$3,2,0)</f>
        <v>1396551.7241379311</v>
      </c>
      <c r="G3" s="308">
        <f>F3*E3*C3</f>
        <v>0</v>
      </c>
    </row>
    <row r="4" spans="1:12" x14ac:dyDescent="0.25">
      <c r="B4" s="306" t="s">
        <v>328</v>
      </c>
      <c r="C4" s="309">
        <f>ROUNDUP(C3/3,0)</f>
        <v>0</v>
      </c>
      <c r="D4" s="58" t="s">
        <v>327</v>
      </c>
      <c r="E4" s="58">
        <v>1</v>
      </c>
      <c r="F4" s="307">
        <f>HLOOKUP($C$1,'NEO New rate data'!$C$2:$E$4,3,0)</f>
        <v>89655.172413793116</v>
      </c>
      <c r="G4" s="308">
        <f>F4*E4*C4</f>
        <v>0</v>
      </c>
    </row>
    <row r="5" spans="1:12" x14ac:dyDescent="0.25">
      <c r="B5" s="306" t="s">
        <v>329</v>
      </c>
      <c r="C5" s="309">
        <v>0</v>
      </c>
      <c r="D5" s="58" t="s">
        <v>327</v>
      </c>
      <c r="E5" s="58">
        <v>1</v>
      </c>
      <c r="F5" s="307">
        <f>HLOOKUP($C$1,'NEO New rate data'!$C$2:$E$5,4,0)</f>
        <v>1370689.6551724139</v>
      </c>
      <c r="G5" s="308">
        <f>F5*E5*C5</f>
        <v>0</v>
      </c>
    </row>
    <row r="6" spans="1:12" x14ac:dyDescent="0.25">
      <c r="B6" s="306" t="s">
        <v>330</v>
      </c>
      <c r="C6" s="309">
        <v>0</v>
      </c>
      <c r="D6" s="58" t="s">
        <v>327</v>
      </c>
      <c r="E6" s="58">
        <v>1</v>
      </c>
      <c r="F6" s="307">
        <f>HLOOKUP($C$1,'NEO New rate data'!$C$2:$E$6,5,0)</f>
        <v>775862.06896551733</v>
      </c>
      <c r="G6" s="308">
        <f t="shared" ref="G6:G20" si="0">F6*E6*C6</f>
        <v>0</v>
      </c>
      <c r="L6" s="309" t="s">
        <v>331</v>
      </c>
    </row>
    <row r="7" spans="1:12" x14ac:dyDescent="0.25">
      <c r="B7" s="306" t="s">
        <v>332</v>
      </c>
      <c r="C7" s="309">
        <v>0</v>
      </c>
      <c r="D7" s="58" t="s">
        <v>327</v>
      </c>
      <c r="E7" s="58">
        <v>1</v>
      </c>
      <c r="F7" s="307">
        <f>HLOOKUP($C$1,'NEO New rate data'!$C$2:$E$7,6,0)</f>
        <v>3666.6666666666665</v>
      </c>
      <c r="G7" s="308">
        <f>F7*E7*C7</f>
        <v>0</v>
      </c>
    </row>
    <row r="8" spans="1:12" x14ac:dyDescent="0.25">
      <c r="A8" t="s">
        <v>333</v>
      </c>
      <c r="B8" s="427" t="s">
        <v>334</v>
      </c>
      <c r="C8" s="309">
        <f>C7</f>
        <v>0</v>
      </c>
      <c r="D8" s="58" t="s">
        <v>327</v>
      </c>
      <c r="E8" s="58">
        <v>1</v>
      </c>
      <c r="F8" s="307">
        <f>INDEX('NEO New rate data'!$C$9:$E$13,MATCH('Budgetary Costing'!B8,'NEO New rate data'!$B$9:$B$13,0),MATCH('Budgetary Costing'!C1,'NEO New rate data'!C2:E2,0))</f>
        <v>1437.5</v>
      </c>
      <c r="G8" s="308">
        <f t="shared" si="0"/>
        <v>0</v>
      </c>
    </row>
    <row r="9" spans="1:12" x14ac:dyDescent="0.25">
      <c r="B9" s="428" t="s">
        <v>335</v>
      </c>
      <c r="C9" s="309">
        <f>VLOOKUP($B$8,'NEO New rate data'!$B$9:$H$13,6,0)</f>
        <v>2</v>
      </c>
      <c r="D9" s="58" t="s">
        <v>327</v>
      </c>
      <c r="E9" s="58">
        <v>1</v>
      </c>
      <c r="F9" s="307">
        <f>HLOOKUP($C$1,'NEO New rate data'!$C$2:$E$14,13,0)</f>
        <v>50</v>
      </c>
      <c r="G9" s="308">
        <f>F9*E9*C9*C7</f>
        <v>0</v>
      </c>
    </row>
    <row r="10" spans="1:12" x14ac:dyDescent="0.25">
      <c r="B10" s="428" t="s">
        <v>336</v>
      </c>
      <c r="C10" s="309">
        <f>VLOOKUP($B$8,'NEO New rate data'!$B$9:$H$13,7,0)</f>
        <v>1</v>
      </c>
      <c r="D10" s="58" t="s">
        <v>327</v>
      </c>
      <c r="E10" s="58">
        <v>1</v>
      </c>
      <c r="F10" s="307">
        <f>HLOOKUP($C$1,'NEO New rate data'!$C$2:$E$15,14,0)</f>
        <v>71.428571428571431</v>
      </c>
      <c r="G10" s="308">
        <f>F10*E10*C10*C7</f>
        <v>0</v>
      </c>
    </row>
    <row r="11" spans="1:12" x14ac:dyDescent="0.25">
      <c r="B11" s="306" t="s">
        <v>337</v>
      </c>
      <c r="C11" s="309">
        <v>0</v>
      </c>
      <c r="D11" s="58" t="s">
        <v>3</v>
      </c>
      <c r="E11" s="58">
        <v>1</v>
      </c>
      <c r="F11" s="307">
        <f>HLOOKUP($C$1,'NEO New rate data'!$C$2:$E$16,15,0)</f>
        <v>926724.13793103455</v>
      </c>
      <c r="G11" s="308">
        <f t="shared" si="0"/>
        <v>0</v>
      </c>
    </row>
    <row r="12" spans="1:12" x14ac:dyDescent="0.25">
      <c r="B12" s="306" t="s">
        <v>338</v>
      </c>
      <c r="C12" s="309">
        <v>1</v>
      </c>
      <c r="D12" s="58" t="s">
        <v>3</v>
      </c>
      <c r="E12" s="58">
        <v>1</v>
      </c>
      <c r="F12" s="307">
        <f>HLOOKUP($C$1,'NEO New rate data'!$C$2:$E$17,16,0)</f>
        <v>2672413.7931034486</v>
      </c>
      <c r="G12" s="308">
        <f t="shared" si="0"/>
        <v>2672413.7931034486</v>
      </c>
    </row>
    <row r="13" spans="1:12" x14ac:dyDescent="0.25">
      <c r="B13" s="306" t="s">
        <v>339</v>
      </c>
      <c r="C13" s="309">
        <v>1</v>
      </c>
      <c r="D13" s="58" t="s">
        <v>3</v>
      </c>
      <c r="E13" s="58">
        <v>1</v>
      </c>
      <c r="F13" s="307">
        <f>(SUM(G3:G12))*4%</f>
        <v>106896.55172413794</v>
      </c>
      <c r="G13" s="308">
        <f>F13*E13*C13</f>
        <v>106896.55172413794</v>
      </c>
    </row>
    <row r="14" spans="1:12" x14ac:dyDescent="0.25">
      <c r="B14" s="306" t="s">
        <v>340</v>
      </c>
      <c r="C14" s="309">
        <v>1</v>
      </c>
      <c r="D14" s="58" t="s">
        <v>3</v>
      </c>
      <c r="E14" s="58">
        <v>1</v>
      </c>
      <c r="F14" s="307">
        <f>HLOOKUP($C$1,'NEO New rate data'!$C$2:$E$19,18,0)</f>
        <v>2500000</v>
      </c>
      <c r="G14" s="308">
        <f t="shared" si="0"/>
        <v>2500000</v>
      </c>
    </row>
    <row r="15" spans="1:12" x14ac:dyDescent="0.25">
      <c r="B15" s="306" t="s">
        <v>341</v>
      </c>
      <c r="C15" s="309">
        <v>1</v>
      </c>
      <c r="D15" s="58" t="s">
        <v>3</v>
      </c>
      <c r="E15" s="58">
        <v>1</v>
      </c>
      <c r="F15" s="307">
        <f>HLOOKUP($C$1,'NEO New rate data'!$C$2:$E$20,19,0)</f>
        <v>250000</v>
      </c>
      <c r="G15" s="308">
        <f t="shared" si="0"/>
        <v>250000</v>
      </c>
    </row>
    <row r="16" spans="1:12" x14ac:dyDescent="0.25">
      <c r="B16" s="306" t="s">
        <v>342</v>
      </c>
      <c r="C16" s="309">
        <v>1</v>
      </c>
      <c r="D16" s="58" t="s">
        <v>3</v>
      </c>
      <c r="E16" s="58">
        <v>1</v>
      </c>
      <c r="F16" s="307"/>
      <c r="G16" s="308">
        <f t="shared" si="0"/>
        <v>0</v>
      </c>
      <c r="H16" s="429" t="s">
        <v>343</v>
      </c>
    </row>
    <row r="17" spans="2:10" x14ac:dyDescent="0.25">
      <c r="B17" s="430" t="s">
        <v>344</v>
      </c>
      <c r="C17" s="380">
        <v>1</v>
      </c>
      <c r="D17" s="379" t="s">
        <v>3</v>
      </c>
      <c r="E17" s="380">
        <v>1</v>
      </c>
      <c r="F17" s="431">
        <v>400000</v>
      </c>
      <c r="G17" s="432">
        <f>(F17/I1)*E17*C17</f>
        <v>666666.66666666674</v>
      </c>
    </row>
    <row r="18" spans="2:10" x14ac:dyDescent="0.25">
      <c r="B18" s="306" t="s">
        <v>345</v>
      </c>
      <c r="C18" s="309">
        <v>1</v>
      </c>
      <c r="D18" s="58" t="s">
        <v>3</v>
      </c>
      <c r="E18" s="58">
        <v>1</v>
      </c>
      <c r="F18" s="433">
        <f>(HLOOKUP($C$1,'NEO New rate data'!$C$2:$E$23,22,0))*SUM(G3:G13)</f>
        <v>138965.51724137933</v>
      </c>
      <c r="G18" s="308">
        <f t="shared" si="0"/>
        <v>138965.51724137933</v>
      </c>
    </row>
    <row r="19" spans="2:10" x14ac:dyDescent="0.25">
      <c r="B19" s="306" t="s">
        <v>126</v>
      </c>
      <c r="C19" s="309">
        <v>1</v>
      </c>
      <c r="D19" s="58" t="s">
        <v>3</v>
      </c>
      <c r="E19" s="58">
        <v>1</v>
      </c>
      <c r="F19" s="307"/>
      <c r="G19" s="308">
        <f t="shared" si="0"/>
        <v>0</v>
      </c>
      <c r="H19" s="429" t="s">
        <v>346</v>
      </c>
    </row>
    <row r="20" spans="2:10" x14ac:dyDescent="0.25">
      <c r="B20" s="306" t="s">
        <v>347</v>
      </c>
      <c r="C20" s="309">
        <v>1</v>
      </c>
      <c r="D20" s="58" t="s">
        <v>3</v>
      </c>
      <c r="E20" s="58">
        <v>1</v>
      </c>
      <c r="F20" s="307">
        <f>(HLOOKUP($C$1,'NEO New rate data'!$C$2:$E$25,24,0))*(G3+G4+G5+G6+G7+G11+G12+G13)</f>
        <v>0</v>
      </c>
      <c r="G20" s="308">
        <f t="shared" si="0"/>
        <v>0</v>
      </c>
      <c r="H20" s="429" t="s">
        <v>348</v>
      </c>
    </row>
    <row r="21" spans="2:10" x14ac:dyDescent="0.25">
      <c r="B21" s="306" t="s">
        <v>349</v>
      </c>
      <c r="C21" s="309">
        <v>1</v>
      </c>
      <c r="D21" s="58" t="s">
        <v>3</v>
      </c>
      <c r="E21" s="58">
        <v>1</v>
      </c>
      <c r="F21" s="433">
        <f>(HLOOKUP($C$1,'NEO New rate data'!$C$2:$E$22,21,0))*SUM(G3:G20)</f>
        <v>190048.27586206899</v>
      </c>
      <c r="G21" s="308">
        <f>F21*E21*C21</f>
        <v>190048.27586206899</v>
      </c>
    </row>
    <row r="22" spans="2:10" ht="15.75" thickBot="1" x14ac:dyDescent="0.3">
      <c r="B22" s="434" t="s">
        <v>350</v>
      </c>
      <c r="C22" s="435"/>
      <c r="D22" s="435"/>
      <c r="E22" s="435"/>
      <c r="F22" s="435"/>
      <c r="G22" s="436">
        <f>SUM(G3:G21)</f>
        <v>6524990.8045977019</v>
      </c>
    </row>
    <row r="23" spans="2:10" x14ac:dyDescent="0.25">
      <c r="B23" s="8"/>
      <c r="C23" s="8"/>
      <c r="D23" s="8"/>
      <c r="E23" s="8"/>
      <c r="G23" s="55"/>
    </row>
    <row r="24" spans="2:10" x14ac:dyDescent="0.25">
      <c r="C24" s="155"/>
      <c r="E24" s="176"/>
    </row>
    <row r="25" spans="2:10" x14ac:dyDescent="0.25">
      <c r="E25" s="55"/>
    </row>
    <row r="26" spans="2:10" x14ac:dyDescent="0.25">
      <c r="E26" s="55"/>
      <c r="I26" s="437"/>
      <c r="J26" s="437"/>
    </row>
    <row r="27" spans="2:10" x14ac:dyDescent="0.25">
      <c r="E27" s="55"/>
      <c r="J27" s="437"/>
    </row>
    <row r="28" spans="2:10" x14ac:dyDescent="0.25">
      <c r="E28" s="55"/>
    </row>
    <row r="29" spans="2:10" x14ac:dyDescent="0.25">
      <c r="E29" s="55"/>
    </row>
    <row r="30" spans="2:10" x14ac:dyDescent="0.25">
      <c r="E30" s="55"/>
    </row>
    <row r="31" spans="2:10" x14ac:dyDescent="0.25">
      <c r="E31" s="55"/>
    </row>
    <row r="32" spans="2:10" x14ac:dyDescent="0.25">
      <c r="B32" s="583"/>
      <c r="C32" s="583"/>
      <c r="D32" s="583"/>
      <c r="E32" s="310"/>
    </row>
  </sheetData>
  <mergeCells count="1">
    <mergeCell ref="B32:D32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66AABF0A-37B4-49CB-BBE2-EA606C659975}">
          <x14:formula1>
            <xm:f>'NEO New rate data'!$C$2:$E$2</xm:f>
          </x14:formula1>
          <xm:sqref>C1</xm:sqref>
        </x14:dataValidation>
        <x14:dataValidation type="list" allowBlank="1" showInputMessage="1" showErrorMessage="1" xr:uid="{AE847711-1CEC-4B57-B75A-8011F2B1B1BE}">
          <x14:formula1>
            <xm:f>'NEO New rate data'!B$9:B$13</xm:f>
          </x14:formula1>
          <xm:sqref>B8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5AE4F-4E22-43F4-8990-E7368955F31D}">
  <dimension ref="A1:I25"/>
  <sheetViews>
    <sheetView workbookViewId="0">
      <selection activeCell="H16" sqref="H16"/>
    </sheetView>
  </sheetViews>
  <sheetFormatPr defaultRowHeight="15" x14ac:dyDescent="0.25"/>
  <cols>
    <col min="2" max="2" width="62.28515625" bestFit="1" customWidth="1"/>
    <col min="3" max="3" width="10" bestFit="1" customWidth="1"/>
    <col min="4" max="4" width="11.140625" bestFit="1" customWidth="1"/>
    <col min="5" max="5" width="11.28515625" bestFit="1" customWidth="1"/>
    <col min="6" max="6" width="153.7109375" bestFit="1" customWidth="1"/>
    <col min="7" max="8" width="15.5703125" bestFit="1" customWidth="1"/>
    <col min="9" max="9" width="20.7109375" bestFit="1" customWidth="1"/>
  </cols>
  <sheetData>
    <row r="1" spans="1:9" ht="18.75" x14ac:dyDescent="0.3">
      <c r="A1" s="586" t="s">
        <v>351</v>
      </c>
      <c r="B1" s="586"/>
      <c r="C1" s="587" t="s">
        <v>352</v>
      </c>
      <c r="D1" s="588"/>
      <c r="E1" s="588"/>
    </row>
    <row r="2" spans="1:9" x14ac:dyDescent="0.25">
      <c r="A2" s="227" t="s">
        <v>353</v>
      </c>
      <c r="B2" s="438" t="s">
        <v>324</v>
      </c>
      <c r="C2" s="170" t="s">
        <v>354</v>
      </c>
      <c r="D2" s="170" t="s">
        <v>355</v>
      </c>
      <c r="E2" s="170" t="s">
        <v>323</v>
      </c>
      <c r="F2" s="439"/>
    </row>
    <row r="3" spans="1:9" x14ac:dyDescent="0.25">
      <c r="A3" s="49">
        <v>1</v>
      </c>
      <c r="B3" s="48" t="s">
        <v>356</v>
      </c>
      <c r="C3" s="440">
        <v>1350000</v>
      </c>
      <c r="D3" s="440">
        <v>1620000</v>
      </c>
      <c r="E3" s="440">
        <v>1396551.7241379311</v>
      </c>
      <c r="F3" s="439"/>
    </row>
    <row r="4" spans="1:9" x14ac:dyDescent="0.25">
      <c r="A4" s="49">
        <v>2</v>
      </c>
      <c r="B4" s="48" t="s">
        <v>328</v>
      </c>
      <c r="C4" s="440">
        <v>86666.666666666672</v>
      </c>
      <c r="D4" s="440">
        <v>104000</v>
      </c>
      <c r="E4" s="440">
        <v>89655.172413793116</v>
      </c>
      <c r="F4" s="439" t="s">
        <v>357</v>
      </c>
    </row>
    <row r="5" spans="1:9" x14ac:dyDescent="0.25">
      <c r="A5" s="49">
        <v>3</v>
      </c>
      <c r="B5" s="48" t="s">
        <v>329</v>
      </c>
      <c r="C5" s="440">
        <v>1325000</v>
      </c>
      <c r="D5" s="440">
        <v>1590000</v>
      </c>
      <c r="E5" s="440">
        <v>1370689.6551724139</v>
      </c>
      <c r="F5" s="439" t="s">
        <v>358</v>
      </c>
    </row>
    <row r="6" spans="1:9" x14ac:dyDescent="0.25">
      <c r="A6" s="49">
        <v>4</v>
      </c>
      <c r="B6" s="48" t="s">
        <v>330</v>
      </c>
      <c r="C6" s="440">
        <v>750000</v>
      </c>
      <c r="D6" s="440">
        <v>900000</v>
      </c>
      <c r="E6" s="440">
        <v>775862.06896551733</v>
      </c>
      <c r="F6" s="439" t="s">
        <v>359</v>
      </c>
    </row>
    <row r="7" spans="1:9" ht="15.75" thickBot="1" x14ac:dyDescent="0.3">
      <c r="A7" s="49">
        <v>5</v>
      </c>
      <c r="B7" s="441" t="s">
        <v>332</v>
      </c>
      <c r="C7" s="440">
        <v>3473.6842105263158</v>
      </c>
      <c r="D7" s="440">
        <v>3882.3529411764707</v>
      </c>
      <c r="E7" s="440">
        <v>3666.6666666666665</v>
      </c>
      <c r="F7" s="439" t="s">
        <v>360</v>
      </c>
    </row>
    <row r="8" spans="1:9" x14ac:dyDescent="0.25">
      <c r="A8" s="442">
        <v>6</v>
      </c>
      <c r="B8" s="443" t="s">
        <v>361</v>
      </c>
      <c r="C8" s="49"/>
      <c r="D8" s="49"/>
      <c r="E8" s="49"/>
      <c r="F8" s="403"/>
      <c r="G8" s="58" t="s">
        <v>362</v>
      </c>
      <c r="H8" s="58" t="s">
        <v>363</v>
      </c>
    </row>
    <row r="9" spans="1:9" x14ac:dyDescent="0.25">
      <c r="A9" s="255" t="s">
        <v>364</v>
      </c>
      <c r="B9" s="444" t="s">
        <v>365</v>
      </c>
      <c r="C9" s="440">
        <v>1017.6470588235294</v>
      </c>
      <c r="D9" s="440">
        <v>1081.25</v>
      </c>
      <c r="E9" s="440">
        <v>1081.25</v>
      </c>
      <c r="F9" s="439"/>
      <c r="G9" s="458">
        <v>0</v>
      </c>
      <c r="H9" s="458">
        <v>0</v>
      </c>
      <c r="I9" s="444" t="s">
        <v>365</v>
      </c>
    </row>
    <row r="10" spans="1:9" x14ac:dyDescent="0.25">
      <c r="A10" s="255" t="s">
        <v>366</v>
      </c>
      <c r="B10" s="444" t="s">
        <v>367</v>
      </c>
      <c r="C10" s="440">
        <v>1122.3529411764707</v>
      </c>
      <c r="D10" s="440">
        <v>1192.5</v>
      </c>
      <c r="E10" s="440">
        <v>1192.5</v>
      </c>
      <c r="F10" s="439"/>
      <c r="G10" s="458">
        <v>1</v>
      </c>
      <c r="H10" s="458">
        <v>0</v>
      </c>
      <c r="I10" s="444" t="s">
        <v>367</v>
      </c>
    </row>
    <row r="11" spans="1:9" x14ac:dyDescent="0.25">
      <c r="A11" s="255" t="s">
        <v>368</v>
      </c>
      <c r="B11" s="444" t="s">
        <v>369</v>
      </c>
      <c r="C11" s="440">
        <v>1227.0588235294117</v>
      </c>
      <c r="D11" s="440">
        <v>1303.75</v>
      </c>
      <c r="E11" s="440">
        <v>1303.75</v>
      </c>
      <c r="F11" s="439"/>
      <c r="G11" s="458">
        <v>3</v>
      </c>
      <c r="H11" s="458">
        <v>0</v>
      </c>
      <c r="I11" s="444" t="s">
        <v>369</v>
      </c>
    </row>
    <row r="12" spans="1:9" x14ac:dyDescent="0.25">
      <c r="A12" s="255" t="s">
        <v>370</v>
      </c>
      <c r="B12" s="444" t="s">
        <v>371</v>
      </c>
      <c r="C12" s="440">
        <v>1247.0588235294117</v>
      </c>
      <c r="D12" s="440">
        <v>1325</v>
      </c>
      <c r="E12" s="440">
        <v>1325</v>
      </c>
      <c r="F12" s="439"/>
      <c r="G12" s="458">
        <v>1</v>
      </c>
      <c r="H12" s="458">
        <v>1</v>
      </c>
      <c r="I12" s="444" t="s">
        <v>371</v>
      </c>
    </row>
    <row r="13" spans="1:9" ht="15.75" thickBot="1" x14ac:dyDescent="0.3">
      <c r="A13" s="255" t="s">
        <v>372</v>
      </c>
      <c r="B13" s="445" t="s">
        <v>334</v>
      </c>
      <c r="C13" s="440">
        <v>1352.9411764705883</v>
      </c>
      <c r="D13" s="440">
        <v>1437.5</v>
      </c>
      <c r="E13" s="440">
        <v>1437.5</v>
      </c>
      <c r="F13" s="439"/>
      <c r="G13" s="458">
        <v>2</v>
      </c>
      <c r="H13" s="458">
        <v>1</v>
      </c>
      <c r="I13" s="445" t="s">
        <v>334</v>
      </c>
    </row>
    <row r="14" spans="1:9" x14ac:dyDescent="0.25">
      <c r="A14" s="49">
        <v>7</v>
      </c>
      <c r="B14" s="446" t="s">
        <v>335</v>
      </c>
      <c r="C14" s="447">
        <v>43.75</v>
      </c>
      <c r="D14" s="440">
        <v>50</v>
      </c>
      <c r="E14" s="440">
        <v>50</v>
      </c>
      <c r="F14" s="439"/>
    </row>
    <row r="15" spans="1:9" x14ac:dyDescent="0.25">
      <c r="A15" s="49">
        <v>8</v>
      </c>
      <c r="B15" s="448" t="s">
        <v>336</v>
      </c>
      <c r="C15" s="447">
        <v>62.5</v>
      </c>
      <c r="D15" s="440">
        <v>71.428571428571431</v>
      </c>
      <c r="E15" s="440">
        <v>71.428571428571431</v>
      </c>
      <c r="F15" s="439"/>
    </row>
    <row r="16" spans="1:9" x14ac:dyDescent="0.25">
      <c r="A16" s="49">
        <v>9</v>
      </c>
      <c r="B16" s="48" t="s">
        <v>337</v>
      </c>
      <c r="C16" s="440">
        <v>895833.33333333337</v>
      </c>
      <c r="D16" s="440">
        <v>1075000</v>
      </c>
      <c r="E16" s="440">
        <v>926724.13793103455</v>
      </c>
      <c r="F16" s="439"/>
    </row>
    <row r="17" spans="1:6" x14ac:dyDescent="0.25">
      <c r="A17" s="49">
        <v>10</v>
      </c>
      <c r="B17" s="48" t="s">
        <v>338</v>
      </c>
      <c r="C17" s="440">
        <v>2583333.3333333335</v>
      </c>
      <c r="D17" s="440">
        <v>3100000</v>
      </c>
      <c r="E17" s="440">
        <v>2672413.7931034486</v>
      </c>
      <c r="F17" s="439"/>
    </row>
    <row r="18" spans="1:6" ht="30" x14ac:dyDescent="0.25">
      <c r="A18" s="49">
        <v>11</v>
      </c>
      <c r="B18" s="449" t="s">
        <v>373</v>
      </c>
      <c r="C18" s="450">
        <v>0.04</v>
      </c>
      <c r="D18" s="450">
        <v>0.04</v>
      </c>
      <c r="E18" s="450">
        <v>0.04</v>
      </c>
      <c r="F18" s="439" t="s">
        <v>374</v>
      </c>
    </row>
    <row r="19" spans="1:6" x14ac:dyDescent="0.25">
      <c r="A19" s="49">
        <v>12</v>
      </c>
      <c r="B19" s="48" t="s">
        <v>340</v>
      </c>
      <c r="C19" s="49">
        <v>1500000</v>
      </c>
      <c r="D19" s="49">
        <v>2500000</v>
      </c>
      <c r="E19" s="49">
        <v>2500000</v>
      </c>
      <c r="F19" s="439" t="s">
        <v>375</v>
      </c>
    </row>
    <row r="20" spans="1:6" x14ac:dyDescent="0.25">
      <c r="A20" s="49">
        <v>13</v>
      </c>
      <c r="B20" s="48" t="s">
        <v>341</v>
      </c>
      <c r="C20" s="58"/>
      <c r="D20" s="49">
        <f>D19*0.1</f>
        <v>250000</v>
      </c>
      <c r="E20" s="49">
        <f>E19*0.1</f>
        <v>250000</v>
      </c>
      <c r="F20" s="439" t="s">
        <v>376</v>
      </c>
    </row>
    <row r="21" spans="1:6" x14ac:dyDescent="0.25">
      <c r="A21" s="49">
        <v>14</v>
      </c>
      <c r="B21" s="48" t="s">
        <v>342</v>
      </c>
      <c r="C21" s="383" t="s">
        <v>377</v>
      </c>
      <c r="D21" s="383" t="s">
        <v>377</v>
      </c>
      <c r="E21" s="383" t="s">
        <v>377</v>
      </c>
      <c r="F21" s="451" t="s">
        <v>343</v>
      </c>
    </row>
    <row r="22" spans="1:6" x14ac:dyDescent="0.25">
      <c r="A22" s="49">
        <v>15</v>
      </c>
      <c r="B22" s="48" t="s">
        <v>378</v>
      </c>
      <c r="C22" s="452">
        <v>2.5000000000000001E-2</v>
      </c>
      <c r="D22" s="452">
        <v>0.03</v>
      </c>
      <c r="E22" s="452">
        <v>0.03</v>
      </c>
      <c r="F22" s="439"/>
    </row>
    <row r="23" spans="1:6" x14ac:dyDescent="0.25">
      <c r="A23" s="49">
        <v>16</v>
      </c>
      <c r="B23" s="48" t="s">
        <v>379</v>
      </c>
      <c r="C23" s="453">
        <v>0.02</v>
      </c>
      <c r="D23" s="453">
        <v>0.05</v>
      </c>
      <c r="E23" s="453">
        <v>0.05</v>
      </c>
      <c r="F23" s="439"/>
    </row>
    <row r="24" spans="1:6" x14ac:dyDescent="0.25">
      <c r="A24" s="49">
        <v>17</v>
      </c>
      <c r="B24" s="48" t="s">
        <v>126</v>
      </c>
      <c r="C24" s="49" t="s">
        <v>377</v>
      </c>
      <c r="D24" s="383" t="s">
        <v>377</v>
      </c>
      <c r="E24" s="383" t="s">
        <v>377</v>
      </c>
      <c r="F24" s="439" t="s">
        <v>346</v>
      </c>
    </row>
    <row r="25" spans="1:6" ht="15.75" thickBot="1" x14ac:dyDescent="0.3">
      <c r="A25" s="49">
        <v>18</v>
      </c>
      <c r="B25" s="48" t="s">
        <v>380</v>
      </c>
      <c r="C25" s="454">
        <v>0.05</v>
      </c>
      <c r="D25" s="455">
        <v>0</v>
      </c>
      <c r="E25" s="455">
        <v>0</v>
      </c>
      <c r="F25" s="456" t="s">
        <v>348</v>
      </c>
    </row>
  </sheetData>
  <mergeCells count="2">
    <mergeCell ref="A1:B1"/>
    <mergeCell ref="C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E3C3B-5295-4BE0-900C-7F4678D5BBDB}">
  <sheetPr>
    <tabColor rgb="FFFF0000"/>
  </sheetPr>
  <dimension ref="A1:G42"/>
  <sheetViews>
    <sheetView zoomScaleNormal="100" workbookViewId="0">
      <selection activeCell="E15" sqref="E15"/>
    </sheetView>
  </sheetViews>
  <sheetFormatPr defaultColWidth="8.7109375" defaultRowHeight="15" x14ac:dyDescent="0.25"/>
  <cols>
    <col min="1" max="1" width="8.7109375" style="1"/>
    <col min="2" max="2" width="32.28515625" style="1" customWidth="1"/>
    <col min="3" max="3" width="63.42578125" style="1" bestFit="1" customWidth="1"/>
    <col min="4" max="4" width="14.140625" style="1" bestFit="1" customWidth="1"/>
    <col min="5" max="5" width="38.140625" bestFit="1" customWidth="1"/>
    <col min="6" max="6" width="52.140625" style="1" customWidth="1"/>
    <col min="7" max="16384" width="8.7109375" style="1"/>
  </cols>
  <sheetData>
    <row r="1" spans="1:7" x14ac:dyDescent="0.25">
      <c r="B1" s="255"/>
      <c r="C1" s="256" t="s">
        <v>381</v>
      </c>
      <c r="D1" s="257" t="s">
        <v>317</v>
      </c>
      <c r="E1" s="309" t="s">
        <v>382</v>
      </c>
      <c r="G1" s="1" t="s">
        <v>300</v>
      </c>
    </row>
    <row r="2" spans="1:7" x14ac:dyDescent="0.25">
      <c r="B2" s="591" t="s">
        <v>383</v>
      </c>
      <c r="C2" s="258" t="s">
        <v>384</v>
      </c>
      <c r="D2" s="388">
        <f>'Final Rate card'!$C$7</f>
        <v>32500</v>
      </c>
      <c r="E2" s="389">
        <v>40</v>
      </c>
      <c r="G2" s="1" t="s">
        <v>148</v>
      </c>
    </row>
    <row r="3" spans="1:7" x14ac:dyDescent="0.25">
      <c r="B3" s="592"/>
      <c r="C3" s="259" t="s">
        <v>285</v>
      </c>
      <c r="D3" s="388">
        <f>'Final Rate card'!$C$8</f>
        <v>36500</v>
      </c>
      <c r="E3" s="389">
        <v>30</v>
      </c>
    </row>
    <row r="4" spans="1:7" x14ac:dyDescent="0.25">
      <c r="B4" s="391" t="s">
        <v>385</v>
      </c>
      <c r="C4" s="1" t="s">
        <v>386</v>
      </c>
      <c r="D4" s="388">
        <f>'Final Rate card'!$C$9</f>
        <v>76500</v>
      </c>
      <c r="E4" s="80" t="s">
        <v>387</v>
      </c>
      <c r="F4" s="3"/>
    </row>
    <row r="5" spans="1:7" x14ac:dyDescent="0.25">
      <c r="A5"/>
      <c r="B5" s="391"/>
      <c r="C5"/>
      <c r="D5" s="392"/>
      <c r="E5" s="80"/>
      <c r="F5" s="3"/>
    </row>
    <row r="6" spans="1:7" x14ac:dyDescent="0.25">
      <c r="B6" s="393"/>
      <c r="C6" s="259"/>
      <c r="D6" s="394"/>
      <c r="E6" s="1"/>
    </row>
    <row r="7" spans="1:7" x14ac:dyDescent="0.25">
      <c r="B7" s="395" t="s">
        <v>388</v>
      </c>
      <c r="C7" s="258" t="s">
        <v>384</v>
      </c>
      <c r="D7" s="388">
        <f>'Final Rate card'!$C$2+'Final Rate card'!$C$3</f>
        <v>39123</v>
      </c>
      <c r="E7" s="1"/>
    </row>
    <row r="8" spans="1:7" x14ac:dyDescent="0.25">
      <c r="B8" s="391"/>
      <c r="C8" s="259" t="s">
        <v>285</v>
      </c>
      <c r="D8" s="388">
        <f>'Final Rate card'!$C$2+'Final Rate card'!$C$4</f>
        <v>41500</v>
      </c>
      <c r="E8" s="1"/>
    </row>
    <row r="9" spans="1:7" x14ac:dyDescent="0.25">
      <c r="B9" s="393"/>
      <c r="C9" s="259"/>
      <c r="D9" s="394"/>
      <c r="E9" s="1"/>
    </row>
    <row r="10" spans="1:7" x14ac:dyDescent="0.25">
      <c r="B10" s="395" t="s">
        <v>389</v>
      </c>
      <c r="C10" s="258" t="s">
        <v>390</v>
      </c>
      <c r="D10" s="388">
        <f>'Final Rate card'!$C$10</f>
        <v>8000</v>
      </c>
      <c r="E10" s="1"/>
    </row>
    <row r="11" spans="1:7" x14ac:dyDescent="0.25">
      <c r="B11" s="393"/>
      <c r="C11" s="259"/>
      <c r="D11" s="394"/>
      <c r="E11" s="1"/>
    </row>
    <row r="12" spans="1:7" x14ac:dyDescent="0.25">
      <c r="B12" s="589" t="s">
        <v>391</v>
      </c>
      <c r="C12" s="258" t="s">
        <v>181</v>
      </c>
      <c r="D12" s="396">
        <v>250000</v>
      </c>
      <c r="E12" s="1"/>
    </row>
    <row r="13" spans="1:7" x14ac:dyDescent="0.25">
      <c r="B13" s="590"/>
      <c r="C13" s="1" t="s">
        <v>290</v>
      </c>
      <c r="D13" s="388">
        <f>'Final Rate card'!C5</f>
        <v>681000</v>
      </c>
      <c r="E13" s="1"/>
    </row>
    <row r="14" spans="1:7" x14ac:dyDescent="0.25">
      <c r="B14" s="393"/>
      <c r="C14" s="259"/>
      <c r="D14" s="394"/>
      <c r="E14" s="1"/>
    </row>
    <row r="15" spans="1:7" x14ac:dyDescent="0.25">
      <c r="B15" s="397" t="s">
        <v>392</v>
      </c>
      <c r="C15" s="398"/>
      <c r="D15" s="399">
        <v>333987.56000000023</v>
      </c>
      <c r="E15" s="1"/>
    </row>
    <row r="16" spans="1:7" x14ac:dyDescent="0.25">
      <c r="B16" s="593" t="s">
        <v>393</v>
      </c>
      <c r="C16" s="400" t="s">
        <v>296</v>
      </c>
      <c r="D16" s="388">
        <f>'Final Rate card'!$C$11</f>
        <v>250000</v>
      </c>
      <c r="E16" s="1"/>
    </row>
    <row r="17" spans="2:6" x14ac:dyDescent="0.25">
      <c r="B17" s="593"/>
      <c r="C17" s="400" t="s">
        <v>188</v>
      </c>
      <c r="D17" s="388">
        <f>'Final Rate card'!$C$13</f>
        <v>600000</v>
      </c>
      <c r="E17" s="1"/>
    </row>
    <row r="18" spans="2:6" x14ac:dyDescent="0.25">
      <c r="B18" s="18"/>
      <c r="D18" s="394"/>
      <c r="E18" s="1"/>
    </row>
    <row r="19" spans="2:6" x14ac:dyDescent="0.25">
      <c r="B19" s="594" t="s">
        <v>394</v>
      </c>
      <c r="C19" s="400" t="s">
        <v>296</v>
      </c>
      <c r="D19" s="388">
        <f>'Final Rate card'!$C$12</f>
        <v>1400000</v>
      </c>
      <c r="E19" s="1"/>
    </row>
    <row r="20" spans="2:6" x14ac:dyDescent="0.25">
      <c r="B20" s="595"/>
      <c r="C20" s="400" t="s">
        <v>188</v>
      </c>
      <c r="D20" s="388">
        <f>'Final Rate card'!$C$14</f>
        <v>3700000</v>
      </c>
      <c r="E20" s="1"/>
    </row>
    <row r="21" spans="2:6" x14ac:dyDescent="0.25">
      <c r="B21" s="33"/>
      <c r="C21" s="400"/>
      <c r="D21" s="388"/>
      <c r="E21" s="1"/>
      <c r="F21" s="5"/>
    </row>
    <row r="22" spans="2:6" x14ac:dyDescent="0.25">
      <c r="B22" s="589" t="s">
        <v>395</v>
      </c>
      <c r="C22" s="258" t="s">
        <v>192</v>
      </c>
      <c r="D22" s="396">
        <f>(764700+186000)*1.12</f>
        <v>1064784</v>
      </c>
      <c r="E22" s="1"/>
    </row>
    <row r="23" spans="2:6" x14ac:dyDescent="0.25">
      <c r="B23" s="590"/>
      <c r="C23" s="1" t="s">
        <v>302</v>
      </c>
      <c r="D23" s="396">
        <f>1900000*1.12</f>
        <v>2128000</v>
      </c>
      <c r="E23" s="1"/>
    </row>
    <row r="24" spans="2:6" x14ac:dyDescent="0.25">
      <c r="B24" s="393"/>
      <c r="C24" s="259"/>
      <c r="D24" s="394"/>
      <c r="E24" s="1"/>
    </row>
    <row r="25" spans="2:6" x14ac:dyDescent="0.25">
      <c r="B25" s="589" t="s">
        <v>396</v>
      </c>
      <c r="C25" s="258" t="s">
        <v>397</v>
      </c>
      <c r="D25" s="396">
        <f>1527639*1.1</f>
        <v>1680402.9000000001</v>
      </c>
      <c r="E25" s="1"/>
    </row>
    <row r="26" spans="2:6" x14ac:dyDescent="0.25">
      <c r="B26" s="590"/>
      <c r="C26" s="1" t="s">
        <v>305</v>
      </c>
      <c r="D26" s="396">
        <f>+(1527639*1.1)+200000</f>
        <v>1880402.9000000001</v>
      </c>
      <c r="E26" s="1"/>
    </row>
    <row r="27" spans="2:6" x14ac:dyDescent="0.25">
      <c r="B27" s="590"/>
      <c r="C27" s="1" t="s">
        <v>398</v>
      </c>
      <c r="D27" s="396">
        <v>3200000</v>
      </c>
      <c r="E27" s="1"/>
    </row>
    <row r="28" spans="2:6" x14ac:dyDescent="0.25">
      <c r="B28" s="590"/>
      <c r="C28" s="1" t="s">
        <v>196</v>
      </c>
      <c r="D28" s="396">
        <f>'Quote Master'!$H$109</f>
        <v>5800000</v>
      </c>
      <c r="E28" s="1"/>
    </row>
    <row r="29" spans="2:6" x14ac:dyDescent="0.25">
      <c r="B29" s="590"/>
      <c r="C29" s="1" t="s">
        <v>399</v>
      </c>
      <c r="D29" s="396">
        <v>110000</v>
      </c>
      <c r="E29" s="1"/>
    </row>
    <row r="30" spans="2:6" x14ac:dyDescent="0.25">
      <c r="B30" s="590"/>
      <c r="C30" s="401" t="s">
        <v>400</v>
      </c>
      <c r="D30" s="396">
        <f>'Quote Master'!$H$110</f>
        <v>424771</v>
      </c>
      <c r="E30" s="1"/>
    </row>
    <row r="31" spans="2:6" x14ac:dyDescent="0.25">
      <c r="B31" s="596"/>
      <c r="C31" s="259" t="s">
        <v>401</v>
      </c>
      <c r="D31" s="396">
        <v>1350000</v>
      </c>
      <c r="E31" s="1"/>
    </row>
    <row r="32" spans="2:6" x14ac:dyDescent="0.25">
      <c r="B32" s="589" t="s">
        <v>402</v>
      </c>
      <c r="C32" s="258" t="s">
        <v>307</v>
      </c>
      <c r="D32" s="396">
        <f>750000*1.1</f>
        <v>825000.00000000012</v>
      </c>
      <c r="E32" s="1"/>
    </row>
    <row r="33" spans="2:5" x14ac:dyDescent="0.25">
      <c r="B33" s="590"/>
      <c r="C33" s="1" t="s">
        <v>403</v>
      </c>
      <c r="D33" s="396">
        <f>950000*1.1</f>
        <v>1045000.0000000001</v>
      </c>
      <c r="E33" s="1"/>
    </row>
    <row r="34" spans="2:5" x14ac:dyDescent="0.25">
      <c r="B34" s="391"/>
      <c r="C34" s="401" t="s">
        <v>404</v>
      </c>
      <c r="D34" s="396">
        <f>'Quote Master'!$H$113</f>
        <v>351032</v>
      </c>
      <c r="E34" s="1"/>
    </row>
    <row r="35" spans="2:5" x14ac:dyDescent="0.25">
      <c r="B35" s="391"/>
      <c r="D35" s="261"/>
      <c r="E35" s="1"/>
    </row>
    <row r="36" spans="2:5" x14ac:dyDescent="0.25">
      <c r="B36" s="402"/>
      <c r="D36" s="261"/>
      <c r="E36" s="1"/>
    </row>
    <row r="37" spans="2:5" x14ac:dyDescent="0.25">
      <c r="B37" s="390"/>
      <c r="C37" s="259"/>
      <c r="D37" s="260"/>
      <c r="E37" s="1"/>
    </row>
    <row r="38" spans="2:5" x14ac:dyDescent="0.25">
      <c r="B38" s="403" t="s">
        <v>405</v>
      </c>
      <c r="C38" s="262" t="s">
        <v>406</v>
      </c>
      <c r="D38" s="263">
        <f>7656*1.15</f>
        <v>8804.4</v>
      </c>
      <c r="E38" s="1"/>
    </row>
    <row r="39" spans="2:5" x14ac:dyDescent="0.25">
      <c r="B39" s="403" t="s">
        <v>407</v>
      </c>
      <c r="C39" s="262" t="s">
        <v>406</v>
      </c>
      <c r="D39" s="263">
        <f>6590*1.15</f>
        <v>7578.4999999999991</v>
      </c>
      <c r="E39" s="1"/>
    </row>
    <row r="40" spans="2:5" x14ac:dyDescent="0.25">
      <c r="B40" s="403" t="s">
        <v>408</v>
      </c>
      <c r="C40" s="262" t="s">
        <v>406</v>
      </c>
      <c r="D40" s="263">
        <f>3685*1.15</f>
        <v>4237.75</v>
      </c>
      <c r="E40" s="1"/>
    </row>
    <row r="41" spans="2:5" x14ac:dyDescent="0.25">
      <c r="E41" s="1"/>
    </row>
    <row r="42" spans="2:5" x14ac:dyDescent="0.25">
      <c r="E42" s="1"/>
    </row>
  </sheetData>
  <mergeCells count="7">
    <mergeCell ref="B32:B33"/>
    <mergeCell ref="B2:B3"/>
    <mergeCell ref="B12:B13"/>
    <mergeCell ref="B16:B17"/>
    <mergeCell ref="B19:B20"/>
    <mergeCell ref="B22:B23"/>
    <mergeCell ref="B25:B31"/>
  </mergeCells>
  <pageMargins left="0.7" right="0.7" top="0.75" bottom="0.75" header="0.3" footer="0.3"/>
  <pageSetup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D4E8-72D3-4EBA-A2DC-99A51FE193FC}">
  <sheetPr>
    <pageSetUpPr fitToPage="1"/>
  </sheetPr>
  <dimension ref="A1:F14"/>
  <sheetViews>
    <sheetView zoomScale="90" zoomScaleNormal="90" workbookViewId="0">
      <selection activeCell="G7" sqref="G7"/>
    </sheetView>
  </sheetViews>
  <sheetFormatPr defaultColWidth="8.7109375" defaultRowHeight="15" x14ac:dyDescent="0.25"/>
  <cols>
    <col min="1" max="1" width="8.7109375" style="405"/>
    <col min="2" max="2" width="31.5703125" style="405" customWidth="1"/>
    <col min="3" max="3" width="19.28515625" style="405" customWidth="1"/>
    <col min="4" max="4" width="154.42578125" style="405" bestFit="1" customWidth="1"/>
    <col min="5" max="5" width="8.7109375" style="405"/>
    <col min="6" max="6" width="9.140625" style="405" bestFit="1" customWidth="1"/>
    <col min="7" max="7" width="8.7109375" style="405"/>
    <col min="8" max="8" width="9.140625" style="405" bestFit="1" customWidth="1"/>
    <col min="9" max="16384" width="8.7109375" style="405"/>
  </cols>
  <sheetData>
    <row r="1" spans="1:6" ht="30" customHeight="1" thickBot="1" x14ac:dyDescent="0.3">
      <c r="A1" s="404" t="s">
        <v>409</v>
      </c>
      <c r="B1" s="404" t="s">
        <v>324</v>
      </c>
      <c r="C1" s="404" t="s">
        <v>410</v>
      </c>
      <c r="D1" s="404" t="s">
        <v>411</v>
      </c>
    </row>
    <row r="2" spans="1:6" ht="61.5" customHeight="1" thickBot="1" x14ac:dyDescent="0.3">
      <c r="A2" s="406">
        <v>1</v>
      </c>
      <c r="B2" s="407" t="s">
        <v>412</v>
      </c>
      <c r="C2" s="408">
        <v>15900</v>
      </c>
      <c r="D2" s="409" t="s">
        <v>413</v>
      </c>
    </row>
    <row r="3" spans="1:6" ht="108" customHeight="1" thickBot="1" x14ac:dyDescent="0.3">
      <c r="A3" s="406">
        <v>2</v>
      </c>
      <c r="B3" s="410" t="s">
        <v>414</v>
      </c>
      <c r="C3" s="411">
        <v>23223</v>
      </c>
      <c r="D3" s="412" t="s">
        <v>415</v>
      </c>
      <c r="F3" s="413">
        <f>C2+C3</f>
        <v>39123</v>
      </c>
    </row>
    <row r="4" spans="1:6" ht="108.6" customHeight="1" thickBot="1" x14ac:dyDescent="0.3">
      <c r="A4" s="406">
        <v>3</v>
      </c>
      <c r="B4" s="414" t="s">
        <v>416</v>
      </c>
      <c r="C4" s="411">
        <v>25600</v>
      </c>
      <c r="D4" s="412" t="s">
        <v>415</v>
      </c>
      <c r="F4" s="413"/>
    </row>
    <row r="5" spans="1:6" ht="88.5" customHeight="1" thickBot="1" x14ac:dyDescent="0.3">
      <c r="A5" s="406">
        <v>4</v>
      </c>
      <c r="B5" s="415" t="s">
        <v>417</v>
      </c>
      <c r="C5" s="411">
        <v>681000</v>
      </c>
      <c r="D5" s="412" t="s">
        <v>418</v>
      </c>
    </row>
    <row r="6" spans="1:6" ht="88.5" customHeight="1" thickBot="1" x14ac:dyDescent="0.3">
      <c r="A6" s="406">
        <v>5</v>
      </c>
      <c r="B6" s="415" t="s">
        <v>419</v>
      </c>
      <c r="C6" s="411">
        <v>681000</v>
      </c>
      <c r="D6" s="412" t="s">
        <v>420</v>
      </c>
    </row>
    <row r="7" spans="1:6" ht="115.5" customHeight="1" thickBot="1" x14ac:dyDescent="0.3">
      <c r="A7" s="406">
        <v>6</v>
      </c>
      <c r="B7" s="416" t="s">
        <v>421</v>
      </c>
      <c r="C7" s="411">
        <v>32500</v>
      </c>
      <c r="D7" s="412" t="s">
        <v>422</v>
      </c>
    </row>
    <row r="8" spans="1:6" ht="117.95" customHeight="1" thickBot="1" x14ac:dyDescent="0.3">
      <c r="A8" s="406">
        <v>7</v>
      </c>
      <c r="B8" s="415" t="s">
        <v>423</v>
      </c>
      <c r="C8" s="411">
        <v>36500</v>
      </c>
      <c r="D8" s="417" t="s">
        <v>422</v>
      </c>
      <c r="E8" s="413"/>
    </row>
    <row r="9" spans="1:6" ht="49.5" customHeight="1" thickBot="1" x14ac:dyDescent="0.3">
      <c r="A9" s="406">
        <v>8</v>
      </c>
      <c r="B9" s="415" t="s">
        <v>424</v>
      </c>
      <c r="C9" s="411">
        <v>76500</v>
      </c>
      <c r="D9" s="412" t="s">
        <v>425</v>
      </c>
    </row>
    <row r="10" spans="1:6" ht="30.95" customHeight="1" thickBot="1" x14ac:dyDescent="0.3">
      <c r="A10" s="406">
        <v>9</v>
      </c>
      <c r="B10" s="416" t="s">
        <v>426</v>
      </c>
      <c r="C10" s="411">
        <v>8000</v>
      </c>
      <c r="D10" s="412" t="s">
        <v>427</v>
      </c>
    </row>
    <row r="11" spans="1:6" ht="38.450000000000003" customHeight="1" thickBot="1" x14ac:dyDescent="0.3">
      <c r="A11" s="406">
        <v>10</v>
      </c>
      <c r="B11" s="416" t="s">
        <v>428</v>
      </c>
      <c r="C11" s="411">
        <v>250000</v>
      </c>
      <c r="D11" s="417" t="s">
        <v>429</v>
      </c>
    </row>
    <row r="12" spans="1:6" ht="65.099999999999994" customHeight="1" thickBot="1" x14ac:dyDescent="0.3">
      <c r="A12" s="406">
        <v>11</v>
      </c>
      <c r="B12" s="416" t="s">
        <v>430</v>
      </c>
      <c r="C12" s="411">
        <v>1400000</v>
      </c>
      <c r="D12" s="412" t="s">
        <v>431</v>
      </c>
    </row>
    <row r="13" spans="1:6" ht="35.450000000000003" customHeight="1" thickBot="1" x14ac:dyDescent="0.3">
      <c r="A13" s="406">
        <v>12</v>
      </c>
      <c r="B13" s="416" t="s">
        <v>432</v>
      </c>
      <c r="C13" s="411">
        <v>600000</v>
      </c>
      <c r="D13" s="412" t="s">
        <v>429</v>
      </c>
    </row>
    <row r="14" spans="1:6" ht="61.5" customHeight="1" thickBot="1" x14ac:dyDescent="0.3">
      <c r="A14" s="406">
        <v>13</v>
      </c>
      <c r="B14" s="418" t="s">
        <v>433</v>
      </c>
      <c r="C14" s="419">
        <v>3700000</v>
      </c>
      <c r="D14" s="420" t="s">
        <v>434</v>
      </c>
    </row>
  </sheetData>
  <pageMargins left="0.7" right="0.7" top="0.75" bottom="0.75" header="0.3" footer="0.3"/>
  <pageSetup scale="6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EAAA9-390B-439F-9089-6BEB658796D2}">
  <sheetPr>
    <tabColor rgb="FF66FF33"/>
  </sheetPr>
  <dimension ref="A1:H42"/>
  <sheetViews>
    <sheetView zoomScale="115" zoomScaleNormal="115" workbookViewId="0">
      <selection activeCell="C6" sqref="C6"/>
    </sheetView>
  </sheetViews>
  <sheetFormatPr defaultRowHeight="15" outlineLevelRow="1" x14ac:dyDescent="0.25"/>
  <cols>
    <col min="1" max="1" width="6.7109375" bestFit="1" customWidth="1"/>
    <col min="2" max="2" width="48.7109375" style="1" bestFit="1" customWidth="1"/>
    <col min="3" max="3" width="24.5703125" bestFit="1" customWidth="1"/>
    <col min="4" max="4" width="9.140625" bestFit="1" customWidth="1"/>
    <col min="5" max="5" width="13" bestFit="1" customWidth="1"/>
    <col min="6" max="6" width="19.5703125" style="1" bestFit="1" customWidth="1"/>
    <col min="7" max="7" width="14.140625" bestFit="1" customWidth="1"/>
    <col min="8" max="8" width="7.5703125" bestFit="1" customWidth="1"/>
  </cols>
  <sheetData>
    <row r="1" spans="1:8" x14ac:dyDescent="0.25">
      <c r="A1" s="101" t="s">
        <v>435</v>
      </c>
      <c r="B1" s="101" t="s">
        <v>436</v>
      </c>
      <c r="C1" s="101" t="s">
        <v>437</v>
      </c>
      <c r="D1" s="101" t="s">
        <v>4</v>
      </c>
      <c r="E1" s="101" t="s">
        <v>317</v>
      </c>
      <c r="F1" s="101" t="s">
        <v>87</v>
      </c>
      <c r="G1" s="129" t="s">
        <v>108</v>
      </c>
      <c r="H1" s="130">
        <f>'Overall Costing'!$M$1</f>
        <v>0.67500000000000004</v>
      </c>
    </row>
    <row r="2" spans="1:8" ht="15" customHeight="1" x14ac:dyDescent="0.25">
      <c r="A2" s="52">
        <v>1</v>
      </c>
      <c r="B2" s="49" t="s">
        <v>438</v>
      </c>
      <c r="C2" s="570">
        <f>(4.14+4.5+4.5+4.5+4.5+4.5+5.46)*2</f>
        <v>64.2</v>
      </c>
      <c r="D2" s="49" t="s">
        <v>439</v>
      </c>
      <c r="E2" s="100">
        <f>100000*2</f>
        <v>200000</v>
      </c>
      <c r="F2" s="100">
        <f t="shared" ref="F2:F5" si="0">E2*C2</f>
        <v>12840000</v>
      </c>
    </row>
    <row r="3" spans="1:8" x14ac:dyDescent="0.25">
      <c r="A3" s="52">
        <v>2</v>
      </c>
      <c r="B3" s="49" t="s">
        <v>440</v>
      </c>
      <c r="C3" s="49">
        <f>7*2</f>
        <v>14</v>
      </c>
      <c r="D3" s="49" t="s">
        <v>327</v>
      </c>
      <c r="E3" s="100">
        <f>VLOOKUP(B3,'Quote Master'!$C$54:$I$55,7,0)</f>
        <v>175000</v>
      </c>
      <c r="F3" s="100">
        <f t="shared" si="0"/>
        <v>2450000</v>
      </c>
    </row>
    <row r="4" spans="1:8" x14ac:dyDescent="0.25">
      <c r="A4" s="52">
        <v>3</v>
      </c>
      <c r="B4" s="49" t="s">
        <v>441</v>
      </c>
      <c r="C4" s="49"/>
      <c r="D4" s="49" t="s">
        <v>327</v>
      </c>
      <c r="E4" s="100">
        <f>VLOOKUP(B4,'Quote Master'!$C$107:$I$112,7,0)</f>
        <v>3134004.8333333335</v>
      </c>
      <c r="F4" s="100">
        <f t="shared" si="0"/>
        <v>0</v>
      </c>
    </row>
    <row r="5" spans="1:8" x14ac:dyDescent="0.25">
      <c r="A5" s="52">
        <v>4</v>
      </c>
      <c r="B5" s="49" t="s">
        <v>442</v>
      </c>
      <c r="C5" s="49"/>
      <c r="D5" s="49" t="s">
        <v>327</v>
      </c>
      <c r="E5" s="100">
        <f>VLOOKUP(B5,'Quote Master'!$C$107:$I$112,7,0)</f>
        <v>1741666.666666667</v>
      </c>
      <c r="F5" s="100">
        <f t="shared" si="0"/>
        <v>0</v>
      </c>
    </row>
    <row r="6" spans="1:8" x14ac:dyDescent="0.25">
      <c r="A6" s="52">
        <v>5</v>
      </c>
      <c r="B6" s="49" t="s">
        <v>443</v>
      </c>
      <c r="C6" s="49">
        <f>1*2</f>
        <v>2</v>
      </c>
      <c r="D6" s="49" t="s">
        <v>327</v>
      </c>
      <c r="E6" s="100">
        <f>+'Quote Master'!I102</f>
        <v>800000</v>
      </c>
      <c r="F6" s="100">
        <f t="shared" ref="F6" si="1">+E6*C6</f>
        <v>1600000</v>
      </c>
    </row>
    <row r="7" spans="1:8" x14ac:dyDescent="0.25">
      <c r="A7" s="52">
        <v>6</v>
      </c>
      <c r="B7" s="27" t="s">
        <v>444</v>
      </c>
      <c r="C7" s="27"/>
      <c r="D7" s="27" t="s">
        <v>327</v>
      </c>
      <c r="E7" s="100">
        <f>+'Quote Master'!I106</f>
        <v>250000</v>
      </c>
      <c r="F7" s="100">
        <f>E7*C7</f>
        <v>0</v>
      </c>
    </row>
    <row r="8" spans="1:8" x14ac:dyDescent="0.25">
      <c r="A8" s="52">
        <v>7</v>
      </c>
      <c r="B8" s="27" t="s">
        <v>445</v>
      </c>
      <c r="C8" s="27"/>
      <c r="D8" s="27" t="s">
        <v>327</v>
      </c>
      <c r="E8" s="100">
        <f>+'Quote Master'!I103</f>
        <v>2121000</v>
      </c>
      <c r="F8" s="100">
        <f>E8*C8</f>
        <v>0</v>
      </c>
    </row>
    <row r="9" spans="1:8" x14ac:dyDescent="0.25">
      <c r="A9" s="49"/>
      <c r="B9" s="49"/>
      <c r="C9" s="49"/>
      <c r="D9" s="49"/>
      <c r="E9" s="142" t="s">
        <v>87</v>
      </c>
      <c r="F9" s="142">
        <f>SUM(F2:F8)</f>
        <v>16890000</v>
      </c>
      <c r="G9" s="484">
        <f>F9/'Overall Costing'!M5</f>
        <v>179680.85106382979</v>
      </c>
    </row>
    <row r="11" spans="1:8" s="1" customFormat="1" hidden="1" x14ac:dyDescent="0.25">
      <c r="B11" s="583" t="s">
        <v>446</v>
      </c>
      <c r="C11" s="583"/>
    </row>
    <row r="12" spans="1:8" s="1" customFormat="1" hidden="1" x14ac:dyDescent="0.25">
      <c r="A12" s="1">
        <v>8</v>
      </c>
      <c r="B12" s="12" t="s">
        <v>214</v>
      </c>
      <c r="C12" s="12">
        <v>0</v>
      </c>
    </row>
    <row r="13" spans="1:8" s="1" customFormat="1" hidden="1" x14ac:dyDescent="0.25">
      <c r="A13" s="1">
        <v>9</v>
      </c>
      <c r="B13" s="128" t="s">
        <v>447</v>
      </c>
      <c r="C13" s="128" t="s">
        <v>448</v>
      </c>
    </row>
    <row r="14" spans="1:8" s="1" customFormat="1" hidden="1" x14ac:dyDescent="0.25">
      <c r="A14" s="1">
        <v>10</v>
      </c>
      <c r="B14" s="12" t="s">
        <v>449</v>
      </c>
      <c r="C14" s="12">
        <v>0</v>
      </c>
      <c r="D14" s="4"/>
    </row>
    <row r="15" spans="1:8" s="1" customFormat="1" hidden="1" x14ac:dyDescent="0.25">
      <c r="A15" s="1">
        <v>11</v>
      </c>
      <c r="B15" s="12" t="s">
        <v>450</v>
      </c>
      <c r="C15" s="12">
        <v>0</v>
      </c>
      <c r="D15" s="4"/>
    </row>
    <row r="16" spans="1:8" s="1" customFormat="1" hidden="1" x14ac:dyDescent="0.25">
      <c r="A16" s="1">
        <v>12</v>
      </c>
      <c r="B16" s="12" t="s">
        <v>216</v>
      </c>
      <c r="C16" s="12">
        <v>0</v>
      </c>
      <c r="D16" s="4"/>
    </row>
    <row r="17" spans="1:8" s="1" customFormat="1" hidden="1" x14ac:dyDescent="0.25">
      <c r="A17" s="1">
        <v>13</v>
      </c>
      <c r="B17" s="12" t="s">
        <v>217</v>
      </c>
      <c r="C17" s="12">
        <v>0</v>
      </c>
    </row>
    <row r="18" spans="1:8" s="1" customFormat="1" hidden="1" x14ac:dyDescent="0.25">
      <c r="A18" s="1">
        <v>14</v>
      </c>
      <c r="B18" s="12" t="s">
        <v>218</v>
      </c>
      <c r="C18" s="12">
        <v>0</v>
      </c>
    </row>
    <row r="19" spans="1:8" s="1" customFormat="1" hidden="1" x14ac:dyDescent="0.25">
      <c r="A19" s="1">
        <v>15</v>
      </c>
      <c r="B19" s="12" t="s">
        <v>221</v>
      </c>
      <c r="C19" s="12">
        <v>0</v>
      </c>
    </row>
    <row r="20" spans="1:8" s="1" customFormat="1" hidden="1" x14ac:dyDescent="0.25">
      <c r="A20" s="1">
        <v>16</v>
      </c>
      <c r="B20" s="12" t="s">
        <v>451</v>
      </c>
      <c r="C20" s="12">
        <v>0</v>
      </c>
    </row>
    <row r="21" spans="1:8" s="1" customFormat="1" hidden="1" x14ac:dyDescent="0.25"/>
    <row r="22" spans="1:8" s="1" customFormat="1" ht="45" hidden="1" outlineLevel="1" x14ac:dyDescent="0.25">
      <c r="A22" s="1" t="s">
        <v>157</v>
      </c>
      <c r="D22" s="2" t="s">
        <v>317</v>
      </c>
      <c r="E22" s="2" t="s">
        <v>318</v>
      </c>
      <c r="F22" s="11" t="s">
        <v>319</v>
      </c>
      <c r="G22" s="2" t="s">
        <v>320</v>
      </c>
      <c r="H22" s="2" t="s">
        <v>321</v>
      </c>
    </row>
    <row r="23" spans="1:8" s="1" customFormat="1" hidden="1" outlineLevel="1" x14ac:dyDescent="0.25">
      <c r="A23" s="1" t="s">
        <v>157</v>
      </c>
      <c r="B23" s="1" t="s">
        <v>234</v>
      </c>
      <c r="C23" s="1">
        <f>+C12*C16</f>
        <v>0</v>
      </c>
      <c r="D23" s="1" cm="1">
        <f t="array" ref="D23">INDEX('Induct line for Arm'!D3:D4,'Arm Sorter'!G23,'Arm Sorter'!H23)</f>
        <v>148710.375</v>
      </c>
      <c r="E23" s="1">
        <f>C23*D23</f>
        <v>0</v>
      </c>
      <c r="F23" s="1" cm="1">
        <f t="array" ref="F23">INDEX('Induct line for Arm'!F3:F4,G23,1)*C23</f>
        <v>0</v>
      </c>
      <c r="G23" s="1">
        <f>MATCH($C$13,'Induct line for Arm'!C3:C4,0)</f>
        <v>2</v>
      </c>
      <c r="H23" s="1">
        <v>1</v>
      </c>
    </row>
    <row r="24" spans="1:8" s="1" customFormat="1" hidden="1" outlineLevel="1" x14ac:dyDescent="0.25">
      <c r="A24" s="1" t="s">
        <v>157</v>
      </c>
      <c r="B24" s="1" t="s">
        <v>235</v>
      </c>
      <c r="C24" s="1">
        <f>+C17*C12</f>
        <v>0</v>
      </c>
      <c r="D24" s="1" cm="1">
        <f t="array" ref="D24">INDEX('Induct line for Arm'!D5:D6,'Arm Sorter'!G24,'Arm Sorter'!H24)</f>
        <v>125379.78750000001</v>
      </c>
      <c r="E24" s="1">
        <f t="shared" ref="E24:E25" si="2">C24*D24</f>
        <v>0</v>
      </c>
      <c r="F24" s="1" cm="1">
        <f t="array" ref="F24">INDEX('Induct line for Arm'!F5:F6,G24,1)*C24</f>
        <v>0</v>
      </c>
      <c r="G24" s="1">
        <f>G23</f>
        <v>2</v>
      </c>
      <c r="H24" s="1">
        <v>1</v>
      </c>
    </row>
    <row r="25" spans="1:8" s="1" customFormat="1" hidden="1" outlineLevel="1" x14ac:dyDescent="0.25">
      <c r="A25" s="1" t="s">
        <v>157</v>
      </c>
      <c r="B25" s="1" t="s">
        <v>236</v>
      </c>
      <c r="C25" s="1">
        <f>+C18*C12</f>
        <v>0</v>
      </c>
      <c r="D25" s="1" cm="1">
        <f t="array" ref="D25">INDEX('Induct line for Arm'!D7:D8,'Arm Sorter'!G25,'Arm Sorter'!H25)</f>
        <v>130948.53750000001</v>
      </c>
      <c r="E25" s="1">
        <f t="shared" si="2"/>
        <v>0</v>
      </c>
      <c r="F25" s="1" cm="1">
        <f t="array" ref="F25">INDEX('Induct line for Arm'!F7:F8,G25,1)*C25</f>
        <v>0</v>
      </c>
      <c r="G25" s="1">
        <f t="shared" ref="G25" si="3">G24</f>
        <v>2</v>
      </c>
      <c r="H25" s="1">
        <v>1</v>
      </c>
    </row>
    <row r="26" spans="1:8" s="1" customFormat="1" hidden="1" outlineLevel="1" x14ac:dyDescent="0.25">
      <c r="A26" s="1" t="s">
        <v>157</v>
      </c>
      <c r="B26" s="1" t="s">
        <v>452</v>
      </c>
      <c r="C26" s="1">
        <f>C12*C19</f>
        <v>0</v>
      </c>
      <c r="D26" s="1">
        <f>+((C20/1000)*'Quote Master'!$I$4)+'Quote Master'!$I$5</f>
        <v>180740.74074074073</v>
      </c>
      <c r="E26" s="1">
        <f>C26*D26*0.6</f>
        <v>0</v>
      </c>
      <c r="F26" s="1">
        <v>0</v>
      </c>
      <c r="G26" s="1">
        <f>G25</f>
        <v>2</v>
      </c>
      <c r="H26" s="1">
        <v>1</v>
      </c>
    </row>
    <row r="27" spans="1:8" s="1" customFormat="1" hidden="1" outlineLevel="1" x14ac:dyDescent="0.25">
      <c r="A27" s="1" t="s">
        <v>157</v>
      </c>
      <c r="B27" s="1" t="s">
        <v>453</v>
      </c>
      <c r="C27" s="1">
        <f>+C12*C14</f>
        <v>0</v>
      </c>
      <c r="D27" s="1">
        <f>+((C15/1000)*'Quote Master'!$I$4)+'Quote Master'!$I$5</f>
        <v>180740.74074074073</v>
      </c>
      <c r="E27" s="1">
        <f>C27*D27*0.6</f>
        <v>0</v>
      </c>
      <c r="F27" s="1">
        <v>0</v>
      </c>
      <c r="G27" s="1">
        <f t="shared" ref="G27" si="4">G26</f>
        <v>2</v>
      </c>
      <c r="H27" s="1">
        <v>1</v>
      </c>
    </row>
    <row r="28" spans="1:8" s="1" customFormat="1" hidden="1" outlineLevel="1" x14ac:dyDescent="0.25">
      <c r="D28" s="2" t="s">
        <v>87</v>
      </c>
      <c r="E28" s="2">
        <f>SUM(E23:E27)</f>
        <v>0</v>
      </c>
      <c r="F28" s="1">
        <f>SUM(F23:F27)</f>
        <v>0</v>
      </c>
    </row>
    <row r="29" spans="1:8" s="1" customFormat="1" hidden="1" outlineLevel="1" x14ac:dyDescent="0.25">
      <c r="A29" s="1" t="s">
        <v>157</v>
      </c>
      <c r="B29" s="1" t="s">
        <v>240</v>
      </c>
      <c r="C29" s="3">
        <f>E28</f>
        <v>0</v>
      </c>
    </row>
    <row r="30" spans="1:8" s="1" customFormat="1" hidden="1" outlineLevel="1" x14ac:dyDescent="0.25">
      <c r="A30" s="1" t="s">
        <v>157</v>
      </c>
      <c r="B30" s="1" t="s">
        <v>241</v>
      </c>
      <c r="C30" s="3">
        <f>F28*'Induct line for Arm'!D11</f>
        <v>0</v>
      </c>
    </row>
    <row r="31" spans="1:8" s="1" customFormat="1" hidden="1" outlineLevel="1" x14ac:dyDescent="0.25">
      <c r="A31" s="1" t="s">
        <v>157</v>
      </c>
      <c r="B31" s="1" t="s">
        <v>243</v>
      </c>
      <c r="C31" s="3">
        <f>+C12*'Induct line for Arm'!D10</f>
        <v>0</v>
      </c>
    </row>
    <row r="32" spans="1:8" s="1" customFormat="1" hidden="1" collapsed="1" x14ac:dyDescent="0.25">
      <c r="A32" s="1" t="s">
        <v>157</v>
      </c>
      <c r="B32" s="2" t="s">
        <v>244</v>
      </c>
      <c r="C32" s="16">
        <f>SUM(C29:C31)</f>
        <v>0</v>
      </c>
    </row>
    <row r="33" spans="2:3" s="1" customFormat="1" hidden="1" x14ac:dyDescent="0.25">
      <c r="B33" s="1" t="s">
        <v>245</v>
      </c>
      <c r="C33" s="3">
        <f>+(C12)</f>
        <v>0</v>
      </c>
    </row>
    <row r="34" spans="2:3" s="1" customFormat="1" hidden="1" x14ac:dyDescent="0.25">
      <c r="B34" s="56" t="s">
        <v>246</v>
      </c>
      <c r="C34" s="3" t="s">
        <v>145</v>
      </c>
    </row>
    <row r="35" spans="2:3" s="1" customFormat="1" hidden="1" x14ac:dyDescent="0.25">
      <c r="B35" s="1" t="s">
        <v>247</v>
      </c>
      <c r="C35" s="3">
        <f>+IF(C34="Yes",(C33*'Quote Master'!$I$72),0)</f>
        <v>0</v>
      </c>
    </row>
    <row r="36" spans="2:3" s="1" customFormat="1" ht="15.75" hidden="1" x14ac:dyDescent="0.25">
      <c r="B36" s="14" t="s">
        <v>212</v>
      </c>
      <c r="C36" s="16">
        <f>(C32/H1)+C35</f>
        <v>0</v>
      </c>
    </row>
    <row r="37" spans="2:3" s="1" customFormat="1" hidden="1" x14ac:dyDescent="0.25">
      <c r="B37" s="12" t="s">
        <v>248</v>
      </c>
      <c r="C37" s="12">
        <v>0</v>
      </c>
    </row>
    <row r="38" spans="2:3" s="1" customFormat="1" hidden="1" x14ac:dyDescent="0.25">
      <c r="B38" s="12" t="s">
        <v>249</v>
      </c>
      <c r="C38" s="12" t="s">
        <v>250</v>
      </c>
    </row>
    <row r="39" spans="2:3" s="1" customFormat="1" hidden="1" x14ac:dyDescent="0.25">
      <c r="B39" s="2" t="s">
        <v>251</v>
      </c>
      <c r="C39" s="16">
        <f>+VLOOKUP(C38,'Weighing Conveyors'!$D$1:$L$8,9,FALSE)*C37</f>
        <v>0</v>
      </c>
    </row>
    <row r="42" spans="2:3" x14ac:dyDescent="0.25">
      <c r="B42" s="2" t="s">
        <v>454</v>
      </c>
      <c r="C42" s="137">
        <f>+C36+F9+C39</f>
        <v>16890000</v>
      </c>
    </row>
  </sheetData>
  <mergeCells count="1">
    <mergeCell ref="B11:C11"/>
  </mergeCells>
  <dataValidations disablePrompts="1" count="1">
    <dataValidation type="whole" operator="greaterThanOrEqual" allowBlank="1" showInputMessage="1" showErrorMessage="1" sqref="C12 C14:C16" xr:uid="{9AD00C46-9F25-43DF-9357-9516D4ACBB1F}">
      <formula1>0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showInputMessage="1" showErrorMessage="1" xr:uid="{7A56D4FB-35D7-4ABA-8FB4-7BDBACF629C9}">
          <x14:formula1>
            <xm:f>Selection!$B$22:$B$23</xm:f>
          </x14:formula1>
          <xm:sqref>B3</xm:sqref>
        </x14:dataValidation>
        <x14:dataValidation type="list" allowBlank="1" showInputMessage="1" showErrorMessage="1" xr:uid="{CD2016CB-CB5B-4AF8-8822-9351A795ECC2}">
          <x14:formula1>
            <xm:f>Selection!$B$13:$B$14</xm:f>
          </x14:formula1>
          <xm:sqref>C34</xm:sqref>
        </x14:dataValidation>
        <x14:dataValidation type="list" allowBlank="1" showInputMessage="1" showErrorMessage="1" xr:uid="{B820B729-21AD-4FB0-BF3B-81E57135C5EB}">
          <x14:formula1>
            <xm:f>'Quote Master'!$C$107:$C$110</xm:f>
          </x14:formula1>
          <xm:sqref>B4</xm:sqref>
        </x14:dataValidation>
        <x14:dataValidation type="list" allowBlank="1" showInputMessage="1" showErrorMessage="1" xr:uid="{03BCA9FB-A173-4ADC-A2C1-4FC3FEB11303}">
          <x14:formula1>
            <xm:f>'Quote Master'!$C$111:$C$112</xm:f>
          </x14:formula1>
          <xm:sqref>B5</xm:sqref>
        </x14:dataValidation>
        <x14:dataValidation type="list" allowBlank="1" showInputMessage="1" showErrorMessage="1" xr:uid="{B22270B9-F605-4C49-B0E9-2B21517C6EB0}">
          <x14:formula1>
            <xm:f>'Weighing Conveyors'!$D$2:$D$8</xm:f>
          </x14:formula1>
          <xm:sqref>C38</xm:sqref>
        </x14:dataValidation>
        <x14:dataValidation type="list" allowBlank="1" showInputMessage="1" showErrorMessage="1" xr:uid="{C06482DA-D904-4936-AD6B-E108925500A3}">
          <x14:formula1>
            <xm:f>'Induct line for Arm'!$C$3:$C$4</xm:f>
          </x14:formula1>
          <xm:sqref>C13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A3BCF-E3EA-486A-A454-5F506EDAC454}">
  <sheetPr>
    <tabColor rgb="FF00FFFF"/>
  </sheetPr>
  <dimension ref="A1:H44"/>
  <sheetViews>
    <sheetView zoomScale="115" zoomScaleNormal="115" workbookViewId="0">
      <selection activeCell="F17" sqref="F17"/>
    </sheetView>
  </sheetViews>
  <sheetFormatPr defaultRowHeight="15" outlineLevelRow="1" x14ac:dyDescent="0.25"/>
  <cols>
    <col min="1" max="1" width="6.7109375" bestFit="1" customWidth="1"/>
    <col min="2" max="2" width="44.7109375" style="1" bestFit="1" customWidth="1"/>
    <col min="3" max="3" width="18.5703125" bestFit="1" customWidth="1"/>
    <col min="4" max="4" width="12" bestFit="1" customWidth="1"/>
    <col min="5" max="5" width="13" bestFit="1" customWidth="1"/>
    <col min="6" max="6" width="14.42578125" bestFit="1" customWidth="1"/>
    <col min="7" max="7" width="30.7109375" bestFit="1" customWidth="1"/>
    <col min="8" max="8" width="7.5703125" bestFit="1" customWidth="1"/>
  </cols>
  <sheetData>
    <row r="1" spans="1:8" x14ac:dyDescent="0.25">
      <c r="A1" s="102" t="s">
        <v>435</v>
      </c>
      <c r="B1" s="102" t="s">
        <v>436</v>
      </c>
      <c r="C1" s="102" t="s">
        <v>437</v>
      </c>
      <c r="D1" s="102" t="s">
        <v>4</v>
      </c>
      <c r="E1" s="102" t="s">
        <v>317</v>
      </c>
      <c r="F1" s="102" t="s">
        <v>87</v>
      </c>
      <c r="G1" s="102" t="s">
        <v>108</v>
      </c>
      <c r="H1" s="102">
        <f>'Overall Costing'!$M$1</f>
        <v>0.67500000000000004</v>
      </c>
    </row>
    <row r="2" spans="1:8" x14ac:dyDescent="0.25">
      <c r="A2" s="52">
        <v>1</v>
      </c>
      <c r="B2" s="49" t="s">
        <v>455</v>
      </c>
      <c r="C2" s="49">
        <v>0</v>
      </c>
      <c r="D2" s="49" t="s">
        <v>327</v>
      </c>
      <c r="E2" s="100">
        <v>0</v>
      </c>
      <c r="F2" s="100">
        <f>(E2/$H$1)*C2</f>
        <v>0</v>
      </c>
      <c r="G2" s="119" t="s">
        <v>456</v>
      </c>
    </row>
    <row r="3" spans="1:8" x14ac:dyDescent="0.25">
      <c r="A3" s="52">
        <v>2</v>
      </c>
      <c r="B3" s="49" t="s">
        <v>457</v>
      </c>
      <c r="C3" s="49">
        <v>0</v>
      </c>
      <c r="D3" s="49" t="s">
        <v>327</v>
      </c>
      <c r="E3" s="100">
        <f>VLOOKUP(B3,'Quote Master'!$C$107:$I$112,7,0)</f>
        <v>2800671.5000000005</v>
      </c>
      <c r="F3" s="100">
        <f t="shared" ref="F3:F4" si="0">E3*C3</f>
        <v>0</v>
      </c>
    </row>
    <row r="4" spans="1:8" x14ac:dyDescent="0.25">
      <c r="A4" s="52">
        <v>3</v>
      </c>
      <c r="B4" s="49" t="s">
        <v>307</v>
      </c>
      <c r="C4" s="49">
        <v>0</v>
      </c>
      <c r="D4" s="49" t="s">
        <v>327</v>
      </c>
      <c r="E4" s="100">
        <f>VLOOKUP(B4,'Quote Master'!$C$107:$I$112,7,0)</f>
        <v>1375000.0000000002</v>
      </c>
      <c r="F4" s="100">
        <f t="shared" si="0"/>
        <v>0</v>
      </c>
    </row>
    <row r="5" spans="1:8" s="123" customFormat="1" x14ac:dyDescent="0.25">
      <c r="A5" s="52">
        <v>4</v>
      </c>
      <c r="B5" s="124" t="s">
        <v>458</v>
      </c>
      <c r="C5" s="125"/>
      <c r="D5" s="124" t="s">
        <v>327</v>
      </c>
      <c r="E5" s="100">
        <f>+'Quote Master'!I102</f>
        <v>800000</v>
      </c>
      <c r="F5" s="100">
        <f t="shared" ref="F5" si="1">+E5*C5</f>
        <v>0</v>
      </c>
    </row>
    <row r="6" spans="1:8" x14ac:dyDescent="0.25">
      <c r="A6" s="52">
        <v>5</v>
      </c>
      <c r="B6" s="27" t="s">
        <v>444</v>
      </c>
      <c r="C6" s="27"/>
      <c r="D6" s="27" t="s">
        <v>327</v>
      </c>
      <c r="E6" s="100">
        <f>+'Quote Master'!I106</f>
        <v>250000</v>
      </c>
      <c r="F6" s="100">
        <f>E6*C6</f>
        <v>0</v>
      </c>
    </row>
    <row r="7" spans="1:8" x14ac:dyDescent="0.25">
      <c r="A7" s="52">
        <v>6</v>
      </c>
      <c r="B7" s="27" t="s">
        <v>445</v>
      </c>
      <c r="C7" s="27"/>
      <c r="D7" s="27" t="s">
        <v>327</v>
      </c>
      <c r="E7" s="100">
        <f>+'Quote Master'!I103</f>
        <v>2121000</v>
      </c>
      <c r="F7" s="100">
        <f>E7*C7</f>
        <v>0</v>
      </c>
    </row>
    <row r="8" spans="1:8" x14ac:dyDescent="0.25">
      <c r="A8" s="52"/>
      <c r="B8" s="27" t="s">
        <v>459</v>
      </c>
      <c r="C8" s="27"/>
      <c r="D8" s="27"/>
      <c r="E8" s="100"/>
      <c r="F8" s="100">
        <f>F2*'Overall Costing'!$M$3</f>
        <v>0</v>
      </c>
    </row>
    <row r="9" spans="1:8" x14ac:dyDescent="0.25">
      <c r="A9" s="52">
        <v>7</v>
      </c>
      <c r="B9" s="49"/>
      <c r="C9" s="49"/>
      <c r="D9" s="49"/>
      <c r="E9" s="142" t="s">
        <v>87</v>
      </c>
      <c r="F9" s="142">
        <f>SUM(F2:F8)</f>
        <v>0</v>
      </c>
    </row>
    <row r="11" spans="1:8" s="1" customFormat="1" x14ac:dyDescent="0.25">
      <c r="A11" s="1">
        <v>8</v>
      </c>
      <c r="B11" s="12" t="s">
        <v>214</v>
      </c>
      <c r="C11" s="12">
        <v>0</v>
      </c>
    </row>
    <row r="12" spans="1:8" s="1" customFormat="1" x14ac:dyDescent="0.25">
      <c r="A12" s="1">
        <v>9</v>
      </c>
      <c r="B12" s="128" t="s">
        <v>447</v>
      </c>
      <c r="C12" s="128" t="s">
        <v>448</v>
      </c>
    </row>
    <row r="13" spans="1:8" s="1" customFormat="1" x14ac:dyDescent="0.25">
      <c r="A13" s="1">
        <v>10</v>
      </c>
      <c r="B13" s="12" t="s">
        <v>449</v>
      </c>
      <c r="C13" s="12">
        <v>1</v>
      </c>
      <c r="D13" s="4"/>
    </row>
    <row r="14" spans="1:8" s="1" customFormat="1" x14ac:dyDescent="0.25">
      <c r="A14" s="1">
        <v>11</v>
      </c>
      <c r="B14" s="12" t="s">
        <v>450</v>
      </c>
      <c r="C14" s="12">
        <v>1000</v>
      </c>
      <c r="D14" s="4"/>
    </row>
    <row r="15" spans="1:8" s="1" customFormat="1" x14ac:dyDescent="0.25">
      <c r="A15" s="1">
        <v>12</v>
      </c>
      <c r="B15" s="12" t="s">
        <v>216</v>
      </c>
      <c r="C15" s="12">
        <v>1</v>
      </c>
      <c r="D15" s="4"/>
    </row>
    <row r="16" spans="1:8" s="1" customFormat="1" x14ac:dyDescent="0.25">
      <c r="A16" s="1">
        <v>13</v>
      </c>
      <c r="B16" s="12" t="s">
        <v>217</v>
      </c>
      <c r="C16" s="12">
        <v>1</v>
      </c>
    </row>
    <row r="17" spans="1:8" s="1" customFormat="1" x14ac:dyDescent="0.25">
      <c r="A17" s="1">
        <v>14</v>
      </c>
      <c r="B17" s="12" t="s">
        <v>218</v>
      </c>
      <c r="C17" s="12">
        <v>1</v>
      </c>
    </row>
    <row r="18" spans="1:8" s="1" customFormat="1" x14ac:dyDescent="0.25">
      <c r="A18" s="1">
        <v>15</v>
      </c>
      <c r="B18" s="12" t="s">
        <v>221</v>
      </c>
      <c r="C18" s="12">
        <v>1</v>
      </c>
    </row>
    <row r="19" spans="1:8" s="1" customFormat="1" x14ac:dyDescent="0.25">
      <c r="A19" s="1">
        <v>16</v>
      </c>
      <c r="B19" s="12" t="s">
        <v>451</v>
      </c>
      <c r="C19" s="12">
        <v>2000</v>
      </c>
    </row>
    <row r="20" spans="1:8" s="1" customFormat="1" x14ac:dyDescent="0.25">
      <c r="A20" s="1">
        <v>17</v>
      </c>
      <c r="B20" s="12" t="s">
        <v>460</v>
      </c>
      <c r="C20" s="12">
        <v>0</v>
      </c>
    </row>
    <row r="21" spans="1:8" s="1" customFormat="1" x14ac:dyDescent="0.25">
      <c r="A21" s="1">
        <v>18</v>
      </c>
      <c r="B21" s="12" t="s">
        <v>461</v>
      </c>
      <c r="C21" s="12">
        <v>2000</v>
      </c>
    </row>
    <row r="22" spans="1:8" s="1" customFormat="1" x14ac:dyDescent="0.25"/>
    <row r="23" spans="1:8" s="1" customFormat="1" x14ac:dyDescent="0.25"/>
    <row r="24" spans="1:8" s="1" customFormat="1" ht="60" hidden="1" outlineLevel="1" x14ac:dyDescent="0.25">
      <c r="A24" s="1" t="s">
        <v>157</v>
      </c>
      <c r="D24" s="2" t="s">
        <v>317</v>
      </c>
      <c r="E24" s="2" t="s">
        <v>318</v>
      </c>
      <c r="F24" s="11" t="s">
        <v>319</v>
      </c>
      <c r="G24" s="2" t="s">
        <v>320</v>
      </c>
      <c r="H24" s="2" t="s">
        <v>321</v>
      </c>
    </row>
    <row r="25" spans="1:8" s="1" customFormat="1" hidden="1" outlineLevel="1" x14ac:dyDescent="0.25">
      <c r="A25" s="1" t="s">
        <v>157</v>
      </c>
      <c r="B25" s="1" t="s">
        <v>234</v>
      </c>
      <c r="C25" s="1">
        <f>+C11*C15</f>
        <v>0</v>
      </c>
      <c r="D25" s="1" cm="1">
        <f t="array" ref="D25">INDEX('Induct Line for Swedi'!D3:E5,'Swedi sorter'!G25,'Swedi sorter'!H25)</f>
        <v>148710.375</v>
      </c>
      <c r="E25" s="1">
        <f>C25*D25</f>
        <v>0</v>
      </c>
      <c r="F25" s="1" cm="1">
        <f t="array" ref="F25">INDEX('Induct Line for Swedi'!F3:F5,G25,1)*C25</f>
        <v>0</v>
      </c>
      <c r="G25" s="1">
        <f>MATCH($C$12,'Induct Line for Swedi'!C3:C5,0)</f>
        <v>2</v>
      </c>
      <c r="H25" s="1">
        <v>1</v>
      </c>
    </row>
    <row r="26" spans="1:8" s="1" customFormat="1" hidden="1" outlineLevel="1" x14ac:dyDescent="0.25">
      <c r="A26" s="1" t="s">
        <v>157</v>
      </c>
      <c r="B26" s="1" t="s">
        <v>235</v>
      </c>
      <c r="C26" s="1">
        <f>+C16*C11</f>
        <v>0</v>
      </c>
      <c r="D26" s="1" cm="1">
        <f t="array" ref="D26">INDEX('Induct Line for Swedi'!D6:D8,'Swedi sorter'!G26,'Swedi sorter'!H26)</f>
        <v>125379.78750000001</v>
      </c>
      <c r="E26" s="1">
        <f t="shared" ref="E26:E27" si="2">C26*D26</f>
        <v>0</v>
      </c>
      <c r="F26" s="1" cm="1">
        <f t="array" ref="F26">INDEX('Induct Line for Swedi'!F6:F8,G26,1)*C26</f>
        <v>0</v>
      </c>
      <c r="G26" s="1">
        <f>G25</f>
        <v>2</v>
      </c>
      <c r="H26" s="1">
        <v>1</v>
      </c>
    </row>
    <row r="27" spans="1:8" s="1" customFormat="1" hidden="1" outlineLevel="1" x14ac:dyDescent="0.25">
      <c r="A27" s="1" t="s">
        <v>157</v>
      </c>
      <c r="B27" s="1" t="s">
        <v>236</v>
      </c>
      <c r="C27" s="1">
        <f>+C17*C11</f>
        <v>0</v>
      </c>
      <c r="D27" s="1" cm="1">
        <f t="array" ref="D27">INDEX('Induct Line for Swedi'!D9:D11,G27,H27)</f>
        <v>130948.53750000001</v>
      </c>
      <c r="E27" s="1">
        <f t="shared" si="2"/>
        <v>0</v>
      </c>
      <c r="F27" s="1" cm="1">
        <f t="array" ref="F27">INDEX('Induct Line for Swedi'!F9:F11,G27,1)*C27</f>
        <v>0</v>
      </c>
      <c r="G27" s="1">
        <f t="shared" ref="G27" si="3">G26</f>
        <v>2</v>
      </c>
      <c r="H27" s="1">
        <v>1</v>
      </c>
    </row>
    <row r="28" spans="1:8" s="1" customFormat="1" hidden="1" outlineLevel="1" x14ac:dyDescent="0.25">
      <c r="A28" s="1" t="s">
        <v>157</v>
      </c>
      <c r="B28" s="1" t="s">
        <v>452</v>
      </c>
      <c r="C28" s="1">
        <f>C11*C18</f>
        <v>0</v>
      </c>
      <c r="D28" s="1">
        <f>+((C19/1000)*'Quote Master'!$I$4)+'Quote Master'!$I$5</f>
        <v>217777.77777777775</v>
      </c>
      <c r="E28" s="1">
        <f>(C28*D28)*0.6</f>
        <v>0</v>
      </c>
      <c r="F28" s="1">
        <v>0</v>
      </c>
      <c r="G28" s="1">
        <f>G27</f>
        <v>2</v>
      </c>
      <c r="H28" s="1">
        <v>1</v>
      </c>
    </row>
    <row r="29" spans="1:8" s="1" customFormat="1" hidden="1" outlineLevel="1" x14ac:dyDescent="0.25">
      <c r="A29" s="1" t="s">
        <v>157</v>
      </c>
      <c r="B29" s="1" t="s">
        <v>453</v>
      </c>
      <c r="C29" s="1">
        <f>+C11*C13</f>
        <v>0</v>
      </c>
      <c r="D29" s="1">
        <f>+((C14/1000)*'Quote Master'!$I$4)+'Quote Master'!$I$5</f>
        <v>199259.25925925924</v>
      </c>
      <c r="E29" s="1">
        <f>C29*D29*0.6</f>
        <v>0</v>
      </c>
      <c r="F29" s="1">
        <v>0</v>
      </c>
      <c r="G29" s="1">
        <f t="shared" ref="G29:G30" si="4">G28</f>
        <v>2</v>
      </c>
      <c r="H29" s="1">
        <v>1</v>
      </c>
    </row>
    <row r="30" spans="1:8" s="1" customFormat="1" hidden="1" outlineLevel="1" x14ac:dyDescent="0.25">
      <c r="A30" s="1" t="s">
        <v>157</v>
      </c>
      <c r="B30" s="1" t="s">
        <v>462</v>
      </c>
      <c r="C30" s="1">
        <f>+C20</f>
        <v>0</v>
      </c>
      <c r="D30" s="1">
        <f>+((C21/1000)*'Quote Master'!$I$4)+'Quote Master'!$I$5</f>
        <v>217777.77777777775</v>
      </c>
      <c r="E30" s="1">
        <f>C30*D30*0.6</f>
        <v>0</v>
      </c>
      <c r="F30" s="1">
        <v>0</v>
      </c>
      <c r="G30" s="1">
        <f t="shared" si="4"/>
        <v>2</v>
      </c>
      <c r="H30" s="1">
        <v>1</v>
      </c>
    </row>
    <row r="31" spans="1:8" s="1" customFormat="1" hidden="1" outlineLevel="1" x14ac:dyDescent="0.25">
      <c r="D31" s="2" t="s">
        <v>87</v>
      </c>
      <c r="E31" s="2">
        <f>SUM(E25:E29)</f>
        <v>0</v>
      </c>
      <c r="F31" s="1">
        <f>SUM(F25:F29)</f>
        <v>0</v>
      </c>
    </row>
    <row r="32" spans="1:8" s="1" customFormat="1" hidden="1" outlineLevel="1" x14ac:dyDescent="0.25">
      <c r="A32" s="1" t="s">
        <v>157</v>
      </c>
      <c r="B32" s="1" t="s">
        <v>240</v>
      </c>
      <c r="C32" s="3">
        <f>E31</f>
        <v>0</v>
      </c>
    </row>
    <row r="33" spans="1:3" s="1" customFormat="1" hidden="1" outlineLevel="1" x14ac:dyDescent="0.25">
      <c r="A33" s="1" t="s">
        <v>157</v>
      </c>
      <c r="B33" s="1" t="s">
        <v>241</v>
      </c>
      <c r="C33" s="3">
        <f>F31*'Induct Line for Swedi'!D14</f>
        <v>0</v>
      </c>
    </row>
    <row r="34" spans="1:3" s="1" customFormat="1" hidden="1" outlineLevel="1" x14ac:dyDescent="0.25">
      <c r="A34" s="1" t="s">
        <v>157</v>
      </c>
      <c r="B34" s="1" t="s">
        <v>243</v>
      </c>
      <c r="C34" s="3">
        <f>+C11*'Induct Line for Swedi'!D13</f>
        <v>0</v>
      </c>
    </row>
    <row r="35" spans="1:3" s="1" customFormat="1" collapsed="1" x14ac:dyDescent="0.25">
      <c r="A35" s="1" t="s">
        <v>157</v>
      </c>
      <c r="B35" s="2" t="s">
        <v>244</v>
      </c>
      <c r="C35" s="137">
        <f>SUM(C32:C34)</f>
        <v>0</v>
      </c>
    </row>
    <row r="36" spans="1:3" s="1" customFormat="1" x14ac:dyDescent="0.25">
      <c r="B36" s="1" t="s">
        <v>245</v>
      </c>
      <c r="C36" s="3">
        <f>+(C11)</f>
        <v>0</v>
      </c>
    </row>
    <row r="37" spans="1:3" s="1" customFormat="1" x14ac:dyDescent="0.25">
      <c r="B37" s="56" t="s">
        <v>246</v>
      </c>
      <c r="C37" s="3" t="s">
        <v>145</v>
      </c>
    </row>
    <row r="38" spans="1:3" s="1" customFormat="1" x14ac:dyDescent="0.25">
      <c r="B38" s="1" t="s">
        <v>247</v>
      </c>
      <c r="C38" s="3">
        <f>+IF(C37="Yes",(C36*'Quote Master'!$I$72),0)</f>
        <v>0</v>
      </c>
    </row>
    <row r="39" spans="1:3" s="1" customFormat="1" ht="15.75" x14ac:dyDescent="0.25">
      <c r="B39" s="14" t="s">
        <v>212</v>
      </c>
      <c r="C39" s="137">
        <f>(C35/H1)+C38</f>
        <v>0</v>
      </c>
    </row>
    <row r="40" spans="1:3" s="1" customFormat="1" x14ac:dyDescent="0.25">
      <c r="B40" s="12" t="s">
        <v>248</v>
      </c>
      <c r="C40" s="12">
        <v>0</v>
      </c>
    </row>
    <row r="41" spans="1:3" s="1" customFormat="1" x14ac:dyDescent="0.25">
      <c r="B41" s="12" t="s">
        <v>249</v>
      </c>
      <c r="C41" s="12" t="s">
        <v>250</v>
      </c>
    </row>
    <row r="42" spans="1:3" s="1" customFormat="1" x14ac:dyDescent="0.25">
      <c r="B42" s="2" t="s">
        <v>251</v>
      </c>
      <c r="C42" s="16">
        <f>+VLOOKUP(C41,'Weighing Conveyors'!$D$1:$L$8,9,FALSE)*C40</f>
        <v>0</v>
      </c>
    </row>
    <row r="44" spans="1:3" x14ac:dyDescent="0.25">
      <c r="B44" s="2" t="s">
        <v>463</v>
      </c>
      <c r="C44" s="137">
        <f>+C39+F9+C42</f>
        <v>0</v>
      </c>
    </row>
  </sheetData>
  <dataValidations disablePrompts="1" count="1">
    <dataValidation type="whole" operator="greaterThanOrEqual" allowBlank="1" showInputMessage="1" showErrorMessage="1" sqref="C11 C13:C15" xr:uid="{E89ADEC9-05BA-44C5-B19C-AC03E57D7FCE}">
      <formula1>0</formula1>
    </dataValidation>
  </dataValidations>
  <hyperlinks>
    <hyperlink ref="G2" r:id="rId1" xr:uid="{B3B6B962-D223-477E-B9D9-04E9A2D086F9}"/>
  </hyperlinks>
  <pageMargins left="0.7" right="0.7" top="0.75" bottom="0.75" header="0.3" footer="0.3"/>
  <ignoredErrors>
    <ignoredError sqref="D29" formula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51B39063-F376-403A-8053-95F17F18A548}">
          <x14:formula1>
            <xm:f>Selection!$B$13:$B$14</xm:f>
          </x14:formula1>
          <xm:sqref>C37</xm:sqref>
        </x14:dataValidation>
        <x14:dataValidation type="list" allowBlank="1" showInputMessage="1" showErrorMessage="1" xr:uid="{58A12AEE-B8A0-4EA7-BA50-1A8EC442201D}">
          <x14:formula1>
            <xm:f>Selection!$C$22:$C$24</xm:f>
          </x14:formula1>
          <xm:sqref>C12</xm:sqref>
        </x14:dataValidation>
        <x14:dataValidation type="list" allowBlank="1" showInputMessage="1" showErrorMessage="1" xr:uid="{FEDE6535-8124-407F-8987-18B473DCF1EC}">
          <x14:formula1>
            <xm:f>'Quote Master'!$C$111:$C$112</xm:f>
          </x14:formula1>
          <xm:sqref>B4</xm:sqref>
        </x14:dataValidation>
        <x14:dataValidation type="list" allowBlank="1" showInputMessage="1" showErrorMessage="1" xr:uid="{A5624F37-7B1B-41D3-A23C-8A302D22F844}">
          <x14:formula1>
            <xm:f>'Quote Master'!$C$107:$C$110</xm:f>
          </x14:formula1>
          <xm:sqref>B3</xm:sqref>
        </x14:dataValidation>
        <x14:dataValidation type="list" allowBlank="1" showInputMessage="1" showErrorMessage="1" xr:uid="{2A941D16-1D57-4D63-8A5B-A12F5E7D52B4}">
          <x14:formula1>
            <xm:f>'Weighing Conveyors'!$D$2:$D$8</xm:f>
          </x14:formula1>
          <xm:sqref>C41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51F2D-4D6F-4CE4-8F06-31B50B3511DA}">
  <sheetPr>
    <tabColor theme="1" tint="4.9989318521683403E-2"/>
  </sheetPr>
  <dimension ref="A1:AY99"/>
  <sheetViews>
    <sheetView topLeftCell="C51" zoomScale="85" zoomScaleNormal="85" workbookViewId="0">
      <selection activeCell="L77" sqref="L77"/>
    </sheetView>
  </sheetViews>
  <sheetFormatPr defaultColWidth="9.140625" defaultRowHeight="15" x14ac:dyDescent="0.25"/>
  <cols>
    <col min="1" max="1" width="9" style="1" customWidth="1"/>
    <col min="2" max="2" width="30.85546875" style="1" bestFit="1" customWidth="1"/>
    <col min="3" max="3" width="13.140625" style="1" bestFit="1" customWidth="1"/>
    <col min="4" max="5" width="11" style="1" bestFit="1" customWidth="1"/>
    <col min="6" max="6" width="30.42578125" style="1" bestFit="1" customWidth="1"/>
    <col min="7" max="7" width="27.7109375" style="1" bestFit="1" customWidth="1"/>
    <col min="8" max="8" width="28.42578125" style="1" bestFit="1" customWidth="1"/>
    <col min="9" max="9" width="9.7109375" style="1" bestFit="1" customWidth="1"/>
    <col min="10" max="10" width="16" style="1" bestFit="1" customWidth="1"/>
    <col min="11" max="11" width="17" style="1" bestFit="1" customWidth="1"/>
    <col min="12" max="12" width="36.140625" style="1" bestFit="1" customWidth="1"/>
    <col min="13" max="13" width="30.85546875" style="1" bestFit="1" customWidth="1"/>
    <col min="14" max="14" width="26.5703125" style="1" bestFit="1" customWidth="1"/>
    <col min="15" max="15" width="10.42578125" style="1" bestFit="1" customWidth="1"/>
    <col min="16" max="16" width="18.7109375" style="1" bestFit="1" customWidth="1"/>
    <col min="17" max="17" width="18.140625" style="3" bestFit="1" customWidth="1"/>
    <col min="18" max="18" width="20" style="1" bestFit="1" customWidth="1"/>
    <col min="19" max="19" width="19" style="1" bestFit="1" customWidth="1"/>
    <col min="20" max="20" width="19.85546875" style="1" bestFit="1" customWidth="1"/>
    <col min="21" max="16384" width="9.140625" style="1"/>
  </cols>
  <sheetData>
    <row r="1" spans="1:51" ht="18.75" x14ac:dyDescent="0.3">
      <c r="M1" s="91"/>
      <c r="N1" s="91"/>
      <c r="P1" s="226" t="s">
        <v>108</v>
      </c>
      <c r="Q1" s="555">
        <f>'Overall Costing'!M1</f>
        <v>0.67500000000000004</v>
      </c>
    </row>
    <row r="2" spans="1:51" ht="15.75" x14ac:dyDescent="0.25">
      <c r="A2" s="109" t="s">
        <v>464</v>
      </c>
      <c r="B2" s="110" t="s">
        <v>465</v>
      </c>
      <c r="C2" s="110" t="s">
        <v>466</v>
      </c>
      <c r="D2" s="110" t="s">
        <v>467</v>
      </c>
      <c r="E2" s="110" t="s">
        <v>468</v>
      </c>
      <c r="F2" s="111" t="s">
        <v>469</v>
      </c>
      <c r="G2" s="111" t="s">
        <v>470</v>
      </c>
      <c r="H2" s="111" t="s">
        <v>471</v>
      </c>
      <c r="I2" s="111" t="s">
        <v>3</v>
      </c>
      <c r="J2" s="111" t="s">
        <v>317</v>
      </c>
      <c r="K2" s="111" t="s">
        <v>472</v>
      </c>
      <c r="L2" s="111" t="s">
        <v>473</v>
      </c>
      <c r="M2" s="111" t="s">
        <v>474</v>
      </c>
      <c r="N2" s="111" t="s">
        <v>475</v>
      </c>
      <c r="O2" s="111" t="s">
        <v>476</v>
      </c>
      <c r="P2" s="111" t="s">
        <v>477</v>
      </c>
      <c r="Q2" s="315" t="s">
        <v>478</v>
      </c>
      <c r="R2" s="110" t="s">
        <v>107</v>
      </c>
      <c r="S2" s="110" t="s">
        <v>479</v>
      </c>
    </row>
    <row r="3" spans="1:51" x14ac:dyDescent="0.25">
      <c r="A3" s="52">
        <v>1</v>
      </c>
      <c r="B3" s="48" t="s">
        <v>1130</v>
      </c>
      <c r="C3" s="223">
        <v>0</v>
      </c>
      <c r="D3" s="58">
        <v>4050</v>
      </c>
      <c r="E3" s="58">
        <v>4050</v>
      </c>
      <c r="F3" s="58">
        <v>5760</v>
      </c>
      <c r="G3" s="562">
        <f t="shared" ref="G3:G22" si="0">F3/1000</f>
        <v>5.76</v>
      </c>
      <c r="H3" s="58">
        <v>1210</v>
      </c>
      <c r="I3" s="49">
        <v>1</v>
      </c>
      <c r="J3" s="49"/>
      <c r="K3" s="49"/>
      <c r="L3" s="562">
        <f>IF(C3&lt;=0,4,5.5)</f>
        <v>4</v>
      </c>
      <c r="M3" s="99">
        <f>VLOOKUP(H3,'Conveyor Costing'!$B$3:$F$7,5,0)*3</f>
        <v>381531.84921649477</v>
      </c>
      <c r="N3" s="99">
        <f>VLOOKUP(L3,'Conveyor Costing'!$T$24:$AB$38,9,0)</f>
        <v>143651.5</v>
      </c>
      <c r="O3" s="99">
        <f>VLOOKUP(H3,'Conveyor Costing'!$B$3:$G$7,6,0)*3</f>
        <v>55400.09809452988</v>
      </c>
      <c r="P3" s="563">
        <f t="shared" ref="P3:P16" si="1">IF(G3&lt;2.4,((M3+((0)*O3))+N3)*I3,((M3+((G3-2.4)*O3))+N3)*I3)</f>
        <v>711327.67881411512</v>
      </c>
      <c r="Q3" s="476">
        <f t="shared" ref="Q3:Q16" si="2">P3/$Q$1</f>
        <v>1053818.7834283186</v>
      </c>
      <c r="R3" s="58" t="s">
        <v>481</v>
      </c>
      <c r="S3" s="565">
        <f>Q3/'Overall Costing'!$M$5</f>
        <v>11210.838121577857</v>
      </c>
    </row>
    <row r="4" spans="1:51" x14ac:dyDescent="0.25">
      <c r="A4" s="52">
        <v>2</v>
      </c>
      <c r="B4" s="48" t="s">
        <v>1130</v>
      </c>
      <c r="C4" s="223">
        <v>0</v>
      </c>
      <c r="D4" s="58">
        <v>550</v>
      </c>
      <c r="E4" s="58">
        <v>550</v>
      </c>
      <c r="F4" s="58">
        <v>5760</v>
      </c>
      <c r="G4" s="562">
        <f t="shared" si="0"/>
        <v>5.76</v>
      </c>
      <c r="H4" s="58">
        <v>1210</v>
      </c>
      <c r="I4" s="49">
        <v>1</v>
      </c>
      <c r="J4" s="566"/>
      <c r="K4" s="566"/>
      <c r="L4" s="562">
        <f t="shared" ref="L4:L21" si="3">IF(C4&lt;=0,4,5.5)</f>
        <v>4</v>
      </c>
      <c r="M4" s="99">
        <f>VLOOKUP(H4,'Conveyor Costing'!$B$3:$F$7,5,0)*3</f>
        <v>381531.84921649477</v>
      </c>
      <c r="N4" s="99">
        <f>VLOOKUP(L4,'Conveyor Costing'!$T$24:$AB$38,9,0)</f>
        <v>143651.5</v>
      </c>
      <c r="O4" s="99">
        <f>VLOOKUP(H4,'Conveyor Costing'!$B$3:$G$7,6,0)*3</f>
        <v>55400.09809452988</v>
      </c>
      <c r="P4" s="563">
        <f t="shared" si="1"/>
        <v>711327.67881411512</v>
      </c>
      <c r="Q4" s="476">
        <f t="shared" si="2"/>
        <v>1053818.7834283186</v>
      </c>
      <c r="R4" s="58" t="s">
        <v>481</v>
      </c>
      <c r="S4" s="565">
        <f>Q4/'Overall Costing'!$M$5</f>
        <v>11210.838121577857</v>
      </c>
    </row>
    <row r="5" spans="1:51" x14ac:dyDescent="0.25">
      <c r="A5" s="52">
        <v>3</v>
      </c>
      <c r="B5" s="48" t="s">
        <v>480</v>
      </c>
      <c r="C5" s="223">
        <v>14.3</v>
      </c>
      <c r="D5" s="58">
        <v>3548</v>
      </c>
      <c r="E5" s="58">
        <v>5180</v>
      </c>
      <c r="F5" s="58">
        <v>6440</v>
      </c>
      <c r="G5" s="562">
        <f t="shared" si="0"/>
        <v>6.44</v>
      </c>
      <c r="H5" s="58">
        <v>1210</v>
      </c>
      <c r="I5" s="49">
        <v>1</v>
      </c>
      <c r="J5" s="566"/>
      <c r="K5" s="566"/>
      <c r="L5" s="562">
        <f t="shared" si="3"/>
        <v>5.5</v>
      </c>
      <c r="M5" s="99">
        <f>VLOOKUP(H5,'Conveyor Costing'!$B$3:$F$7,5,0)*2</f>
        <v>254354.56614432984</v>
      </c>
      <c r="N5" s="99">
        <f>VLOOKUP(L5,'Conveyor Costing'!$T$24:$AB$38,9,0)</f>
        <v>169290</v>
      </c>
      <c r="O5" s="99">
        <f>VLOOKUP(H5,'Conveyor Costing'!$B$3:$G$7,6,0)*2</f>
        <v>36933.398729686589</v>
      </c>
      <c r="P5" s="563">
        <f t="shared" si="1"/>
        <v>572855.49701226363</v>
      </c>
      <c r="Q5" s="476">
        <f t="shared" si="2"/>
        <v>848674.81038853864</v>
      </c>
      <c r="R5" s="58" t="s">
        <v>481</v>
      </c>
      <c r="S5" s="565">
        <f>Q5/'Overall Costing'!$M$5</f>
        <v>9028.4554296653041</v>
      </c>
    </row>
    <row r="6" spans="1:51" x14ac:dyDescent="0.25">
      <c r="A6" s="52">
        <v>4</v>
      </c>
      <c r="B6" s="48" t="s">
        <v>480</v>
      </c>
      <c r="C6" s="223">
        <v>0</v>
      </c>
      <c r="D6" s="58">
        <v>550</v>
      </c>
      <c r="E6" s="58">
        <v>550</v>
      </c>
      <c r="F6" s="58">
        <v>5760</v>
      </c>
      <c r="G6" s="562">
        <f t="shared" si="0"/>
        <v>5.76</v>
      </c>
      <c r="H6" s="58">
        <v>1210</v>
      </c>
      <c r="I6" s="49">
        <v>1</v>
      </c>
      <c r="J6" s="566"/>
      <c r="K6" s="566"/>
      <c r="L6" s="562">
        <f t="shared" si="3"/>
        <v>4</v>
      </c>
      <c r="M6" s="99">
        <f>VLOOKUP(H6,'Conveyor Costing'!$B$3:$F$7,5,0)*2</f>
        <v>254354.56614432984</v>
      </c>
      <c r="N6" s="99">
        <f>VLOOKUP(L6,'Conveyor Costing'!$T$24:$AB$38,9,0)</f>
        <v>143651.5</v>
      </c>
      <c r="O6" s="99">
        <f>VLOOKUP(H6,'Conveyor Costing'!$B$3:$G$7,6,0)*2</f>
        <v>36933.398729686589</v>
      </c>
      <c r="P6" s="563">
        <f t="shared" si="1"/>
        <v>522102.28587607678</v>
      </c>
      <c r="Q6" s="476">
        <f t="shared" si="2"/>
        <v>773484.86796455819</v>
      </c>
      <c r="R6" s="58" t="s">
        <v>481</v>
      </c>
      <c r="S6" s="565">
        <f>Q6/'Overall Costing'!$M$5</f>
        <v>8228.5624251548743</v>
      </c>
    </row>
    <row r="7" spans="1:51" x14ac:dyDescent="0.25">
      <c r="A7" s="52">
        <v>5</v>
      </c>
      <c r="B7" s="48" t="s">
        <v>480</v>
      </c>
      <c r="C7" s="223">
        <v>14.8</v>
      </c>
      <c r="D7" s="58">
        <v>2350</v>
      </c>
      <c r="E7" s="58">
        <v>4433</v>
      </c>
      <c r="F7" s="58">
        <v>8000</v>
      </c>
      <c r="G7" s="562">
        <f t="shared" si="0"/>
        <v>8</v>
      </c>
      <c r="H7" s="58">
        <v>1210</v>
      </c>
      <c r="I7" s="49">
        <v>1</v>
      </c>
      <c r="J7" s="566"/>
      <c r="K7" s="566"/>
      <c r="L7" s="562">
        <v>7.5</v>
      </c>
      <c r="M7" s="99">
        <f>VLOOKUP(H7,'Conveyor Costing'!$B$3:$F$7,5,0)*2</f>
        <v>254354.56614432984</v>
      </c>
      <c r="N7" s="99">
        <f>VLOOKUP(L7,'Conveyor Costing'!$T$24:$AB$38,9,0)</f>
        <v>249400</v>
      </c>
      <c r="O7" s="99">
        <f>VLOOKUP(H7,'Conveyor Costing'!$B$3:$G$7,6,0)*2</f>
        <v>36933.398729686589</v>
      </c>
      <c r="P7" s="563">
        <f t="shared" si="1"/>
        <v>710581.59903057478</v>
      </c>
      <c r="Q7" s="476">
        <f t="shared" si="2"/>
        <v>1052713.480045296</v>
      </c>
      <c r="R7" s="58" t="s">
        <v>481</v>
      </c>
      <c r="S7" s="565">
        <f>Q7/'Overall Costing'!$M$5</f>
        <v>11199.079574949958</v>
      </c>
    </row>
    <row r="8" spans="1:51" x14ac:dyDescent="0.25">
      <c r="A8" s="52">
        <v>6</v>
      </c>
      <c r="B8" s="48" t="s">
        <v>480</v>
      </c>
      <c r="C8" s="223">
        <v>0</v>
      </c>
      <c r="D8" s="58">
        <v>2452</v>
      </c>
      <c r="E8" s="58">
        <v>2452</v>
      </c>
      <c r="F8" s="58">
        <v>2000</v>
      </c>
      <c r="G8" s="562">
        <f t="shared" si="0"/>
        <v>2</v>
      </c>
      <c r="H8" s="58">
        <v>1210</v>
      </c>
      <c r="I8" s="49">
        <v>1</v>
      </c>
      <c r="J8" s="566"/>
      <c r="K8" s="566"/>
      <c r="L8" s="562">
        <f t="shared" si="3"/>
        <v>4</v>
      </c>
      <c r="M8" s="99">
        <f>VLOOKUP(H8,'Conveyor Costing'!$B$3:$F$7,5,0)*2</f>
        <v>254354.56614432984</v>
      </c>
      <c r="N8" s="99">
        <f>VLOOKUP(L8,'Conveyor Costing'!$T$24:$AB$38,9,0)</f>
        <v>143651.5</v>
      </c>
      <c r="O8" s="99">
        <f>VLOOKUP(H8,'Conveyor Costing'!$B$3:$G$7,6,0)*2</f>
        <v>36933.398729686589</v>
      </c>
      <c r="P8" s="563">
        <f t="shared" si="1"/>
        <v>398006.06614432984</v>
      </c>
      <c r="Q8" s="476">
        <f t="shared" si="2"/>
        <v>589638.61651011824</v>
      </c>
      <c r="R8" s="58" t="s">
        <v>481</v>
      </c>
      <c r="S8" s="565">
        <f>Q8/'Overall Costing'!$M$5</f>
        <v>6272.7512394693431</v>
      </c>
    </row>
    <row r="9" spans="1:51" x14ac:dyDescent="0.25">
      <c r="A9" s="52">
        <v>7</v>
      </c>
      <c r="B9" s="48" t="s">
        <v>480</v>
      </c>
      <c r="C9" s="223">
        <v>14.8</v>
      </c>
      <c r="D9" s="58">
        <v>448</v>
      </c>
      <c r="E9" s="58">
        <v>2532</v>
      </c>
      <c r="F9" s="58">
        <v>8000</v>
      </c>
      <c r="G9" s="562">
        <f t="shared" si="0"/>
        <v>8</v>
      </c>
      <c r="H9" s="58">
        <v>1210</v>
      </c>
      <c r="I9" s="49">
        <v>1</v>
      </c>
      <c r="J9" s="566"/>
      <c r="K9" s="566"/>
      <c r="L9" s="562">
        <v>7.5</v>
      </c>
      <c r="M9" s="99">
        <f>VLOOKUP(H9,'Conveyor Costing'!$B$3:$F$7,5,0)*2</f>
        <v>254354.56614432984</v>
      </c>
      <c r="N9" s="99">
        <f>VLOOKUP(L9,'Conveyor Costing'!$T$24:$AB$38,9,0)</f>
        <v>249400</v>
      </c>
      <c r="O9" s="99">
        <f>VLOOKUP(H9,'Conveyor Costing'!$B$3:$G$7,6,0)*2</f>
        <v>36933.398729686589</v>
      </c>
      <c r="P9" s="563">
        <f t="shared" si="1"/>
        <v>710581.59903057478</v>
      </c>
      <c r="Q9" s="476">
        <f t="shared" si="2"/>
        <v>1052713.480045296</v>
      </c>
      <c r="R9" s="58" t="s">
        <v>481</v>
      </c>
      <c r="S9" s="565">
        <f>Q9/'Overall Costing'!$M$5</f>
        <v>11199.079574949958</v>
      </c>
    </row>
    <row r="10" spans="1:51" x14ac:dyDescent="0.25">
      <c r="A10" s="52">
        <v>8</v>
      </c>
      <c r="B10" s="48" t="s">
        <v>480</v>
      </c>
      <c r="C10" s="223">
        <v>0</v>
      </c>
      <c r="D10" s="58">
        <v>550</v>
      </c>
      <c r="E10" s="58">
        <v>550</v>
      </c>
      <c r="F10" s="58">
        <v>5760</v>
      </c>
      <c r="G10" s="562">
        <f t="shared" si="0"/>
        <v>5.76</v>
      </c>
      <c r="H10" s="58">
        <v>1210</v>
      </c>
      <c r="I10" s="49">
        <v>1</v>
      </c>
      <c r="J10" s="566"/>
      <c r="K10" s="566"/>
      <c r="L10" s="562">
        <f t="shared" si="3"/>
        <v>4</v>
      </c>
      <c r="M10" s="99">
        <f>VLOOKUP(H10,'Conveyor Costing'!$B$3:$F$7,5,0)*2</f>
        <v>254354.56614432984</v>
      </c>
      <c r="N10" s="99">
        <f>VLOOKUP(L10,'Conveyor Costing'!$T$24:$AB$38,9,0)</f>
        <v>143651.5</v>
      </c>
      <c r="O10" s="99">
        <f>VLOOKUP(H10,'Conveyor Costing'!$B$3:$G$7,6,0)*2</f>
        <v>36933.398729686589</v>
      </c>
      <c r="P10" s="563">
        <f t="shared" si="1"/>
        <v>522102.28587607678</v>
      </c>
      <c r="Q10" s="476">
        <f t="shared" si="2"/>
        <v>773484.86796455819</v>
      </c>
      <c r="R10" s="58" t="s">
        <v>481</v>
      </c>
      <c r="S10" s="565">
        <f>Q10/'Overall Costing'!$M$5</f>
        <v>8228.5624251548743</v>
      </c>
    </row>
    <row r="11" spans="1:51" x14ac:dyDescent="0.25">
      <c r="A11" s="52">
        <v>9</v>
      </c>
      <c r="B11" s="48" t="s">
        <v>480</v>
      </c>
      <c r="C11" s="223">
        <v>0</v>
      </c>
      <c r="D11" s="58">
        <v>3650</v>
      </c>
      <c r="E11" s="58">
        <v>3650</v>
      </c>
      <c r="F11" s="58">
        <v>3840</v>
      </c>
      <c r="G11" s="562">
        <f t="shared" si="0"/>
        <v>3.84</v>
      </c>
      <c r="H11" s="58">
        <v>1210</v>
      </c>
      <c r="I11" s="49">
        <v>1</v>
      </c>
      <c r="J11" s="49"/>
      <c r="K11" s="49"/>
      <c r="L11" s="562">
        <f t="shared" si="3"/>
        <v>4</v>
      </c>
      <c r="M11" s="99">
        <f>VLOOKUP(H11,'Conveyor Costing'!$B$3:$F$7,5,0)*2</f>
        <v>254354.56614432984</v>
      </c>
      <c r="N11" s="99">
        <f>VLOOKUP(L11,'Conveyor Costing'!$T$24:$AB$38,9,0)</f>
        <v>143651.5</v>
      </c>
      <c r="O11" s="99">
        <f>VLOOKUP(H11,'Conveyor Costing'!$B$3:$G$7,6,0)*2</f>
        <v>36933.398729686589</v>
      </c>
      <c r="P11" s="563">
        <f t="shared" si="1"/>
        <v>451190.16031507851</v>
      </c>
      <c r="Q11" s="476">
        <f t="shared" si="2"/>
        <v>668429.86713344965</v>
      </c>
      <c r="R11" s="58" t="s">
        <v>481</v>
      </c>
      <c r="S11" s="565">
        <f>Q11/'Overall Costing'!$M$5</f>
        <v>7110.9560333345707</v>
      </c>
    </row>
    <row r="12" spans="1:51" x14ac:dyDescent="0.25">
      <c r="A12" s="52">
        <v>10</v>
      </c>
      <c r="B12" s="48" t="s">
        <v>480</v>
      </c>
      <c r="C12" s="223">
        <v>0</v>
      </c>
      <c r="D12" s="58">
        <v>550</v>
      </c>
      <c r="E12" s="58">
        <v>550</v>
      </c>
      <c r="F12" s="58">
        <v>5760</v>
      </c>
      <c r="G12" s="562">
        <f t="shared" si="0"/>
        <v>5.76</v>
      </c>
      <c r="H12" s="58">
        <v>1210</v>
      </c>
      <c r="I12" s="49">
        <v>1</v>
      </c>
      <c r="J12" s="49"/>
      <c r="K12" s="49"/>
      <c r="L12" s="562">
        <f t="shared" si="3"/>
        <v>4</v>
      </c>
      <c r="M12" s="99">
        <f>VLOOKUP(H12,'Conveyor Costing'!$B$3:$F$7,5,0)*2</f>
        <v>254354.56614432984</v>
      </c>
      <c r="N12" s="99">
        <f>VLOOKUP(L12,'Conveyor Costing'!$T$24:$AB$38,9,0)</f>
        <v>143651.5</v>
      </c>
      <c r="O12" s="99">
        <f>VLOOKUP(H12,'Conveyor Costing'!$B$3:$G$7,6,0)*2</f>
        <v>36933.398729686589</v>
      </c>
      <c r="P12" s="563">
        <f t="shared" si="1"/>
        <v>522102.28587607678</v>
      </c>
      <c r="Q12" s="476">
        <f t="shared" si="2"/>
        <v>773484.86796455819</v>
      </c>
      <c r="R12" s="58" t="s">
        <v>481</v>
      </c>
      <c r="S12" s="565">
        <f>Q12/'Overall Costing'!$M$5</f>
        <v>8228.5624251548743</v>
      </c>
    </row>
    <row r="13" spans="1:51" x14ac:dyDescent="0.25">
      <c r="A13" s="52">
        <v>11</v>
      </c>
      <c r="B13" s="48" t="s">
        <v>480</v>
      </c>
      <c r="C13" s="223">
        <v>0</v>
      </c>
      <c r="D13" s="58">
        <v>2452</v>
      </c>
      <c r="E13" s="58">
        <v>2452</v>
      </c>
      <c r="F13" s="58">
        <v>2000</v>
      </c>
      <c r="G13" s="562">
        <f t="shared" si="0"/>
        <v>2</v>
      </c>
      <c r="H13" s="58">
        <v>1210</v>
      </c>
      <c r="I13" s="49">
        <v>1</v>
      </c>
      <c r="J13" s="49"/>
      <c r="K13" s="49"/>
      <c r="L13" s="562">
        <f t="shared" si="3"/>
        <v>4</v>
      </c>
      <c r="M13" s="99">
        <f>VLOOKUP(H13,'Conveyor Costing'!$B$3:$F$7,5,0)*2</f>
        <v>254354.56614432984</v>
      </c>
      <c r="N13" s="99">
        <f>VLOOKUP(L13,'Conveyor Costing'!$T$24:$AB$38,9,0)</f>
        <v>143651.5</v>
      </c>
      <c r="O13" s="99">
        <f>VLOOKUP(H13,'Conveyor Costing'!$B$3:$G$7,6,0)*2</f>
        <v>36933.398729686589</v>
      </c>
      <c r="P13" s="563">
        <f t="shared" si="1"/>
        <v>398006.06614432984</v>
      </c>
      <c r="Q13" s="476">
        <f t="shared" si="2"/>
        <v>589638.61651011824</v>
      </c>
      <c r="R13" s="58" t="s">
        <v>481</v>
      </c>
      <c r="S13" s="565">
        <f>Q13/'Overall Costing'!$M$5</f>
        <v>6272.7512394693431</v>
      </c>
    </row>
    <row r="14" spans="1:51" x14ac:dyDescent="0.25">
      <c r="A14" s="52">
        <v>12</v>
      </c>
      <c r="B14" s="48" t="s">
        <v>480</v>
      </c>
      <c r="C14" s="223">
        <v>14.8</v>
      </c>
      <c r="D14" s="58">
        <v>2350</v>
      </c>
      <c r="E14" s="58">
        <v>4433</v>
      </c>
      <c r="F14" s="58">
        <v>8000</v>
      </c>
      <c r="G14" s="562">
        <f t="shared" si="0"/>
        <v>8</v>
      </c>
      <c r="H14" s="58">
        <v>1210</v>
      </c>
      <c r="I14" s="49">
        <v>1</v>
      </c>
      <c r="J14" s="49"/>
      <c r="K14" s="49"/>
      <c r="L14" s="562">
        <v>7.5</v>
      </c>
      <c r="M14" s="99">
        <f>VLOOKUP(H14,'Conveyor Costing'!$B$3:$F$7,5,0)*2</f>
        <v>254354.56614432984</v>
      </c>
      <c r="N14" s="99">
        <f>VLOOKUP(L14,'Conveyor Costing'!$T$24:$AB$38,9,0)</f>
        <v>249400</v>
      </c>
      <c r="O14" s="99">
        <f>VLOOKUP(H14,'Conveyor Costing'!$B$3:$G$7,6,0)*2</f>
        <v>36933.398729686589</v>
      </c>
      <c r="P14" s="563">
        <f t="shared" si="1"/>
        <v>710581.59903057478</v>
      </c>
      <c r="Q14" s="476">
        <f t="shared" si="2"/>
        <v>1052713.480045296</v>
      </c>
      <c r="R14" s="58" t="s">
        <v>481</v>
      </c>
      <c r="S14" s="565">
        <f>Q14/'Overall Costing'!$M$5</f>
        <v>11199.079574949958</v>
      </c>
    </row>
    <row r="15" spans="1:51" s="549" customFormat="1" x14ac:dyDescent="0.25">
      <c r="A15" s="52">
        <v>13</v>
      </c>
      <c r="B15" s="48" t="s">
        <v>480</v>
      </c>
      <c r="C15" s="223">
        <v>0</v>
      </c>
      <c r="D15" s="58">
        <v>550</v>
      </c>
      <c r="E15" s="58">
        <v>550</v>
      </c>
      <c r="F15" s="58">
        <v>5760</v>
      </c>
      <c r="G15" s="562">
        <f t="shared" si="0"/>
        <v>5.76</v>
      </c>
      <c r="H15" s="58">
        <v>1210</v>
      </c>
      <c r="I15" s="49">
        <v>1</v>
      </c>
      <c r="J15" s="49"/>
      <c r="K15" s="49"/>
      <c r="L15" s="562">
        <f t="shared" si="3"/>
        <v>4</v>
      </c>
      <c r="M15" s="99">
        <f>VLOOKUP(H15,'Conveyor Costing'!$B$3:$F$7,5,0)*2</f>
        <v>254354.56614432984</v>
      </c>
      <c r="N15" s="99">
        <f>VLOOKUP(L15,'Conveyor Costing'!$T$24:$AB$38,9,0)</f>
        <v>143651.5</v>
      </c>
      <c r="O15" s="99">
        <f>VLOOKUP(H15,'Conveyor Costing'!$B$3:$G$7,6,0)*2</f>
        <v>36933.398729686589</v>
      </c>
      <c r="P15" s="563">
        <f t="shared" si="1"/>
        <v>522102.28587607678</v>
      </c>
      <c r="Q15" s="476">
        <f t="shared" si="2"/>
        <v>773484.86796455819</v>
      </c>
      <c r="R15" s="58" t="s">
        <v>481</v>
      </c>
      <c r="S15" s="565">
        <f>Q15/'Overall Costing'!$M$5</f>
        <v>8228.5624251548743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52">
        <v>14</v>
      </c>
      <c r="B16" s="48" t="s">
        <v>480</v>
      </c>
      <c r="C16" s="223">
        <v>14.3</v>
      </c>
      <c r="D16" s="58">
        <v>3548</v>
      </c>
      <c r="E16" s="58">
        <v>5180</v>
      </c>
      <c r="F16" s="58">
        <v>6440</v>
      </c>
      <c r="G16" s="562">
        <f t="shared" si="0"/>
        <v>6.44</v>
      </c>
      <c r="H16" s="58">
        <v>1210</v>
      </c>
      <c r="I16" s="49">
        <v>1</v>
      </c>
      <c r="J16" s="49"/>
      <c r="K16" s="49"/>
      <c r="L16" s="562">
        <f t="shared" si="3"/>
        <v>5.5</v>
      </c>
      <c r="M16" s="99">
        <f>VLOOKUP(H16,'Conveyor Costing'!$B$3:$F$7,5,0)*2</f>
        <v>254354.56614432984</v>
      </c>
      <c r="N16" s="99">
        <f>VLOOKUP(L16,'Conveyor Costing'!$T$24:$AB$38,9,0)</f>
        <v>169290</v>
      </c>
      <c r="O16" s="99">
        <f>VLOOKUP(H16,'Conveyor Costing'!$B$3:$G$7,6,0)*2</f>
        <v>36933.398729686589</v>
      </c>
      <c r="P16" s="563">
        <f t="shared" si="1"/>
        <v>572855.49701226363</v>
      </c>
      <c r="Q16" s="476">
        <f t="shared" si="2"/>
        <v>848674.81038853864</v>
      </c>
      <c r="R16" s="58" t="s">
        <v>481</v>
      </c>
      <c r="S16" s="565">
        <f>Q16/'Overall Costing'!$M$5</f>
        <v>9028.4554296653041</v>
      </c>
    </row>
    <row r="17" spans="1:51" x14ac:dyDescent="0.25">
      <c r="A17" s="52">
        <v>15</v>
      </c>
      <c r="B17" s="48" t="s">
        <v>480</v>
      </c>
      <c r="C17" s="223">
        <v>0</v>
      </c>
      <c r="D17" s="58">
        <v>550</v>
      </c>
      <c r="E17" s="58">
        <v>550</v>
      </c>
      <c r="F17" s="58">
        <v>5760</v>
      </c>
      <c r="G17" s="562">
        <f t="shared" si="0"/>
        <v>5.76</v>
      </c>
      <c r="H17" s="58">
        <v>1210</v>
      </c>
      <c r="I17" s="49">
        <v>1</v>
      </c>
      <c r="J17" s="49"/>
      <c r="K17" s="49"/>
      <c r="L17" s="562">
        <f t="shared" si="3"/>
        <v>4</v>
      </c>
      <c r="M17" s="99">
        <f>VLOOKUP(H17,'Conveyor Costing'!$B$3:$F$7,5,0)*2</f>
        <v>254354.56614432984</v>
      </c>
      <c r="N17" s="99">
        <f>VLOOKUP(L17,'Conveyor Costing'!$T$24:$AB$38,9,0)</f>
        <v>143651.5</v>
      </c>
      <c r="O17" s="99">
        <f>VLOOKUP(H17,'Conveyor Costing'!$B$3:$G$7,6,0)*2</f>
        <v>36933.398729686589</v>
      </c>
      <c r="P17" s="563">
        <f t="shared" ref="P17:P22" si="4">IF(G17&lt;2.4,((M17+((0)*O17))+N17)*I17,((M17+((G17-2.4)*O17))+N17)*I17)</f>
        <v>522102.28587607678</v>
      </c>
      <c r="Q17" s="476">
        <f t="shared" ref="Q17:Q22" si="5">P17/$Q$1</f>
        <v>773484.86796455819</v>
      </c>
      <c r="R17" s="58" t="s">
        <v>481</v>
      </c>
      <c r="S17" s="565">
        <f>Q17/'Overall Costing'!$M$5</f>
        <v>8228.5624251548743</v>
      </c>
    </row>
    <row r="18" spans="1:51" x14ac:dyDescent="0.25">
      <c r="A18" s="52">
        <v>16</v>
      </c>
      <c r="B18" s="48" t="s">
        <v>480</v>
      </c>
      <c r="C18" s="223">
        <v>0</v>
      </c>
      <c r="D18" s="58">
        <v>4050</v>
      </c>
      <c r="E18" s="58">
        <v>4050</v>
      </c>
      <c r="F18" s="58">
        <v>5760</v>
      </c>
      <c r="G18" s="562">
        <f t="shared" si="0"/>
        <v>5.76</v>
      </c>
      <c r="H18" s="58">
        <v>1210</v>
      </c>
      <c r="I18" s="49">
        <v>1</v>
      </c>
      <c r="J18" s="49"/>
      <c r="K18" s="49"/>
      <c r="L18" s="562">
        <f t="shared" si="3"/>
        <v>4</v>
      </c>
      <c r="M18" s="99">
        <f>VLOOKUP(H18,'Conveyor Costing'!$B$3:$F$7,5,0)*2</f>
        <v>254354.56614432984</v>
      </c>
      <c r="N18" s="99">
        <f>VLOOKUP(L18,'Conveyor Costing'!$T$24:$AB$38,9,0)</f>
        <v>143651.5</v>
      </c>
      <c r="O18" s="99">
        <f>VLOOKUP(H18,'Conveyor Costing'!$B$3:$G$7,6,0)*2</f>
        <v>36933.398729686589</v>
      </c>
      <c r="P18" s="563">
        <f t="shared" si="4"/>
        <v>522102.28587607678</v>
      </c>
      <c r="Q18" s="476">
        <f t="shared" si="5"/>
        <v>773484.86796455819</v>
      </c>
      <c r="R18" s="58" t="s">
        <v>481</v>
      </c>
      <c r="S18" s="565">
        <f>Q18/'Overall Costing'!$M$5</f>
        <v>8228.5624251548743</v>
      </c>
    </row>
    <row r="19" spans="1:51" x14ac:dyDescent="0.25">
      <c r="A19" s="52">
        <v>17</v>
      </c>
      <c r="B19" s="48" t="s">
        <v>480</v>
      </c>
      <c r="C19" s="223">
        <v>0</v>
      </c>
      <c r="D19" s="58">
        <v>550</v>
      </c>
      <c r="E19" s="58">
        <v>550</v>
      </c>
      <c r="F19" s="58">
        <v>5760</v>
      </c>
      <c r="G19" s="562">
        <f t="shared" si="0"/>
        <v>5.76</v>
      </c>
      <c r="H19" s="58">
        <v>1210</v>
      </c>
      <c r="I19" s="49">
        <v>1</v>
      </c>
      <c r="J19" s="49"/>
      <c r="K19" s="49"/>
      <c r="L19" s="562">
        <f t="shared" si="3"/>
        <v>4</v>
      </c>
      <c r="M19" s="99">
        <f>VLOOKUP(H19,'Conveyor Costing'!$B$3:$F$7,5,0)*2</f>
        <v>254354.56614432984</v>
      </c>
      <c r="N19" s="99">
        <f>VLOOKUP(L19,'Conveyor Costing'!$T$24:$AB$38,9,0)</f>
        <v>143651.5</v>
      </c>
      <c r="O19" s="99">
        <f>VLOOKUP(H19,'Conveyor Costing'!$B$3:$G$7,6,0)*2</f>
        <v>36933.398729686589</v>
      </c>
      <c r="P19" s="563">
        <f t="shared" si="4"/>
        <v>522102.28587607678</v>
      </c>
      <c r="Q19" s="476">
        <f t="shared" si="5"/>
        <v>773484.86796455819</v>
      </c>
      <c r="R19" s="58" t="s">
        <v>481</v>
      </c>
      <c r="S19" s="565">
        <f>Q19/'Overall Costing'!$M$5</f>
        <v>8228.5624251548743</v>
      </c>
    </row>
    <row r="20" spans="1:51" x14ac:dyDescent="0.25">
      <c r="A20" s="52">
        <v>18</v>
      </c>
      <c r="B20" s="48" t="s">
        <v>480</v>
      </c>
      <c r="C20" s="223">
        <v>0</v>
      </c>
      <c r="D20" s="58">
        <v>3650</v>
      </c>
      <c r="E20" s="58">
        <v>3650</v>
      </c>
      <c r="F20" s="58">
        <v>3840</v>
      </c>
      <c r="G20" s="562">
        <f t="shared" si="0"/>
        <v>3.84</v>
      </c>
      <c r="H20" s="58">
        <v>1210</v>
      </c>
      <c r="I20" s="49">
        <v>1</v>
      </c>
      <c r="J20" s="49"/>
      <c r="K20" s="49"/>
      <c r="L20" s="562">
        <f t="shared" si="3"/>
        <v>4</v>
      </c>
      <c r="M20" s="99">
        <f>VLOOKUP(H20,'Conveyor Costing'!$B$3:$F$7,5,0)*2</f>
        <v>254354.56614432984</v>
      </c>
      <c r="N20" s="99">
        <f>VLOOKUP(L20,'Conveyor Costing'!$T$24:$AB$38,9,0)</f>
        <v>143651.5</v>
      </c>
      <c r="O20" s="99">
        <f>VLOOKUP(H20,'Conveyor Costing'!$B$3:$G$7,6,0)*2</f>
        <v>36933.398729686589</v>
      </c>
      <c r="P20" s="563">
        <f t="shared" si="4"/>
        <v>451190.16031507851</v>
      </c>
      <c r="Q20" s="476">
        <f t="shared" si="5"/>
        <v>668429.86713344965</v>
      </c>
      <c r="R20" s="58" t="s">
        <v>481</v>
      </c>
      <c r="S20" s="565">
        <f>Q20/'Overall Costing'!$M$5</f>
        <v>7110.9560333345707</v>
      </c>
    </row>
    <row r="21" spans="1:51" x14ac:dyDescent="0.25">
      <c r="A21" s="52">
        <v>19</v>
      </c>
      <c r="B21" s="48" t="s">
        <v>480</v>
      </c>
      <c r="C21" s="223">
        <v>0</v>
      </c>
      <c r="D21" s="58">
        <v>550</v>
      </c>
      <c r="E21" s="58">
        <v>550</v>
      </c>
      <c r="F21" s="58">
        <v>5760</v>
      </c>
      <c r="G21" s="562">
        <f t="shared" si="0"/>
        <v>5.76</v>
      </c>
      <c r="H21" s="58">
        <v>1210</v>
      </c>
      <c r="I21" s="49">
        <v>1</v>
      </c>
      <c r="J21" s="49"/>
      <c r="K21" s="49"/>
      <c r="L21" s="562">
        <f t="shared" si="3"/>
        <v>4</v>
      </c>
      <c r="M21" s="99">
        <f>VLOOKUP(H21,'Conveyor Costing'!$B$3:$F$7,5,0)*2</f>
        <v>254354.56614432984</v>
      </c>
      <c r="N21" s="99">
        <f>VLOOKUP(L21,'Conveyor Costing'!$T$24:$AB$38,9,0)</f>
        <v>143651.5</v>
      </c>
      <c r="O21" s="99">
        <f>VLOOKUP(H21,'Conveyor Costing'!$B$3:$G$7,6,0)*2</f>
        <v>36933.398729686589</v>
      </c>
      <c r="P21" s="563">
        <f t="shared" si="4"/>
        <v>522102.28587607678</v>
      </c>
      <c r="Q21" s="476">
        <f t="shared" si="5"/>
        <v>773484.86796455819</v>
      </c>
      <c r="R21" s="58" t="s">
        <v>481</v>
      </c>
      <c r="S21" s="565">
        <f>Q21/'Overall Costing'!$M$5</f>
        <v>8228.5624251548743</v>
      </c>
    </row>
    <row r="22" spans="1:51" x14ac:dyDescent="0.25">
      <c r="A22" s="52">
        <v>20</v>
      </c>
      <c r="B22" s="48" t="s">
        <v>480</v>
      </c>
      <c r="C22" s="223">
        <v>14.8</v>
      </c>
      <c r="D22" s="58">
        <v>448</v>
      </c>
      <c r="E22" s="58">
        <v>2532</v>
      </c>
      <c r="F22" s="58">
        <v>8000</v>
      </c>
      <c r="G22" s="562">
        <f t="shared" si="0"/>
        <v>8</v>
      </c>
      <c r="H22" s="58">
        <v>1210</v>
      </c>
      <c r="I22" s="49">
        <v>1</v>
      </c>
      <c r="J22" s="49"/>
      <c r="K22" s="49"/>
      <c r="L22" s="562">
        <v>7.5</v>
      </c>
      <c r="M22" s="99">
        <f>VLOOKUP(H22,'Conveyor Costing'!$B$3:$F$7,5,0)*2</f>
        <v>254354.56614432984</v>
      </c>
      <c r="N22" s="99">
        <f>VLOOKUP(L22,'Conveyor Costing'!$T$24:$AB$38,9,0)</f>
        <v>249400</v>
      </c>
      <c r="O22" s="99">
        <f>VLOOKUP(H22,'Conveyor Costing'!$B$3:$G$7,6,0)*2</f>
        <v>36933.398729686589</v>
      </c>
      <c r="P22" s="563">
        <f t="shared" si="4"/>
        <v>710581.59903057478</v>
      </c>
      <c r="Q22" s="476">
        <f t="shared" si="5"/>
        <v>1052713.480045296</v>
      </c>
      <c r="R22" s="58" t="s">
        <v>481</v>
      </c>
      <c r="S22" s="565">
        <f>Q22/'Overall Costing'!$M$5</f>
        <v>11199.079574949958</v>
      </c>
    </row>
    <row r="23" spans="1:51" x14ac:dyDescent="0.25">
      <c r="A23" s="52">
        <v>21</v>
      </c>
      <c r="B23" s="48" t="s">
        <v>483</v>
      </c>
      <c r="C23" s="58">
        <v>0</v>
      </c>
      <c r="D23" s="58">
        <v>1200</v>
      </c>
      <c r="E23" s="58">
        <v>1200</v>
      </c>
      <c r="F23" s="58">
        <v>4200</v>
      </c>
      <c r="G23" s="562">
        <f t="shared" ref="G23:G58" si="6">F23/1000</f>
        <v>4.2</v>
      </c>
      <c r="H23" s="58">
        <v>1238</v>
      </c>
      <c r="I23" s="49">
        <v>1</v>
      </c>
      <c r="J23" s="49"/>
      <c r="K23" s="566">
        <f>'Quote Master'!$I$42*1.3</f>
        <v>333883.33333333331</v>
      </c>
      <c r="L23" s="562"/>
      <c r="M23" s="99"/>
      <c r="N23" s="99"/>
      <c r="O23" s="99">
        <f>'Quote Master'!$I$38*2</f>
        <v>130333.33333333333</v>
      </c>
      <c r="P23" s="563"/>
      <c r="Q23" s="476">
        <f>((O23*G23)+K23)*I23</f>
        <v>881283.33333333326</v>
      </c>
      <c r="R23" s="564" t="s">
        <v>482</v>
      </c>
      <c r="S23" s="565">
        <f>Q23/'Overall Costing'!$M$5</f>
        <v>9375.3546099290779</v>
      </c>
    </row>
    <row r="24" spans="1:51" x14ac:dyDescent="0.25">
      <c r="A24" s="52">
        <v>22</v>
      </c>
      <c r="B24" s="48" t="s">
        <v>483</v>
      </c>
      <c r="C24" s="58">
        <v>0</v>
      </c>
      <c r="D24" s="58">
        <v>800</v>
      </c>
      <c r="E24" s="58">
        <v>800</v>
      </c>
      <c r="F24" s="58">
        <v>4500</v>
      </c>
      <c r="G24" s="562">
        <f t="shared" si="6"/>
        <v>4.5</v>
      </c>
      <c r="H24" s="58">
        <v>1238</v>
      </c>
      <c r="I24" s="49">
        <v>1</v>
      </c>
      <c r="J24" s="49"/>
      <c r="K24" s="566">
        <f>'Quote Master'!$I$42*1.3</f>
        <v>333883.33333333331</v>
      </c>
      <c r="L24" s="562"/>
      <c r="M24" s="99"/>
      <c r="N24" s="99"/>
      <c r="O24" s="99">
        <f>'Quote Master'!$I$38*2</f>
        <v>130333.33333333333</v>
      </c>
      <c r="P24" s="563"/>
      <c r="Q24" s="476">
        <f t="shared" ref="Q24:Q58" si="7">((O24*G24)+K24)*I24</f>
        <v>920383.33333333326</v>
      </c>
      <c r="R24" s="564" t="s">
        <v>482</v>
      </c>
      <c r="S24" s="565">
        <f>Q24/'Overall Costing'!$M$5</f>
        <v>9791.3120567375881</v>
      </c>
    </row>
    <row r="25" spans="1:51" x14ac:dyDescent="0.25">
      <c r="A25" s="52">
        <v>23</v>
      </c>
      <c r="B25" s="48" t="s">
        <v>483</v>
      </c>
      <c r="C25" s="58">
        <v>0</v>
      </c>
      <c r="D25" s="58">
        <v>800</v>
      </c>
      <c r="E25" s="58">
        <v>800</v>
      </c>
      <c r="F25" s="58">
        <v>4500</v>
      </c>
      <c r="G25" s="562">
        <f t="shared" si="6"/>
        <v>4.5</v>
      </c>
      <c r="H25" s="58">
        <v>1238</v>
      </c>
      <c r="I25" s="49">
        <v>1</v>
      </c>
      <c r="J25" s="49"/>
      <c r="K25" s="566">
        <f>'Quote Master'!$I$42*1.3</f>
        <v>333883.33333333331</v>
      </c>
      <c r="L25" s="562"/>
      <c r="M25" s="99"/>
      <c r="N25" s="99"/>
      <c r="O25" s="99">
        <f>'Quote Master'!$I$38*2</f>
        <v>130333.33333333333</v>
      </c>
      <c r="P25" s="563"/>
      <c r="Q25" s="476">
        <f t="shared" si="7"/>
        <v>920383.33333333326</v>
      </c>
      <c r="R25" s="564" t="s">
        <v>482</v>
      </c>
      <c r="S25" s="565">
        <f>Q25/'Overall Costing'!$M$5</f>
        <v>9791.3120567375881</v>
      </c>
    </row>
    <row r="26" spans="1:51" x14ac:dyDescent="0.25">
      <c r="A26" s="52">
        <v>24</v>
      </c>
      <c r="B26" s="48" t="s">
        <v>483</v>
      </c>
      <c r="C26" s="58">
        <v>0</v>
      </c>
      <c r="D26" s="58">
        <v>800</v>
      </c>
      <c r="E26" s="58">
        <v>800</v>
      </c>
      <c r="F26" s="58">
        <v>3720</v>
      </c>
      <c r="G26" s="562">
        <f t="shared" si="6"/>
        <v>3.72</v>
      </c>
      <c r="H26" s="58">
        <v>1238</v>
      </c>
      <c r="I26" s="49">
        <v>1</v>
      </c>
      <c r="J26" s="49"/>
      <c r="K26" s="566">
        <f>'Quote Master'!$I$42*1.3</f>
        <v>333883.33333333331</v>
      </c>
      <c r="L26" s="562"/>
      <c r="M26" s="99"/>
      <c r="N26" s="99"/>
      <c r="O26" s="99">
        <f>'Quote Master'!$I$38*2</f>
        <v>130333.33333333333</v>
      </c>
      <c r="P26" s="563"/>
      <c r="Q26" s="476">
        <f t="shared" si="7"/>
        <v>818723.33333333326</v>
      </c>
      <c r="R26" s="564" t="s">
        <v>482</v>
      </c>
      <c r="S26" s="565">
        <f>Q26/'Overall Costing'!$M$5</f>
        <v>8709.8226950354601</v>
      </c>
    </row>
    <row r="27" spans="1:51" s="549" customFormat="1" x14ac:dyDescent="0.25">
      <c r="A27" s="52">
        <v>25</v>
      </c>
      <c r="B27" s="48" t="s">
        <v>483</v>
      </c>
      <c r="C27" s="58">
        <v>0</v>
      </c>
      <c r="D27" s="58">
        <v>1200</v>
      </c>
      <c r="E27" s="58">
        <v>1200</v>
      </c>
      <c r="F27" s="58">
        <v>5100</v>
      </c>
      <c r="G27" s="562">
        <f t="shared" si="6"/>
        <v>5.0999999999999996</v>
      </c>
      <c r="H27" s="58">
        <v>1238</v>
      </c>
      <c r="I27" s="49">
        <v>1</v>
      </c>
      <c r="J27" s="49"/>
      <c r="K27" s="566">
        <f>'Quote Master'!$I$42*1.3</f>
        <v>333883.33333333331</v>
      </c>
      <c r="L27" s="562"/>
      <c r="M27" s="99"/>
      <c r="N27" s="99"/>
      <c r="O27" s="99">
        <f>'Quote Master'!$I$38*2</f>
        <v>130333.33333333333</v>
      </c>
      <c r="P27" s="563"/>
      <c r="Q27" s="476">
        <f t="shared" si="7"/>
        <v>998583.33333333326</v>
      </c>
      <c r="R27" s="564" t="s">
        <v>482</v>
      </c>
      <c r="S27" s="565">
        <f>Q27/'Overall Costing'!$M$5</f>
        <v>10623.226950354609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s="549" customFormat="1" x14ac:dyDescent="0.25">
      <c r="A28" s="52">
        <v>26</v>
      </c>
      <c r="B28" s="48" t="s">
        <v>483</v>
      </c>
      <c r="C28" s="58">
        <v>0</v>
      </c>
      <c r="D28" s="58">
        <v>1200</v>
      </c>
      <c r="E28" s="58">
        <v>1200</v>
      </c>
      <c r="F28" s="58">
        <v>5100</v>
      </c>
      <c r="G28" s="562">
        <f t="shared" si="6"/>
        <v>5.0999999999999996</v>
      </c>
      <c r="H28" s="58">
        <v>1238</v>
      </c>
      <c r="I28" s="49">
        <v>1</v>
      </c>
      <c r="J28" s="49"/>
      <c r="K28" s="566">
        <f>'Quote Master'!$I$42*1.3</f>
        <v>333883.33333333331</v>
      </c>
      <c r="L28" s="562"/>
      <c r="M28" s="99"/>
      <c r="N28" s="99"/>
      <c r="O28" s="99">
        <f>'Quote Master'!$I$38*2</f>
        <v>130333.33333333333</v>
      </c>
      <c r="P28" s="563"/>
      <c r="Q28" s="476">
        <f t="shared" si="7"/>
        <v>998583.33333333326</v>
      </c>
      <c r="R28" s="564" t="s">
        <v>482</v>
      </c>
      <c r="S28" s="565">
        <f>Q28/'Overall Costing'!$M$5</f>
        <v>10623.226950354609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s="549" customFormat="1" x14ac:dyDescent="0.25">
      <c r="A29" s="52">
        <v>27</v>
      </c>
      <c r="B29" s="48" t="s">
        <v>483</v>
      </c>
      <c r="C29" s="58">
        <v>0</v>
      </c>
      <c r="D29" s="58">
        <v>1200</v>
      </c>
      <c r="E29" s="58">
        <v>1200</v>
      </c>
      <c r="F29" s="58">
        <v>5100</v>
      </c>
      <c r="G29" s="562">
        <f t="shared" si="6"/>
        <v>5.0999999999999996</v>
      </c>
      <c r="H29" s="58">
        <v>1238</v>
      </c>
      <c r="I29" s="49">
        <v>1</v>
      </c>
      <c r="J29" s="49"/>
      <c r="K29" s="566">
        <f>'Quote Master'!$I$42*1.3</f>
        <v>333883.33333333331</v>
      </c>
      <c r="L29" s="562"/>
      <c r="M29" s="99"/>
      <c r="N29" s="99"/>
      <c r="O29" s="99">
        <f>'Quote Master'!$I$38*2</f>
        <v>130333.33333333333</v>
      </c>
      <c r="P29" s="563"/>
      <c r="Q29" s="476">
        <f t="shared" si="7"/>
        <v>998583.33333333326</v>
      </c>
      <c r="R29" s="564" t="s">
        <v>482</v>
      </c>
      <c r="S29" s="565">
        <f>Q29/'Overall Costing'!$M$5</f>
        <v>10623.226950354609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s="549" customFormat="1" x14ac:dyDescent="0.25">
      <c r="A30" s="52">
        <v>28</v>
      </c>
      <c r="B30" s="48" t="s">
        <v>483</v>
      </c>
      <c r="C30" s="58">
        <v>0</v>
      </c>
      <c r="D30" s="58">
        <v>800</v>
      </c>
      <c r="E30" s="58">
        <v>800</v>
      </c>
      <c r="F30" s="58">
        <v>4500</v>
      </c>
      <c r="G30" s="562">
        <f t="shared" si="6"/>
        <v>4.5</v>
      </c>
      <c r="H30" s="58">
        <v>1238</v>
      </c>
      <c r="I30" s="49">
        <v>1</v>
      </c>
      <c r="J30" s="49"/>
      <c r="K30" s="566">
        <f>'Quote Master'!$I$42*1.3</f>
        <v>333883.33333333331</v>
      </c>
      <c r="L30" s="562"/>
      <c r="M30" s="99"/>
      <c r="N30" s="99"/>
      <c r="O30" s="99">
        <f>'Quote Master'!$I$38*2</f>
        <v>130333.33333333333</v>
      </c>
      <c r="P30" s="563"/>
      <c r="Q30" s="476">
        <f t="shared" si="7"/>
        <v>920383.33333333326</v>
      </c>
      <c r="R30" s="564" t="s">
        <v>482</v>
      </c>
      <c r="S30" s="565">
        <f>Q30/'Overall Costing'!$M$5</f>
        <v>9791.3120567375881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s="549" customFormat="1" x14ac:dyDescent="0.25">
      <c r="A31" s="52">
        <v>29</v>
      </c>
      <c r="B31" s="48" t="s">
        <v>483</v>
      </c>
      <c r="C31" s="58">
        <v>0</v>
      </c>
      <c r="D31" s="58">
        <v>800</v>
      </c>
      <c r="E31" s="58">
        <v>800</v>
      </c>
      <c r="F31" s="58">
        <v>2400</v>
      </c>
      <c r="G31" s="562">
        <f t="shared" si="6"/>
        <v>2.4</v>
      </c>
      <c r="H31" s="58">
        <v>1238</v>
      </c>
      <c r="I31" s="49">
        <v>1</v>
      </c>
      <c r="J31" s="49"/>
      <c r="K31" s="566">
        <f>'Quote Master'!$I$42*1.3</f>
        <v>333883.33333333331</v>
      </c>
      <c r="L31" s="562"/>
      <c r="M31" s="99"/>
      <c r="N31" s="99"/>
      <c r="O31" s="99">
        <f>'Quote Master'!$I$38*2</f>
        <v>130333.33333333333</v>
      </c>
      <c r="P31" s="563"/>
      <c r="Q31" s="476">
        <f t="shared" si="7"/>
        <v>646683.33333333326</v>
      </c>
      <c r="R31" s="564" t="s">
        <v>482</v>
      </c>
      <c r="S31" s="565">
        <f>Q31/'Overall Costing'!$M$5</f>
        <v>6879.609929078013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s="549" customFormat="1" x14ac:dyDescent="0.25">
      <c r="A32" s="52">
        <v>30</v>
      </c>
      <c r="B32" s="48" t="s">
        <v>483</v>
      </c>
      <c r="C32" s="58">
        <v>0</v>
      </c>
      <c r="D32" s="58">
        <v>1200</v>
      </c>
      <c r="E32" s="58">
        <v>1200</v>
      </c>
      <c r="F32" s="58">
        <v>4200</v>
      </c>
      <c r="G32" s="562">
        <f t="shared" si="6"/>
        <v>4.2</v>
      </c>
      <c r="H32" s="58">
        <v>1238</v>
      </c>
      <c r="I32" s="49">
        <v>1</v>
      </c>
      <c r="J32" s="49"/>
      <c r="K32" s="566">
        <f>'Quote Master'!$I$42*1.3</f>
        <v>333883.33333333331</v>
      </c>
      <c r="L32" s="562"/>
      <c r="M32" s="99"/>
      <c r="N32" s="99"/>
      <c r="O32" s="99">
        <f>'Quote Master'!$I$38*2</f>
        <v>130333.33333333333</v>
      </c>
      <c r="P32" s="563"/>
      <c r="Q32" s="476">
        <f t="shared" si="7"/>
        <v>881283.33333333326</v>
      </c>
      <c r="R32" s="564" t="s">
        <v>482</v>
      </c>
      <c r="S32" s="565">
        <f>Q32/'Overall Costing'!$M$5</f>
        <v>9375.3546099290779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s="549" customFormat="1" x14ac:dyDescent="0.25">
      <c r="A33" s="52">
        <v>31</v>
      </c>
      <c r="B33" s="48" t="s">
        <v>483</v>
      </c>
      <c r="C33" s="58">
        <v>0</v>
      </c>
      <c r="D33" s="58">
        <v>800</v>
      </c>
      <c r="E33" s="58">
        <v>800</v>
      </c>
      <c r="F33" s="58">
        <v>4500</v>
      </c>
      <c r="G33" s="562">
        <f t="shared" si="6"/>
        <v>4.5</v>
      </c>
      <c r="H33" s="58">
        <v>1238</v>
      </c>
      <c r="I33" s="49">
        <v>1</v>
      </c>
      <c r="J33" s="49"/>
      <c r="K33" s="566">
        <f>'Quote Master'!$I$42*1.3</f>
        <v>333883.33333333331</v>
      </c>
      <c r="L33" s="562"/>
      <c r="M33" s="99"/>
      <c r="N33" s="99"/>
      <c r="O33" s="99">
        <f>'Quote Master'!$I$38*2</f>
        <v>130333.33333333333</v>
      </c>
      <c r="P33" s="563"/>
      <c r="Q33" s="476">
        <f t="shared" si="7"/>
        <v>920383.33333333326</v>
      </c>
      <c r="R33" s="564" t="s">
        <v>482</v>
      </c>
      <c r="S33" s="565">
        <f>Q33/'Overall Costing'!$M$5</f>
        <v>9791.3120567375881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s="549" customFormat="1" x14ac:dyDescent="0.25">
      <c r="A34" s="52">
        <v>32</v>
      </c>
      <c r="B34" s="48" t="s">
        <v>483</v>
      </c>
      <c r="C34" s="58">
        <v>0</v>
      </c>
      <c r="D34" s="58">
        <v>800</v>
      </c>
      <c r="E34" s="58">
        <v>800</v>
      </c>
      <c r="F34" s="58">
        <v>4500</v>
      </c>
      <c r="G34" s="562">
        <f t="shared" si="6"/>
        <v>4.5</v>
      </c>
      <c r="H34" s="58">
        <v>1238</v>
      </c>
      <c r="I34" s="49">
        <v>1</v>
      </c>
      <c r="J34" s="49"/>
      <c r="K34" s="566">
        <f>'Quote Master'!$I$42*1.3</f>
        <v>333883.33333333331</v>
      </c>
      <c r="L34" s="562"/>
      <c r="M34" s="99"/>
      <c r="N34" s="99"/>
      <c r="O34" s="99">
        <f>'Quote Master'!$I$38*2</f>
        <v>130333.33333333333</v>
      </c>
      <c r="P34" s="563"/>
      <c r="Q34" s="476">
        <f t="shared" si="7"/>
        <v>920383.33333333326</v>
      </c>
      <c r="R34" s="564" t="s">
        <v>482</v>
      </c>
      <c r="S34" s="565">
        <f>Q34/'Overall Costing'!$M$5</f>
        <v>9791.3120567375881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s="549" customFormat="1" x14ac:dyDescent="0.25">
      <c r="A35" s="52">
        <v>33</v>
      </c>
      <c r="B35" s="48" t="s">
        <v>483</v>
      </c>
      <c r="C35" s="58">
        <v>0</v>
      </c>
      <c r="D35" s="58">
        <v>800</v>
      </c>
      <c r="E35" s="58">
        <v>800</v>
      </c>
      <c r="F35" s="58">
        <v>4500</v>
      </c>
      <c r="G35" s="562">
        <f t="shared" si="6"/>
        <v>4.5</v>
      </c>
      <c r="H35" s="58">
        <v>1238</v>
      </c>
      <c r="I35" s="49">
        <v>1</v>
      </c>
      <c r="J35" s="49"/>
      <c r="K35" s="566">
        <f>'Quote Master'!$I$42*1.3</f>
        <v>333883.33333333331</v>
      </c>
      <c r="L35" s="562"/>
      <c r="M35" s="99"/>
      <c r="N35" s="99"/>
      <c r="O35" s="99">
        <f>'Quote Master'!$I$38*2</f>
        <v>130333.33333333333</v>
      </c>
      <c r="P35" s="563"/>
      <c r="Q35" s="476">
        <f t="shared" si="7"/>
        <v>920383.33333333326</v>
      </c>
      <c r="R35" s="564" t="s">
        <v>482</v>
      </c>
      <c r="S35" s="565">
        <f>Q35/'Overall Costing'!$M$5</f>
        <v>9791.3120567375881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s="549" customFormat="1" x14ac:dyDescent="0.25">
      <c r="A36" s="52">
        <v>34</v>
      </c>
      <c r="B36" s="48" t="s">
        <v>483</v>
      </c>
      <c r="C36" s="58">
        <v>0</v>
      </c>
      <c r="D36" s="58">
        <v>1200</v>
      </c>
      <c r="E36" s="58">
        <v>1200</v>
      </c>
      <c r="F36" s="58">
        <v>5100</v>
      </c>
      <c r="G36" s="562">
        <f t="shared" si="6"/>
        <v>5.0999999999999996</v>
      </c>
      <c r="H36" s="58">
        <v>1238</v>
      </c>
      <c r="I36" s="49">
        <v>1</v>
      </c>
      <c r="J36" s="49"/>
      <c r="K36" s="566">
        <f>'Quote Master'!$I$42*1.3</f>
        <v>333883.33333333331</v>
      </c>
      <c r="L36" s="562"/>
      <c r="M36" s="99"/>
      <c r="N36" s="99"/>
      <c r="O36" s="99">
        <f>'Quote Master'!$I$38*2</f>
        <v>130333.33333333333</v>
      </c>
      <c r="P36" s="563"/>
      <c r="Q36" s="476">
        <f t="shared" si="7"/>
        <v>998583.33333333326</v>
      </c>
      <c r="R36" s="564" t="s">
        <v>482</v>
      </c>
      <c r="S36" s="565">
        <f>Q36/'Overall Costing'!$M$5</f>
        <v>10623.226950354609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s="549" customFormat="1" x14ac:dyDescent="0.25">
      <c r="A37" s="52">
        <v>35</v>
      </c>
      <c r="B37" s="48" t="s">
        <v>483</v>
      </c>
      <c r="C37" s="58">
        <v>0</v>
      </c>
      <c r="D37" s="58">
        <v>1200</v>
      </c>
      <c r="E37" s="58">
        <v>1200</v>
      </c>
      <c r="F37" s="58">
        <v>5100</v>
      </c>
      <c r="G37" s="562">
        <f t="shared" si="6"/>
        <v>5.0999999999999996</v>
      </c>
      <c r="H37" s="58">
        <v>1238</v>
      </c>
      <c r="I37" s="49">
        <v>1</v>
      </c>
      <c r="J37" s="49"/>
      <c r="K37" s="566">
        <f>'Quote Master'!$I$42*1.3</f>
        <v>333883.33333333331</v>
      </c>
      <c r="L37" s="562"/>
      <c r="M37" s="99"/>
      <c r="N37" s="99"/>
      <c r="O37" s="99">
        <f>'Quote Master'!$I$38*2</f>
        <v>130333.33333333333</v>
      </c>
      <c r="P37" s="563"/>
      <c r="Q37" s="476">
        <f t="shared" si="7"/>
        <v>998583.33333333326</v>
      </c>
      <c r="R37" s="564" t="s">
        <v>482</v>
      </c>
      <c r="S37" s="565">
        <f>Q37/'Overall Costing'!$M$5</f>
        <v>10623.226950354609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s="549" customFormat="1" x14ac:dyDescent="0.25">
      <c r="A38" s="52">
        <v>36</v>
      </c>
      <c r="B38" s="48" t="s">
        <v>483</v>
      </c>
      <c r="C38" s="58">
        <v>0</v>
      </c>
      <c r="D38" s="58">
        <v>1200</v>
      </c>
      <c r="E38" s="58">
        <v>1200</v>
      </c>
      <c r="F38" s="58">
        <v>5100</v>
      </c>
      <c r="G38" s="562">
        <f t="shared" si="6"/>
        <v>5.0999999999999996</v>
      </c>
      <c r="H38" s="58">
        <v>1238</v>
      </c>
      <c r="I38" s="49">
        <v>1</v>
      </c>
      <c r="J38" s="49"/>
      <c r="K38" s="566">
        <f>'Quote Master'!$I$42*1.3</f>
        <v>333883.33333333331</v>
      </c>
      <c r="L38" s="562"/>
      <c r="M38" s="99"/>
      <c r="N38" s="99"/>
      <c r="O38" s="99">
        <f>'Quote Master'!$I$38*2</f>
        <v>130333.33333333333</v>
      </c>
      <c r="P38" s="563"/>
      <c r="Q38" s="476">
        <f t="shared" si="7"/>
        <v>998583.33333333326</v>
      </c>
      <c r="R38" s="564" t="s">
        <v>482</v>
      </c>
      <c r="S38" s="565">
        <f>Q38/'Overall Costing'!$M$5</f>
        <v>10623.226950354609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s="549" customFormat="1" x14ac:dyDescent="0.25">
      <c r="A39" s="52">
        <v>37</v>
      </c>
      <c r="B39" s="48" t="s">
        <v>483</v>
      </c>
      <c r="C39" s="58">
        <v>0</v>
      </c>
      <c r="D39" s="58">
        <v>1200</v>
      </c>
      <c r="E39" s="58">
        <v>1200</v>
      </c>
      <c r="F39" s="58">
        <v>5100</v>
      </c>
      <c r="G39" s="562">
        <f t="shared" si="6"/>
        <v>5.0999999999999996</v>
      </c>
      <c r="H39" s="58">
        <v>1238</v>
      </c>
      <c r="I39" s="49">
        <v>1</v>
      </c>
      <c r="J39" s="49"/>
      <c r="K39" s="566">
        <f>'Quote Master'!$I$42*1.3</f>
        <v>333883.33333333331</v>
      </c>
      <c r="L39" s="562"/>
      <c r="M39" s="99"/>
      <c r="N39" s="99"/>
      <c r="O39" s="99">
        <f>'Quote Master'!$I$38*2</f>
        <v>130333.33333333333</v>
      </c>
      <c r="P39" s="563"/>
      <c r="Q39" s="476">
        <f t="shared" si="7"/>
        <v>998583.33333333326</v>
      </c>
      <c r="R39" s="564" t="s">
        <v>482</v>
      </c>
      <c r="S39" s="565">
        <f>Q39/'Overall Costing'!$M$5</f>
        <v>10623.226950354609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s="549" customFormat="1" x14ac:dyDescent="0.25">
      <c r="A40" s="52">
        <v>38</v>
      </c>
      <c r="B40" s="48" t="s">
        <v>483</v>
      </c>
      <c r="C40" s="58">
        <v>0</v>
      </c>
      <c r="D40" s="58">
        <v>1200</v>
      </c>
      <c r="E40" s="58">
        <v>1200</v>
      </c>
      <c r="F40" s="58">
        <v>4200</v>
      </c>
      <c r="G40" s="562">
        <f t="shared" si="6"/>
        <v>4.2</v>
      </c>
      <c r="H40" s="58">
        <v>1238</v>
      </c>
      <c r="I40" s="49">
        <v>1</v>
      </c>
      <c r="J40" s="49"/>
      <c r="K40" s="566">
        <f>'Quote Master'!$I$42*1.3</f>
        <v>333883.33333333331</v>
      </c>
      <c r="L40" s="562"/>
      <c r="M40" s="99"/>
      <c r="N40" s="99"/>
      <c r="O40" s="99">
        <f>'Quote Master'!$I$38*2</f>
        <v>130333.33333333333</v>
      </c>
      <c r="P40" s="563"/>
      <c r="Q40" s="476">
        <f t="shared" si="7"/>
        <v>881283.33333333326</v>
      </c>
      <c r="R40" s="564" t="s">
        <v>482</v>
      </c>
      <c r="S40" s="565">
        <f>Q40/'Overall Costing'!$M$5</f>
        <v>9375.3546099290779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s="549" customFormat="1" x14ac:dyDescent="0.25">
      <c r="A41" s="52">
        <v>39</v>
      </c>
      <c r="B41" s="48" t="s">
        <v>483</v>
      </c>
      <c r="C41" s="58">
        <v>0</v>
      </c>
      <c r="D41" s="58">
        <v>800</v>
      </c>
      <c r="E41" s="58">
        <v>800</v>
      </c>
      <c r="F41" s="58">
        <v>4680</v>
      </c>
      <c r="G41" s="562">
        <f t="shared" si="6"/>
        <v>4.68</v>
      </c>
      <c r="H41" s="58">
        <v>1238</v>
      </c>
      <c r="I41" s="49">
        <v>1</v>
      </c>
      <c r="J41" s="49"/>
      <c r="K41" s="566">
        <f>'Quote Master'!$I$42*1.3</f>
        <v>333883.33333333331</v>
      </c>
      <c r="L41" s="562"/>
      <c r="M41" s="99"/>
      <c r="N41" s="99"/>
      <c r="O41" s="99">
        <f>'Quote Master'!$I$38*2</f>
        <v>130333.33333333333</v>
      </c>
      <c r="P41" s="563"/>
      <c r="Q41" s="476">
        <f t="shared" si="7"/>
        <v>943843.33333333326</v>
      </c>
      <c r="R41" s="564" t="s">
        <v>482</v>
      </c>
      <c r="S41" s="565">
        <f>Q41/'Overall Costing'!$M$5</f>
        <v>10040.886524822694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s="549" customFormat="1" x14ac:dyDescent="0.25">
      <c r="A42" s="52">
        <v>40</v>
      </c>
      <c r="B42" s="48" t="s">
        <v>483</v>
      </c>
      <c r="C42" s="58">
        <v>0</v>
      </c>
      <c r="D42" s="58">
        <v>800</v>
      </c>
      <c r="E42" s="58">
        <v>800</v>
      </c>
      <c r="F42" s="58">
        <v>2400</v>
      </c>
      <c r="G42" s="562">
        <f t="shared" si="6"/>
        <v>2.4</v>
      </c>
      <c r="H42" s="58">
        <v>1238</v>
      </c>
      <c r="I42" s="49">
        <v>1</v>
      </c>
      <c r="J42" s="49"/>
      <c r="K42" s="566">
        <f>'Quote Master'!$I$42*1.3</f>
        <v>333883.33333333331</v>
      </c>
      <c r="L42" s="562"/>
      <c r="M42" s="99"/>
      <c r="N42" s="99"/>
      <c r="O42" s="99">
        <f>'Quote Master'!$I$38*2</f>
        <v>130333.33333333333</v>
      </c>
      <c r="P42" s="563"/>
      <c r="Q42" s="476">
        <f t="shared" si="7"/>
        <v>646683.33333333326</v>
      </c>
      <c r="R42" s="564" t="s">
        <v>482</v>
      </c>
      <c r="S42" s="565">
        <f>Q42/'Overall Costing'!$M$5</f>
        <v>6879.609929078013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s="549" customFormat="1" x14ac:dyDescent="0.25">
      <c r="A43" s="52">
        <v>41</v>
      </c>
      <c r="B43" s="48" t="s">
        <v>483</v>
      </c>
      <c r="C43" s="58">
        <v>0</v>
      </c>
      <c r="D43" s="58">
        <v>800</v>
      </c>
      <c r="E43" s="58">
        <v>800</v>
      </c>
      <c r="F43" s="58">
        <v>4500</v>
      </c>
      <c r="G43" s="562">
        <f t="shared" si="6"/>
        <v>4.5</v>
      </c>
      <c r="H43" s="58">
        <v>1238</v>
      </c>
      <c r="I43" s="49">
        <v>1</v>
      </c>
      <c r="J43" s="49"/>
      <c r="K43" s="566">
        <f>'Quote Master'!$I$42*1.3</f>
        <v>333883.33333333331</v>
      </c>
      <c r="L43" s="562"/>
      <c r="M43" s="99"/>
      <c r="N43" s="99"/>
      <c r="O43" s="99">
        <f>'Quote Master'!$I$38*2</f>
        <v>130333.33333333333</v>
      </c>
      <c r="P43" s="563"/>
      <c r="Q43" s="476">
        <f t="shared" si="7"/>
        <v>920383.33333333326</v>
      </c>
      <c r="R43" s="564" t="s">
        <v>482</v>
      </c>
      <c r="S43" s="565">
        <f>Q43/'Overall Costing'!$M$5</f>
        <v>9791.3120567375881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s="549" customFormat="1" x14ac:dyDescent="0.25">
      <c r="A44" s="52">
        <v>42</v>
      </c>
      <c r="B44" s="48" t="s">
        <v>483</v>
      </c>
      <c r="C44" s="58">
        <v>0</v>
      </c>
      <c r="D44" s="58">
        <v>1200</v>
      </c>
      <c r="E44" s="58">
        <v>1200</v>
      </c>
      <c r="F44" s="58">
        <v>5100</v>
      </c>
      <c r="G44" s="562">
        <f t="shared" si="6"/>
        <v>5.0999999999999996</v>
      </c>
      <c r="H44" s="58">
        <v>1238</v>
      </c>
      <c r="I44" s="49">
        <v>1</v>
      </c>
      <c r="J44" s="49"/>
      <c r="K44" s="566">
        <f>'Quote Master'!$I$42*1.3</f>
        <v>333883.33333333331</v>
      </c>
      <c r="L44" s="562"/>
      <c r="M44" s="99"/>
      <c r="N44" s="99"/>
      <c r="O44" s="99">
        <f>'Quote Master'!$I$38*2</f>
        <v>130333.33333333333</v>
      </c>
      <c r="P44" s="563"/>
      <c r="Q44" s="476">
        <f t="shared" si="7"/>
        <v>998583.33333333326</v>
      </c>
      <c r="R44" s="564" t="s">
        <v>482</v>
      </c>
      <c r="S44" s="565">
        <f>Q44/'Overall Costing'!$M$5</f>
        <v>10623.226950354609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s="549" customFormat="1" x14ac:dyDescent="0.25">
      <c r="A45" s="52">
        <v>43</v>
      </c>
      <c r="B45" s="48" t="s">
        <v>483</v>
      </c>
      <c r="C45" s="58">
        <v>0</v>
      </c>
      <c r="D45" s="58">
        <v>1200</v>
      </c>
      <c r="E45" s="58">
        <v>1200</v>
      </c>
      <c r="F45" s="58">
        <v>5100</v>
      </c>
      <c r="G45" s="562">
        <f t="shared" si="6"/>
        <v>5.0999999999999996</v>
      </c>
      <c r="H45" s="58">
        <v>1238</v>
      </c>
      <c r="I45" s="49">
        <v>1</v>
      </c>
      <c r="J45" s="49"/>
      <c r="K45" s="566">
        <f>'Quote Master'!$I$42*1.3</f>
        <v>333883.33333333331</v>
      </c>
      <c r="L45" s="562"/>
      <c r="M45" s="99"/>
      <c r="N45" s="99"/>
      <c r="O45" s="99">
        <f>'Quote Master'!$I$38*2</f>
        <v>130333.33333333333</v>
      </c>
      <c r="P45" s="563"/>
      <c r="Q45" s="476">
        <f t="shared" si="7"/>
        <v>998583.33333333326</v>
      </c>
      <c r="R45" s="564" t="s">
        <v>482</v>
      </c>
      <c r="S45" s="565">
        <f>Q45/'Overall Costing'!$M$5</f>
        <v>10623.226950354609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s="549" customFormat="1" x14ac:dyDescent="0.25">
      <c r="A46" s="52">
        <v>44</v>
      </c>
      <c r="B46" s="48" t="s">
        <v>483</v>
      </c>
      <c r="C46" s="58">
        <v>0</v>
      </c>
      <c r="D46" s="58">
        <v>1200</v>
      </c>
      <c r="E46" s="58">
        <v>1200</v>
      </c>
      <c r="F46" s="58">
        <v>5100</v>
      </c>
      <c r="G46" s="562">
        <f t="shared" si="6"/>
        <v>5.0999999999999996</v>
      </c>
      <c r="H46" s="58">
        <v>1238</v>
      </c>
      <c r="I46" s="49">
        <v>1</v>
      </c>
      <c r="J46" s="49"/>
      <c r="K46" s="566">
        <f>'Quote Master'!$I$42*1.3</f>
        <v>333883.33333333331</v>
      </c>
      <c r="L46" s="562"/>
      <c r="M46" s="99"/>
      <c r="N46" s="99"/>
      <c r="O46" s="99">
        <f>'Quote Master'!$I$38*2</f>
        <v>130333.33333333333</v>
      </c>
      <c r="P46" s="563"/>
      <c r="Q46" s="476">
        <f t="shared" si="7"/>
        <v>998583.33333333326</v>
      </c>
      <c r="R46" s="564" t="s">
        <v>482</v>
      </c>
      <c r="S46" s="565">
        <f>Q46/'Overall Costing'!$M$5</f>
        <v>10623.226950354609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s="549" customFormat="1" x14ac:dyDescent="0.25">
      <c r="A47" s="52">
        <v>45</v>
      </c>
      <c r="B47" s="48" t="s">
        <v>483</v>
      </c>
      <c r="C47" s="58">
        <v>0</v>
      </c>
      <c r="D47" s="58">
        <v>800</v>
      </c>
      <c r="E47" s="58">
        <v>800</v>
      </c>
      <c r="F47" s="58">
        <v>3720</v>
      </c>
      <c r="G47" s="562">
        <f t="shared" si="6"/>
        <v>3.72</v>
      </c>
      <c r="H47" s="58">
        <v>1238</v>
      </c>
      <c r="I47" s="49">
        <v>1</v>
      </c>
      <c r="J47" s="49"/>
      <c r="K47" s="566">
        <f>'Quote Master'!$I$42*1.3</f>
        <v>333883.33333333331</v>
      </c>
      <c r="L47" s="562"/>
      <c r="M47" s="99"/>
      <c r="N47" s="99"/>
      <c r="O47" s="99">
        <f>'Quote Master'!$I$38*2</f>
        <v>130333.33333333333</v>
      </c>
      <c r="P47" s="563"/>
      <c r="Q47" s="476">
        <f t="shared" si="7"/>
        <v>818723.33333333326</v>
      </c>
      <c r="R47" s="564" t="s">
        <v>482</v>
      </c>
      <c r="S47" s="565">
        <f>Q47/'Overall Costing'!$M$5</f>
        <v>8709.8226950354601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s="549" customFormat="1" x14ac:dyDescent="0.25">
      <c r="A48" s="52">
        <v>46</v>
      </c>
      <c r="B48" s="48" t="s">
        <v>483</v>
      </c>
      <c r="C48" s="58">
        <v>0</v>
      </c>
      <c r="D48" s="58">
        <v>800</v>
      </c>
      <c r="E48" s="58">
        <v>800</v>
      </c>
      <c r="F48" s="58">
        <v>4500</v>
      </c>
      <c r="G48" s="562">
        <f t="shared" si="6"/>
        <v>4.5</v>
      </c>
      <c r="H48" s="58">
        <v>1238</v>
      </c>
      <c r="I48" s="49">
        <v>1</v>
      </c>
      <c r="J48" s="49"/>
      <c r="K48" s="566">
        <f>'Quote Master'!$I$42*1.3</f>
        <v>333883.33333333331</v>
      </c>
      <c r="L48" s="562"/>
      <c r="M48" s="99"/>
      <c r="N48" s="99"/>
      <c r="O48" s="99">
        <f>'Quote Master'!$I$38*2</f>
        <v>130333.33333333333</v>
      </c>
      <c r="P48" s="563"/>
      <c r="Q48" s="476">
        <f t="shared" si="7"/>
        <v>920383.33333333326</v>
      </c>
      <c r="R48" s="564" t="s">
        <v>482</v>
      </c>
      <c r="S48" s="565">
        <f>Q48/'Overall Costing'!$M$5</f>
        <v>9791.3120567375881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s="549" customFormat="1" x14ac:dyDescent="0.25">
      <c r="A49" s="52">
        <v>47</v>
      </c>
      <c r="B49" s="48" t="s">
        <v>483</v>
      </c>
      <c r="C49" s="58">
        <v>0</v>
      </c>
      <c r="D49" s="58">
        <v>800</v>
      </c>
      <c r="E49" s="58">
        <v>800</v>
      </c>
      <c r="F49" s="58">
        <v>4500</v>
      </c>
      <c r="G49" s="562">
        <f t="shared" si="6"/>
        <v>4.5</v>
      </c>
      <c r="H49" s="58">
        <v>1238</v>
      </c>
      <c r="I49" s="49">
        <v>1</v>
      </c>
      <c r="J49" s="49"/>
      <c r="K49" s="566">
        <f>'Quote Master'!$I$42*1.3</f>
        <v>333883.33333333331</v>
      </c>
      <c r="L49" s="562"/>
      <c r="M49" s="99"/>
      <c r="N49" s="99"/>
      <c r="O49" s="99">
        <f>'Quote Master'!$I$38*2</f>
        <v>130333.33333333333</v>
      </c>
      <c r="P49" s="563"/>
      <c r="Q49" s="476">
        <f t="shared" si="7"/>
        <v>920383.33333333326</v>
      </c>
      <c r="R49" s="564" t="s">
        <v>482</v>
      </c>
      <c r="S49" s="565">
        <f>Q49/'Overall Costing'!$M$5</f>
        <v>9791.3120567375881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s="549" customFormat="1" x14ac:dyDescent="0.25">
      <c r="A50" s="52">
        <v>48</v>
      </c>
      <c r="B50" s="48" t="s">
        <v>483</v>
      </c>
      <c r="C50" s="58">
        <v>0</v>
      </c>
      <c r="D50" s="58">
        <v>1200</v>
      </c>
      <c r="E50" s="58">
        <v>1200</v>
      </c>
      <c r="F50" s="58">
        <v>4200</v>
      </c>
      <c r="G50" s="562">
        <f t="shared" si="6"/>
        <v>4.2</v>
      </c>
      <c r="H50" s="58">
        <v>1238</v>
      </c>
      <c r="I50" s="49">
        <v>1</v>
      </c>
      <c r="J50" s="49"/>
      <c r="K50" s="566">
        <f>'Quote Master'!$I$42*1.3</f>
        <v>333883.33333333331</v>
      </c>
      <c r="L50" s="562"/>
      <c r="M50" s="99"/>
      <c r="N50" s="99"/>
      <c r="O50" s="99">
        <f>'Quote Master'!$I$38*2</f>
        <v>130333.33333333333</v>
      </c>
      <c r="P50" s="563"/>
      <c r="Q50" s="476">
        <f t="shared" si="7"/>
        <v>881283.33333333326</v>
      </c>
      <c r="R50" s="564" t="s">
        <v>482</v>
      </c>
      <c r="S50" s="565">
        <f>Q50/'Overall Costing'!$M$5</f>
        <v>9375.3546099290779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s="549" customFormat="1" x14ac:dyDescent="0.25">
      <c r="A51" s="52">
        <v>49</v>
      </c>
      <c r="B51" s="48" t="s">
        <v>483</v>
      </c>
      <c r="C51" s="58">
        <v>0</v>
      </c>
      <c r="D51" s="58">
        <v>800</v>
      </c>
      <c r="E51" s="58">
        <v>800</v>
      </c>
      <c r="F51" s="58">
        <v>4680</v>
      </c>
      <c r="G51" s="562">
        <f t="shared" si="6"/>
        <v>4.68</v>
      </c>
      <c r="H51" s="58">
        <v>1238</v>
      </c>
      <c r="I51" s="49">
        <v>1</v>
      </c>
      <c r="J51" s="49"/>
      <c r="K51" s="566">
        <f>'Quote Master'!$I$42*1.3</f>
        <v>333883.33333333331</v>
      </c>
      <c r="L51" s="562"/>
      <c r="M51" s="99"/>
      <c r="N51" s="99"/>
      <c r="O51" s="99">
        <f>'Quote Master'!$I$38*2</f>
        <v>130333.33333333333</v>
      </c>
      <c r="P51" s="563"/>
      <c r="Q51" s="476">
        <f t="shared" si="7"/>
        <v>943843.33333333326</v>
      </c>
      <c r="R51" s="564" t="s">
        <v>482</v>
      </c>
      <c r="S51" s="565">
        <f>Q51/'Overall Costing'!$M$5</f>
        <v>10040.886524822694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s="549" customFormat="1" x14ac:dyDescent="0.25">
      <c r="A52" s="52">
        <v>50</v>
      </c>
      <c r="B52" s="48" t="s">
        <v>483</v>
      </c>
      <c r="C52" s="58">
        <v>0</v>
      </c>
      <c r="D52" s="58">
        <v>1200</v>
      </c>
      <c r="E52" s="58">
        <v>1200</v>
      </c>
      <c r="F52" s="58">
        <v>5100</v>
      </c>
      <c r="G52" s="562">
        <f t="shared" si="6"/>
        <v>5.0999999999999996</v>
      </c>
      <c r="H52" s="58">
        <v>1238</v>
      </c>
      <c r="I52" s="49">
        <v>1</v>
      </c>
      <c r="J52" s="49"/>
      <c r="K52" s="566">
        <f>'Quote Master'!$I$42*1.3</f>
        <v>333883.33333333331</v>
      </c>
      <c r="L52" s="562"/>
      <c r="M52" s="99"/>
      <c r="N52" s="99"/>
      <c r="O52" s="99">
        <f>'Quote Master'!$I$38*2</f>
        <v>130333.33333333333</v>
      </c>
      <c r="P52" s="563"/>
      <c r="Q52" s="476">
        <f t="shared" si="7"/>
        <v>998583.33333333326</v>
      </c>
      <c r="R52" s="564" t="s">
        <v>482</v>
      </c>
      <c r="S52" s="565">
        <f>Q52/'Overall Costing'!$M$5</f>
        <v>10623.226950354609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s="549" customFormat="1" x14ac:dyDescent="0.25">
      <c r="A53" s="52">
        <v>51</v>
      </c>
      <c r="B53" s="48" t="s">
        <v>483</v>
      </c>
      <c r="C53" s="58">
        <v>0</v>
      </c>
      <c r="D53" s="58">
        <v>1200</v>
      </c>
      <c r="E53" s="58">
        <v>1200</v>
      </c>
      <c r="F53" s="58">
        <v>5100</v>
      </c>
      <c r="G53" s="562">
        <f t="shared" si="6"/>
        <v>5.0999999999999996</v>
      </c>
      <c r="H53" s="58">
        <v>1238</v>
      </c>
      <c r="I53" s="49">
        <v>1</v>
      </c>
      <c r="J53" s="49"/>
      <c r="K53" s="566">
        <f>'Quote Master'!$I$42*1.3</f>
        <v>333883.33333333331</v>
      </c>
      <c r="L53" s="562"/>
      <c r="M53" s="99"/>
      <c r="N53" s="99"/>
      <c r="O53" s="99">
        <f>'Quote Master'!$I$38*2</f>
        <v>130333.33333333333</v>
      </c>
      <c r="P53" s="563"/>
      <c r="Q53" s="476">
        <f t="shared" si="7"/>
        <v>998583.33333333326</v>
      </c>
      <c r="R53" s="564" t="s">
        <v>482</v>
      </c>
      <c r="S53" s="565">
        <f>Q53/'Overall Costing'!$M$5</f>
        <v>10623.226950354609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s="549" customFormat="1" x14ac:dyDescent="0.25">
      <c r="A54" s="52">
        <v>52</v>
      </c>
      <c r="B54" s="48" t="s">
        <v>483</v>
      </c>
      <c r="C54" s="58">
        <v>0</v>
      </c>
      <c r="D54" s="58">
        <v>1200</v>
      </c>
      <c r="E54" s="58">
        <v>1200</v>
      </c>
      <c r="F54" s="58">
        <v>5100</v>
      </c>
      <c r="G54" s="562">
        <f t="shared" si="6"/>
        <v>5.0999999999999996</v>
      </c>
      <c r="H54" s="58">
        <v>1238</v>
      </c>
      <c r="I54" s="49">
        <v>1</v>
      </c>
      <c r="J54" s="49"/>
      <c r="K54" s="566">
        <f>'Quote Master'!$I$42*1.3</f>
        <v>333883.33333333331</v>
      </c>
      <c r="L54" s="562"/>
      <c r="M54" s="99"/>
      <c r="N54" s="99"/>
      <c r="O54" s="99">
        <f>'Quote Master'!$I$38*2</f>
        <v>130333.33333333333</v>
      </c>
      <c r="P54" s="563"/>
      <c r="Q54" s="476">
        <f t="shared" si="7"/>
        <v>998583.33333333326</v>
      </c>
      <c r="R54" s="564" t="s">
        <v>482</v>
      </c>
      <c r="S54" s="565">
        <f>Q54/'Overall Costing'!$M$5</f>
        <v>10623.226950354609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s="549" customFormat="1" x14ac:dyDescent="0.25">
      <c r="A55" s="52">
        <v>53</v>
      </c>
      <c r="B55" s="48" t="s">
        <v>483</v>
      </c>
      <c r="C55" s="58">
        <v>0</v>
      </c>
      <c r="D55" s="58">
        <v>1200</v>
      </c>
      <c r="E55" s="58">
        <v>1200</v>
      </c>
      <c r="F55" s="58">
        <v>5100</v>
      </c>
      <c r="G55" s="562">
        <f t="shared" si="6"/>
        <v>5.0999999999999996</v>
      </c>
      <c r="H55" s="58">
        <v>1238</v>
      </c>
      <c r="I55" s="49">
        <v>1</v>
      </c>
      <c r="J55" s="49"/>
      <c r="K55" s="566">
        <f>'Quote Master'!$I$42*1.3</f>
        <v>333883.33333333331</v>
      </c>
      <c r="L55" s="562"/>
      <c r="M55" s="99"/>
      <c r="N55" s="99"/>
      <c r="O55" s="99">
        <f>'Quote Master'!$I$38*2</f>
        <v>130333.33333333333</v>
      </c>
      <c r="P55" s="563"/>
      <c r="Q55" s="476">
        <f t="shared" si="7"/>
        <v>998583.33333333326</v>
      </c>
      <c r="R55" s="564" t="s">
        <v>482</v>
      </c>
      <c r="S55" s="565">
        <f>Q55/'Overall Costing'!$M$5</f>
        <v>10623.226950354609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s="549" customFormat="1" x14ac:dyDescent="0.25">
      <c r="A56" s="52">
        <v>54</v>
      </c>
      <c r="B56" s="48" t="s">
        <v>483</v>
      </c>
      <c r="C56" s="58">
        <v>0</v>
      </c>
      <c r="D56" s="58">
        <v>800</v>
      </c>
      <c r="E56" s="58">
        <v>800</v>
      </c>
      <c r="F56" s="58">
        <v>4500</v>
      </c>
      <c r="G56" s="562">
        <f t="shared" si="6"/>
        <v>4.5</v>
      </c>
      <c r="H56" s="58">
        <v>1238</v>
      </c>
      <c r="I56" s="49">
        <v>1</v>
      </c>
      <c r="J56" s="49"/>
      <c r="K56" s="566">
        <f>'Quote Master'!$I$42*1.3</f>
        <v>333883.33333333331</v>
      </c>
      <c r="L56" s="562"/>
      <c r="M56" s="99"/>
      <c r="N56" s="99"/>
      <c r="O56" s="99">
        <f>'Quote Master'!$I$38*2</f>
        <v>130333.33333333333</v>
      </c>
      <c r="P56" s="563"/>
      <c r="Q56" s="476">
        <f t="shared" si="7"/>
        <v>920383.33333333326</v>
      </c>
      <c r="R56" s="564" t="s">
        <v>482</v>
      </c>
      <c r="S56" s="565">
        <f>Q56/'Overall Costing'!$M$5</f>
        <v>9791.3120567375881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s="549" customFormat="1" x14ac:dyDescent="0.25">
      <c r="A57" s="52">
        <v>55</v>
      </c>
      <c r="B57" s="48" t="s">
        <v>483</v>
      </c>
      <c r="C57" s="58">
        <v>0</v>
      </c>
      <c r="D57" s="58">
        <v>800</v>
      </c>
      <c r="E57" s="58">
        <v>800</v>
      </c>
      <c r="F57" s="58">
        <v>4500</v>
      </c>
      <c r="G57" s="562">
        <f t="shared" si="6"/>
        <v>4.5</v>
      </c>
      <c r="H57" s="58">
        <v>1238</v>
      </c>
      <c r="I57" s="49">
        <v>1</v>
      </c>
      <c r="J57" s="49"/>
      <c r="K57" s="566">
        <f>'Quote Master'!$I$42*1.3</f>
        <v>333883.33333333331</v>
      </c>
      <c r="L57" s="562"/>
      <c r="M57" s="99"/>
      <c r="N57" s="99"/>
      <c r="O57" s="99">
        <f>'Quote Master'!$I$38*2</f>
        <v>130333.33333333333</v>
      </c>
      <c r="P57" s="563"/>
      <c r="Q57" s="476">
        <f t="shared" si="7"/>
        <v>920383.33333333326</v>
      </c>
      <c r="R57" s="564" t="s">
        <v>482</v>
      </c>
      <c r="S57" s="565">
        <f>Q57/'Overall Costing'!$M$5</f>
        <v>9791.3120567375881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s="549" customFormat="1" x14ac:dyDescent="0.25">
      <c r="A58" s="52">
        <v>56</v>
      </c>
      <c r="B58" s="48" t="s">
        <v>483</v>
      </c>
      <c r="C58" s="58">
        <v>0</v>
      </c>
      <c r="D58" s="58">
        <v>800</v>
      </c>
      <c r="E58" s="58">
        <v>800</v>
      </c>
      <c r="F58" s="58">
        <v>4500</v>
      </c>
      <c r="G58" s="562">
        <f t="shared" si="6"/>
        <v>4.5</v>
      </c>
      <c r="H58" s="58">
        <v>1238</v>
      </c>
      <c r="I58" s="49">
        <v>1</v>
      </c>
      <c r="J58" s="49"/>
      <c r="K58" s="566">
        <f>'Quote Master'!$I$42*1.3</f>
        <v>333883.33333333331</v>
      </c>
      <c r="L58" s="562"/>
      <c r="M58" s="99"/>
      <c r="N58" s="99"/>
      <c r="O58" s="99">
        <f>'Quote Master'!$I$38*2</f>
        <v>130333.33333333333</v>
      </c>
      <c r="P58" s="563"/>
      <c r="Q58" s="476">
        <f t="shared" si="7"/>
        <v>920383.33333333326</v>
      </c>
      <c r="R58" s="564" t="s">
        <v>482</v>
      </c>
      <c r="S58" s="565">
        <f>Q58/'Overall Costing'!$M$5</f>
        <v>9791.3120567375881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s="549" customFormat="1" ht="15.75" x14ac:dyDescent="0.25">
      <c r="A59" s="52">
        <v>57</v>
      </c>
      <c r="B59" s="34" t="s">
        <v>484</v>
      </c>
      <c r="C59" s="567"/>
      <c r="D59" s="49">
        <v>650</v>
      </c>
      <c r="E59" s="49">
        <v>650</v>
      </c>
      <c r="F59" s="568"/>
      <c r="G59" s="562"/>
      <c r="H59" s="99">
        <v>1000</v>
      </c>
      <c r="I59" s="49">
        <v>1</v>
      </c>
      <c r="J59" s="566">
        <f>'Quote Master'!$I$13*2</f>
        <v>1520000</v>
      </c>
      <c r="K59" s="566"/>
      <c r="L59" s="31"/>
      <c r="M59" s="49"/>
      <c r="N59" s="31"/>
      <c r="O59" s="38"/>
      <c r="P59" s="31"/>
      <c r="Q59" s="569">
        <f>I59*J59</f>
        <v>1520000</v>
      </c>
      <c r="R59" s="564" t="s">
        <v>482</v>
      </c>
      <c r="S59" s="565">
        <f>Q59/'Overall Costing'!$M$5</f>
        <v>16170.212765957447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s="549" customFormat="1" ht="15.75" x14ac:dyDescent="0.25">
      <c r="A60" s="52">
        <v>58</v>
      </c>
      <c r="B60" s="34" t="s">
        <v>484</v>
      </c>
      <c r="C60" s="567"/>
      <c r="D60" s="49">
        <v>650</v>
      </c>
      <c r="E60" s="49">
        <v>650</v>
      </c>
      <c r="F60" s="568"/>
      <c r="G60" s="562"/>
      <c r="H60" s="99">
        <v>1000</v>
      </c>
      <c r="I60" s="49">
        <v>1</v>
      </c>
      <c r="J60" s="566">
        <f>'Quote Master'!$I$13*2</f>
        <v>1520000</v>
      </c>
      <c r="K60" s="566"/>
      <c r="L60" s="31"/>
      <c r="M60" s="49"/>
      <c r="N60" s="31"/>
      <c r="O60" s="38"/>
      <c r="P60" s="31"/>
      <c r="Q60" s="569">
        <f>I60*J60</f>
        <v>1520000</v>
      </c>
      <c r="R60" s="564" t="s">
        <v>482</v>
      </c>
      <c r="S60" s="565">
        <f>Q60/'Overall Costing'!$M$5</f>
        <v>16170.212765957447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P61" s="227" t="s">
        <v>87</v>
      </c>
      <c r="Q61" s="550">
        <f>SUM(Q3:Q60)</f>
        <v>53128257.01881852</v>
      </c>
      <c r="S61" s="525"/>
    </row>
    <row r="62" spans="1:51" x14ac:dyDescent="0.25">
      <c r="B62" s="2"/>
      <c r="S62" s="525"/>
    </row>
    <row r="63" spans="1:51" x14ac:dyDescent="0.25">
      <c r="B63" s="2"/>
      <c r="S63" s="525"/>
    </row>
    <row r="64" spans="1:51" ht="15.75" x14ac:dyDescent="0.25">
      <c r="I64" s="162"/>
      <c r="M64" s="18"/>
    </row>
    <row r="65" spans="6:20" ht="18.75" x14ac:dyDescent="0.3">
      <c r="F65" s="300" t="s">
        <v>485</v>
      </c>
      <c r="G65" s="551">
        <f>GETPIVOTDATA("Sum of Selling Price",$M$67)</f>
        <v>53128257.018818483</v>
      </c>
      <c r="M65" s="303" t="s">
        <v>107</v>
      </c>
      <c r="N65" s="58" t="s">
        <v>486</v>
      </c>
    </row>
    <row r="66" spans="6:20" ht="18.75" x14ac:dyDescent="0.3">
      <c r="F66" s="300" t="s">
        <v>114</v>
      </c>
      <c r="G66" s="551">
        <f>(GETPIVOTDATA("Sum of Selling Price",$M$67,"Name","PVC Belt Conveyor")+GETPIVOTDATA("Sum of Selling Price",$M$67,"Name","Modular Conveyor")+GETPIVOTDATA("Sum of Selling Price",$M$67,"Name","PVC Belt Conveyor(Bulk loading)"))*'Overall Costing'!M3</f>
        <v>7513238.5528227724</v>
      </c>
      <c r="H66" s="37">
        <f>G66+G67+G68+G69</f>
        <v>9148619.2541894801</v>
      </c>
      <c r="M66" s="49"/>
      <c r="N66" s="49"/>
    </row>
    <row r="67" spans="6:20" ht="21" x14ac:dyDescent="0.35">
      <c r="F67" s="300" t="s">
        <v>487</v>
      </c>
      <c r="G67" s="552">
        <f>NormalConveyorLeg!$H$302</f>
        <v>544145.14581115253</v>
      </c>
      <c r="M67" s="303" t="s">
        <v>488</v>
      </c>
      <c r="N67" s="58" t="s">
        <v>489</v>
      </c>
      <c r="O67" s="58" t="s">
        <v>490</v>
      </c>
      <c r="P67" s="58" t="s">
        <v>491</v>
      </c>
    </row>
    <row r="68" spans="6:20" ht="21" x14ac:dyDescent="0.35">
      <c r="F68" s="300" t="s">
        <v>492</v>
      </c>
      <c r="G68" s="552">
        <f>EndJoints!$I$4</f>
        <v>242000</v>
      </c>
      <c r="L68" s="571" t="s">
        <v>1132</v>
      </c>
      <c r="M68" s="48" t="s">
        <v>480</v>
      </c>
      <c r="N68" s="58">
        <v>102.64000000000001</v>
      </c>
      <c r="O68" s="309">
        <v>18</v>
      </c>
      <c r="P68" s="58">
        <v>14612219.451961864</v>
      </c>
    </row>
    <row r="69" spans="6:20" ht="21.75" thickBot="1" x14ac:dyDescent="0.4">
      <c r="F69" s="301" t="s">
        <v>493</v>
      </c>
      <c r="G69" s="553">
        <f>'Leg Guards'!$E$5</f>
        <v>849235.5555555555</v>
      </c>
      <c r="L69" s="571" t="s">
        <v>1134</v>
      </c>
      <c r="M69" s="48" t="s">
        <v>484</v>
      </c>
      <c r="N69" s="58"/>
      <c r="O69" s="309">
        <v>2</v>
      </c>
      <c r="P69" s="58">
        <v>3040000</v>
      </c>
    </row>
    <row r="70" spans="6:20" ht="24" thickBot="1" x14ac:dyDescent="0.4">
      <c r="F70" s="302" t="s">
        <v>494</v>
      </c>
      <c r="G70" s="554">
        <f>SUM(G65:G69)</f>
        <v>62276876.273007959</v>
      </c>
      <c r="L70" s="571" t="s">
        <v>1133</v>
      </c>
      <c r="M70" s="48" t="s">
        <v>483</v>
      </c>
      <c r="N70" s="58">
        <v>163.79999999999995</v>
      </c>
      <c r="O70" s="309">
        <v>36</v>
      </c>
      <c r="P70" s="58">
        <v>33368399.999999981</v>
      </c>
      <c r="Q70" s="3">
        <f>GETPIVOTDATA("Sum of Conveyor Length (m)",$M$67,"Name","Modular Conveyor")+'Arm Sorter'!C2</f>
        <v>227.99999999999994</v>
      </c>
    </row>
    <row r="71" spans="6:20" x14ac:dyDescent="0.25">
      <c r="L71" s="571" t="s">
        <v>1131</v>
      </c>
      <c r="M71" s="48" t="s">
        <v>1130</v>
      </c>
      <c r="N71" s="58">
        <v>11.52</v>
      </c>
      <c r="O71" s="58">
        <v>2</v>
      </c>
      <c r="P71" s="58">
        <v>2107637.5668566371</v>
      </c>
    </row>
    <row r="72" spans="6:20" x14ac:dyDescent="0.25">
      <c r="M72" s="48" t="s">
        <v>350</v>
      </c>
      <c r="N72" s="58">
        <v>277.95999999999992</v>
      </c>
      <c r="O72" s="58">
        <v>58</v>
      </c>
      <c r="P72" s="58">
        <v>53128257.018818483</v>
      </c>
    </row>
    <row r="73" spans="6:20" x14ac:dyDescent="0.25">
      <c r="M73"/>
      <c r="N73"/>
      <c r="O73"/>
      <c r="P73"/>
    </row>
    <row r="74" spans="6:20" x14ac:dyDescent="0.25">
      <c r="M74"/>
      <c r="N74"/>
      <c r="O74"/>
      <c r="P74"/>
    </row>
    <row r="75" spans="6:20" x14ac:dyDescent="0.25">
      <c r="M75" t="s">
        <v>495</v>
      </c>
      <c r="N75" s="484">
        <f>S3+S4+S5+S6+S8+S9+S10+S11+S12+S13+S15+S16</f>
        <v>104248.37489032904</v>
      </c>
      <c r="O75"/>
      <c r="P75"/>
    </row>
    <row r="76" spans="6:20" x14ac:dyDescent="0.25">
      <c r="M76" t="s">
        <v>496</v>
      </c>
      <c r="N76" s="484">
        <f>S7+S14+S23+S24+S25+S26+S27+S28+S59+S60</f>
        <v>113652.84000096374</v>
      </c>
      <c r="O76"/>
      <c r="P76"/>
    </row>
    <row r="77" spans="6:20" x14ac:dyDescent="0.25">
      <c r="M77" t="s">
        <v>44</v>
      </c>
      <c r="N77" s="484">
        <f>H66/'Overall Costing'!M5</f>
        <v>97325.736746696595</v>
      </c>
      <c r="O77"/>
      <c r="P77"/>
      <c r="T77" s="31"/>
    </row>
    <row r="78" spans="6:20" x14ac:dyDescent="0.25">
      <c r="M78"/>
      <c r="N78"/>
      <c r="O78"/>
      <c r="T78" s="152"/>
    </row>
    <row r="79" spans="6:20" x14ac:dyDescent="0.25">
      <c r="M79"/>
      <c r="N79"/>
      <c r="O79"/>
    </row>
    <row r="80" spans="6:20" x14ac:dyDescent="0.25">
      <c r="M80"/>
      <c r="N80"/>
      <c r="O80"/>
    </row>
    <row r="81" spans="13:15" x14ac:dyDescent="0.25">
      <c r="M81"/>
      <c r="N81"/>
      <c r="O81"/>
    </row>
    <row r="82" spans="13:15" x14ac:dyDescent="0.25">
      <c r="M82"/>
      <c r="N82"/>
      <c r="O82"/>
    </row>
    <row r="83" spans="13:15" x14ac:dyDescent="0.25">
      <c r="M83"/>
      <c r="N83"/>
      <c r="O83"/>
    </row>
    <row r="84" spans="13:15" x14ac:dyDescent="0.25">
      <c r="M84"/>
      <c r="N84"/>
      <c r="O84"/>
    </row>
    <row r="97" spans="3:4" x14ac:dyDescent="0.25">
      <c r="C97" s="2"/>
      <c r="D97" s="2"/>
    </row>
    <row r="98" spans="3:4" x14ac:dyDescent="0.25">
      <c r="C98" s="2"/>
      <c r="D98" s="2"/>
    </row>
    <row r="99" spans="3:4" ht="21" x14ac:dyDescent="0.35">
      <c r="C99" s="118"/>
      <c r="D99" s="118"/>
    </row>
  </sheetData>
  <autoFilter ref="A2:T63" xr:uid="{43D51F2D-4D6F-4CE4-8F06-31B50B3511DA}"/>
  <phoneticPr fontId="20" type="noConversion"/>
  <pageMargins left="0.7" right="0.7" top="0.75" bottom="0.75" header="0.3" footer="0.3"/>
  <pageSetup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4DE5F-012B-40F7-AD24-946B96D38D3B}">
  <sheetPr>
    <tabColor rgb="FFFF0000"/>
  </sheetPr>
  <dimension ref="A1:AB38"/>
  <sheetViews>
    <sheetView topLeftCell="C14" zoomScale="85" zoomScaleNormal="85" workbookViewId="0">
      <selection activeCell="AB43" sqref="AB42:AB43"/>
    </sheetView>
  </sheetViews>
  <sheetFormatPr defaultRowHeight="15" x14ac:dyDescent="0.25"/>
  <cols>
    <col min="1" max="1" width="10" bestFit="1" customWidth="1"/>
    <col min="2" max="2" width="10" customWidth="1"/>
    <col min="3" max="3" width="13.28515625" customWidth="1"/>
    <col min="4" max="4" width="11.7109375" bestFit="1" customWidth="1"/>
    <col min="5" max="5" width="13.42578125" customWidth="1"/>
    <col min="6" max="6" width="17.7109375" customWidth="1"/>
    <col min="7" max="7" width="10.5703125" bestFit="1" customWidth="1"/>
    <col min="8" max="8" width="10.140625" bestFit="1" customWidth="1"/>
    <col min="9" max="9" width="14.7109375" bestFit="1" customWidth="1"/>
    <col min="10" max="11" width="9.28515625" bestFit="1" customWidth="1"/>
    <col min="12" max="12" width="18" bestFit="1" customWidth="1"/>
    <col min="13" max="13" width="15.42578125" bestFit="1" customWidth="1"/>
    <col min="14" max="14" width="11.85546875" customWidth="1"/>
    <col min="15" max="15" width="10.7109375" bestFit="1" customWidth="1"/>
    <col min="16" max="16" width="9.28515625" bestFit="1" customWidth="1"/>
    <col min="17" max="18" width="9.7109375" bestFit="1" customWidth="1"/>
    <col min="21" max="21" width="7.7109375" bestFit="1" customWidth="1"/>
    <col min="22" max="22" width="26" bestFit="1" customWidth="1"/>
    <col min="23" max="23" width="19.7109375" bestFit="1" customWidth="1"/>
    <col min="24" max="24" width="9.5703125" bestFit="1" customWidth="1"/>
    <col min="25" max="25" width="10.7109375" bestFit="1" customWidth="1"/>
    <col min="26" max="26" width="8.140625" bestFit="1" customWidth="1"/>
    <col min="28" max="28" width="9.7109375" bestFit="1" customWidth="1"/>
  </cols>
  <sheetData>
    <row r="1" spans="1:28" x14ac:dyDescent="0.25">
      <c r="A1" s="599" t="s">
        <v>497</v>
      </c>
      <c r="B1" s="599"/>
      <c r="C1" s="599"/>
      <c r="D1" s="599"/>
      <c r="E1" s="599"/>
      <c r="F1" s="599"/>
      <c r="G1" s="599"/>
    </row>
    <row r="2" spans="1:28" ht="30" x14ac:dyDescent="0.25">
      <c r="A2" s="166"/>
      <c r="B2" s="166"/>
      <c r="C2" s="167" t="s">
        <v>498</v>
      </c>
      <c r="D2" s="167" t="s">
        <v>499</v>
      </c>
      <c r="E2" s="167" t="s">
        <v>500</v>
      </c>
      <c r="F2" s="167" t="s">
        <v>474</v>
      </c>
      <c r="G2" s="168" t="s">
        <v>476</v>
      </c>
      <c r="H2" s="169"/>
    </row>
    <row r="3" spans="1:28" x14ac:dyDescent="0.25">
      <c r="A3" s="170" t="s">
        <v>501</v>
      </c>
      <c r="B3" s="170">
        <v>610</v>
      </c>
      <c r="C3" s="171">
        <v>27306.01780412368</v>
      </c>
      <c r="D3" s="172">
        <v>28801.313804123682</v>
      </c>
      <c r="E3" s="173">
        <v>45770.662299999996</v>
      </c>
      <c r="F3" s="174">
        <f>C3+D3+E3</f>
        <v>101877.99390824736</v>
      </c>
      <c r="G3" s="175">
        <v>14365.913975149178</v>
      </c>
      <c r="I3" s="176"/>
      <c r="K3" s="600" t="s">
        <v>502</v>
      </c>
      <c r="L3" s="601"/>
      <c r="M3" s="177">
        <v>1746.5554639175259</v>
      </c>
      <c r="N3" s="178"/>
    </row>
    <row r="4" spans="1:28" x14ac:dyDescent="0.25">
      <c r="A4" s="170" t="s">
        <v>503</v>
      </c>
      <c r="B4" s="170">
        <v>810</v>
      </c>
      <c r="C4" s="171">
        <v>29307.738484536058</v>
      </c>
      <c r="D4" s="179">
        <v>31067.986484536057</v>
      </c>
      <c r="E4" s="180">
        <v>46628.890999999989</v>
      </c>
      <c r="F4" s="181">
        <f t="shared" ref="F4:F7" si="0">C4+D4+E4</f>
        <v>107004.6159690721</v>
      </c>
      <c r="G4" s="182">
        <v>16165.193557784474</v>
      </c>
      <c r="H4" s="176"/>
      <c r="I4" s="176"/>
      <c r="K4" s="602" t="s">
        <v>504</v>
      </c>
      <c r="L4" s="603"/>
      <c r="M4" s="183">
        <v>6144.0098969072169</v>
      </c>
      <c r="N4" s="178"/>
    </row>
    <row r="5" spans="1:28" x14ac:dyDescent="0.25">
      <c r="A5" s="170" t="s">
        <v>505</v>
      </c>
      <c r="B5" s="170">
        <v>1010</v>
      </c>
      <c r="C5" s="171">
        <v>33231.004948453607</v>
      </c>
      <c r="D5" s="179">
        <v>35451.004948453607</v>
      </c>
      <c r="E5" s="181">
        <v>50560</v>
      </c>
      <c r="F5" s="181">
        <f t="shared" si="0"/>
        <v>119242.00989690721</v>
      </c>
      <c r="G5" s="182">
        <v>17854</v>
      </c>
      <c r="H5" s="176"/>
      <c r="I5" s="176"/>
      <c r="K5" s="604" t="s">
        <v>506</v>
      </c>
      <c r="L5" s="605"/>
      <c r="M5" s="184">
        <v>3381.9587628865979</v>
      </c>
      <c r="N5" s="178"/>
    </row>
    <row r="6" spans="1:28" x14ac:dyDescent="0.25">
      <c r="A6" s="170" t="s">
        <v>507</v>
      </c>
      <c r="B6" s="170">
        <v>1210</v>
      </c>
      <c r="C6" s="171">
        <v>34341.482123711306</v>
      </c>
      <c r="D6" s="179">
        <v>37664.004948453607</v>
      </c>
      <c r="E6" s="180">
        <v>55171.795999999995</v>
      </c>
      <c r="F6" s="181">
        <f t="shared" si="0"/>
        <v>127177.28307216492</v>
      </c>
      <c r="G6" s="182">
        <v>18466.699364843294</v>
      </c>
      <c r="I6" s="176"/>
      <c r="J6" s="178"/>
      <c r="K6" s="178"/>
      <c r="L6" s="178"/>
      <c r="M6" s="178"/>
      <c r="N6" s="178"/>
    </row>
    <row r="7" spans="1:28" x14ac:dyDescent="0.25">
      <c r="A7" s="170" t="s">
        <v>508</v>
      </c>
      <c r="B7" s="170">
        <v>1410</v>
      </c>
      <c r="C7" s="171">
        <v>40369.381639175233</v>
      </c>
      <c r="D7" s="185">
        <v>43158.404639175227</v>
      </c>
      <c r="E7" s="186">
        <v>63811.579999999994</v>
      </c>
      <c r="F7" s="187">
        <f t="shared" si="0"/>
        <v>147339.36627835044</v>
      </c>
      <c r="G7" s="188">
        <v>22035.982112070586</v>
      </c>
      <c r="I7" s="176"/>
    </row>
    <row r="9" spans="1:28" x14ac:dyDescent="0.25">
      <c r="A9" s="606" t="s">
        <v>509</v>
      </c>
      <c r="B9" s="606"/>
      <c r="C9" s="606"/>
      <c r="D9" s="606"/>
      <c r="E9" s="606"/>
      <c r="F9" s="606"/>
      <c r="G9" s="606"/>
    </row>
    <row r="10" spans="1:28" ht="30" x14ac:dyDescent="0.25">
      <c r="A10" s="189"/>
      <c r="B10" s="189"/>
      <c r="C10" s="190" t="s">
        <v>498</v>
      </c>
      <c r="D10" s="190" t="s">
        <v>499</v>
      </c>
      <c r="E10" s="190" t="s">
        <v>500</v>
      </c>
      <c r="F10" s="190" t="s">
        <v>474</v>
      </c>
      <c r="G10" s="191" t="s">
        <v>476</v>
      </c>
      <c r="I10" s="192" t="s">
        <v>510</v>
      </c>
      <c r="J10" s="193" t="s">
        <v>511</v>
      </c>
      <c r="K10" s="193" t="s">
        <v>512</v>
      </c>
      <c r="L10" s="193" t="s">
        <v>513</v>
      </c>
      <c r="M10" s="193" t="s">
        <v>514</v>
      </c>
      <c r="N10" s="194" t="s">
        <v>515</v>
      </c>
      <c r="O10" s="195" t="s">
        <v>516</v>
      </c>
      <c r="P10" s="79" t="s">
        <v>517</v>
      </c>
      <c r="Q10" s="196" t="s">
        <v>518</v>
      </c>
      <c r="S10" s="597" t="s">
        <v>519</v>
      </c>
      <c r="T10" s="597"/>
      <c r="U10" s="597"/>
      <c r="V10" s="597"/>
      <c r="W10" s="597"/>
      <c r="X10" s="597"/>
      <c r="Y10" s="597"/>
      <c r="Z10" s="597"/>
      <c r="AA10" s="597"/>
      <c r="AB10" s="597"/>
    </row>
    <row r="11" spans="1:28" ht="60" x14ac:dyDescent="0.25">
      <c r="A11" s="197" t="s">
        <v>501</v>
      </c>
      <c r="B11" s="197">
        <v>610</v>
      </c>
      <c r="C11" s="198"/>
      <c r="D11" s="199"/>
      <c r="E11" s="200" t="s">
        <v>149</v>
      </c>
      <c r="F11" s="199"/>
      <c r="G11" s="201">
        <v>14365.913975149178</v>
      </c>
      <c r="I11" s="49">
        <v>1</v>
      </c>
      <c r="J11" s="27">
        <v>1.5</v>
      </c>
      <c r="K11" s="202">
        <v>66021</v>
      </c>
      <c r="L11" s="203"/>
      <c r="M11" s="203"/>
      <c r="N11" s="204">
        <v>20823</v>
      </c>
      <c r="O11" s="176">
        <v>13755</v>
      </c>
      <c r="P11" s="37">
        <v>14200</v>
      </c>
      <c r="Q11" s="205">
        <f t="shared" ref="Q11:Q16" si="1">N11+O11+P11</f>
        <v>48778</v>
      </c>
      <c r="S11" s="266" t="s">
        <v>510</v>
      </c>
      <c r="T11" s="267" t="s">
        <v>511</v>
      </c>
      <c r="U11" s="267" t="s">
        <v>512</v>
      </c>
      <c r="V11" s="267" t="s">
        <v>513</v>
      </c>
      <c r="W11" s="267" t="s">
        <v>514</v>
      </c>
      <c r="X11" s="268" t="s">
        <v>520</v>
      </c>
      <c r="Y11" s="269" t="s">
        <v>521</v>
      </c>
      <c r="Z11" s="195" t="s">
        <v>516</v>
      </c>
      <c r="AA11" s="79" t="s">
        <v>517</v>
      </c>
      <c r="AB11" s="270" t="s">
        <v>518</v>
      </c>
    </row>
    <row r="12" spans="1:28" x14ac:dyDescent="0.25">
      <c r="A12" s="197" t="s">
        <v>503</v>
      </c>
      <c r="B12" s="197">
        <v>810</v>
      </c>
      <c r="C12" s="206"/>
      <c r="D12" s="207"/>
      <c r="E12" s="208" t="s">
        <v>522</v>
      </c>
      <c r="F12" s="207"/>
      <c r="G12" s="209">
        <v>16165.193557784474</v>
      </c>
      <c r="I12" s="49">
        <v>2</v>
      </c>
      <c r="J12" s="27">
        <v>2.2000000000000002</v>
      </c>
      <c r="K12" s="203">
        <v>26704</v>
      </c>
      <c r="L12" s="203" t="s">
        <v>523</v>
      </c>
      <c r="M12" s="203" t="s">
        <v>524</v>
      </c>
      <c r="N12" s="210">
        <v>26117</v>
      </c>
      <c r="O12" s="176">
        <v>15000</v>
      </c>
      <c r="P12" s="37">
        <v>14200</v>
      </c>
      <c r="Q12" s="205">
        <f t="shared" si="1"/>
        <v>55317</v>
      </c>
      <c r="S12" s="49">
        <v>1</v>
      </c>
      <c r="T12" s="271">
        <v>1.5</v>
      </c>
      <c r="U12" s="272">
        <v>115350</v>
      </c>
      <c r="V12" s="273" t="s">
        <v>525</v>
      </c>
      <c r="W12" s="58" t="s">
        <v>526</v>
      </c>
      <c r="X12" s="274">
        <v>30418</v>
      </c>
      <c r="Y12" s="275">
        <f>AVERAGE(X12)</f>
        <v>30418</v>
      </c>
      <c r="Z12" s="276">
        <v>13755</v>
      </c>
      <c r="AA12" s="277">
        <v>14200</v>
      </c>
      <c r="AB12" s="278">
        <f>Y12+Z12+AA12</f>
        <v>58373</v>
      </c>
    </row>
    <row r="13" spans="1:28" x14ac:dyDescent="0.25">
      <c r="A13" s="197" t="s">
        <v>505</v>
      </c>
      <c r="B13" s="197">
        <v>1010</v>
      </c>
      <c r="C13" s="211">
        <v>50692</v>
      </c>
      <c r="D13" s="212">
        <v>31799</v>
      </c>
      <c r="E13" s="208" t="s">
        <v>149</v>
      </c>
      <c r="F13" s="213">
        <f>C13+D13</f>
        <v>82491</v>
      </c>
      <c r="G13" s="209">
        <v>17854</v>
      </c>
      <c r="I13" s="49">
        <v>3</v>
      </c>
      <c r="J13" s="27">
        <v>3</v>
      </c>
      <c r="K13" s="203">
        <v>85889</v>
      </c>
      <c r="L13" s="203" t="s">
        <v>527</v>
      </c>
      <c r="M13" s="203" t="s">
        <v>524</v>
      </c>
      <c r="N13" s="210">
        <v>35896</v>
      </c>
      <c r="O13" s="176">
        <v>17000</v>
      </c>
      <c r="P13" s="37">
        <v>14600</v>
      </c>
      <c r="Q13" s="205">
        <f t="shared" si="1"/>
        <v>67496</v>
      </c>
      <c r="S13" s="94">
        <v>2</v>
      </c>
      <c r="T13" s="598">
        <v>2.2000000000000002</v>
      </c>
      <c r="U13" s="272">
        <v>120748</v>
      </c>
      <c r="V13" s="272" t="s">
        <v>528</v>
      </c>
      <c r="W13" s="272" t="s">
        <v>529</v>
      </c>
      <c r="X13" s="279">
        <v>36651</v>
      </c>
      <c r="Y13" s="291">
        <f>AVERAGE(X13:X15)</f>
        <v>36040</v>
      </c>
      <c r="Z13" s="293">
        <v>15000</v>
      </c>
      <c r="AA13" s="294">
        <v>14200</v>
      </c>
      <c r="AB13" s="283">
        <f t="shared" ref="AB13:AB17" si="2">Y13+Z13+AA13</f>
        <v>65240</v>
      </c>
    </row>
    <row r="14" spans="1:28" x14ac:dyDescent="0.25">
      <c r="A14" s="197" t="s">
        <v>507</v>
      </c>
      <c r="B14" s="197">
        <v>1210</v>
      </c>
      <c r="C14" s="211">
        <v>54466</v>
      </c>
      <c r="D14" s="212">
        <v>34389</v>
      </c>
      <c r="E14" s="208" t="s">
        <v>149</v>
      </c>
      <c r="F14" s="213">
        <f>C14+D14</f>
        <v>88855</v>
      </c>
      <c r="G14" s="209">
        <v>18466.699364843294</v>
      </c>
      <c r="I14" s="49">
        <v>4</v>
      </c>
      <c r="J14" s="27">
        <v>4</v>
      </c>
      <c r="K14" s="203">
        <v>20348</v>
      </c>
      <c r="L14" s="203" t="s">
        <v>530</v>
      </c>
      <c r="M14" s="203" t="s">
        <v>531</v>
      </c>
      <c r="N14" s="210">
        <v>38065</v>
      </c>
      <c r="O14" s="176">
        <v>20370</v>
      </c>
      <c r="P14" s="37">
        <v>14600</v>
      </c>
      <c r="Q14" s="205">
        <f t="shared" si="1"/>
        <v>73035</v>
      </c>
      <c r="S14" s="289"/>
      <c r="T14" s="598"/>
      <c r="U14" s="272">
        <v>118195</v>
      </c>
      <c r="V14" s="272" t="s">
        <v>532</v>
      </c>
      <c r="W14" s="272" t="s">
        <v>533</v>
      </c>
      <c r="X14" s="279">
        <v>36587</v>
      </c>
      <c r="Y14" s="292"/>
      <c r="Z14" s="293"/>
      <c r="AA14" s="294"/>
      <c r="AB14" s="287"/>
    </row>
    <row r="15" spans="1:28" x14ac:dyDescent="0.25">
      <c r="A15" s="197" t="s">
        <v>508</v>
      </c>
      <c r="B15" s="197">
        <v>1410</v>
      </c>
      <c r="C15" s="214"/>
      <c r="D15" s="215"/>
      <c r="E15" s="216" t="s">
        <v>149</v>
      </c>
      <c r="F15" s="217"/>
      <c r="G15" s="218">
        <v>22035.982112070586</v>
      </c>
      <c r="I15" s="49">
        <v>5</v>
      </c>
      <c r="J15" s="27">
        <v>5.5</v>
      </c>
      <c r="K15" s="203">
        <v>86632</v>
      </c>
      <c r="L15" s="203" t="s">
        <v>534</v>
      </c>
      <c r="M15" s="203" t="s">
        <v>524</v>
      </c>
      <c r="N15" s="210">
        <v>67743</v>
      </c>
      <c r="O15" s="176">
        <v>33390</v>
      </c>
      <c r="P15" s="37">
        <v>19300</v>
      </c>
      <c r="Q15" s="205">
        <f t="shared" si="1"/>
        <v>120433</v>
      </c>
      <c r="S15" s="290"/>
      <c r="T15" s="598"/>
      <c r="U15" s="272">
        <v>113248</v>
      </c>
      <c r="V15" s="272" t="s">
        <v>535</v>
      </c>
      <c r="W15" s="272" t="s">
        <v>536</v>
      </c>
      <c r="X15" s="279">
        <v>34882</v>
      </c>
      <c r="Y15" s="292"/>
      <c r="Z15" s="293"/>
      <c r="AA15" s="294"/>
      <c r="AB15" s="285"/>
    </row>
    <row r="16" spans="1:28" x14ac:dyDescent="0.25">
      <c r="E16" s="55"/>
      <c r="F16" s="55"/>
      <c r="I16" s="49">
        <v>6</v>
      </c>
      <c r="J16" s="27">
        <v>7.5</v>
      </c>
      <c r="K16" s="203">
        <v>91949</v>
      </c>
      <c r="L16" s="203" t="s">
        <v>537</v>
      </c>
      <c r="M16" s="203" t="s">
        <v>538</v>
      </c>
      <c r="N16" s="210">
        <v>69107</v>
      </c>
      <c r="O16" s="176">
        <v>48000</v>
      </c>
      <c r="P16" s="37">
        <v>24300</v>
      </c>
      <c r="Q16" s="205">
        <f t="shared" si="1"/>
        <v>141407</v>
      </c>
      <c r="S16" s="49">
        <v>3</v>
      </c>
      <c r="T16" s="27">
        <v>3</v>
      </c>
      <c r="U16" s="272">
        <v>118194</v>
      </c>
      <c r="V16" s="273" t="s">
        <v>539</v>
      </c>
      <c r="W16" s="272" t="s">
        <v>533</v>
      </c>
      <c r="X16" s="279">
        <v>39592</v>
      </c>
      <c r="Y16" s="210">
        <f>AVERAGE(X16)</f>
        <v>39592</v>
      </c>
      <c r="Z16" s="276">
        <v>17000</v>
      </c>
      <c r="AA16" s="277">
        <v>14600</v>
      </c>
      <c r="AB16" s="278">
        <f>Y16+Z16+AA16</f>
        <v>71192</v>
      </c>
    </row>
    <row r="17" spans="3:28" x14ac:dyDescent="0.25">
      <c r="C17" s="219"/>
      <c r="E17" s="219"/>
      <c r="I17" s="1"/>
      <c r="O17" s="176"/>
      <c r="P17" s="37"/>
      <c r="Q17" s="205"/>
      <c r="S17" s="49">
        <v>4</v>
      </c>
      <c r="T17" s="27">
        <v>4</v>
      </c>
      <c r="U17" s="272">
        <v>121011</v>
      </c>
      <c r="V17" s="272" t="s">
        <v>540</v>
      </c>
      <c r="W17" s="272" t="s">
        <v>541</v>
      </c>
      <c r="X17" s="279">
        <v>86107</v>
      </c>
      <c r="Y17" s="210">
        <f>AVERAGE(X17)</f>
        <v>86107</v>
      </c>
      <c r="Z17" s="276">
        <v>20370</v>
      </c>
      <c r="AA17" s="277">
        <v>14600</v>
      </c>
      <c r="AB17" s="278">
        <f t="shared" si="2"/>
        <v>121077</v>
      </c>
    </row>
    <row r="18" spans="3:28" x14ac:dyDescent="0.25">
      <c r="I18" s="1"/>
      <c r="O18" s="176"/>
      <c r="P18" s="37"/>
      <c r="Q18" s="205"/>
      <c r="S18" s="49">
        <v>5</v>
      </c>
      <c r="T18" s="27">
        <v>5.5</v>
      </c>
      <c r="U18" s="203"/>
      <c r="V18" s="203"/>
      <c r="W18" s="203"/>
      <c r="X18" s="203"/>
      <c r="Y18" s="210"/>
      <c r="Z18" s="276">
        <v>33390</v>
      </c>
      <c r="AA18" s="277">
        <v>19300</v>
      </c>
      <c r="AB18" s="278"/>
    </row>
    <row r="19" spans="3:28" x14ac:dyDescent="0.25">
      <c r="I19" s="220" t="s">
        <v>510</v>
      </c>
      <c r="J19" s="221" t="s">
        <v>511</v>
      </c>
      <c r="K19" s="221" t="s">
        <v>512</v>
      </c>
      <c r="L19" s="221" t="s">
        <v>542</v>
      </c>
      <c r="M19" s="221" t="s">
        <v>514</v>
      </c>
      <c r="N19" s="221" t="s">
        <v>543</v>
      </c>
      <c r="O19" s="176"/>
      <c r="P19" s="37"/>
      <c r="Q19" s="205"/>
      <c r="S19" s="49">
        <v>6</v>
      </c>
      <c r="T19" s="27">
        <v>7.5</v>
      </c>
      <c r="U19" s="203"/>
      <c r="V19" s="203"/>
      <c r="W19" s="203"/>
      <c r="X19" s="203"/>
      <c r="Y19" s="210"/>
      <c r="Z19" s="276">
        <v>48000</v>
      </c>
      <c r="AA19" s="277">
        <v>24300</v>
      </c>
      <c r="AB19" s="278"/>
    </row>
    <row r="20" spans="3:28" x14ac:dyDescent="0.25">
      <c r="I20" s="49">
        <v>1</v>
      </c>
      <c r="J20" s="27">
        <v>1.5</v>
      </c>
      <c r="K20" s="203"/>
      <c r="L20" s="203"/>
      <c r="M20" s="203"/>
      <c r="N20" s="204">
        <v>33696</v>
      </c>
      <c r="O20" s="176">
        <v>13755</v>
      </c>
      <c r="P20" s="37">
        <v>14200</v>
      </c>
      <c r="Q20" s="205">
        <f t="shared" ref="Q20:Q25" si="3">N20+O20+P20</f>
        <v>61651</v>
      </c>
    </row>
    <row r="21" spans="3:28" x14ac:dyDescent="0.25">
      <c r="I21" s="49">
        <v>2</v>
      </c>
      <c r="J21" s="27">
        <v>2.2000000000000002</v>
      </c>
      <c r="K21" s="203">
        <v>62293</v>
      </c>
      <c r="L21" s="203" t="s">
        <v>544</v>
      </c>
      <c r="M21" s="203" t="s">
        <v>538</v>
      </c>
      <c r="N21" s="210">
        <v>36167</v>
      </c>
      <c r="O21" s="176">
        <v>15000</v>
      </c>
      <c r="P21" s="37">
        <v>14200</v>
      </c>
      <c r="Q21" s="205">
        <f t="shared" si="3"/>
        <v>65367</v>
      </c>
    </row>
    <row r="22" spans="3:28" x14ac:dyDescent="0.25">
      <c r="I22" s="49">
        <v>3</v>
      </c>
      <c r="J22" s="27">
        <v>3</v>
      </c>
      <c r="K22" s="203">
        <v>64204</v>
      </c>
      <c r="L22" s="203" t="s">
        <v>545</v>
      </c>
      <c r="M22" s="203" t="s">
        <v>524</v>
      </c>
      <c r="N22" s="210">
        <v>45454</v>
      </c>
      <c r="O22" s="176">
        <v>17000</v>
      </c>
      <c r="P22" s="37">
        <v>14600</v>
      </c>
      <c r="Q22" s="205">
        <f t="shared" si="3"/>
        <v>77054</v>
      </c>
      <c r="S22" s="597" t="s">
        <v>546</v>
      </c>
      <c r="T22" s="597"/>
      <c r="U22" s="597"/>
      <c r="V22" s="597"/>
      <c r="W22" s="597"/>
      <c r="X22" s="597"/>
      <c r="Y22" s="597"/>
      <c r="Z22" s="597"/>
      <c r="AA22" s="597"/>
      <c r="AB22" s="597"/>
    </row>
    <row r="23" spans="3:28" ht="60" x14ac:dyDescent="0.25">
      <c r="E23" s="55"/>
      <c r="F23" s="55"/>
      <c r="I23" s="49">
        <v>4</v>
      </c>
      <c r="J23" s="27">
        <v>4</v>
      </c>
      <c r="K23" s="203">
        <v>63408</v>
      </c>
      <c r="L23" s="203" t="s">
        <v>547</v>
      </c>
      <c r="M23" s="203" t="s">
        <v>538</v>
      </c>
      <c r="N23" s="210">
        <v>48390</v>
      </c>
      <c r="O23" s="176">
        <v>20370</v>
      </c>
      <c r="P23" s="37">
        <v>14600</v>
      </c>
      <c r="Q23" s="205">
        <f t="shared" si="3"/>
        <v>83360</v>
      </c>
      <c r="S23" s="220" t="s">
        <v>510</v>
      </c>
      <c r="T23" s="221" t="s">
        <v>511</v>
      </c>
      <c r="U23" s="221" t="s">
        <v>512</v>
      </c>
      <c r="V23" s="221" t="s">
        <v>542</v>
      </c>
      <c r="W23" s="221" t="s">
        <v>514</v>
      </c>
      <c r="X23" s="280" t="s">
        <v>520</v>
      </c>
      <c r="Y23" s="280" t="s">
        <v>521</v>
      </c>
      <c r="Z23" s="193" t="s">
        <v>516</v>
      </c>
      <c r="AA23" s="281" t="s">
        <v>517</v>
      </c>
      <c r="AB23" s="270" t="s">
        <v>518</v>
      </c>
    </row>
    <row r="24" spans="3:28" x14ac:dyDescent="0.25">
      <c r="E24" s="55"/>
      <c r="F24" s="55"/>
      <c r="I24" s="49">
        <v>5</v>
      </c>
      <c r="J24" s="27">
        <v>5.5</v>
      </c>
      <c r="K24" s="203">
        <v>32288</v>
      </c>
      <c r="L24" s="203" t="s">
        <v>548</v>
      </c>
      <c r="M24" s="203" t="s">
        <v>149</v>
      </c>
      <c r="N24" s="210">
        <f>N15+15000</f>
        <v>82743</v>
      </c>
      <c r="O24" s="176">
        <v>33390</v>
      </c>
      <c r="P24" s="37">
        <v>19300</v>
      </c>
      <c r="Q24" s="205">
        <f t="shared" si="3"/>
        <v>135433</v>
      </c>
      <c r="S24" s="94">
        <v>1</v>
      </c>
      <c r="T24" s="282">
        <v>1.5</v>
      </c>
      <c r="U24" s="272">
        <v>102768</v>
      </c>
      <c r="V24" s="272" t="s">
        <v>549</v>
      </c>
      <c r="W24" s="272" t="s">
        <v>550</v>
      </c>
      <c r="X24" s="279">
        <v>61190.44</v>
      </c>
      <c r="Y24" s="299">
        <f>AVERAGE(X24:X25)</f>
        <v>56974.720000000001</v>
      </c>
      <c r="Z24" s="296">
        <v>13755</v>
      </c>
      <c r="AA24" s="296">
        <v>14200</v>
      </c>
      <c r="AB24" s="283">
        <f t="shared" ref="AB24" si="4">Y24+Z24+AA24</f>
        <v>84929.72</v>
      </c>
    </row>
    <row r="25" spans="3:28" x14ac:dyDescent="0.25">
      <c r="E25" s="55"/>
      <c r="F25" s="55"/>
      <c r="I25" s="49">
        <v>6</v>
      </c>
      <c r="J25" s="27">
        <v>7.5</v>
      </c>
      <c r="K25" s="203">
        <v>101915</v>
      </c>
      <c r="L25" s="203"/>
      <c r="M25" s="203"/>
      <c r="N25" s="210">
        <f>N16+15000</f>
        <v>84107</v>
      </c>
      <c r="O25" s="176">
        <v>48000</v>
      </c>
      <c r="P25" s="37">
        <v>24300</v>
      </c>
      <c r="Q25" s="205">
        <f t="shared" si="3"/>
        <v>156407</v>
      </c>
      <c r="S25" s="290"/>
      <c r="T25" s="284"/>
      <c r="U25" s="272">
        <v>110017</v>
      </c>
      <c r="V25" s="272" t="s">
        <v>551</v>
      </c>
      <c r="W25" s="272" t="s">
        <v>552</v>
      </c>
      <c r="X25" s="279">
        <v>52759</v>
      </c>
      <c r="Y25" s="299"/>
      <c r="Z25" s="297"/>
      <c r="AA25" s="297"/>
      <c r="AB25" s="285"/>
    </row>
    <row r="26" spans="3:28" x14ac:dyDescent="0.25">
      <c r="E26" s="55"/>
      <c r="F26" s="55"/>
      <c r="S26" s="94">
        <v>2</v>
      </c>
      <c r="T26" s="282">
        <v>2.2000000000000002</v>
      </c>
      <c r="U26" s="272">
        <v>102756</v>
      </c>
      <c r="V26" s="272" t="s">
        <v>553</v>
      </c>
      <c r="W26" s="272" t="s">
        <v>550</v>
      </c>
      <c r="X26" s="279">
        <v>83494.490000000005</v>
      </c>
      <c r="Y26" s="295">
        <f>AVERAGE(X26:X31)</f>
        <v>67885.748333333337</v>
      </c>
      <c r="Z26" s="296">
        <v>15000</v>
      </c>
      <c r="AA26" s="296">
        <v>14200</v>
      </c>
      <c r="AB26" s="283">
        <f>Y26+Z26+AA26</f>
        <v>97085.748333333337</v>
      </c>
    </row>
    <row r="27" spans="3:28" x14ac:dyDescent="0.25">
      <c r="E27" s="55"/>
      <c r="F27" s="55"/>
      <c r="S27" s="289"/>
      <c r="T27" s="286"/>
      <c r="U27" s="272">
        <v>116985</v>
      </c>
      <c r="V27" s="272" t="s">
        <v>554</v>
      </c>
      <c r="W27" s="272" t="s">
        <v>555</v>
      </c>
      <c r="X27" s="279">
        <v>72798</v>
      </c>
      <c r="Y27" s="295"/>
      <c r="Z27" s="298"/>
      <c r="AA27" s="298"/>
      <c r="AB27" s="287"/>
    </row>
    <row r="28" spans="3:28" x14ac:dyDescent="0.25">
      <c r="S28" s="289"/>
      <c r="T28" s="286"/>
      <c r="U28" s="272">
        <v>118166</v>
      </c>
      <c r="V28" s="272" t="s">
        <v>556</v>
      </c>
      <c r="W28" s="272" t="s">
        <v>533</v>
      </c>
      <c r="X28" s="279">
        <v>68375</v>
      </c>
      <c r="Y28" s="295"/>
      <c r="Z28" s="298"/>
      <c r="AA28" s="298"/>
      <c r="AB28" s="287"/>
    </row>
    <row r="29" spans="3:28" x14ac:dyDescent="0.25">
      <c r="S29" s="289"/>
      <c r="T29" s="286"/>
      <c r="U29" s="272">
        <v>115236</v>
      </c>
      <c r="V29" s="272" t="s">
        <v>557</v>
      </c>
      <c r="W29" s="272" t="s">
        <v>558</v>
      </c>
      <c r="X29" s="279">
        <v>66871</v>
      </c>
      <c r="Y29" s="295"/>
      <c r="Z29" s="298"/>
      <c r="AA29" s="298"/>
      <c r="AB29" s="287"/>
    </row>
    <row r="30" spans="3:28" x14ac:dyDescent="0.25">
      <c r="S30" s="289"/>
      <c r="T30" s="286"/>
      <c r="U30" s="272">
        <v>120301</v>
      </c>
      <c r="V30" s="272" t="s">
        <v>559</v>
      </c>
      <c r="W30" s="272" t="s">
        <v>560</v>
      </c>
      <c r="X30" s="279">
        <v>60058</v>
      </c>
      <c r="Y30" s="295"/>
      <c r="Z30" s="298"/>
      <c r="AA30" s="298"/>
      <c r="AB30" s="287"/>
    </row>
    <row r="31" spans="3:28" x14ac:dyDescent="0.25">
      <c r="S31" s="290"/>
      <c r="T31" s="284"/>
      <c r="U31" s="272">
        <v>115365</v>
      </c>
      <c r="V31" s="272" t="s">
        <v>561</v>
      </c>
      <c r="W31" s="272" t="s">
        <v>526</v>
      </c>
      <c r="X31" s="279">
        <v>55718</v>
      </c>
      <c r="Y31" s="295"/>
      <c r="Z31" s="297"/>
      <c r="AA31" s="297"/>
      <c r="AB31" s="285"/>
    </row>
    <row r="32" spans="3:28" x14ac:dyDescent="0.25">
      <c r="S32" s="94">
        <v>3</v>
      </c>
      <c r="T32" s="282">
        <v>3</v>
      </c>
      <c r="U32" s="272">
        <v>102759</v>
      </c>
      <c r="V32" s="272" t="s">
        <v>562</v>
      </c>
      <c r="W32" s="272" t="s">
        <v>550</v>
      </c>
      <c r="X32" s="279">
        <v>87311.03</v>
      </c>
      <c r="Y32" s="295">
        <f>AVERAGE(X32:X34)</f>
        <v>72764.45</v>
      </c>
      <c r="Z32" s="296">
        <v>17000</v>
      </c>
      <c r="AA32" s="296">
        <v>14600</v>
      </c>
      <c r="AB32" s="283">
        <f>Y32+Z32+AA32</f>
        <v>104364.45</v>
      </c>
    </row>
    <row r="33" spans="19:28" x14ac:dyDescent="0.25">
      <c r="S33" s="289"/>
      <c r="T33" s="286"/>
      <c r="U33" s="272">
        <v>102758</v>
      </c>
      <c r="V33" s="272" t="s">
        <v>563</v>
      </c>
      <c r="W33" s="272" t="s">
        <v>550</v>
      </c>
      <c r="X33" s="279">
        <v>71055.320000000007</v>
      </c>
      <c r="Y33" s="295"/>
      <c r="Z33" s="298"/>
      <c r="AA33" s="298"/>
      <c r="AB33" s="287"/>
    </row>
    <row r="34" spans="19:28" x14ac:dyDescent="0.25">
      <c r="S34" s="290"/>
      <c r="T34" s="284"/>
      <c r="U34" s="272">
        <v>75130</v>
      </c>
      <c r="V34" s="272" t="s">
        <v>564</v>
      </c>
      <c r="W34" s="272" t="s">
        <v>565</v>
      </c>
      <c r="X34" s="279">
        <v>59927</v>
      </c>
      <c r="Y34" s="295"/>
      <c r="Z34" s="297"/>
      <c r="AA34" s="297"/>
      <c r="AB34" s="285"/>
    </row>
    <row r="35" spans="19:28" x14ac:dyDescent="0.25">
      <c r="S35" s="94">
        <v>4</v>
      </c>
      <c r="T35" s="282">
        <v>4</v>
      </c>
      <c r="U35" s="272">
        <v>115235</v>
      </c>
      <c r="V35" s="272" t="s">
        <v>566</v>
      </c>
      <c r="W35" s="272" t="s">
        <v>567</v>
      </c>
      <c r="X35" s="279">
        <v>115987</v>
      </c>
      <c r="Y35" s="295">
        <f>AVERAGE(X35:X36)</f>
        <v>108681.5</v>
      </c>
      <c r="Z35" s="296">
        <v>20370</v>
      </c>
      <c r="AA35" s="296">
        <v>14600</v>
      </c>
      <c r="AB35" s="283">
        <f>Y35+Z35+AA35</f>
        <v>143651.5</v>
      </c>
    </row>
    <row r="36" spans="19:28" x14ac:dyDescent="0.25">
      <c r="S36" s="290"/>
      <c r="T36" s="284"/>
      <c r="U36" s="272">
        <v>115234</v>
      </c>
      <c r="V36" s="272" t="s">
        <v>568</v>
      </c>
      <c r="W36" s="272" t="s">
        <v>558</v>
      </c>
      <c r="X36" s="279">
        <v>101376</v>
      </c>
      <c r="Y36" s="295"/>
      <c r="Z36" s="297"/>
      <c r="AA36" s="297"/>
      <c r="AB36" s="285"/>
    </row>
    <row r="37" spans="19:28" x14ac:dyDescent="0.25">
      <c r="S37" s="49">
        <v>5</v>
      </c>
      <c r="T37" s="27">
        <v>5.5</v>
      </c>
      <c r="U37" s="272">
        <v>115237</v>
      </c>
      <c r="V37" s="272" t="s">
        <v>569</v>
      </c>
      <c r="W37" s="272" t="s">
        <v>570</v>
      </c>
      <c r="X37" s="279">
        <v>116600</v>
      </c>
      <c r="Y37" s="210">
        <f>AVERAGE(X37)</f>
        <v>116600</v>
      </c>
      <c r="Z37" s="276">
        <v>33390</v>
      </c>
      <c r="AA37" s="288">
        <v>19300</v>
      </c>
      <c r="AB37" s="278">
        <f>Y37+Z37+AA37</f>
        <v>169290</v>
      </c>
    </row>
    <row r="38" spans="19:28" x14ac:dyDescent="0.25">
      <c r="S38" s="49">
        <v>6</v>
      </c>
      <c r="T38" s="27">
        <v>7.5</v>
      </c>
      <c r="U38" s="203"/>
      <c r="V38" s="203"/>
      <c r="W38" s="203"/>
      <c r="X38" s="309">
        <f>70000*2.3*1.1</f>
        <v>177100</v>
      </c>
      <c r="Y38" s="210">
        <f>AVERAGE(X38)</f>
        <v>177100</v>
      </c>
      <c r="Z38" s="276">
        <v>48000</v>
      </c>
      <c r="AA38" s="288">
        <v>24300</v>
      </c>
      <c r="AB38" s="278">
        <f>Y38+Z38+AA38</f>
        <v>249400</v>
      </c>
    </row>
  </sheetData>
  <mergeCells count="8">
    <mergeCell ref="S22:AB22"/>
    <mergeCell ref="S10:AB10"/>
    <mergeCell ref="T13:T15"/>
    <mergeCell ref="A1:G1"/>
    <mergeCell ref="K3:L3"/>
    <mergeCell ref="K4:L4"/>
    <mergeCell ref="K5:L5"/>
    <mergeCell ref="A9:G9"/>
  </mergeCells>
  <pageMargins left="0.7" right="0.7" top="0.75" bottom="0.75" header="0.3" footer="0.3"/>
  <pageSetup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EC8D3-A36D-468D-B5A0-084CD4E63221}">
  <dimension ref="A1:S302"/>
  <sheetViews>
    <sheetView workbookViewId="0">
      <pane ySplit="1" topLeftCell="A284" activePane="bottomLeft" state="frozen"/>
      <selection pane="bottomLeft" activeCell="H308" sqref="H308"/>
    </sheetView>
  </sheetViews>
  <sheetFormatPr defaultRowHeight="15" x14ac:dyDescent="0.25"/>
  <cols>
    <col min="1" max="1" width="8.42578125" bestFit="1" customWidth="1"/>
    <col min="2" max="2" width="20.140625" bestFit="1" customWidth="1"/>
    <col min="3" max="3" width="9.28515625" bestFit="1" customWidth="1"/>
    <col min="4" max="4" width="9.7109375" bestFit="1" customWidth="1"/>
    <col min="5" max="5" width="6.28515625" bestFit="1" customWidth="1"/>
    <col min="6" max="6" width="7.85546875" bestFit="1" customWidth="1"/>
    <col min="7" max="7" width="16.28515625" bestFit="1" customWidth="1"/>
    <col min="8" max="8" width="16" bestFit="1" customWidth="1"/>
    <col min="9" max="9" width="8.5703125" bestFit="1" customWidth="1"/>
    <col min="17" max="17" width="23.85546875" bestFit="1" customWidth="1"/>
    <col min="18" max="18" width="12" bestFit="1" customWidth="1"/>
    <col min="19" max="19" width="6.42578125" bestFit="1" customWidth="1"/>
    <col min="21" max="21" width="5" bestFit="1" customWidth="1"/>
  </cols>
  <sheetData>
    <row r="1" spans="1:19" x14ac:dyDescent="0.25">
      <c r="A1" s="58" t="s">
        <v>571</v>
      </c>
      <c r="B1" s="58" t="s">
        <v>572</v>
      </c>
      <c r="C1" s="58" t="s">
        <v>573</v>
      </c>
      <c r="D1" s="58" t="s">
        <v>574</v>
      </c>
      <c r="E1" s="58" t="s">
        <v>575</v>
      </c>
      <c r="F1" s="58" t="s">
        <v>576</v>
      </c>
      <c r="G1" s="58" t="s">
        <v>577</v>
      </c>
      <c r="H1" s="58" t="s">
        <v>578</v>
      </c>
      <c r="I1" s="58" t="s">
        <v>579</v>
      </c>
      <c r="Q1" s="222" t="s">
        <v>580</v>
      </c>
      <c r="R1" s="222">
        <v>2072.2906250000001</v>
      </c>
      <c r="S1" s="58" t="s">
        <v>581</v>
      </c>
    </row>
    <row r="2" spans="1:19" x14ac:dyDescent="0.25">
      <c r="A2" s="58">
        <v>1</v>
      </c>
      <c r="B2" s="58" t="s">
        <v>582</v>
      </c>
      <c r="C2" s="58">
        <v>1238</v>
      </c>
      <c r="D2" s="58">
        <v>800</v>
      </c>
      <c r="E2" s="223">
        <v>1</v>
      </c>
      <c r="F2" s="223">
        <f>$R$1</f>
        <v>2072.2906250000001</v>
      </c>
      <c r="G2" s="223">
        <f>IF(D2&gt;800,((C2*(D2-800))/10^6)*F2,0)</f>
        <v>0</v>
      </c>
      <c r="H2" s="557">
        <f t="shared" ref="H2:H53" si="0">(G2/$R$2)*E2</f>
        <v>0</v>
      </c>
      <c r="I2" s="58" t="s">
        <v>583</v>
      </c>
      <c r="Q2" t="s">
        <v>108</v>
      </c>
      <c r="R2">
        <f>'Overall Costing'!$M$1</f>
        <v>0.67500000000000004</v>
      </c>
    </row>
    <row r="3" spans="1:19" x14ac:dyDescent="0.25">
      <c r="A3" s="58">
        <v>2</v>
      </c>
      <c r="B3" s="58" t="s">
        <v>582</v>
      </c>
      <c r="C3" s="58">
        <v>1238</v>
      </c>
      <c r="D3" s="58">
        <v>800</v>
      </c>
      <c r="E3" s="223">
        <v>1</v>
      </c>
      <c r="F3" s="223">
        <f t="shared" ref="F3:F53" si="1">$R$1</f>
        <v>2072.2906250000001</v>
      </c>
      <c r="G3" s="223">
        <f t="shared" ref="G3:G53" si="2">IF(D3&gt;800,((C3*(D3-800))/10^6)*F3,0)</f>
        <v>0</v>
      </c>
      <c r="H3" s="557">
        <f t="shared" si="0"/>
        <v>0</v>
      </c>
      <c r="I3" s="58" t="s">
        <v>583</v>
      </c>
    </row>
    <row r="4" spans="1:19" x14ac:dyDescent="0.25">
      <c r="A4" s="58">
        <v>3</v>
      </c>
      <c r="B4" s="58" t="s">
        <v>582</v>
      </c>
      <c r="C4" s="58">
        <v>1238</v>
      </c>
      <c r="D4" s="58">
        <v>1200</v>
      </c>
      <c r="E4" s="223">
        <v>1</v>
      </c>
      <c r="F4" s="223">
        <f t="shared" si="1"/>
        <v>2072.2906250000001</v>
      </c>
      <c r="G4" s="223">
        <f t="shared" si="2"/>
        <v>1026.1983175</v>
      </c>
      <c r="H4" s="557">
        <f t="shared" si="0"/>
        <v>1520.2938037037036</v>
      </c>
      <c r="I4" s="58" t="s">
        <v>583</v>
      </c>
    </row>
    <row r="5" spans="1:19" x14ac:dyDescent="0.25">
      <c r="A5" s="58">
        <v>4</v>
      </c>
      <c r="B5" s="58" t="s">
        <v>582</v>
      </c>
      <c r="C5" s="58">
        <v>1238</v>
      </c>
      <c r="D5" s="58">
        <v>1200</v>
      </c>
      <c r="E5" s="223">
        <v>1</v>
      </c>
      <c r="F5" s="223">
        <f t="shared" si="1"/>
        <v>2072.2906250000001</v>
      </c>
      <c r="G5" s="223">
        <f t="shared" si="2"/>
        <v>1026.1983175</v>
      </c>
      <c r="H5" s="557">
        <f t="shared" si="0"/>
        <v>1520.2938037037036</v>
      </c>
      <c r="I5" s="58" t="s">
        <v>583</v>
      </c>
    </row>
    <row r="6" spans="1:19" x14ac:dyDescent="0.25">
      <c r="A6" s="58">
        <v>5</v>
      </c>
      <c r="B6" s="58" t="s">
        <v>582</v>
      </c>
      <c r="C6" s="58">
        <v>1238</v>
      </c>
      <c r="D6" s="58">
        <v>800</v>
      </c>
      <c r="E6" s="223">
        <v>1</v>
      </c>
      <c r="F6" s="223">
        <f t="shared" si="1"/>
        <v>2072.2906250000001</v>
      </c>
      <c r="G6" s="223">
        <f t="shared" si="2"/>
        <v>0</v>
      </c>
      <c r="H6" s="557">
        <f t="shared" si="0"/>
        <v>0</v>
      </c>
      <c r="I6" s="58" t="s">
        <v>583</v>
      </c>
    </row>
    <row r="7" spans="1:19" x14ac:dyDescent="0.25">
      <c r="A7" s="58">
        <v>6</v>
      </c>
      <c r="B7" s="58" t="s">
        <v>582</v>
      </c>
      <c r="C7" s="58">
        <v>1238</v>
      </c>
      <c r="D7" s="58">
        <v>800</v>
      </c>
      <c r="E7" s="223">
        <v>1</v>
      </c>
      <c r="F7" s="223">
        <f t="shared" si="1"/>
        <v>2072.2906250000001</v>
      </c>
      <c r="G7" s="223">
        <f t="shared" si="2"/>
        <v>0</v>
      </c>
      <c r="H7" s="557">
        <f t="shared" si="0"/>
        <v>0</v>
      </c>
      <c r="I7" s="58" t="s">
        <v>583</v>
      </c>
    </row>
    <row r="8" spans="1:19" x14ac:dyDescent="0.25">
      <c r="A8" s="58">
        <v>7</v>
      </c>
      <c r="B8" s="58" t="s">
        <v>582</v>
      </c>
      <c r="C8" s="58">
        <v>1250</v>
      </c>
      <c r="D8" s="58">
        <v>800</v>
      </c>
      <c r="E8" s="223">
        <v>1</v>
      </c>
      <c r="F8" s="223">
        <f t="shared" si="1"/>
        <v>2072.2906250000001</v>
      </c>
      <c r="G8" s="223">
        <f t="shared" si="2"/>
        <v>0</v>
      </c>
      <c r="H8" s="557">
        <f t="shared" si="0"/>
        <v>0</v>
      </c>
      <c r="I8" s="58" t="s">
        <v>583</v>
      </c>
    </row>
    <row r="9" spans="1:19" x14ac:dyDescent="0.25">
      <c r="A9" s="58">
        <v>8</v>
      </c>
      <c r="B9" s="58" t="s">
        <v>582</v>
      </c>
      <c r="C9" s="58">
        <v>1238</v>
      </c>
      <c r="D9" s="58">
        <v>800</v>
      </c>
      <c r="E9" s="223">
        <v>1</v>
      </c>
      <c r="F9" s="223">
        <f t="shared" si="1"/>
        <v>2072.2906250000001</v>
      </c>
      <c r="G9" s="223">
        <f t="shared" si="2"/>
        <v>0</v>
      </c>
      <c r="H9" s="557">
        <f t="shared" si="0"/>
        <v>0</v>
      </c>
      <c r="I9" s="58" t="s">
        <v>583</v>
      </c>
    </row>
    <row r="10" spans="1:19" x14ac:dyDescent="0.25">
      <c r="A10" s="58">
        <v>9</v>
      </c>
      <c r="B10" s="58" t="s">
        <v>582</v>
      </c>
      <c r="C10" s="58">
        <v>1238</v>
      </c>
      <c r="D10" s="58">
        <v>800</v>
      </c>
      <c r="E10" s="223">
        <v>1</v>
      </c>
      <c r="F10" s="223">
        <f t="shared" si="1"/>
        <v>2072.2906250000001</v>
      </c>
      <c r="G10" s="223">
        <f t="shared" si="2"/>
        <v>0</v>
      </c>
      <c r="H10" s="557">
        <f t="shared" si="0"/>
        <v>0</v>
      </c>
      <c r="I10" s="58" t="s">
        <v>583</v>
      </c>
    </row>
    <row r="11" spans="1:19" x14ac:dyDescent="0.25">
      <c r="A11" s="58">
        <v>10</v>
      </c>
      <c r="B11" s="58" t="s">
        <v>582</v>
      </c>
      <c r="C11" s="58">
        <v>1238</v>
      </c>
      <c r="D11" s="58">
        <v>1200</v>
      </c>
      <c r="E11" s="223">
        <v>1</v>
      </c>
      <c r="F11" s="223">
        <f t="shared" si="1"/>
        <v>2072.2906250000001</v>
      </c>
      <c r="G11" s="223">
        <f t="shared" si="2"/>
        <v>1026.1983175</v>
      </c>
      <c r="H11" s="557">
        <f t="shared" si="0"/>
        <v>1520.2938037037036</v>
      </c>
      <c r="I11" s="58" t="s">
        <v>583</v>
      </c>
    </row>
    <row r="12" spans="1:19" x14ac:dyDescent="0.25">
      <c r="A12" s="58">
        <v>11</v>
      </c>
      <c r="B12" s="58" t="s">
        <v>582</v>
      </c>
      <c r="C12" s="58">
        <v>1238</v>
      </c>
      <c r="D12" s="58">
        <v>1200</v>
      </c>
      <c r="E12" s="223">
        <v>1</v>
      </c>
      <c r="F12" s="223">
        <f t="shared" si="1"/>
        <v>2072.2906250000001</v>
      </c>
      <c r="G12" s="223">
        <f t="shared" si="2"/>
        <v>1026.1983175</v>
      </c>
      <c r="H12" s="557">
        <f t="shared" si="0"/>
        <v>1520.2938037037036</v>
      </c>
      <c r="I12" s="58" t="s">
        <v>583</v>
      </c>
    </row>
    <row r="13" spans="1:19" x14ac:dyDescent="0.25">
      <c r="A13" s="58">
        <v>12</v>
      </c>
      <c r="B13" s="58" t="s">
        <v>582</v>
      </c>
      <c r="C13" s="58">
        <v>1238</v>
      </c>
      <c r="D13" s="58">
        <v>1200</v>
      </c>
      <c r="E13" s="223">
        <v>1</v>
      </c>
      <c r="F13" s="223">
        <f t="shared" si="1"/>
        <v>2072.2906250000001</v>
      </c>
      <c r="G13" s="223">
        <f t="shared" si="2"/>
        <v>1026.1983175</v>
      </c>
      <c r="H13" s="557">
        <f t="shared" si="0"/>
        <v>1520.2938037037036</v>
      </c>
      <c r="I13" s="58" t="s">
        <v>583</v>
      </c>
    </row>
    <row r="14" spans="1:19" x14ac:dyDescent="0.25">
      <c r="A14" s="58">
        <v>13</v>
      </c>
      <c r="B14" s="58" t="s">
        <v>582</v>
      </c>
      <c r="C14" s="58">
        <v>1238</v>
      </c>
      <c r="D14" s="58">
        <v>1200</v>
      </c>
      <c r="E14" s="223">
        <v>1</v>
      </c>
      <c r="F14" s="223">
        <f t="shared" si="1"/>
        <v>2072.2906250000001</v>
      </c>
      <c r="G14" s="223">
        <f t="shared" si="2"/>
        <v>1026.1983175</v>
      </c>
      <c r="H14" s="557">
        <f t="shared" si="0"/>
        <v>1520.2938037037036</v>
      </c>
      <c r="I14" s="58" t="s">
        <v>583</v>
      </c>
    </row>
    <row r="15" spans="1:19" x14ac:dyDescent="0.25">
      <c r="A15" s="58">
        <v>14</v>
      </c>
      <c r="B15" s="58" t="s">
        <v>582</v>
      </c>
      <c r="C15" s="58">
        <v>1238</v>
      </c>
      <c r="D15" s="58">
        <v>1200</v>
      </c>
      <c r="E15" s="223">
        <v>1</v>
      </c>
      <c r="F15" s="223">
        <f t="shared" si="1"/>
        <v>2072.2906250000001</v>
      </c>
      <c r="G15" s="223">
        <f t="shared" si="2"/>
        <v>1026.1983175</v>
      </c>
      <c r="H15" s="557">
        <f t="shared" si="0"/>
        <v>1520.2938037037036</v>
      </c>
      <c r="I15" s="58" t="s">
        <v>583</v>
      </c>
    </row>
    <row r="16" spans="1:19" x14ac:dyDescent="0.25">
      <c r="A16" s="58">
        <v>15</v>
      </c>
      <c r="B16" s="58" t="s">
        <v>582</v>
      </c>
      <c r="C16" s="58">
        <v>1238</v>
      </c>
      <c r="D16" s="58">
        <v>1200</v>
      </c>
      <c r="E16" s="223">
        <v>1</v>
      </c>
      <c r="F16" s="223">
        <f t="shared" si="1"/>
        <v>2072.2906250000001</v>
      </c>
      <c r="G16" s="223">
        <f t="shared" si="2"/>
        <v>1026.1983175</v>
      </c>
      <c r="H16" s="557">
        <f t="shared" si="0"/>
        <v>1520.2938037037036</v>
      </c>
      <c r="I16" s="58" t="s">
        <v>583</v>
      </c>
    </row>
    <row r="17" spans="1:9" x14ac:dyDescent="0.25">
      <c r="A17" s="58">
        <v>16</v>
      </c>
      <c r="B17" s="58" t="s">
        <v>582</v>
      </c>
      <c r="C17" s="58">
        <v>1238</v>
      </c>
      <c r="D17" s="58">
        <v>1200</v>
      </c>
      <c r="E17" s="223">
        <v>1</v>
      </c>
      <c r="F17" s="223">
        <f t="shared" si="1"/>
        <v>2072.2906250000001</v>
      </c>
      <c r="G17" s="223">
        <f t="shared" si="2"/>
        <v>1026.1983175</v>
      </c>
      <c r="H17" s="557">
        <f t="shared" si="0"/>
        <v>1520.2938037037036</v>
      </c>
      <c r="I17" s="58" t="s">
        <v>583</v>
      </c>
    </row>
    <row r="18" spans="1:9" x14ac:dyDescent="0.25">
      <c r="A18" s="58">
        <v>17</v>
      </c>
      <c r="B18" s="58" t="s">
        <v>582</v>
      </c>
      <c r="C18" s="58">
        <v>1238</v>
      </c>
      <c r="D18" s="58">
        <v>1200</v>
      </c>
      <c r="E18" s="223">
        <v>1</v>
      </c>
      <c r="F18" s="223">
        <f t="shared" si="1"/>
        <v>2072.2906250000001</v>
      </c>
      <c r="G18" s="223">
        <f t="shared" si="2"/>
        <v>1026.1983175</v>
      </c>
      <c r="H18" s="557">
        <f t="shared" si="0"/>
        <v>1520.2938037037036</v>
      </c>
      <c r="I18" s="58" t="s">
        <v>583</v>
      </c>
    </row>
    <row r="19" spans="1:9" x14ac:dyDescent="0.25">
      <c r="A19" s="58">
        <v>18</v>
      </c>
      <c r="B19" s="58" t="s">
        <v>582</v>
      </c>
      <c r="C19" s="58">
        <v>1238</v>
      </c>
      <c r="D19" s="58">
        <v>1200</v>
      </c>
      <c r="E19" s="223">
        <v>1</v>
      </c>
      <c r="F19" s="223">
        <f t="shared" si="1"/>
        <v>2072.2906250000001</v>
      </c>
      <c r="G19" s="223">
        <f t="shared" si="2"/>
        <v>1026.1983175</v>
      </c>
      <c r="H19" s="557">
        <f t="shared" si="0"/>
        <v>1520.2938037037036</v>
      </c>
      <c r="I19" s="58" t="s">
        <v>583</v>
      </c>
    </row>
    <row r="20" spans="1:9" x14ac:dyDescent="0.25">
      <c r="A20" s="58">
        <v>19</v>
      </c>
      <c r="B20" s="58" t="s">
        <v>582</v>
      </c>
      <c r="C20" s="58">
        <v>1238</v>
      </c>
      <c r="D20" s="58">
        <v>1200</v>
      </c>
      <c r="E20" s="223">
        <v>1</v>
      </c>
      <c r="F20" s="223">
        <f t="shared" si="1"/>
        <v>2072.2906250000001</v>
      </c>
      <c r="G20" s="223">
        <f t="shared" si="2"/>
        <v>1026.1983175</v>
      </c>
      <c r="H20" s="557">
        <f t="shared" si="0"/>
        <v>1520.2938037037036</v>
      </c>
      <c r="I20" s="58" t="s">
        <v>583</v>
      </c>
    </row>
    <row r="21" spans="1:9" x14ac:dyDescent="0.25">
      <c r="A21" s="58">
        <v>20</v>
      </c>
      <c r="B21" s="58" t="s">
        <v>582</v>
      </c>
      <c r="C21" s="58">
        <v>1238</v>
      </c>
      <c r="D21" s="58">
        <v>1200</v>
      </c>
      <c r="E21" s="223">
        <v>1</v>
      </c>
      <c r="F21" s="223">
        <f t="shared" si="1"/>
        <v>2072.2906250000001</v>
      </c>
      <c r="G21" s="223">
        <f t="shared" si="2"/>
        <v>1026.1983175</v>
      </c>
      <c r="H21" s="557">
        <f t="shared" si="0"/>
        <v>1520.2938037037036</v>
      </c>
      <c r="I21" s="58" t="s">
        <v>583</v>
      </c>
    </row>
    <row r="22" spans="1:9" x14ac:dyDescent="0.25">
      <c r="A22" s="58">
        <v>21</v>
      </c>
      <c r="B22" s="58" t="s">
        <v>582</v>
      </c>
      <c r="C22" s="58">
        <v>1238</v>
      </c>
      <c r="D22" s="58">
        <v>1200</v>
      </c>
      <c r="E22" s="223">
        <v>1</v>
      </c>
      <c r="F22" s="223">
        <f t="shared" si="1"/>
        <v>2072.2906250000001</v>
      </c>
      <c r="G22" s="223">
        <f t="shared" si="2"/>
        <v>1026.1983175</v>
      </c>
      <c r="H22" s="557">
        <f t="shared" si="0"/>
        <v>1520.2938037037036</v>
      </c>
      <c r="I22" s="58" t="s">
        <v>583</v>
      </c>
    </row>
    <row r="23" spans="1:9" x14ac:dyDescent="0.25">
      <c r="A23" s="58">
        <v>22</v>
      </c>
      <c r="B23" s="58" t="s">
        <v>582</v>
      </c>
      <c r="C23" s="58">
        <v>1238</v>
      </c>
      <c r="D23" s="58">
        <v>1200</v>
      </c>
      <c r="E23" s="223">
        <v>1</v>
      </c>
      <c r="F23" s="223">
        <f t="shared" si="1"/>
        <v>2072.2906250000001</v>
      </c>
      <c r="G23" s="223">
        <f t="shared" si="2"/>
        <v>1026.1983175</v>
      </c>
      <c r="H23" s="557">
        <f t="shared" si="0"/>
        <v>1520.2938037037036</v>
      </c>
      <c r="I23" s="58" t="s">
        <v>583</v>
      </c>
    </row>
    <row r="24" spans="1:9" x14ac:dyDescent="0.25">
      <c r="A24" s="58">
        <v>23</v>
      </c>
      <c r="B24" s="58" t="s">
        <v>582</v>
      </c>
      <c r="C24" s="58">
        <v>1238</v>
      </c>
      <c r="D24" s="58">
        <v>1200</v>
      </c>
      <c r="E24" s="223">
        <v>1</v>
      </c>
      <c r="F24" s="223">
        <f t="shared" si="1"/>
        <v>2072.2906250000001</v>
      </c>
      <c r="G24" s="223">
        <f t="shared" si="2"/>
        <v>1026.1983175</v>
      </c>
      <c r="H24" s="557">
        <f t="shared" si="0"/>
        <v>1520.2938037037036</v>
      </c>
      <c r="I24" s="58" t="s">
        <v>583</v>
      </c>
    </row>
    <row r="25" spans="1:9" x14ac:dyDescent="0.25">
      <c r="A25" s="58">
        <v>24</v>
      </c>
      <c r="B25" s="58" t="s">
        <v>582</v>
      </c>
      <c r="C25" s="58">
        <v>1238</v>
      </c>
      <c r="D25" s="58">
        <v>800</v>
      </c>
      <c r="E25" s="223">
        <v>1</v>
      </c>
      <c r="F25" s="223">
        <f t="shared" si="1"/>
        <v>2072.2906250000001</v>
      </c>
      <c r="G25" s="223">
        <f t="shared" si="2"/>
        <v>0</v>
      </c>
      <c r="H25" s="557">
        <f t="shared" si="0"/>
        <v>0</v>
      </c>
      <c r="I25" s="58" t="s">
        <v>583</v>
      </c>
    </row>
    <row r="26" spans="1:9" x14ac:dyDescent="0.25">
      <c r="A26" s="58">
        <v>25</v>
      </c>
      <c r="B26" s="58" t="s">
        <v>582</v>
      </c>
      <c r="C26" s="58">
        <v>1238</v>
      </c>
      <c r="D26" s="58">
        <v>800</v>
      </c>
      <c r="E26" s="223">
        <v>1</v>
      </c>
      <c r="F26" s="223">
        <f t="shared" si="1"/>
        <v>2072.2906250000001</v>
      </c>
      <c r="G26" s="223">
        <f t="shared" si="2"/>
        <v>0</v>
      </c>
      <c r="H26" s="557">
        <f t="shared" si="0"/>
        <v>0</v>
      </c>
      <c r="I26" s="58" t="s">
        <v>583</v>
      </c>
    </row>
    <row r="27" spans="1:9" x14ac:dyDescent="0.25">
      <c r="A27" s="58">
        <v>26</v>
      </c>
      <c r="B27" s="58" t="s">
        <v>582</v>
      </c>
      <c r="C27" s="58">
        <v>1238</v>
      </c>
      <c r="D27" s="58">
        <v>800</v>
      </c>
      <c r="E27" s="223">
        <v>1</v>
      </c>
      <c r="F27" s="223">
        <f t="shared" si="1"/>
        <v>2072.2906250000001</v>
      </c>
      <c r="G27" s="223">
        <f t="shared" si="2"/>
        <v>0</v>
      </c>
      <c r="H27" s="557">
        <f t="shared" si="0"/>
        <v>0</v>
      </c>
      <c r="I27" s="58" t="s">
        <v>583</v>
      </c>
    </row>
    <row r="28" spans="1:9" x14ac:dyDescent="0.25">
      <c r="A28" s="58">
        <v>27</v>
      </c>
      <c r="B28" s="58" t="s">
        <v>582</v>
      </c>
      <c r="C28" s="58">
        <v>1238</v>
      </c>
      <c r="D28" s="58">
        <v>800</v>
      </c>
      <c r="E28" s="223">
        <v>1</v>
      </c>
      <c r="F28" s="223">
        <f t="shared" si="1"/>
        <v>2072.2906250000001</v>
      </c>
      <c r="G28" s="223">
        <f t="shared" si="2"/>
        <v>0</v>
      </c>
      <c r="H28" s="557">
        <f t="shared" si="0"/>
        <v>0</v>
      </c>
      <c r="I28" s="58" t="s">
        <v>583</v>
      </c>
    </row>
    <row r="29" spans="1:9" x14ac:dyDescent="0.25">
      <c r="A29" s="58">
        <v>28</v>
      </c>
      <c r="B29" s="58" t="s">
        <v>582</v>
      </c>
      <c r="C29" s="58">
        <v>1238</v>
      </c>
      <c r="D29" s="58">
        <v>800</v>
      </c>
      <c r="E29" s="223">
        <v>1</v>
      </c>
      <c r="F29" s="223">
        <f t="shared" si="1"/>
        <v>2072.2906250000001</v>
      </c>
      <c r="G29" s="223">
        <f t="shared" si="2"/>
        <v>0</v>
      </c>
      <c r="H29" s="557">
        <f t="shared" si="0"/>
        <v>0</v>
      </c>
      <c r="I29" s="58" t="s">
        <v>583</v>
      </c>
    </row>
    <row r="30" spans="1:9" x14ac:dyDescent="0.25">
      <c r="A30" s="58">
        <v>29</v>
      </c>
      <c r="B30" s="58" t="s">
        <v>582</v>
      </c>
      <c r="C30" s="58">
        <v>1238</v>
      </c>
      <c r="D30" s="58">
        <v>800</v>
      </c>
      <c r="E30" s="223">
        <v>1</v>
      </c>
      <c r="F30" s="223">
        <f t="shared" si="1"/>
        <v>2072.2906250000001</v>
      </c>
      <c r="G30" s="223">
        <f t="shared" si="2"/>
        <v>0</v>
      </c>
      <c r="H30" s="557">
        <f t="shared" si="0"/>
        <v>0</v>
      </c>
      <c r="I30" s="58" t="s">
        <v>583</v>
      </c>
    </row>
    <row r="31" spans="1:9" x14ac:dyDescent="0.25">
      <c r="A31" s="58">
        <v>30</v>
      </c>
      <c r="B31" s="58" t="s">
        <v>582</v>
      </c>
      <c r="C31" s="58">
        <v>1238</v>
      </c>
      <c r="D31" s="58">
        <v>800</v>
      </c>
      <c r="E31" s="223">
        <v>1</v>
      </c>
      <c r="F31" s="223">
        <f t="shared" si="1"/>
        <v>2072.2906250000001</v>
      </c>
      <c r="G31" s="223">
        <f t="shared" si="2"/>
        <v>0</v>
      </c>
      <c r="H31" s="557">
        <f t="shared" si="0"/>
        <v>0</v>
      </c>
      <c r="I31" s="58" t="s">
        <v>583</v>
      </c>
    </row>
    <row r="32" spans="1:9" x14ac:dyDescent="0.25">
      <c r="A32" s="58">
        <v>31</v>
      </c>
      <c r="B32" s="58" t="s">
        <v>582</v>
      </c>
      <c r="C32" s="58">
        <v>1238</v>
      </c>
      <c r="D32" s="58">
        <v>800</v>
      </c>
      <c r="E32" s="223">
        <v>1</v>
      </c>
      <c r="F32" s="223">
        <f t="shared" si="1"/>
        <v>2072.2906250000001</v>
      </c>
      <c r="G32" s="223">
        <f t="shared" si="2"/>
        <v>0</v>
      </c>
      <c r="H32" s="557">
        <f t="shared" si="0"/>
        <v>0</v>
      </c>
      <c r="I32" s="58" t="s">
        <v>583</v>
      </c>
    </row>
    <row r="33" spans="1:9" x14ac:dyDescent="0.25">
      <c r="A33" s="58">
        <v>32</v>
      </c>
      <c r="B33" s="58" t="s">
        <v>582</v>
      </c>
      <c r="C33" s="58">
        <v>1238</v>
      </c>
      <c r="D33" s="58">
        <v>800</v>
      </c>
      <c r="E33" s="223">
        <v>1</v>
      </c>
      <c r="F33" s="223">
        <f t="shared" si="1"/>
        <v>2072.2906250000001</v>
      </c>
      <c r="G33" s="223">
        <f t="shared" si="2"/>
        <v>0</v>
      </c>
      <c r="H33" s="557">
        <f t="shared" si="0"/>
        <v>0</v>
      </c>
      <c r="I33" s="58" t="s">
        <v>583</v>
      </c>
    </row>
    <row r="34" spans="1:9" x14ac:dyDescent="0.25">
      <c r="A34" s="58">
        <v>33</v>
      </c>
      <c r="B34" s="58" t="s">
        <v>582</v>
      </c>
      <c r="C34" s="58">
        <v>1238</v>
      </c>
      <c r="D34" s="58">
        <v>800</v>
      </c>
      <c r="E34" s="223">
        <v>1</v>
      </c>
      <c r="F34" s="223">
        <f t="shared" si="1"/>
        <v>2072.2906250000001</v>
      </c>
      <c r="G34" s="223">
        <f t="shared" si="2"/>
        <v>0</v>
      </c>
      <c r="H34" s="557">
        <f t="shared" si="0"/>
        <v>0</v>
      </c>
      <c r="I34" s="58" t="s">
        <v>583</v>
      </c>
    </row>
    <row r="35" spans="1:9" x14ac:dyDescent="0.25">
      <c r="A35" s="58">
        <v>34</v>
      </c>
      <c r="B35" s="58" t="s">
        <v>582</v>
      </c>
      <c r="C35" s="58">
        <v>1238</v>
      </c>
      <c r="D35" s="58">
        <v>800</v>
      </c>
      <c r="E35" s="223">
        <v>1</v>
      </c>
      <c r="F35" s="223">
        <f t="shared" si="1"/>
        <v>2072.2906250000001</v>
      </c>
      <c r="G35" s="223">
        <f t="shared" si="2"/>
        <v>0</v>
      </c>
      <c r="H35" s="557">
        <f t="shared" si="0"/>
        <v>0</v>
      </c>
      <c r="I35" s="58" t="s">
        <v>583</v>
      </c>
    </row>
    <row r="36" spans="1:9" x14ac:dyDescent="0.25">
      <c r="A36" s="58">
        <v>35</v>
      </c>
      <c r="B36" s="58" t="s">
        <v>582</v>
      </c>
      <c r="C36" s="58">
        <v>1238</v>
      </c>
      <c r="D36" s="58">
        <v>800</v>
      </c>
      <c r="E36" s="223">
        <v>1</v>
      </c>
      <c r="F36" s="223">
        <f t="shared" si="1"/>
        <v>2072.2906250000001</v>
      </c>
      <c r="G36" s="223">
        <f t="shared" si="2"/>
        <v>0</v>
      </c>
      <c r="H36" s="557">
        <f t="shared" si="0"/>
        <v>0</v>
      </c>
      <c r="I36" s="58" t="s">
        <v>583</v>
      </c>
    </row>
    <row r="37" spans="1:9" x14ac:dyDescent="0.25">
      <c r="A37" s="58">
        <v>36</v>
      </c>
      <c r="B37" s="58" t="s">
        <v>582</v>
      </c>
      <c r="C37" s="58">
        <v>1238</v>
      </c>
      <c r="D37" s="58">
        <v>800</v>
      </c>
      <c r="E37" s="223">
        <v>1</v>
      </c>
      <c r="F37" s="223">
        <f t="shared" si="1"/>
        <v>2072.2906250000001</v>
      </c>
      <c r="G37" s="223">
        <f t="shared" si="2"/>
        <v>0</v>
      </c>
      <c r="H37" s="557">
        <f t="shared" si="0"/>
        <v>0</v>
      </c>
      <c r="I37" s="58" t="s">
        <v>583</v>
      </c>
    </row>
    <row r="38" spans="1:9" x14ac:dyDescent="0.25">
      <c r="A38" s="58">
        <v>37</v>
      </c>
      <c r="B38" s="58" t="s">
        <v>582</v>
      </c>
      <c r="C38" s="58">
        <v>1238</v>
      </c>
      <c r="D38" s="58">
        <v>800</v>
      </c>
      <c r="E38" s="223">
        <v>1</v>
      </c>
      <c r="F38" s="223">
        <f t="shared" si="1"/>
        <v>2072.2906250000001</v>
      </c>
      <c r="G38" s="223">
        <f t="shared" si="2"/>
        <v>0</v>
      </c>
      <c r="H38" s="557">
        <f t="shared" si="0"/>
        <v>0</v>
      </c>
      <c r="I38" s="58" t="s">
        <v>583</v>
      </c>
    </row>
    <row r="39" spans="1:9" x14ac:dyDescent="0.25">
      <c r="A39" s="58">
        <v>38</v>
      </c>
      <c r="B39" s="58" t="s">
        <v>582</v>
      </c>
      <c r="C39" s="58">
        <v>1238</v>
      </c>
      <c r="D39" s="58">
        <v>800</v>
      </c>
      <c r="E39" s="223">
        <v>1</v>
      </c>
      <c r="F39" s="223">
        <f t="shared" si="1"/>
        <v>2072.2906250000001</v>
      </c>
      <c r="G39" s="223">
        <f t="shared" si="2"/>
        <v>0</v>
      </c>
      <c r="H39" s="557">
        <f t="shared" si="0"/>
        <v>0</v>
      </c>
      <c r="I39" s="58" t="s">
        <v>583</v>
      </c>
    </row>
    <row r="40" spans="1:9" x14ac:dyDescent="0.25">
      <c r="A40" s="58">
        <v>39</v>
      </c>
      <c r="B40" s="58" t="s">
        <v>582</v>
      </c>
      <c r="C40" s="58">
        <v>1238</v>
      </c>
      <c r="D40" s="58">
        <v>800</v>
      </c>
      <c r="E40" s="223">
        <v>1</v>
      </c>
      <c r="F40" s="223">
        <f t="shared" si="1"/>
        <v>2072.2906250000001</v>
      </c>
      <c r="G40" s="223">
        <f t="shared" si="2"/>
        <v>0</v>
      </c>
      <c r="H40" s="557">
        <f t="shared" si="0"/>
        <v>0</v>
      </c>
      <c r="I40" s="58" t="s">
        <v>583</v>
      </c>
    </row>
    <row r="41" spans="1:9" x14ac:dyDescent="0.25">
      <c r="A41" s="58">
        <v>40</v>
      </c>
      <c r="B41" s="58" t="s">
        <v>582</v>
      </c>
      <c r="C41" s="58">
        <v>1238</v>
      </c>
      <c r="D41" s="58">
        <v>800</v>
      </c>
      <c r="E41" s="223">
        <v>1</v>
      </c>
      <c r="F41" s="223">
        <f t="shared" si="1"/>
        <v>2072.2906250000001</v>
      </c>
      <c r="G41" s="223">
        <f t="shared" si="2"/>
        <v>0</v>
      </c>
      <c r="H41" s="557">
        <f t="shared" si="0"/>
        <v>0</v>
      </c>
      <c r="I41" s="58" t="s">
        <v>583</v>
      </c>
    </row>
    <row r="42" spans="1:9" x14ac:dyDescent="0.25">
      <c r="A42" s="58">
        <v>41</v>
      </c>
      <c r="B42" s="58" t="s">
        <v>582</v>
      </c>
      <c r="C42" s="58">
        <v>1238</v>
      </c>
      <c r="D42" s="58">
        <v>800</v>
      </c>
      <c r="E42" s="223">
        <v>1</v>
      </c>
      <c r="F42" s="223">
        <f t="shared" si="1"/>
        <v>2072.2906250000001</v>
      </c>
      <c r="G42" s="223">
        <f t="shared" si="2"/>
        <v>0</v>
      </c>
      <c r="H42" s="557">
        <f t="shared" si="0"/>
        <v>0</v>
      </c>
      <c r="I42" s="58" t="s">
        <v>583</v>
      </c>
    </row>
    <row r="43" spans="1:9" x14ac:dyDescent="0.25">
      <c r="A43" s="58">
        <v>42</v>
      </c>
      <c r="B43" s="58" t="s">
        <v>582</v>
      </c>
      <c r="C43" s="58">
        <v>1238</v>
      </c>
      <c r="D43" s="58">
        <v>800</v>
      </c>
      <c r="E43" s="223">
        <v>1</v>
      </c>
      <c r="F43" s="223">
        <f t="shared" si="1"/>
        <v>2072.2906250000001</v>
      </c>
      <c r="G43" s="223">
        <f t="shared" si="2"/>
        <v>0</v>
      </c>
      <c r="H43" s="557">
        <f t="shared" si="0"/>
        <v>0</v>
      </c>
      <c r="I43" s="58" t="s">
        <v>583</v>
      </c>
    </row>
    <row r="44" spans="1:9" x14ac:dyDescent="0.25">
      <c r="A44" s="58">
        <v>43</v>
      </c>
      <c r="B44" s="58" t="s">
        <v>582</v>
      </c>
      <c r="C44" s="58">
        <v>1238</v>
      </c>
      <c r="D44" s="58">
        <v>800</v>
      </c>
      <c r="E44" s="223">
        <v>1</v>
      </c>
      <c r="F44" s="223">
        <f t="shared" si="1"/>
        <v>2072.2906250000001</v>
      </c>
      <c r="G44" s="223">
        <f t="shared" si="2"/>
        <v>0</v>
      </c>
      <c r="H44" s="557">
        <f t="shared" si="0"/>
        <v>0</v>
      </c>
      <c r="I44" s="58" t="s">
        <v>583</v>
      </c>
    </row>
    <row r="45" spans="1:9" x14ac:dyDescent="0.25">
      <c r="A45" s="58">
        <v>44</v>
      </c>
      <c r="B45" s="58" t="s">
        <v>582</v>
      </c>
      <c r="C45" s="58">
        <v>1210</v>
      </c>
      <c r="D45" s="58">
        <v>550</v>
      </c>
      <c r="E45" s="223">
        <v>1</v>
      </c>
      <c r="F45" s="223">
        <f t="shared" si="1"/>
        <v>2072.2906250000001</v>
      </c>
      <c r="G45" s="223">
        <f t="shared" si="2"/>
        <v>0</v>
      </c>
      <c r="H45" s="557">
        <f t="shared" si="0"/>
        <v>0</v>
      </c>
      <c r="I45" s="58" t="s">
        <v>583</v>
      </c>
    </row>
    <row r="46" spans="1:9" x14ac:dyDescent="0.25">
      <c r="A46" s="58">
        <v>45</v>
      </c>
      <c r="B46" s="58" t="s">
        <v>582</v>
      </c>
      <c r="C46" s="58">
        <v>1210</v>
      </c>
      <c r="D46" s="58">
        <v>550</v>
      </c>
      <c r="E46" s="223">
        <v>1</v>
      </c>
      <c r="F46" s="223">
        <f t="shared" si="1"/>
        <v>2072.2906250000001</v>
      </c>
      <c r="G46" s="223">
        <f t="shared" si="2"/>
        <v>0</v>
      </c>
      <c r="H46" s="557">
        <f t="shared" si="0"/>
        <v>0</v>
      </c>
      <c r="I46" s="58" t="s">
        <v>583</v>
      </c>
    </row>
    <row r="47" spans="1:9" x14ac:dyDescent="0.25">
      <c r="A47" s="58">
        <v>46</v>
      </c>
      <c r="B47" s="58" t="s">
        <v>582</v>
      </c>
      <c r="C47" s="58">
        <v>1210</v>
      </c>
      <c r="D47" s="58">
        <v>550</v>
      </c>
      <c r="E47" s="223">
        <v>1</v>
      </c>
      <c r="F47" s="223">
        <f t="shared" si="1"/>
        <v>2072.2906250000001</v>
      </c>
      <c r="G47" s="223">
        <f t="shared" si="2"/>
        <v>0</v>
      </c>
      <c r="H47" s="557">
        <f t="shared" si="0"/>
        <v>0</v>
      </c>
      <c r="I47" s="58" t="s">
        <v>583</v>
      </c>
    </row>
    <row r="48" spans="1:9" x14ac:dyDescent="0.25">
      <c r="A48" s="58">
        <v>47</v>
      </c>
      <c r="B48" s="58" t="s">
        <v>582</v>
      </c>
      <c r="C48" s="58">
        <v>1210</v>
      </c>
      <c r="D48" s="58">
        <v>550</v>
      </c>
      <c r="E48" s="223">
        <v>1</v>
      </c>
      <c r="F48" s="223">
        <f t="shared" si="1"/>
        <v>2072.2906250000001</v>
      </c>
      <c r="G48" s="223">
        <f t="shared" si="2"/>
        <v>0</v>
      </c>
      <c r="H48" s="557">
        <f t="shared" si="0"/>
        <v>0</v>
      </c>
      <c r="I48" s="58" t="s">
        <v>583</v>
      </c>
    </row>
    <row r="49" spans="1:9" x14ac:dyDescent="0.25">
      <c r="A49" s="58">
        <v>48</v>
      </c>
      <c r="B49" s="58" t="s">
        <v>582</v>
      </c>
      <c r="C49" s="58">
        <v>1210</v>
      </c>
      <c r="D49" s="58">
        <v>550</v>
      </c>
      <c r="E49" s="223">
        <v>1</v>
      </c>
      <c r="F49" s="223">
        <f t="shared" si="1"/>
        <v>2072.2906250000001</v>
      </c>
      <c r="G49" s="223">
        <f t="shared" si="2"/>
        <v>0</v>
      </c>
      <c r="H49" s="557">
        <f t="shared" si="0"/>
        <v>0</v>
      </c>
      <c r="I49" s="58" t="s">
        <v>583</v>
      </c>
    </row>
    <row r="50" spans="1:9" x14ac:dyDescent="0.25">
      <c r="A50" s="58">
        <v>49</v>
      </c>
      <c r="B50" s="58" t="s">
        <v>582</v>
      </c>
      <c r="C50" s="58">
        <v>1210</v>
      </c>
      <c r="D50" s="58">
        <v>550</v>
      </c>
      <c r="E50" s="223">
        <v>1</v>
      </c>
      <c r="F50" s="223">
        <f t="shared" si="1"/>
        <v>2072.2906250000001</v>
      </c>
      <c r="G50" s="223">
        <f t="shared" si="2"/>
        <v>0</v>
      </c>
      <c r="H50" s="557">
        <f t="shared" si="0"/>
        <v>0</v>
      </c>
      <c r="I50" s="58" t="s">
        <v>583</v>
      </c>
    </row>
    <row r="51" spans="1:9" x14ac:dyDescent="0.25">
      <c r="A51" s="58">
        <v>50</v>
      </c>
      <c r="B51" s="58" t="s">
        <v>582</v>
      </c>
      <c r="C51" s="58">
        <v>1210</v>
      </c>
      <c r="D51" s="58">
        <v>550</v>
      </c>
      <c r="E51" s="223">
        <v>1</v>
      </c>
      <c r="F51" s="223">
        <f t="shared" si="1"/>
        <v>2072.2906250000001</v>
      </c>
      <c r="G51" s="223">
        <f t="shared" si="2"/>
        <v>0</v>
      </c>
      <c r="H51" s="557">
        <f t="shared" si="0"/>
        <v>0</v>
      </c>
      <c r="I51" s="58" t="s">
        <v>583</v>
      </c>
    </row>
    <row r="52" spans="1:9" x14ac:dyDescent="0.25">
      <c r="A52" s="58">
        <v>51</v>
      </c>
      <c r="B52" s="58" t="s">
        <v>582</v>
      </c>
      <c r="C52" s="58">
        <v>1210</v>
      </c>
      <c r="D52" s="58">
        <v>550</v>
      </c>
      <c r="E52" s="223">
        <v>1</v>
      </c>
      <c r="F52" s="223">
        <f t="shared" si="1"/>
        <v>2072.2906250000001</v>
      </c>
      <c r="G52" s="223">
        <f t="shared" si="2"/>
        <v>0</v>
      </c>
      <c r="H52" s="557">
        <f t="shared" si="0"/>
        <v>0</v>
      </c>
      <c r="I52" s="58" t="s">
        <v>583</v>
      </c>
    </row>
    <row r="53" spans="1:9" x14ac:dyDescent="0.25">
      <c r="A53" s="58">
        <v>52</v>
      </c>
      <c r="B53" s="58" t="s">
        <v>582</v>
      </c>
      <c r="C53" s="58">
        <v>1210</v>
      </c>
      <c r="D53" s="58">
        <v>550</v>
      </c>
      <c r="E53" s="223">
        <v>1</v>
      </c>
      <c r="F53" s="223">
        <f t="shared" si="1"/>
        <v>2072.2906250000001</v>
      </c>
      <c r="G53" s="223">
        <f t="shared" si="2"/>
        <v>0</v>
      </c>
      <c r="H53" s="557">
        <f t="shared" si="0"/>
        <v>0</v>
      </c>
      <c r="I53" s="58" t="s">
        <v>583</v>
      </c>
    </row>
    <row r="54" spans="1:9" x14ac:dyDescent="0.25">
      <c r="A54" s="58">
        <v>53</v>
      </c>
      <c r="B54" s="58" t="s">
        <v>582</v>
      </c>
      <c r="C54" s="58">
        <v>1210</v>
      </c>
      <c r="D54" s="58">
        <v>550</v>
      </c>
      <c r="E54" s="223">
        <v>1</v>
      </c>
      <c r="F54" s="223">
        <f t="shared" ref="F54:F116" si="3">$R$1</f>
        <v>2072.2906250000001</v>
      </c>
      <c r="G54" s="223">
        <f t="shared" ref="G54:G116" si="4">IF(D54&gt;800,((C54*(D54-800))/10^6)*F54,0)</f>
        <v>0</v>
      </c>
      <c r="H54" s="557">
        <f t="shared" ref="H54:H115" si="5">(G54/$R$2)*E54</f>
        <v>0</v>
      </c>
      <c r="I54" s="58" t="s">
        <v>583</v>
      </c>
    </row>
    <row r="55" spans="1:9" x14ac:dyDescent="0.25">
      <c r="A55" s="58">
        <v>54</v>
      </c>
      <c r="B55" s="58" t="s">
        <v>582</v>
      </c>
      <c r="C55" s="58">
        <v>1210</v>
      </c>
      <c r="D55" s="58">
        <v>4050</v>
      </c>
      <c r="E55" s="223">
        <v>1</v>
      </c>
      <c r="F55" s="223">
        <f t="shared" si="3"/>
        <v>2072.2906250000001</v>
      </c>
      <c r="G55" s="223">
        <f t="shared" si="4"/>
        <v>8149.2828828125002</v>
      </c>
      <c r="H55" s="557">
        <f t="shared" si="5"/>
        <v>12073.01167824074</v>
      </c>
      <c r="I55" s="58" t="s">
        <v>583</v>
      </c>
    </row>
    <row r="56" spans="1:9" x14ac:dyDescent="0.25">
      <c r="A56" s="58">
        <v>55</v>
      </c>
      <c r="B56" s="58" t="s">
        <v>582</v>
      </c>
      <c r="C56" s="58">
        <v>1210</v>
      </c>
      <c r="D56" s="58">
        <v>4050</v>
      </c>
      <c r="E56" s="223">
        <v>1</v>
      </c>
      <c r="F56" s="223">
        <f t="shared" si="3"/>
        <v>2072.2906250000001</v>
      </c>
      <c r="G56" s="223">
        <f t="shared" si="4"/>
        <v>8149.2828828125002</v>
      </c>
      <c r="H56" s="557">
        <f t="shared" si="5"/>
        <v>12073.01167824074</v>
      </c>
      <c r="I56" s="58" t="s">
        <v>583</v>
      </c>
    </row>
    <row r="57" spans="1:9" x14ac:dyDescent="0.25">
      <c r="A57" s="58">
        <v>56</v>
      </c>
      <c r="B57" s="58" t="s">
        <v>582</v>
      </c>
      <c r="C57" s="58">
        <v>1210</v>
      </c>
      <c r="D57" s="58">
        <v>4050</v>
      </c>
      <c r="E57" s="223">
        <v>1</v>
      </c>
      <c r="F57" s="223">
        <f t="shared" si="3"/>
        <v>2072.2906250000001</v>
      </c>
      <c r="G57" s="223">
        <f t="shared" si="4"/>
        <v>8149.2828828125002</v>
      </c>
      <c r="H57" s="557">
        <f t="shared" si="5"/>
        <v>12073.01167824074</v>
      </c>
      <c r="I57" s="58" t="s">
        <v>583</v>
      </c>
    </row>
    <row r="58" spans="1:9" x14ac:dyDescent="0.25">
      <c r="A58" s="58">
        <v>57</v>
      </c>
      <c r="B58" s="58" t="s">
        <v>582</v>
      </c>
      <c r="C58" s="58">
        <v>1238</v>
      </c>
      <c r="D58" s="58">
        <v>800</v>
      </c>
      <c r="E58" s="223">
        <v>1</v>
      </c>
      <c r="F58" s="223">
        <f t="shared" si="3"/>
        <v>2072.2906250000001</v>
      </c>
      <c r="G58" s="223">
        <f t="shared" si="4"/>
        <v>0</v>
      </c>
      <c r="H58" s="557">
        <f t="shared" si="5"/>
        <v>0</v>
      </c>
      <c r="I58" s="58" t="s">
        <v>583</v>
      </c>
    </row>
    <row r="59" spans="1:9" x14ac:dyDescent="0.25">
      <c r="A59" s="58">
        <v>58</v>
      </c>
      <c r="B59" s="58" t="s">
        <v>582</v>
      </c>
      <c r="C59" s="58">
        <v>1238</v>
      </c>
      <c r="D59" s="58">
        <v>800</v>
      </c>
      <c r="E59" s="223">
        <v>1</v>
      </c>
      <c r="F59" s="223">
        <f t="shared" si="3"/>
        <v>2072.2906250000001</v>
      </c>
      <c r="G59" s="223">
        <f t="shared" si="4"/>
        <v>0</v>
      </c>
      <c r="H59" s="557">
        <f t="shared" si="5"/>
        <v>0</v>
      </c>
      <c r="I59" s="58" t="s">
        <v>583</v>
      </c>
    </row>
    <row r="60" spans="1:9" x14ac:dyDescent="0.25">
      <c r="A60" s="58">
        <v>59</v>
      </c>
      <c r="B60" s="58" t="s">
        <v>582</v>
      </c>
      <c r="C60" s="58">
        <v>1238</v>
      </c>
      <c r="D60" s="58">
        <v>800</v>
      </c>
      <c r="E60" s="223">
        <v>1</v>
      </c>
      <c r="F60" s="223">
        <f t="shared" si="3"/>
        <v>2072.2906250000001</v>
      </c>
      <c r="G60" s="223">
        <f t="shared" si="4"/>
        <v>0</v>
      </c>
      <c r="H60" s="557">
        <f t="shared" si="5"/>
        <v>0</v>
      </c>
      <c r="I60" s="58" t="s">
        <v>583</v>
      </c>
    </row>
    <row r="61" spans="1:9" x14ac:dyDescent="0.25">
      <c r="A61" s="58">
        <v>60</v>
      </c>
      <c r="B61" s="58" t="s">
        <v>582</v>
      </c>
      <c r="C61" s="58">
        <v>1238</v>
      </c>
      <c r="D61" s="58">
        <v>800</v>
      </c>
      <c r="E61" s="223">
        <v>1</v>
      </c>
      <c r="F61" s="223">
        <f t="shared" si="3"/>
        <v>2072.2906250000001</v>
      </c>
      <c r="G61" s="223">
        <f t="shared" si="4"/>
        <v>0</v>
      </c>
      <c r="H61" s="557">
        <f t="shared" si="5"/>
        <v>0</v>
      </c>
      <c r="I61" s="58" t="s">
        <v>583</v>
      </c>
    </row>
    <row r="62" spans="1:9" x14ac:dyDescent="0.25">
      <c r="A62" s="58">
        <v>61</v>
      </c>
      <c r="B62" s="58" t="s">
        <v>582</v>
      </c>
      <c r="C62" s="58">
        <v>1238</v>
      </c>
      <c r="D62" s="58">
        <v>1200</v>
      </c>
      <c r="E62" s="223">
        <v>1</v>
      </c>
      <c r="F62" s="223">
        <f t="shared" si="3"/>
        <v>2072.2906250000001</v>
      </c>
      <c r="G62" s="223">
        <f t="shared" si="4"/>
        <v>1026.1983175</v>
      </c>
      <c r="H62" s="557">
        <f t="shared" si="5"/>
        <v>1520.2938037037036</v>
      </c>
      <c r="I62" s="58" t="s">
        <v>583</v>
      </c>
    </row>
    <row r="63" spans="1:9" x14ac:dyDescent="0.25">
      <c r="A63" s="58">
        <v>62</v>
      </c>
      <c r="B63" s="58" t="s">
        <v>582</v>
      </c>
      <c r="C63" s="58">
        <v>1238</v>
      </c>
      <c r="D63" s="58">
        <v>1200</v>
      </c>
      <c r="E63" s="223">
        <v>1</v>
      </c>
      <c r="F63" s="223">
        <f t="shared" si="3"/>
        <v>2072.2906250000001</v>
      </c>
      <c r="G63" s="223">
        <f t="shared" si="4"/>
        <v>1026.1983175</v>
      </c>
      <c r="H63" s="557">
        <f t="shared" si="5"/>
        <v>1520.2938037037036</v>
      </c>
      <c r="I63" s="58" t="s">
        <v>583</v>
      </c>
    </row>
    <row r="64" spans="1:9" x14ac:dyDescent="0.25">
      <c r="A64" s="58">
        <v>63</v>
      </c>
      <c r="B64" s="58" t="s">
        <v>582</v>
      </c>
      <c r="C64" s="58">
        <v>1238</v>
      </c>
      <c r="D64" s="58">
        <v>800</v>
      </c>
      <c r="E64" s="223">
        <v>1</v>
      </c>
      <c r="F64" s="223">
        <f t="shared" si="3"/>
        <v>2072.2906250000001</v>
      </c>
      <c r="G64" s="223">
        <f t="shared" si="4"/>
        <v>0</v>
      </c>
      <c r="H64" s="557">
        <f t="shared" si="5"/>
        <v>0</v>
      </c>
      <c r="I64" s="58" t="s">
        <v>583</v>
      </c>
    </row>
    <row r="65" spans="1:9" x14ac:dyDescent="0.25">
      <c r="A65" s="58">
        <v>64</v>
      </c>
      <c r="B65" s="58" t="s">
        <v>582</v>
      </c>
      <c r="C65" s="58">
        <v>1238</v>
      </c>
      <c r="D65" s="58">
        <v>800</v>
      </c>
      <c r="E65" s="223">
        <v>1</v>
      </c>
      <c r="F65" s="223">
        <f t="shared" si="3"/>
        <v>2072.2906250000001</v>
      </c>
      <c r="G65" s="223">
        <f t="shared" si="4"/>
        <v>0</v>
      </c>
      <c r="H65" s="557">
        <f t="shared" si="5"/>
        <v>0</v>
      </c>
      <c r="I65" s="58" t="s">
        <v>583</v>
      </c>
    </row>
    <row r="66" spans="1:9" x14ac:dyDescent="0.25">
      <c r="A66" s="58">
        <v>65</v>
      </c>
      <c r="B66" s="58" t="s">
        <v>582</v>
      </c>
      <c r="C66" s="58">
        <v>1238</v>
      </c>
      <c r="D66" s="58">
        <v>800</v>
      </c>
      <c r="E66" s="223">
        <v>1</v>
      </c>
      <c r="F66" s="223">
        <f t="shared" si="3"/>
        <v>2072.2906250000001</v>
      </c>
      <c r="G66" s="223">
        <f t="shared" si="4"/>
        <v>0</v>
      </c>
      <c r="H66" s="557">
        <f t="shared" si="5"/>
        <v>0</v>
      </c>
      <c r="I66" s="58" t="s">
        <v>583</v>
      </c>
    </row>
    <row r="67" spans="1:9" x14ac:dyDescent="0.25">
      <c r="A67" s="58">
        <v>66</v>
      </c>
      <c r="B67" s="58" t="s">
        <v>582</v>
      </c>
      <c r="C67" s="58">
        <v>1238</v>
      </c>
      <c r="D67" s="58">
        <v>800</v>
      </c>
      <c r="E67" s="223">
        <v>1</v>
      </c>
      <c r="F67" s="223">
        <f t="shared" si="3"/>
        <v>2072.2906250000001</v>
      </c>
      <c r="G67" s="223">
        <f t="shared" si="4"/>
        <v>0</v>
      </c>
      <c r="H67" s="557">
        <f t="shared" si="5"/>
        <v>0</v>
      </c>
      <c r="I67" s="58" t="s">
        <v>583</v>
      </c>
    </row>
    <row r="68" spans="1:9" x14ac:dyDescent="0.25">
      <c r="A68" s="58">
        <v>67</v>
      </c>
      <c r="B68" s="58" t="s">
        <v>582</v>
      </c>
      <c r="C68" s="58">
        <v>1238</v>
      </c>
      <c r="D68" s="58">
        <v>1200</v>
      </c>
      <c r="E68" s="223">
        <v>1</v>
      </c>
      <c r="F68" s="223">
        <f t="shared" si="3"/>
        <v>2072.2906250000001</v>
      </c>
      <c r="G68" s="223">
        <f t="shared" si="4"/>
        <v>1026.1983175</v>
      </c>
      <c r="H68" s="557">
        <f t="shared" si="5"/>
        <v>1520.2938037037036</v>
      </c>
      <c r="I68" s="58" t="s">
        <v>583</v>
      </c>
    </row>
    <row r="69" spans="1:9" x14ac:dyDescent="0.25">
      <c r="A69" s="58">
        <v>68</v>
      </c>
      <c r="B69" s="58" t="s">
        <v>582</v>
      </c>
      <c r="C69" s="58">
        <v>1238</v>
      </c>
      <c r="D69" s="58">
        <v>1200</v>
      </c>
      <c r="E69" s="223">
        <v>1</v>
      </c>
      <c r="F69" s="223">
        <f t="shared" si="3"/>
        <v>2072.2906250000001</v>
      </c>
      <c r="G69" s="223">
        <f t="shared" si="4"/>
        <v>1026.1983175</v>
      </c>
      <c r="H69" s="557">
        <f t="shared" si="5"/>
        <v>1520.2938037037036</v>
      </c>
      <c r="I69" s="58" t="s">
        <v>583</v>
      </c>
    </row>
    <row r="70" spans="1:9" x14ac:dyDescent="0.25">
      <c r="A70" s="58">
        <v>69</v>
      </c>
      <c r="B70" s="58" t="s">
        <v>582</v>
      </c>
      <c r="C70" s="58">
        <v>1238</v>
      </c>
      <c r="D70" s="58">
        <v>800</v>
      </c>
      <c r="E70" s="223">
        <v>1</v>
      </c>
      <c r="F70" s="223">
        <f t="shared" si="3"/>
        <v>2072.2906250000001</v>
      </c>
      <c r="G70" s="223">
        <f t="shared" si="4"/>
        <v>0</v>
      </c>
      <c r="H70" s="557">
        <f t="shared" si="5"/>
        <v>0</v>
      </c>
      <c r="I70" s="58" t="s">
        <v>583</v>
      </c>
    </row>
    <row r="71" spans="1:9" x14ac:dyDescent="0.25">
      <c r="A71" s="58">
        <v>70</v>
      </c>
      <c r="B71" s="58" t="s">
        <v>582</v>
      </c>
      <c r="C71" s="58">
        <v>1238</v>
      </c>
      <c r="D71" s="58">
        <v>800</v>
      </c>
      <c r="E71" s="223">
        <v>1</v>
      </c>
      <c r="F71" s="223">
        <f t="shared" si="3"/>
        <v>2072.2906250000001</v>
      </c>
      <c r="G71" s="223">
        <f t="shared" si="4"/>
        <v>0</v>
      </c>
      <c r="H71" s="557">
        <f t="shared" si="5"/>
        <v>0</v>
      </c>
      <c r="I71" s="58" t="s">
        <v>583</v>
      </c>
    </row>
    <row r="72" spans="1:9" x14ac:dyDescent="0.25">
      <c r="A72" s="58">
        <v>71</v>
      </c>
      <c r="B72" s="58" t="s">
        <v>582</v>
      </c>
      <c r="C72" s="58">
        <v>1250</v>
      </c>
      <c r="D72" s="58">
        <v>800</v>
      </c>
      <c r="E72" s="223">
        <v>1</v>
      </c>
      <c r="F72" s="223">
        <f t="shared" si="3"/>
        <v>2072.2906250000001</v>
      </c>
      <c r="G72" s="223">
        <f t="shared" si="4"/>
        <v>0</v>
      </c>
      <c r="H72" s="557">
        <f t="shared" si="5"/>
        <v>0</v>
      </c>
      <c r="I72" s="58" t="s">
        <v>583</v>
      </c>
    </row>
    <row r="73" spans="1:9" x14ac:dyDescent="0.25">
      <c r="A73" s="58">
        <v>72</v>
      </c>
      <c r="B73" s="58" t="s">
        <v>582</v>
      </c>
      <c r="C73" s="58">
        <v>1238</v>
      </c>
      <c r="D73" s="58">
        <v>800</v>
      </c>
      <c r="E73" s="223">
        <v>1</v>
      </c>
      <c r="F73" s="223">
        <f t="shared" si="3"/>
        <v>2072.2906250000001</v>
      </c>
      <c r="G73" s="223">
        <f t="shared" si="4"/>
        <v>0</v>
      </c>
      <c r="H73" s="557">
        <f t="shared" si="5"/>
        <v>0</v>
      </c>
      <c r="I73" s="58" t="s">
        <v>583</v>
      </c>
    </row>
    <row r="74" spans="1:9" x14ac:dyDescent="0.25">
      <c r="A74" s="58">
        <v>73</v>
      </c>
      <c r="B74" s="58" t="s">
        <v>582</v>
      </c>
      <c r="C74" s="58">
        <v>1238</v>
      </c>
      <c r="D74" s="58">
        <v>800</v>
      </c>
      <c r="E74" s="223">
        <v>1</v>
      </c>
      <c r="F74" s="223">
        <f t="shared" si="3"/>
        <v>2072.2906250000001</v>
      </c>
      <c r="G74" s="223">
        <f t="shared" si="4"/>
        <v>0</v>
      </c>
      <c r="H74" s="557">
        <f t="shared" si="5"/>
        <v>0</v>
      </c>
      <c r="I74" s="58" t="s">
        <v>583</v>
      </c>
    </row>
    <row r="75" spans="1:9" x14ac:dyDescent="0.25">
      <c r="A75" s="58">
        <v>74</v>
      </c>
      <c r="B75" s="58" t="s">
        <v>582</v>
      </c>
      <c r="C75" s="58">
        <v>1238</v>
      </c>
      <c r="D75" s="58">
        <v>1200</v>
      </c>
      <c r="E75" s="223">
        <v>1</v>
      </c>
      <c r="F75" s="223">
        <f t="shared" si="3"/>
        <v>2072.2906250000001</v>
      </c>
      <c r="G75" s="223">
        <f t="shared" si="4"/>
        <v>1026.1983175</v>
      </c>
      <c r="H75" s="557">
        <f t="shared" si="5"/>
        <v>1520.2938037037036</v>
      </c>
      <c r="I75" s="58" t="s">
        <v>583</v>
      </c>
    </row>
    <row r="76" spans="1:9" x14ac:dyDescent="0.25">
      <c r="A76" s="58">
        <v>75</v>
      </c>
      <c r="B76" s="58" t="s">
        <v>582</v>
      </c>
      <c r="C76" s="58">
        <v>1238</v>
      </c>
      <c r="D76" s="58">
        <v>1200</v>
      </c>
      <c r="E76" s="223">
        <v>1</v>
      </c>
      <c r="F76" s="223">
        <f t="shared" si="3"/>
        <v>2072.2906250000001</v>
      </c>
      <c r="G76" s="223">
        <f t="shared" si="4"/>
        <v>1026.1983175</v>
      </c>
      <c r="H76" s="557">
        <f t="shared" si="5"/>
        <v>1520.2938037037036</v>
      </c>
      <c r="I76" s="58" t="s">
        <v>583</v>
      </c>
    </row>
    <row r="77" spans="1:9" x14ac:dyDescent="0.25">
      <c r="A77" s="58">
        <v>76</v>
      </c>
      <c r="B77" s="58" t="s">
        <v>582</v>
      </c>
      <c r="C77" s="58">
        <v>1238</v>
      </c>
      <c r="D77" s="58">
        <v>1200</v>
      </c>
      <c r="E77" s="223">
        <v>1</v>
      </c>
      <c r="F77" s="223">
        <f t="shared" si="3"/>
        <v>2072.2906250000001</v>
      </c>
      <c r="G77" s="223">
        <f t="shared" si="4"/>
        <v>1026.1983175</v>
      </c>
      <c r="H77" s="557">
        <f t="shared" si="5"/>
        <v>1520.2938037037036</v>
      </c>
      <c r="I77" s="58" t="s">
        <v>583</v>
      </c>
    </row>
    <row r="78" spans="1:9" x14ac:dyDescent="0.25">
      <c r="A78" s="58">
        <v>77</v>
      </c>
      <c r="B78" s="58" t="s">
        <v>582</v>
      </c>
      <c r="C78" s="58">
        <v>1238</v>
      </c>
      <c r="D78" s="58">
        <v>1200</v>
      </c>
      <c r="E78" s="223">
        <v>1</v>
      </c>
      <c r="F78" s="223">
        <f t="shared" si="3"/>
        <v>2072.2906250000001</v>
      </c>
      <c r="G78" s="223">
        <f t="shared" si="4"/>
        <v>1026.1983175</v>
      </c>
      <c r="H78" s="557">
        <f t="shared" si="5"/>
        <v>1520.2938037037036</v>
      </c>
      <c r="I78" s="58" t="s">
        <v>583</v>
      </c>
    </row>
    <row r="79" spans="1:9" x14ac:dyDescent="0.25">
      <c r="A79" s="58">
        <v>78</v>
      </c>
      <c r="B79" s="58" t="s">
        <v>582</v>
      </c>
      <c r="C79" s="58">
        <v>1238</v>
      </c>
      <c r="D79" s="58">
        <v>1200</v>
      </c>
      <c r="E79" s="223">
        <v>1</v>
      </c>
      <c r="F79" s="223">
        <f t="shared" si="3"/>
        <v>2072.2906250000001</v>
      </c>
      <c r="G79" s="223">
        <f t="shared" si="4"/>
        <v>1026.1983175</v>
      </c>
      <c r="H79" s="557">
        <f t="shared" si="5"/>
        <v>1520.2938037037036</v>
      </c>
      <c r="I79" s="58" t="s">
        <v>583</v>
      </c>
    </row>
    <row r="80" spans="1:9" x14ac:dyDescent="0.25">
      <c r="A80" s="58">
        <v>79</v>
      </c>
      <c r="B80" s="58" t="s">
        <v>582</v>
      </c>
      <c r="C80" s="58">
        <v>1238</v>
      </c>
      <c r="D80" s="58">
        <v>1200</v>
      </c>
      <c r="E80" s="223">
        <v>1</v>
      </c>
      <c r="F80" s="223">
        <f t="shared" si="3"/>
        <v>2072.2906250000001</v>
      </c>
      <c r="G80" s="223">
        <f t="shared" si="4"/>
        <v>1026.1983175</v>
      </c>
      <c r="H80" s="557">
        <f t="shared" si="5"/>
        <v>1520.2938037037036</v>
      </c>
      <c r="I80" s="58" t="s">
        <v>583</v>
      </c>
    </row>
    <row r="81" spans="1:9" x14ac:dyDescent="0.25">
      <c r="A81" s="58">
        <v>80</v>
      </c>
      <c r="B81" s="58" t="s">
        <v>582</v>
      </c>
      <c r="C81" s="58">
        <v>1238</v>
      </c>
      <c r="D81" s="58">
        <v>1200</v>
      </c>
      <c r="E81" s="223">
        <v>1</v>
      </c>
      <c r="F81" s="223">
        <f t="shared" si="3"/>
        <v>2072.2906250000001</v>
      </c>
      <c r="G81" s="223">
        <f t="shared" si="4"/>
        <v>1026.1983175</v>
      </c>
      <c r="H81" s="557">
        <f t="shared" si="5"/>
        <v>1520.2938037037036</v>
      </c>
      <c r="I81" s="58" t="s">
        <v>583</v>
      </c>
    </row>
    <row r="82" spans="1:9" x14ac:dyDescent="0.25">
      <c r="A82" s="58">
        <v>81</v>
      </c>
      <c r="B82" s="58" t="s">
        <v>582</v>
      </c>
      <c r="C82" s="58">
        <v>1238</v>
      </c>
      <c r="D82" s="58">
        <v>1200</v>
      </c>
      <c r="E82" s="223">
        <v>1</v>
      </c>
      <c r="F82" s="223">
        <f t="shared" si="3"/>
        <v>2072.2906250000001</v>
      </c>
      <c r="G82" s="223">
        <f t="shared" si="4"/>
        <v>1026.1983175</v>
      </c>
      <c r="H82" s="557">
        <f t="shared" si="5"/>
        <v>1520.2938037037036</v>
      </c>
      <c r="I82" s="58" t="s">
        <v>583</v>
      </c>
    </row>
    <row r="83" spans="1:9" x14ac:dyDescent="0.25">
      <c r="A83" s="58">
        <v>82</v>
      </c>
      <c r="B83" s="58" t="s">
        <v>582</v>
      </c>
      <c r="C83" s="58">
        <v>1238</v>
      </c>
      <c r="D83" s="58">
        <v>1200</v>
      </c>
      <c r="E83" s="223">
        <v>1</v>
      </c>
      <c r="F83" s="223">
        <f t="shared" si="3"/>
        <v>2072.2906250000001</v>
      </c>
      <c r="G83" s="223">
        <f t="shared" si="4"/>
        <v>1026.1983175</v>
      </c>
      <c r="H83" s="557">
        <f t="shared" si="5"/>
        <v>1520.2938037037036</v>
      </c>
      <c r="I83" s="58" t="s">
        <v>583</v>
      </c>
    </row>
    <row r="84" spans="1:9" x14ac:dyDescent="0.25">
      <c r="A84" s="58">
        <v>83</v>
      </c>
      <c r="B84" s="58" t="s">
        <v>582</v>
      </c>
      <c r="C84" s="58">
        <v>1238</v>
      </c>
      <c r="D84" s="58">
        <v>1200</v>
      </c>
      <c r="E84" s="223">
        <v>1</v>
      </c>
      <c r="F84" s="223">
        <f t="shared" si="3"/>
        <v>2072.2906250000001</v>
      </c>
      <c r="G84" s="223">
        <f t="shared" si="4"/>
        <v>1026.1983175</v>
      </c>
      <c r="H84" s="557">
        <f t="shared" si="5"/>
        <v>1520.2938037037036</v>
      </c>
      <c r="I84" s="58" t="s">
        <v>583</v>
      </c>
    </row>
    <row r="85" spans="1:9" x14ac:dyDescent="0.25">
      <c r="A85" s="58">
        <v>84</v>
      </c>
      <c r="B85" s="58" t="s">
        <v>582</v>
      </c>
      <c r="C85" s="58">
        <v>1238</v>
      </c>
      <c r="D85" s="58">
        <v>1200</v>
      </c>
      <c r="E85" s="223">
        <v>1</v>
      </c>
      <c r="F85" s="223">
        <f t="shared" si="3"/>
        <v>2072.2906250000001</v>
      </c>
      <c r="G85" s="223">
        <f t="shared" si="4"/>
        <v>1026.1983175</v>
      </c>
      <c r="H85" s="557">
        <f t="shared" si="5"/>
        <v>1520.2938037037036</v>
      </c>
      <c r="I85" s="58" t="s">
        <v>583</v>
      </c>
    </row>
    <row r="86" spans="1:9" x14ac:dyDescent="0.25">
      <c r="A86" s="58">
        <v>85</v>
      </c>
      <c r="B86" s="58" t="s">
        <v>582</v>
      </c>
      <c r="C86" s="58">
        <v>1238</v>
      </c>
      <c r="D86" s="58">
        <v>1200</v>
      </c>
      <c r="E86" s="223">
        <v>1</v>
      </c>
      <c r="F86" s="223">
        <f t="shared" si="3"/>
        <v>2072.2906250000001</v>
      </c>
      <c r="G86" s="223">
        <f t="shared" si="4"/>
        <v>1026.1983175</v>
      </c>
      <c r="H86" s="557">
        <f t="shared" si="5"/>
        <v>1520.2938037037036</v>
      </c>
      <c r="I86" s="58" t="s">
        <v>583</v>
      </c>
    </row>
    <row r="87" spans="1:9" x14ac:dyDescent="0.25">
      <c r="A87" s="58">
        <v>86</v>
      </c>
      <c r="B87" s="58" t="s">
        <v>582</v>
      </c>
      <c r="C87" s="58">
        <v>1238</v>
      </c>
      <c r="D87" s="58">
        <v>1200</v>
      </c>
      <c r="E87" s="223">
        <v>1</v>
      </c>
      <c r="F87" s="223">
        <f t="shared" si="3"/>
        <v>2072.2906250000001</v>
      </c>
      <c r="G87" s="223">
        <f t="shared" si="4"/>
        <v>1026.1983175</v>
      </c>
      <c r="H87" s="557">
        <f t="shared" si="5"/>
        <v>1520.2938037037036</v>
      </c>
      <c r="I87" s="58" t="s">
        <v>583</v>
      </c>
    </row>
    <row r="88" spans="1:9" x14ac:dyDescent="0.25">
      <c r="A88" s="58">
        <v>87</v>
      </c>
      <c r="B88" s="58" t="s">
        <v>582</v>
      </c>
      <c r="C88" s="58">
        <v>1238</v>
      </c>
      <c r="D88" s="58">
        <v>1200</v>
      </c>
      <c r="E88" s="223">
        <v>1</v>
      </c>
      <c r="F88" s="223">
        <f t="shared" si="3"/>
        <v>2072.2906250000001</v>
      </c>
      <c r="G88" s="223">
        <f t="shared" si="4"/>
        <v>1026.1983175</v>
      </c>
      <c r="H88" s="557">
        <f t="shared" si="5"/>
        <v>1520.2938037037036</v>
      </c>
      <c r="I88" s="58" t="s">
        <v>583</v>
      </c>
    </row>
    <row r="89" spans="1:9" x14ac:dyDescent="0.25">
      <c r="A89" s="58">
        <v>88</v>
      </c>
      <c r="B89" s="58" t="s">
        <v>582</v>
      </c>
      <c r="C89" s="58">
        <v>1238</v>
      </c>
      <c r="D89" s="58">
        <v>800</v>
      </c>
      <c r="E89" s="223">
        <v>1</v>
      </c>
      <c r="F89" s="223">
        <f t="shared" si="3"/>
        <v>2072.2906250000001</v>
      </c>
      <c r="G89" s="223">
        <f t="shared" si="4"/>
        <v>0</v>
      </c>
      <c r="H89" s="557">
        <f t="shared" si="5"/>
        <v>0</v>
      </c>
      <c r="I89" s="58" t="s">
        <v>583</v>
      </c>
    </row>
    <row r="90" spans="1:9" x14ac:dyDescent="0.25">
      <c r="A90" s="58">
        <v>89</v>
      </c>
      <c r="B90" s="58" t="s">
        <v>582</v>
      </c>
      <c r="C90" s="58">
        <v>1238</v>
      </c>
      <c r="D90" s="58">
        <v>800</v>
      </c>
      <c r="E90" s="223">
        <v>1</v>
      </c>
      <c r="F90" s="223">
        <f t="shared" si="3"/>
        <v>2072.2906250000001</v>
      </c>
      <c r="G90" s="223">
        <f t="shared" si="4"/>
        <v>0</v>
      </c>
      <c r="H90" s="557">
        <f t="shared" si="5"/>
        <v>0</v>
      </c>
      <c r="I90" s="58" t="s">
        <v>583</v>
      </c>
    </row>
    <row r="91" spans="1:9" x14ac:dyDescent="0.25">
      <c r="A91" s="58">
        <v>90</v>
      </c>
      <c r="B91" s="58" t="s">
        <v>582</v>
      </c>
      <c r="C91" s="58">
        <v>1238</v>
      </c>
      <c r="D91" s="58">
        <v>800</v>
      </c>
      <c r="E91" s="223">
        <v>1</v>
      </c>
      <c r="F91" s="223">
        <f t="shared" si="3"/>
        <v>2072.2906250000001</v>
      </c>
      <c r="G91" s="223">
        <f t="shared" si="4"/>
        <v>0</v>
      </c>
      <c r="H91" s="557">
        <f t="shared" si="5"/>
        <v>0</v>
      </c>
      <c r="I91" s="58" t="s">
        <v>583</v>
      </c>
    </row>
    <row r="92" spans="1:9" x14ac:dyDescent="0.25">
      <c r="A92" s="58">
        <v>91</v>
      </c>
      <c r="B92" s="58" t="s">
        <v>582</v>
      </c>
      <c r="C92" s="58">
        <v>1238</v>
      </c>
      <c r="D92" s="58">
        <v>800</v>
      </c>
      <c r="E92" s="223">
        <v>1</v>
      </c>
      <c r="F92" s="223">
        <f t="shared" si="3"/>
        <v>2072.2906250000001</v>
      </c>
      <c r="G92" s="223">
        <f t="shared" si="4"/>
        <v>0</v>
      </c>
      <c r="H92" s="557">
        <f t="shared" si="5"/>
        <v>0</v>
      </c>
      <c r="I92" s="58" t="s">
        <v>583</v>
      </c>
    </row>
    <row r="93" spans="1:9" x14ac:dyDescent="0.25">
      <c r="A93" s="58">
        <v>92</v>
      </c>
      <c r="B93" s="58" t="s">
        <v>582</v>
      </c>
      <c r="C93" s="58">
        <v>1238</v>
      </c>
      <c r="D93" s="58">
        <v>800</v>
      </c>
      <c r="E93" s="223">
        <v>1</v>
      </c>
      <c r="F93" s="223">
        <f t="shared" si="3"/>
        <v>2072.2906250000001</v>
      </c>
      <c r="G93" s="223">
        <f t="shared" si="4"/>
        <v>0</v>
      </c>
      <c r="H93" s="557">
        <f t="shared" si="5"/>
        <v>0</v>
      </c>
      <c r="I93" s="58" t="s">
        <v>583</v>
      </c>
    </row>
    <row r="94" spans="1:9" x14ac:dyDescent="0.25">
      <c r="A94" s="58">
        <v>93</v>
      </c>
      <c r="B94" s="58" t="s">
        <v>582</v>
      </c>
      <c r="C94" s="58">
        <v>1238</v>
      </c>
      <c r="D94" s="58">
        <v>800</v>
      </c>
      <c r="E94" s="223">
        <v>1</v>
      </c>
      <c r="F94" s="223">
        <f t="shared" si="3"/>
        <v>2072.2906250000001</v>
      </c>
      <c r="G94" s="223">
        <f t="shared" si="4"/>
        <v>0</v>
      </c>
      <c r="H94" s="557">
        <f t="shared" si="5"/>
        <v>0</v>
      </c>
      <c r="I94" s="58" t="s">
        <v>583</v>
      </c>
    </row>
    <row r="95" spans="1:9" x14ac:dyDescent="0.25">
      <c r="A95" s="58">
        <v>94</v>
      </c>
      <c r="B95" s="58" t="s">
        <v>582</v>
      </c>
      <c r="C95" s="58">
        <v>1238</v>
      </c>
      <c r="D95" s="58">
        <v>800</v>
      </c>
      <c r="E95" s="223">
        <v>1</v>
      </c>
      <c r="F95" s="223">
        <f t="shared" si="3"/>
        <v>2072.2906250000001</v>
      </c>
      <c r="G95" s="223">
        <f t="shared" si="4"/>
        <v>0</v>
      </c>
      <c r="H95" s="557">
        <f t="shared" si="5"/>
        <v>0</v>
      </c>
      <c r="I95" s="58" t="s">
        <v>583</v>
      </c>
    </row>
    <row r="96" spans="1:9" x14ac:dyDescent="0.25">
      <c r="A96" s="58">
        <v>95</v>
      </c>
      <c r="B96" s="58" t="s">
        <v>582</v>
      </c>
      <c r="C96" s="58">
        <v>1238</v>
      </c>
      <c r="D96" s="58">
        <v>800</v>
      </c>
      <c r="E96" s="223">
        <v>1</v>
      </c>
      <c r="F96" s="223">
        <f t="shared" si="3"/>
        <v>2072.2906250000001</v>
      </c>
      <c r="G96" s="223">
        <f t="shared" si="4"/>
        <v>0</v>
      </c>
      <c r="H96" s="557">
        <f t="shared" si="5"/>
        <v>0</v>
      </c>
      <c r="I96" s="58" t="s">
        <v>583</v>
      </c>
    </row>
    <row r="97" spans="1:9" x14ac:dyDescent="0.25">
      <c r="A97" s="58">
        <v>96</v>
      </c>
      <c r="B97" s="58" t="s">
        <v>582</v>
      </c>
      <c r="C97" s="58">
        <v>1238</v>
      </c>
      <c r="D97" s="58">
        <v>800</v>
      </c>
      <c r="E97" s="223">
        <v>1</v>
      </c>
      <c r="F97" s="223">
        <f t="shared" si="3"/>
        <v>2072.2906250000001</v>
      </c>
      <c r="G97" s="223">
        <f t="shared" si="4"/>
        <v>0</v>
      </c>
      <c r="H97" s="557">
        <f t="shared" si="5"/>
        <v>0</v>
      </c>
      <c r="I97" s="58" t="s">
        <v>583</v>
      </c>
    </row>
    <row r="98" spans="1:9" x14ac:dyDescent="0.25">
      <c r="A98" s="58">
        <v>97</v>
      </c>
      <c r="B98" s="58" t="s">
        <v>582</v>
      </c>
      <c r="C98" s="58">
        <v>1238</v>
      </c>
      <c r="D98" s="58">
        <v>800</v>
      </c>
      <c r="E98" s="223">
        <v>1</v>
      </c>
      <c r="F98" s="223">
        <f t="shared" si="3"/>
        <v>2072.2906250000001</v>
      </c>
      <c r="G98" s="223">
        <f t="shared" si="4"/>
        <v>0</v>
      </c>
      <c r="H98" s="557">
        <f t="shared" si="5"/>
        <v>0</v>
      </c>
      <c r="I98" s="58" t="s">
        <v>583</v>
      </c>
    </row>
    <row r="99" spans="1:9" x14ac:dyDescent="0.25">
      <c r="A99" s="58">
        <v>98</v>
      </c>
      <c r="B99" s="58" t="s">
        <v>582</v>
      </c>
      <c r="C99" s="58">
        <v>1238</v>
      </c>
      <c r="D99" s="58">
        <v>800</v>
      </c>
      <c r="E99" s="223">
        <v>1</v>
      </c>
      <c r="F99" s="223">
        <f t="shared" si="3"/>
        <v>2072.2906250000001</v>
      </c>
      <c r="G99" s="223">
        <f t="shared" si="4"/>
        <v>0</v>
      </c>
      <c r="H99" s="557">
        <f t="shared" si="5"/>
        <v>0</v>
      </c>
      <c r="I99" s="58" t="s">
        <v>583</v>
      </c>
    </row>
    <row r="100" spans="1:9" x14ac:dyDescent="0.25">
      <c r="A100" s="58">
        <v>99</v>
      </c>
      <c r="B100" s="58" t="s">
        <v>582</v>
      </c>
      <c r="C100" s="58">
        <v>1238</v>
      </c>
      <c r="D100" s="58">
        <v>800</v>
      </c>
      <c r="E100" s="223">
        <v>1</v>
      </c>
      <c r="F100" s="223">
        <f t="shared" si="3"/>
        <v>2072.2906250000001</v>
      </c>
      <c r="G100" s="223">
        <f t="shared" si="4"/>
        <v>0</v>
      </c>
      <c r="H100" s="557">
        <f t="shared" si="5"/>
        <v>0</v>
      </c>
      <c r="I100" s="58" t="s">
        <v>583</v>
      </c>
    </row>
    <row r="101" spans="1:9" x14ac:dyDescent="0.25">
      <c r="A101" s="58">
        <v>100</v>
      </c>
      <c r="B101" s="58" t="s">
        <v>582</v>
      </c>
      <c r="C101" s="58">
        <v>1238</v>
      </c>
      <c r="D101" s="58">
        <v>800</v>
      </c>
      <c r="E101" s="223">
        <v>1</v>
      </c>
      <c r="F101" s="223">
        <f t="shared" si="3"/>
        <v>2072.2906250000001</v>
      </c>
      <c r="G101" s="223">
        <f t="shared" si="4"/>
        <v>0</v>
      </c>
      <c r="H101" s="557">
        <f t="shared" si="5"/>
        <v>0</v>
      </c>
      <c r="I101" s="58" t="s">
        <v>583</v>
      </c>
    </row>
    <row r="102" spans="1:9" x14ac:dyDescent="0.25">
      <c r="A102" s="58">
        <v>101</v>
      </c>
      <c r="B102" s="58" t="s">
        <v>582</v>
      </c>
      <c r="C102" s="58">
        <v>1238</v>
      </c>
      <c r="D102" s="58">
        <v>800</v>
      </c>
      <c r="E102" s="223">
        <v>1</v>
      </c>
      <c r="F102" s="223">
        <f t="shared" si="3"/>
        <v>2072.2906250000001</v>
      </c>
      <c r="G102" s="223">
        <f t="shared" si="4"/>
        <v>0</v>
      </c>
      <c r="H102" s="557">
        <f t="shared" si="5"/>
        <v>0</v>
      </c>
      <c r="I102" s="58" t="s">
        <v>583</v>
      </c>
    </row>
    <row r="103" spans="1:9" x14ac:dyDescent="0.25">
      <c r="A103" s="58">
        <v>102</v>
      </c>
      <c r="B103" s="58" t="s">
        <v>582</v>
      </c>
      <c r="C103" s="58">
        <v>1238</v>
      </c>
      <c r="D103" s="58">
        <v>800</v>
      </c>
      <c r="E103" s="223">
        <v>1</v>
      </c>
      <c r="F103" s="223">
        <f t="shared" si="3"/>
        <v>2072.2906250000001</v>
      </c>
      <c r="G103" s="223">
        <f t="shared" si="4"/>
        <v>0</v>
      </c>
      <c r="H103" s="557">
        <f t="shared" si="5"/>
        <v>0</v>
      </c>
      <c r="I103" s="58" t="s">
        <v>583</v>
      </c>
    </row>
    <row r="104" spans="1:9" x14ac:dyDescent="0.25">
      <c r="A104" s="58">
        <v>103</v>
      </c>
      <c r="B104" s="58" t="s">
        <v>582</v>
      </c>
      <c r="C104" s="58">
        <v>1238</v>
      </c>
      <c r="D104" s="58">
        <v>800</v>
      </c>
      <c r="E104" s="223">
        <v>1</v>
      </c>
      <c r="F104" s="223">
        <f t="shared" si="3"/>
        <v>2072.2906250000001</v>
      </c>
      <c r="G104" s="223">
        <f t="shared" si="4"/>
        <v>0</v>
      </c>
      <c r="H104" s="557">
        <f t="shared" si="5"/>
        <v>0</v>
      </c>
      <c r="I104" s="58" t="s">
        <v>583</v>
      </c>
    </row>
    <row r="105" spans="1:9" x14ac:dyDescent="0.25">
      <c r="A105" s="58">
        <v>104</v>
      </c>
      <c r="B105" s="58" t="s">
        <v>582</v>
      </c>
      <c r="C105" s="58">
        <v>1238</v>
      </c>
      <c r="D105" s="58">
        <v>800</v>
      </c>
      <c r="E105" s="223">
        <v>1</v>
      </c>
      <c r="F105" s="223">
        <f t="shared" si="3"/>
        <v>2072.2906250000001</v>
      </c>
      <c r="G105" s="223">
        <f t="shared" si="4"/>
        <v>0</v>
      </c>
      <c r="H105" s="557">
        <f t="shared" si="5"/>
        <v>0</v>
      </c>
      <c r="I105" s="58" t="s">
        <v>583</v>
      </c>
    </row>
    <row r="106" spans="1:9" x14ac:dyDescent="0.25">
      <c r="A106" s="58">
        <v>105</v>
      </c>
      <c r="B106" s="58" t="s">
        <v>582</v>
      </c>
      <c r="C106" s="58">
        <v>1238</v>
      </c>
      <c r="D106" s="58">
        <v>800</v>
      </c>
      <c r="E106" s="223">
        <v>1</v>
      </c>
      <c r="F106" s="223">
        <f t="shared" si="3"/>
        <v>2072.2906250000001</v>
      </c>
      <c r="G106" s="223">
        <f t="shared" si="4"/>
        <v>0</v>
      </c>
      <c r="H106" s="557">
        <f t="shared" si="5"/>
        <v>0</v>
      </c>
      <c r="I106" s="58" t="s">
        <v>583</v>
      </c>
    </row>
    <row r="107" spans="1:9" x14ac:dyDescent="0.25">
      <c r="A107" s="58">
        <v>106</v>
      </c>
      <c r="B107" s="58" t="s">
        <v>582</v>
      </c>
      <c r="C107" s="58">
        <v>1238</v>
      </c>
      <c r="D107" s="58">
        <v>800</v>
      </c>
      <c r="E107" s="223">
        <v>1</v>
      </c>
      <c r="F107" s="223">
        <f t="shared" si="3"/>
        <v>2072.2906250000001</v>
      </c>
      <c r="G107" s="223">
        <f t="shared" si="4"/>
        <v>0</v>
      </c>
      <c r="H107" s="557">
        <f t="shared" si="5"/>
        <v>0</v>
      </c>
      <c r="I107" s="58" t="s">
        <v>583</v>
      </c>
    </row>
    <row r="108" spans="1:9" x14ac:dyDescent="0.25">
      <c r="A108" s="58">
        <v>107</v>
      </c>
      <c r="B108" s="58" t="s">
        <v>582</v>
      </c>
      <c r="C108" s="58">
        <v>1238</v>
      </c>
      <c r="D108" s="58">
        <v>800</v>
      </c>
      <c r="E108" s="223">
        <v>1</v>
      </c>
      <c r="F108" s="223">
        <f t="shared" si="3"/>
        <v>2072.2906250000001</v>
      </c>
      <c r="G108" s="223">
        <f t="shared" si="4"/>
        <v>0</v>
      </c>
      <c r="H108" s="557">
        <f t="shared" si="5"/>
        <v>0</v>
      </c>
      <c r="I108" s="58" t="s">
        <v>583</v>
      </c>
    </row>
    <row r="109" spans="1:9" x14ac:dyDescent="0.25">
      <c r="A109" s="58">
        <v>108</v>
      </c>
      <c r="B109" s="58" t="s">
        <v>582</v>
      </c>
      <c r="C109" s="58">
        <v>1238</v>
      </c>
      <c r="D109" s="58">
        <v>800</v>
      </c>
      <c r="E109" s="223">
        <v>1</v>
      </c>
      <c r="F109" s="223">
        <f t="shared" si="3"/>
        <v>2072.2906250000001</v>
      </c>
      <c r="G109" s="223">
        <f t="shared" si="4"/>
        <v>0</v>
      </c>
      <c r="H109" s="557">
        <f t="shared" si="5"/>
        <v>0</v>
      </c>
      <c r="I109" s="58" t="s">
        <v>583</v>
      </c>
    </row>
    <row r="110" spans="1:9" x14ac:dyDescent="0.25">
      <c r="A110" s="58">
        <v>109</v>
      </c>
      <c r="B110" s="58" t="s">
        <v>582</v>
      </c>
      <c r="C110" s="58">
        <v>1238</v>
      </c>
      <c r="D110" s="58">
        <v>800</v>
      </c>
      <c r="E110" s="223">
        <v>1</v>
      </c>
      <c r="F110" s="223">
        <f t="shared" si="3"/>
        <v>2072.2906250000001</v>
      </c>
      <c r="G110" s="223">
        <f t="shared" si="4"/>
        <v>0</v>
      </c>
      <c r="H110" s="557">
        <f t="shared" si="5"/>
        <v>0</v>
      </c>
      <c r="I110" s="58" t="s">
        <v>583</v>
      </c>
    </row>
    <row r="111" spans="1:9" x14ac:dyDescent="0.25">
      <c r="A111" s="58">
        <v>110</v>
      </c>
      <c r="B111" s="58" t="s">
        <v>582</v>
      </c>
      <c r="C111" s="58">
        <v>1238</v>
      </c>
      <c r="D111" s="58">
        <v>800</v>
      </c>
      <c r="E111" s="223">
        <v>1</v>
      </c>
      <c r="F111" s="223">
        <f t="shared" si="3"/>
        <v>2072.2906250000001</v>
      </c>
      <c r="G111" s="223">
        <f t="shared" si="4"/>
        <v>0</v>
      </c>
      <c r="H111" s="557">
        <f t="shared" si="5"/>
        <v>0</v>
      </c>
      <c r="I111" s="58" t="s">
        <v>583</v>
      </c>
    </row>
    <row r="112" spans="1:9" x14ac:dyDescent="0.25">
      <c r="A112" s="58">
        <v>111</v>
      </c>
      <c r="B112" s="58" t="s">
        <v>582</v>
      </c>
      <c r="C112" s="58">
        <v>1238</v>
      </c>
      <c r="D112" s="58">
        <v>800</v>
      </c>
      <c r="E112" s="223">
        <v>1</v>
      </c>
      <c r="F112" s="223">
        <f t="shared" si="3"/>
        <v>2072.2906250000001</v>
      </c>
      <c r="G112" s="223">
        <f t="shared" si="4"/>
        <v>0</v>
      </c>
      <c r="H112" s="557">
        <f t="shared" si="5"/>
        <v>0</v>
      </c>
      <c r="I112" s="58" t="s">
        <v>583</v>
      </c>
    </row>
    <row r="113" spans="1:9" x14ac:dyDescent="0.25">
      <c r="A113" s="58">
        <v>112</v>
      </c>
      <c r="B113" s="58" t="s">
        <v>582</v>
      </c>
      <c r="C113" s="58">
        <v>1238</v>
      </c>
      <c r="D113" s="58">
        <v>1200</v>
      </c>
      <c r="E113" s="223">
        <v>1</v>
      </c>
      <c r="F113" s="223">
        <f t="shared" si="3"/>
        <v>2072.2906250000001</v>
      </c>
      <c r="G113" s="223">
        <f t="shared" si="4"/>
        <v>1026.1983175</v>
      </c>
      <c r="H113" s="557">
        <f t="shared" si="5"/>
        <v>1520.2938037037036</v>
      </c>
      <c r="I113" s="58" t="s">
        <v>583</v>
      </c>
    </row>
    <row r="114" spans="1:9" x14ac:dyDescent="0.25">
      <c r="A114" s="58">
        <v>113</v>
      </c>
      <c r="B114" s="58" t="s">
        <v>582</v>
      </c>
      <c r="C114" s="58">
        <v>1238</v>
      </c>
      <c r="D114" s="58">
        <v>1200</v>
      </c>
      <c r="E114" s="223">
        <v>1</v>
      </c>
      <c r="F114" s="223">
        <f t="shared" si="3"/>
        <v>2072.2906250000001</v>
      </c>
      <c r="G114" s="223">
        <f t="shared" si="4"/>
        <v>1026.1983175</v>
      </c>
      <c r="H114" s="557">
        <f t="shared" si="5"/>
        <v>1520.2938037037036</v>
      </c>
      <c r="I114" s="58" t="s">
        <v>583</v>
      </c>
    </row>
    <row r="115" spans="1:9" x14ac:dyDescent="0.25">
      <c r="A115" s="58">
        <v>114</v>
      </c>
      <c r="B115" s="58" t="s">
        <v>582</v>
      </c>
      <c r="C115" s="58">
        <v>1238</v>
      </c>
      <c r="D115" s="58">
        <v>800</v>
      </c>
      <c r="E115" s="223">
        <v>1</v>
      </c>
      <c r="F115" s="223">
        <f t="shared" si="3"/>
        <v>2072.2906250000001</v>
      </c>
      <c r="G115" s="223">
        <f t="shared" si="4"/>
        <v>0</v>
      </c>
      <c r="H115" s="557">
        <f t="shared" si="5"/>
        <v>0</v>
      </c>
      <c r="I115" s="58" t="s">
        <v>583</v>
      </c>
    </row>
    <row r="116" spans="1:9" x14ac:dyDescent="0.25">
      <c r="A116" s="58">
        <v>115</v>
      </c>
      <c r="B116" s="58" t="s">
        <v>582</v>
      </c>
      <c r="C116" s="58">
        <v>1238</v>
      </c>
      <c r="D116" s="58">
        <v>800</v>
      </c>
      <c r="E116" s="223">
        <v>1</v>
      </c>
      <c r="F116" s="223">
        <f t="shared" si="3"/>
        <v>2072.2906250000001</v>
      </c>
      <c r="G116" s="223">
        <f t="shared" si="4"/>
        <v>0</v>
      </c>
      <c r="H116" s="557">
        <f t="shared" ref="H116:H161" si="6">(G116/$R$2)*E116</f>
        <v>0</v>
      </c>
      <c r="I116" s="58" t="s">
        <v>583</v>
      </c>
    </row>
    <row r="117" spans="1:9" x14ac:dyDescent="0.25">
      <c r="A117" s="58">
        <v>116</v>
      </c>
      <c r="B117" s="58" t="s">
        <v>582</v>
      </c>
      <c r="C117" s="58">
        <v>1238</v>
      </c>
      <c r="D117" s="58">
        <v>800</v>
      </c>
      <c r="E117" s="223">
        <v>1</v>
      </c>
      <c r="F117" s="223">
        <f t="shared" ref="F117:F180" si="7">$R$1</f>
        <v>2072.2906250000001</v>
      </c>
      <c r="G117" s="223">
        <f t="shared" ref="G117:G161" si="8">IF(D117&gt;800,((C117*(D117-800))/10^6)*F117,0)</f>
        <v>0</v>
      </c>
      <c r="H117" s="557">
        <f t="shared" si="6"/>
        <v>0</v>
      </c>
      <c r="I117" s="58" t="s">
        <v>583</v>
      </c>
    </row>
    <row r="118" spans="1:9" x14ac:dyDescent="0.25">
      <c r="A118" s="58">
        <v>117</v>
      </c>
      <c r="B118" s="58" t="s">
        <v>582</v>
      </c>
      <c r="C118" s="58">
        <v>1210</v>
      </c>
      <c r="D118" s="58">
        <v>765.49400000000003</v>
      </c>
      <c r="E118" s="223">
        <v>1</v>
      </c>
      <c r="F118" s="223">
        <f t="shared" si="7"/>
        <v>2072.2906250000001</v>
      </c>
      <c r="G118" s="223">
        <f t="shared" si="8"/>
        <v>0</v>
      </c>
      <c r="H118" s="557">
        <f t="shared" si="6"/>
        <v>0</v>
      </c>
      <c r="I118" s="58" t="s">
        <v>583</v>
      </c>
    </row>
    <row r="119" spans="1:9" x14ac:dyDescent="0.25">
      <c r="A119" s="58">
        <v>118</v>
      </c>
      <c r="B119" s="58" t="s">
        <v>582</v>
      </c>
      <c r="C119" s="58">
        <v>1210</v>
      </c>
      <c r="D119" s="58">
        <v>2085.3200000000002</v>
      </c>
      <c r="E119" s="223">
        <v>1</v>
      </c>
      <c r="F119" s="223">
        <f t="shared" si="7"/>
        <v>2072.2906250000001</v>
      </c>
      <c r="G119" s="223">
        <f t="shared" si="8"/>
        <v>3222.9034692112505</v>
      </c>
      <c r="H119" s="557">
        <f t="shared" si="6"/>
        <v>4774.6718062388891</v>
      </c>
      <c r="I119" s="58" t="s">
        <v>583</v>
      </c>
    </row>
    <row r="120" spans="1:9" x14ac:dyDescent="0.25">
      <c r="A120" s="58">
        <v>119</v>
      </c>
      <c r="B120" s="58" t="s">
        <v>582</v>
      </c>
      <c r="C120" s="58">
        <v>1210</v>
      </c>
      <c r="D120" s="58">
        <v>3623.55</v>
      </c>
      <c r="E120" s="223">
        <v>1</v>
      </c>
      <c r="F120" s="223">
        <f t="shared" si="7"/>
        <v>2072.2906250000001</v>
      </c>
      <c r="G120" s="223">
        <f t="shared" si="8"/>
        <v>7079.9715950046875</v>
      </c>
      <c r="H120" s="557">
        <f t="shared" si="6"/>
        <v>10488.846807414351</v>
      </c>
      <c r="I120" s="58" t="s">
        <v>583</v>
      </c>
    </row>
    <row r="121" spans="1:9" x14ac:dyDescent="0.25">
      <c r="A121" s="58">
        <v>120</v>
      </c>
      <c r="B121" s="58" t="s">
        <v>582</v>
      </c>
      <c r="C121" s="58">
        <v>1210</v>
      </c>
      <c r="D121" s="58">
        <v>4268.7</v>
      </c>
      <c r="E121" s="223">
        <v>1</v>
      </c>
      <c r="F121" s="223">
        <f t="shared" si="7"/>
        <v>2072.2906250000001</v>
      </c>
      <c r="G121" s="223">
        <f t="shared" si="8"/>
        <v>8697.666934034376</v>
      </c>
      <c r="H121" s="557">
        <f t="shared" si="6"/>
        <v>12885.432494865741</v>
      </c>
      <c r="I121" s="58" t="s">
        <v>583</v>
      </c>
    </row>
    <row r="122" spans="1:9" x14ac:dyDescent="0.25">
      <c r="A122" s="58">
        <v>121</v>
      </c>
      <c r="B122" s="58" t="s">
        <v>582</v>
      </c>
      <c r="C122" s="58">
        <v>1210</v>
      </c>
      <c r="D122" s="58">
        <v>805.00599999999997</v>
      </c>
      <c r="E122" s="223">
        <v>1</v>
      </c>
      <c r="F122" s="223">
        <f t="shared" si="7"/>
        <v>2072.2906250000001</v>
      </c>
      <c r="G122" s="223">
        <f t="shared" si="8"/>
        <v>12.552403111187429</v>
      </c>
      <c r="H122" s="557">
        <f t="shared" si="6"/>
        <v>18.596152757314709</v>
      </c>
      <c r="I122" s="58" t="s">
        <v>583</v>
      </c>
    </row>
    <row r="123" spans="1:9" x14ac:dyDescent="0.25">
      <c r="A123" s="58">
        <v>122</v>
      </c>
      <c r="B123" s="58" t="s">
        <v>582</v>
      </c>
      <c r="C123" s="58">
        <v>1210</v>
      </c>
      <c r="D123" s="58">
        <v>3650</v>
      </c>
      <c r="E123" s="223">
        <v>1</v>
      </c>
      <c r="F123" s="223">
        <f t="shared" si="7"/>
        <v>2072.2906250000001</v>
      </c>
      <c r="G123" s="223">
        <f t="shared" si="8"/>
        <v>7146.2942203125003</v>
      </c>
      <c r="H123" s="557">
        <f t="shared" si="6"/>
        <v>10587.10254861111</v>
      </c>
      <c r="I123" s="58" t="s">
        <v>583</v>
      </c>
    </row>
    <row r="124" spans="1:9" x14ac:dyDescent="0.25">
      <c r="A124" s="58">
        <v>123</v>
      </c>
      <c r="B124" s="58" t="s">
        <v>582</v>
      </c>
      <c r="C124" s="58">
        <v>1210</v>
      </c>
      <c r="D124" s="58">
        <v>3650</v>
      </c>
      <c r="E124" s="223">
        <v>1</v>
      </c>
      <c r="F124" s="223">
        <f t="shared" si="7"/>
        <v>2072.2906250000001</v>
      </c>
      <c r="G124" s="223">
        <f t="shared" si="8"/>
        <v>7146.2942203125003</v>
      </c>
      <c r="H124" s="557">
        <f t="shared" si="6"/>
        <v>10587.10254861111</v>
      </c>
      <c r="I124" s="58" t="s">
        <v>583</v>
      </c>
    </row>
    <row r="125" spans="1:9" x14ac:dyDescent="0.25">
      <c r="A125" s="58">
        <v>124</v>
      </c>
      <c r="B125" s="58" t="s">
        <v>582</v>
      </c>
      <c r="C125" s="58">
        <v>1210</v>
      </c>
      <c r="D125" s="58">
        <v>2667.05</v>
      </c>
      <c r="E125" s="223">
        <v>1</v>
      </c>
      <c r="F125" s="223">
        <f t="shared" si="7"/>
        <v>2072.2906250000001</v>
      </c>
      <c r="G125" s="223">
        <f t="shared" si="8"/>
        <v>4681.5749558015623</v>
      </c>
      <c r="H125" s="557">
        <f t="shared" si="6"/>
        <v>6935.6666011874995</v>
      </c>
      <c r="I125" s="58" t="s">
        <v>583</v>
      </c>
    </row>
    <row r="126" spans="1:9" x14ac:dyDescent="0.25">
      <c r="A126" s="58">
        <v>125</v>
      </c>
      <c r="B126" s="58" t="s">
        <v>582</v>
      </c>
      <c r="C126" s="58">
        <v>1210</v>
      </c>
      <c r="D126" s="58">
        <v>3495.18</v>
      </c>
      <c r="E126" s="223">
        <v>1</v>
      </c>
      <c r="F126" s="223">
        <f t="shared" si="7"/>
        <v>2072.2906250000001</v>
      </c>
      <c r="G126" s="223">
        <f t="shared" si="8"/>
        <v>6758.0874584918756</v>
      </c>
      <c r="H126" s="557">
        <f t="shared" si="6"/>
        <v>10011.981419987964</v>
      </c>
      <c r="I126" s="58" t="s">
        <v>583</v>
      </c>
    </row>
    <row r="127" spans="1:9" x14ac:dyDescent="0.25">
      <c r="A127" s="58">
        <v>126</v>
      </c>
      <c r="B127" s="58" t="s">
        <v>582</v>
      </c>
      <c r="C127" s="58">
        <v>1210</v>
      </c>
      <c r="D127" s="58">
        <v>4355.6499999999996</v>
      </c>
      <c r="E127" s="223">
        <v>1</v>
      </c>
      <c r="F127" s="223">
        <f t="shared" si="7"/>
        <v>2072.2906250000001</v>
      </c>
      <c r="G127" s="223">
        <f t="shared" si="8"/>
        <v>8915.6915945453129</v>
      </c>
      <c r="H127" s="557">
        <f t="shared" si="6"/>
        <v>13208.431991918982</v>
      </c>
      <c r="I127" s="58" t="s">
        <v>583</v>
      </c>
    </row>
    <row r="128" spans="1:9" x14ac:dyDescent="0.25">
      <c r="A128" s="58">
        <v>127</v>
      </c>
      <c r="B128" s="58" t="s">
        <v>582</v>
      </c>
      <c r="C128" s="58">
        <v>1210</v>
      </c>
      <c r="D128" s="58">
        <v>2451.56</v>
      </c>
      <c r="E128" s="223">
        <v>1</v>
      </c>
      <c r="F128" s="223">
        <f t="shared" si="7"/>
        <v>2072.2906250000001</v>
      </c>
      <c r="G128" s="223">
        <f t="shared" si="8"/>
        <v>4141.2398885962502</v>
      </c>
      <c r="H128" s="557">
        <f t="shared" si="6"/>
        <v>6135.1702053277777</v>
      </c>
      <c r="I128" s="58" t="s">
        <v>583</v>
      </c>
    </row>
    <row r="129" spans="1:9" x14ac:dyDescent="0.25">
      <c r="A129" s="58">
        <v>128</v>
      </c>
      <c r="B129" s="58" t="s">
        <v>582</v>
      </c>
      <c r="C129" s="58">
        <v>1210</v>
      </c>
      <c r="D129" s="58">
        <v>550</v>
      </c>
      <c r="E129" s="223">
        <v>1</v>
      </c>
      <c r="F129" s="223">
        <f t="shared" si="7"/>
        <v>2072.2906250000001</v>
      </c>
      <c r="G129" s="223">
        <f t="shared" si="8"/>
        <v>0</v>
      </c>
      <c r="H129" s="557">
        <f t="shared" si="6"/>
        <v>0</v>
      </c>
      <c r="I129" s="58" t="s">
        <v>583</v>
      </c>
    </row>
    <row r="130" spans="1:9" x14ac:dyDescent="0.25">
      <c r="A130" s="58">
        <v>129</v>
      </c>
      <c r="B130" s="58" t="s">
        <v>582</v>
      </c>
      <c r="C130" s="58">
        <v>1210</v>
      </c>
      <c r="D130" s="58">
        <v>550</v>
      </c>
      <c r="E130" s="223">
        <v>1</v>
      </c>
      <c r="F130" s="223">
        <f t="shared" si="7"/>
        <v>2072.2906250000001</v>
      </c>
      <c r="G130" s="223">
        <f t="shared" si="8"/>
        <v>0</v>
      </c>
      <c r="H130" s="557">
        <f t="shared" si="6"/>
        <v>0</v>
      </c>
      <c r="I130" s="58" t="s">
        <v>583</v>
      </c>
    </row>
    <row r="131" spans="1:9" x14ac:dyDescent="0.25">
      <c r="A131" s="58">
        <v>130</v>
      </c>
      <c r="B131" s="58" t="s">
        <v>582</v>
      </c>
      <c r="C131" s="58">
        <v>1210</v>
      </c>
      <c r="D131" s="58">
        <v>550</v>
      </c>
      <c r="E131" s="223">
        <v>1</v>
      </c>
      <c r="F131" s="223">
        <f t="shared" si="7"/>
        <v>2072.2906250000001</v>
      </c>
      <c r="G131" s="223">
        <f t="shared" si="8"/>
        <v>0</v>
      </c>
      <c r="H131" s="557">
        <f t="shared" si="6"/>
        <v>0</v>
      </c>
      <c r="I131" s="58" t="s">
        <v>583</v>
      </c>
    </row>
    <row r="132" spans="1:9" x14ac:dyDescent="0.25">
      <c r="A132" s="58">
        <v>131</v>
      </c>
      <c r="B132" s="58" t="s">
        <v>582</v>
      </c>
      <c r="C132" s="58">
        <v>1210</v>
      </c>
      <c r="D132" s="58">
        <v>550</v>
      </c>
      <c r="E132" s="223">
        <v>1</v>
      </c>
      <c r="F132" s="223">
        <f t="shared" si="7"/>
        <v>2072.2906250000001</v>
      </c>
      <c r="G132" s="223">
        <f t="shared" si="8"/>
        <v>0</v>
      </c>
      <c r="H132" s="557">
        <f t="shared" si="6"/>
        <v>0</v>
      </c>
      <c r="I132" s="58" t="s">
        <v>583</v>
      </c>
    </row>
    <row r="133" spans="1:9" x14ac:dyDescent="0.25">
      <c r="A133" s="58">
        <v>132</v>
      </c>
      <c r="B133" s="58" t="s">
        <v>582</v>
      </c>
      <c r="C133" s="58">
        <v>1210</v>
      </c>
      <c r="D133" s="58">
        <v>550</v>
      </c>
      <c r="E133" s="223">
        <v>1</v>
      </c>
      <c r="F133" s="223">
        <f t="shared" si="7"/>
        <v>2072.2906250000001</v>
      </c>
      <c r="G133" s="223">
        <f t="shared" si="8"/>
        <v>0</v>
      </c>
      <c r="H133" s="557">
        <f t="shared" si="6"/>
        <v>0</v>
      </c>
      <c r="I133" s="58" t="s">
        <v>583</v>
      </c>
    </row>
    <row r="134" spans="1:9" x14ac:dyDescent="0.25">
      <c r="A134" s="58">
        <v>133</v>
      </c>
      <c r="B134" s="58" t="s">
        <v>582</v>
      </c>
      <c r="C134" s="58">
        <v>1210</v>
      </c>
      <c r="D134" s="58">
        <v>550</v>
      </c>
      <c r="E134" s="223">
        <v>1</v>
      </c>
      <c r="F134" s="223">
        <f t="shared" si="7"/>
        <v>2072.2906250000001</v>
      </c>
      <c r="G134" s="223">
        <f t="shared" si="8"/>
        <v>0</v>
      </c>
      <c r="H134" s="557">
        <f t="shared" si="6"/>
        <v>0</v>
      </c>
      <c r="I134" s="58" t="s">
        <v>583</v>
      </c>
    </row>
    <row r="135" spans="1:9" x14ac:dyDescent="0.25">
      <c r="A135" s="58">
        <v>134</v>
      </c>
      <c r="B135" s="58" t="s">
        <v>582</v>
      </c>
      <c r="C135" s="58">
        <v>1210</v>
      </c>
      <c r="D135" s="58">
        <v>550</v>
      </c>
      <c r="E135" s="223">
        <v>1</v>
      </c>
      <c r="F135" s="223">
        <f t="shared" si="7"/>
        <v>2072.2906250000001</v>
      </c>
      <c r="G135" s="223">
        <f t="shared" si="8"/>
        <v>0</v>
      </c>
      <c r="H135" s="557">
        <f t="shared" si="6"/>
        <v>0</v>
      </c>
      <c r="I135" s="58" t="s">
        <v>583</v>
      </c>
    </row>
    <row r="136" spans="1:9" x14ac:dyDescent="0.25">
      <c r="A136" s="58">
        <v>135</v>
      </c>
      <c r="B136" s="58" t="s">
        <v>582</v>
      </c>
      <c r="C136" s="58">
        <v>1210</v>
      </c>
      <c r="D136" s="58">
        <v>550</v>
      </c>
      <c r="E136" s="223">
        <v>1</v>
      </c>
      <c r="F136" s="223">
        <f t="shared" si="7"/>
        <v>2072.2906250000001</v>
      </c>
      <c r="G136" s="223">
        <f t="shared" si="8"/>
        <v>0</v>
      </c>
      <c r="H136" s="557">
        <f t="shared" si="6"/>
        <v>0</v>
      </c>
      <c r="I136" s="58" t="s">
        <v>583</v>
      </c>
    </row>
    <row r="137" spans="1:9" x14ac:dyDescent="0.25">
      <c r="A137" s="58">
        <v>136</v>
      </c>
      <c r="B137" s="58" t="s">
        <v>582</v>
      </c>
      <c r="C137" s="58">
        <v>1210</v>
      </c>
      <c r="D137" s="58">
        <v>550</v>
      </c>
      <c r="E137" s="223">
        <v>1</v>
      </c>
      <c r="F137" s="223">
        <f t="shared" si="7"/>
        <v>2072.2906250000001</v>
      </c>
      <c r="G137" s="223">
        <f t="shared" si="8"/>
        <v>0</v>
      </c>
      <c r="H137" s="557">
        <f t="shared" si="6"/>
        <v>0</v>
      </c>
      <c r="I137" s="58" t="s">
        <v>583</v>
      </c>
    </row>
    <row r="138" spans="1:9" x14ac:dyDescent="0.25">
      <c r="A138" s="58">
        <v>137</v>
      </c>
      <c r="B138" s="58" t="s">
        <v>582</v>
      </c>
      <c r="C138" s="58">
        <v>1210</v>
      </c>
      <c r="D138" s="58">
        <v>550</v>
      </c>
      <c r="E138" s="223">
        <v>1</v>
      </c>
      <c r="F138" s="223">
        <f t="shared" si="7"/>
        <v>2072.2906250000001</v>
      </c>
      <c r="G138" s="223">
        <f t="shared" si="8"/>
        <v>0</v>
      </c>
      <c r="H138" s="557">
        <f t="shared" si="6"/>
        <v>0</v>
      </c>
      <c r="I138" s="58" t="s">
        <v>583</v>
      </c>
    </row>
    <row r="139" spans="1:9" x14ac:dyDescent="0.25">
      <c r="A139" s="58">
        <v>138</v>
      </c>
      <c r="B139" s="58" t="s">
        <v>582</v>
      </c>
      <c r="C139" s="58">
        <v>1210</v>
      </c>
      <c r="D139" s="58">
        <v>4050</v>
      </c>
      <c r="E139" s="223">
        <v>1</v>
      </c>
      <c r="F139" s="223">
        <f t="shared" si="7"/>
        <v>2072.2906250000001</v>
      </c>
      <c r="G139" s="223">
        <f t="shared" si="8"/>
        <v>8149.2828828125002</v>
      </c>
      <c r="H139" s="557">
        <f t="shared" si="6"/>
        <v>12073.01167824074</v>
      </c>
      <c r="I139" s="58" t="s">
        <v>583</v>
      </c>
    </row>
    <row r="140" spans="1:9" x14ac:dyDescent="0.25">
      <c r="A140" s="58">
        <v>139</v>
      </c>
      <c r="B140" s="58" t="s">
        <v>582</v>
      </c>
      <c r="C140" s="58">
        <v>1210</v>
      </c>
      <c r="D140" s="58">
        <v>4050</v>
      </c>
      <c r="E140" s="223">
        <v>1</v>
      </c>
      <c r="F140" s="223">
        <f t="shared" si="7"/>
        <v>2072.2906250000001</v>
      </c>
      <c r="G140" s="223">
        <f t="shared" si="8"/>
        <v>8149.2828828125002</v>
      </c>
      <c r="H140" s="557">
        <f t="shared" si="6"/>
        <v>12073.01167824074</v>
      </c>
      <c r="I140" s="58" t="s">
        <v>583</v>
      </c>
    </row>
    <row r="141" spans="1:9" x14ac:dyDescent="0.25">
      <c r="A141" s="58">
        <v>140</v>
      </c>
      <c r="B141" s="58" t="s">
        <v>582</v>
      </c>
      <c r="C141" s="58">
        <v>1210</v>
      </c>
      <c r="D141" s="58">
        <v>765.49400000000003</v>
      </c>
      <c r="E141" s="223">
        <v>1</v>
      </c>
      <c r="F141" s="223">
        <f t="shared" si="7"/>
        <v>2072.2906250000001</v>
      </c>
      <c r="G141" s="223">
        <f t="shared" si="8"/>
        <v>0</v>
      </c>
      <c r="H141" s="557">
        <f t="shared" si="6"/>
        <v>0</v>
      </c>
      <c r="I141" s="58" t="s">
        <v>583</v>
      </c>
    </row>
    <row r="142" spans="1:9" x14ac:dyDescent="0.25">
      <c r="A142" s="58">
        <v>141</v>
      </c>
      <c r="B142" s="58" t="s">
        <v>582</v>
      </c>
      <c r="C142" s="58">
        <v>1210</v>
      </c>
      <c r="D142" s="58">
        <v>2085.3200000000002</v>
      </c>
      <c r="E142" s="223">
        <v>1</v>
      </c>
      <c r="F142" s="223">
        <f t="shared" si="7"/>
        <v>2072.2906250000001</v>
      </c>
      <c r="G142" s="223">
        <f t="shared" si="8"/>
        <v>3222.9034692112505</v>
      </c>
      <c r="H142" s="557">
        <f t="shared" si="6"/>
        <v>4774.6718062388891</v>
      </c>
      <c r="I142" s="58" t="s">
        <v>583</v>
      </c>
    </row>
    <row r="143" spans="1:9" x14ac:dyDescent="0.25">
      <c r="A143" s="58">
        <v>142</v>
      </c>
      <c r="B143" s="58" t="s">
        <v>582</v>
      </c>
      <c r="C143" s="58">
        <v>1210</v>
      </c>
      <c r="D143" s="58">
        <v>3623.55</v>
      </c>
      <c r="E143" s="223">
        <v>1</v>
      </c>
      <c r="F143" s="223">
        <f t="shared" si="7"/>
        <v>2072.2906250000001</v>
      </c>
      <c r="G143" s="223">
        <f t="shared" si="8"/>
        <v>7079.9715950046875</v>
      </c>
      <c r="H143" s="557">
        <f t="shared" si="6"/>
        <v>10488.846807414351</v>
      </c>
      <c r="I143" s="58" t="s">
        <v>583</v>
      </c>
    </row>
    <row r="144" spans="1:9" x14ac:dyDescent="0.25">
      <c r="A144" s="58">
        <v>143</v>
      </c>
      <c r="B144" s="58" t="s">
        <v>582</v>
      </c>
      <c r="C144" s="58">
        <v>1210</v>
      </c>
      <c r="D144" s="58">
        <v>4268.7</v>
      </c>
      <c r="E144" s="223">
        <v>1</v>
      </c>
      <c r="F144" s="223">
        <f t="shared" si="7"/>
        <v>2072.2906250000001</v>
      </c>
      <c r="G144" s="223">
        <f t="shared" si="8"/>
        <v>8697.666934034376</v>
      </c>
      <c r="H144" s="557">
        <f t="shared" si="6"/>
        <v>12885.432494865741</v>
      </c>
      <c r="I144" s="58" t="s">
        <v>583</v>
      </c>
    </row>
    <row r="145" spans="1:9" x14ac:dyDescent="0.25">
      <c r="A145" s="58">
        <v>144</v>
      </c>
      <c r="B145" s="58" t="s">
        <v>582</v>
      </c>
      <c r="C145" s="58">
        <v>1210</v>
      </c>
      <c r="D145" s="58">
        <v>805.00599999999997</v>
      </c>
      <c r="E145" s="223">
        <v>1</v>
      </c>
      <c r="F145" s="223">
        <f t="shared" si="7"/>
        <v>2072.2906250000001</v>
      </c>
      <c r="G145" s="223">
        <f t="shared" si="8"/>
        <v>12.552403111187429</v>
      </c>
      <c r="H145" s="557">
        <f t="shared" si="6"/>
        <v>18.596152757314709</v>
      </c>
      <c r="I145" s="58" t="s">
        <v>583</v>
      </c>
    </row>
    <row r="146" spans="1:9" x14ac:dyDescent="0.25">
      <c r="A146" s="58">
        <v>145</v>
      </c>
      <c r="B146" s="58" t="s">
        <v>582</v>
      </c>
      <c r="C146" s="58">
        <v>1210</v>
      </c>
      <c r="D146" s="58">
        <v>3650</v>
      </c>
      <c r="E146" s="223">
        <v>1</v>
      </c>
      <c r="F146" s="223">
        <f t="shared" si="7"/>
        <v>2072.2906250000001</v>
      </c>
      <c r="G146" s="223">
        <f t="shared" si="8"/>
        <v>7146.2942203125003</v>
      </c>
      <c r="H146" s="557">
        <f t="shared" si="6"/>
        <v>10587.10254861111</v>
      </c>
      <c r="I146" s="58" t="s">
        <v>583</v>
      </c>
    </row>
    <row r="147" spans="1:9" x14ac:dyDescent="0.25">
      <c r="A147" s="58">
        <v>146</v>
      </c>
      <c r="B147" s="58" t="s">
        <v>582</v>
      </c>
      <c r="C147" s="58">
        <v>1210</v>
      </c>
      <c r="D147" s="58">
        <v>3650</v>
      </c>
      <c r="E147" s="223">
        <v>1</v>
      </c>
      <c r="F147" s="223">
        <f t="shared" si="7"/>
        <v>2072.2906250000001</v>
      </c>
      <c r="G147" s="223">
        <f t="shared" si="8"/>
        <v>7146.2942203125003</v>
      </c>
      <c r="H147" s="557">
        <f t="shared" si="6"/>
        <v>10587.10254861111</v>
      </c>
      <c r="I147" s="58" t="s">
        <v>583</v>
      </c>
    </row>
    <row r="148" spans="1:9" x14ac:dyDescent="0.25">
      <c r="A148" s="58">
        <v>147</v>
      </c>
      <c r="B148" s="58" t="s">
        <v>582</v>
      </c>
      <c r="C148" s="58">
        <v>1210</v>
      </c>
      <c r="D148" s="58">
        <v>2667.05</v>
      </c>
      <c r="E148" s="223">
        <v>1</v>
      </c>
      <c r="F148" s="223">
        <f t="shared" si="7"/>
        <v>2072.2906250000001</v>
      </c>
      <c r="G148" s="223">
        <f t="shared" si="8"/>
        <v>4681.5749558015623</v>
      </c>
      <c r="H148" s="557">
        <f t="shared" si="6"/>
        <v>6935.6666011874995</v>
      </c>
      <c r="I148" s="58" t="s">
        <v>583</v>
      </c>
    </row>
    <row r="149" spans="1:9" x14ac:dyDescent="0.25">
      <c r="A149" s="58">
        <v>148</v>
      </c>
      <c r="B149" s="58" t="s">
        <v>582</v>
      </c>
      <c r="C149" s="58">
        <v>1210</v>
      </c>
      <c r="D149" s="58">
        <v>3495.18</v>
      </c>
      <c r="E149" s="223">
        <v>1</v>
      </c>
      <c r="F149" s="223">
        <f t="shared" si="7"/>
        <v>2072.2906250000001</v>
      </c>
      <c r="G149" s="223">
        <f t="shared" si="8"/>
        <v>6758.0874584918756</v>
      </c>
      <c r="H149" s="557">
        <f t="shared" si="6"/>
        <v>10011.981419987964</v>
      </c>
      <c r="I149" s="58" t="s">
        <v>583</v>
      </c>
    </row>
    <row r="150" spans="1:9" x14ac:dyDescent="0.25">
      <c r="A150" s="58">
        <v>149</v>
      </c>
      <c r="B150" s="58" t="s">
        <v>582</v>
      </c>
      <c r="C150" s="58">
        <v>1210</v>
      </c>
      <c r="D150" s="58">
        <v>4355.6499999999996</v>
      </c>
      <c r="E150" s="223">
        <v>1</v>
      </c>
      <c r="F150" s="223">
        <f t="shared" si="7"/>
        <v>2072.2906250000001</v>
      </c>
      <c r="G150" s="223">
        <f t="shared" si="8"/>
        <v>8915.6915945453129</v>
      </c>
      <c r="H150" s="557">
        <f t="shared" si="6"/>
        <v>13208.431991918982</v>
      </c>
      <c r="I150" s="58" t="s">
        <v>583</v>
      </c>
    </row>
    <row r="151" spans="1:9" x14ac:dyDescent="0.25">
      <c r="A151" s="58">
        <v>150</v>
      </c>
      <c r="B151" s="58" t="s">
        <v>582</v>
      </c>
      <c r="C151" s="58">
        <v>1210</v>
      </c>
      <c r="D151" s="58">
        <v>2451.56</v>
      </c>
      <c r="E151" s="223">
        <v>1</v>
      </c>
      <c r="F151" s="223">
        <f t="shared" si="7"/>
        <v>2072.2906250000001</v>
      </c>
      <c r="G151" s="223">
        <f t="shared" si="8"/>
        <v>4141.2398885962502</v>
      </c>
      <c r="H151" s="557">
        <f t="shared" si="6"/>
        <v>6135.1702053277777</v>
      </c>
      <c r="I151" s="58" t="s">
        <v>583</v>
      </c>
    </row>
    <row r="152" spans="1:9" x14ac:dyDescent="0.25">
      <c r="A152" s="58">
        <v>151</v>
      </c>
      <c r="B152" s="58" t="s">
        <v>582</v>
      </c>
      <c r="C152" s="58">
        <v>1210</v>
      </c>
      <c r="D152" s="58">
        <v>2451.56</v>
      </c>
      <c r="E152" s="223">
        <v>1</v>
      </c>
      <c r="F152" s="223">
        <f t="shared" si="7"/>
        <v>2072.2906250000001</v>
      </c>
      <c r="G152" s="223">
        <f t="shared" si="8"/>
        <v>4141.2398885962502</v>
      </c>
      <c r="H152" s="557">
        <f t="shared" si="6"/>
        <v>6135.1702053277777</v>
      </c>
      <c r="I152" s="58" t="s">
        <v>583</v>
      </c>
    </row>
    <row r="153" spans="1:9" x14ac:dyDescent="0.25">
      <c r="A153" s="58">
        <v>152</v>
      </c>
      <c r="B153" s="58" t="s">
        <v>582</v>
      </c>
      <c r="C153" s="58">
        <v>1210</v>
      </c>
      <c r="D153" s="58">
        <v>4116.2700000000004</v>
      </c>
      <c r="E153" s="223">
        <v>1</v>
      </c>
      <c r="F153" s="223">
        <f t="shared" si="7"/>
        <v>2072.2906250000001</v>
      </c>
      <c r="G153" s="223">
        <f t="shared" si="8"/>
        <v>8315.4530294721899</v>
      </c>
      <c r="H153" s="557">
        <f t="shared" si="6"/>
        <v>12319.189673292132</v>
      </c>
      <c r="I153" s="58" t="s">
        <v>583</v>
      </c>
    </row>
    <row r="154" spans="1:9" x14ac:dyDescent="0.25">
      <c r="A154" s="58">
        <v>153</v>
      </c>
      <c r="B154" s="58" t="s">
        <v>582</v>
      </c>
      <c r="C154" s="58">
        <v>1210</v>
      </c>
      <c r="D154" s="58">
        <v>2874.08</v>
      </c>
      <c r="E154" s="223">
        <v>1</v>
      </c>
      <c r="F154" s="223">
        <f t="shared" si="7"/>
        <v>2072.2906250000001</v>
      </c>
      <c r="G154" s="223">
        <f t="shared" si="8"/>
        <v>5200.6968127950004</v>
      </c>
      <c r="H154" s="557">
        <f t="shared" si="6"/>
        <v>7704.7360189555557</v>
      </c>
      <c r="I154" s="58" t="s">
        <v>583</v>
      </c>
    </row>
    <row r="155" spans="1:9" x14ac:dyDescent="0.25">
      <c r="A155" s="58">
        <v>154</v>
      </c>
      <c r="B155" s="58" t="s">
        <v>582</v>
      </c>
      <c r="C155" s="58">
        <v>1210</v>
      </c>
      <c r="D155" s="58">
        <v>2427.67</v>
      </c>
      <c r="E155" s="223">
        <v>1</v>
      </c>
      <c r="F155" s="223">
        <f t="shared" si="7"/>
        <v>2072.2906250000001</v>
      </c>
      <c r="G155" s="223">
        <f t="shared" si="8"/>
        <v>4081.3363907284379</v>
      </c>
      <c r="H155" s="557">
        <f t="shared" si="6"/>
        <v>6046.424282560648</v>
      </c>
      <c r="I155" s="58" t="s">
        <v>583</v>
      </c>
    </row>
    <row r="156" spans="1:9" x14ac:dyDescent="0.25">
      <c r="A156" s="58">
        <v>155</v>
      </c>
      <c r="B156" s="58" t="s">
        <v>582</v>
      </c>
      <c r="C156" s="58">
        <v>1210</v>
      </c>
      <c r="D156" s="58">
        <v>3650</v>
      </c>
      <c r="E156" s="223">
        <v>1</v>
      </c>
      <c r="F156" s="223">
        <f t="shared" si="7"/>
        <v>2072.2906250000001</v>
      </c>
      <c r="G156" s="223">
        <f t="shared" si="8"/>
        <v>7146.2942203125003</v>
      </c>
      <c r="H156" s="557">
        <f t="shared" si="6"/>
        <v>10587.10254861111</v>
      </c>
      <c r="I156" s="58" t="s">
        <v>583</v>
      </c>
    </row>
    <row r="157" spans="1:9" x14ac:dyDescent="0.25">
      <c r="A157" s="58">
        <v>156</v>
      </c>
      <c r="B157" s="58" t="s">
        <v>582</v>
      </c>
      <c r="C157" s="58">
        <v>1210</v>
      </c>
      <c r="D157" s="58">
        <v>3650</v>
      </c>
      <c r="E157" s="223">
        <v>1</v>
      </c>
      <c r="F157" s="223">
        <f t="shared" si="7"/>
        <v>2072.2906250000001</v>
      </c>
      <c r="G157" s="223">
        <f t="shared" si="8"/>
        <v>7146.2942203125003</v>
      </c>
      <c r="H157" s="557">
        <f t="shared" si="6"/>
        <v>10587.10254861111</v>
      </c>
      <c r="I157" s="58" t="s">
        <v>583</v>
      </c>
    </row>
    <row r="158" spans="1:9" x14ac:dyDescent="0.25">
      <c r="A158" s="58">
        <v>157</v>
      </c>
      <c r="B158" s="58" t="s">
        <v>582</v>
      </c>
      <c r="C158" s="58">
        <v>1210</v>
      </c>
      <c r="D158" s="58">
        <v>572.34900000000005</v>
      </c>
      <c r="E158" s="223">
        <v>1</v>
      </c>
      <c r="F158" s="223">
        <f t="shared" si="7"/>
        <v>2072.2906250000001</v>
      </c>
      <c r="G158" s="223">
        <f t="shared" si="8"/>
        <v>0</v>
      </c>
      <c r="H158" s="557">
        <f t="shared" si="6"/>
        <v>0</v>
      </c>
      <c r="I158" s="58" t="s">
        <v>583</v>
      </c>
    </row>
    <row r="159" spans="1:9" x14ac:dyDescent="0.25">
      <c r="A159" s="58">
        <v>158</v>
      </c>
      <c r="B159" s="58" t="s">
        <v>582</v>
      </c>
      <c r="C159" s="58">
        <v>1210</v>
      </c>
      <c r="D159" s="58">
        <v>3856.21</v>
      </c>
      <c r="E159" s="223">
        <v>1</v>
      </c>
      <c r="F159" s="223">
        <f t="shared" si="7"/>
        <v>2072.2906250000001</v>
      </c>
      <c r="G159" s="223">
        <f t="shared" si="8"/>
        <v>7663.3599505478123</v>
      </c>
      <c r="H159" s="557">
        <f t="shared" si="6"/>
        <v>11353.125852663425</v>
      </c>
      <c r="I159" s="58" t="s">
        <v>583</v>
      </c>
    </row>
    <row r="160" spans="1:9" x14ac:dyDescent="0.25">
      <c r="A160" s="58">
        <v>159</v>
      </c>
      <c r="B160" s="58" t="s">
        <v>582</v>
      </c>
      <c r="C160" s="58">
        <v>1210</v>
      </c>
      <c r="D160" s="58">
        <v>2324.6999999999998</v>
      </c>
      <c r="E160" s="223">
        <v>1</v>
      </c>
      <c r="F160" s="223">
        <f t="shared" si="7"/>
        <v>2072.2906250000001</v>
      </c>
      <c r="G160" s="223">
        <f t="shared" si="8"/>
        <v>3823.1420342843744</v>
      </c>
      <c r="H160" s="557">
        <f t="shared" si="6"/>
        <v>5663.9141248657397</v>
      </c>
      <c r="I160" s="58" t="s">
        <v>583</v>
      </c>
    </row>
    <row r="161" spans="1:9" x14ac:dyDescent="0.25">
      <c r="A161" s="58">
        <v>160</v>
      </c>
      <c r="B161" s="58" t="s">
        <v>582</v>
      </c>
      <c r="C161" s="58">
        <v>1210</v>
      </c>
      <c r="D161" s="58">
        <v>1464.23</v>
      </c>
      <c r="E161" s="223">
        <v>1</v>
      </c>
      <c r="F161" s="223">
        <f t="shared" si="7"/>
        <v>2072.2906250000001</v>
      </c>
      <c r="G161" s="223">
        <f t="shared" si="8"/>
        <v>1665.5378982309376</v>
      </c>
      <c r="H161" s="557">
        <f t="shared" si="6"/>
        <v>2467.463552934722</v>
      </c>
      <c r="I161" s="58" t="s">
        <v>583</v>
      </c>
    </row>
    <row r="162" spans="1:9" x14ac:dyDescent="0.25">
      <c r="A162" s="58">
        <v>161</v>
      </c>
      <c r="B162" s="58" t="s">
        <v>582</v>
      </c>
      <c r="C162" s="58">
        <v>1210</v>
      </c>
      <c r="D162" s="58">
        <v>526.11400000000003</v>
      </c>
      <c r="E162" s="223">
        <v>1</v>
      </c>
      <c r="F162" s="223">
        <f t="shared" si="7"/>
        <v>2072.2906250000001</v>
      </c>
      <c r="G162" s="223">
        <f t="shared" ref="G162:G225" si="9">IF(D162&gt;800,((C162*(D162-800))/10^6)*F162,0)</f>
        <v>0</v>
      </c>
      <c r="H162" s="557">
        <f t="shared" ref="H162:H225" si="10">(G162/$R$2)*E162</f>
        <v>0</v>
      </c>
      <c r="I162" s="58" t="s">
        <v>583</v>
      </c>
    </row>
    <row r="163" spans="1:9" x14ac:dyDescent="0.25">
      <c r="A163" s="58">
        <v>162</v>
      </c>
      <c r="B163" s="58" t="s">
        <v>582</v>
      </c>
      <c r="C163" s="58">
        <v>1210</v>
      </c>
      <c r="D163" s="58">
        <v>4050</v>
      </c>
      <c r="E163" s="223">
        <v>1</v>
      </c>
      <c r="F163" s="223">
        <f t="shared" si="7"/>
        <v>2072.2906250000001</v>
      </c>
      <c r="G163" s="223">
        <f t="shared" si="9"/>
        <v>8149.2828828125002</v>
      </c>
      <c r="H163" s="557">
        <f t="shared" si="10"/>
        <v>12073.01167824074</v>
      </c>
      <c r="I163" s="58" t="s">
        <v>583</v>
      </c>
    </row>
    <row r="164" spans="1:9" x14ac:dyDescent="0.25">
      <c r="A164" s="58">
        <v>163</v>
      </c>
      <c r="B164" s="58" t="s">
        <v>582</v>
      </c>
      <c r="C164" s="58">
        <v>1210</v>
      </c>
      <c r="D164" s="58">
        <v>4050</v>
      </c>
      <c r="E164" s="223">
        <v>1</v>
      </c>
      <c r="F164" s="223">
        <f t="shared" si="7"/>
        <v>2072.2906250000001</v>
      </c>
      <c r="G164" s="223">
        <f t="shared" si="9"/>
        <v>8149.2828828125002</v>
      </c>
      <c r="H164" s="557">
        <f t="shared" si="10"/>
        <v>12073.01167824074</v>
      </c>
      <c r="I164" s="58" t="s">
        <v>583</v>
      </c>
    </row>
    <row r="165" spans="1:9" x14ac:dyDescent="0.25">
      <c r="A165" s="58">
        <v>164</v>
      </c>
      <c r="B165" s="58" t="s">
        <v>582</v>
      </c>
      <c r="C165" s="58">
        <v>1210</v>
      </c>
      <c r="D165" s="58">
        <v>4050</v>
      </c>
      <c r="E165" s="223">
        <v>1</v>
      </c>
      <c r="F165" s="223">
        <f t="shared" si="7"/>
        <v>2072.2906250000001</v>
      </c>
      <c r="G165" s="223">
        <f t="shared" si="9"/>
        <v>8149.2828828125002</v>
      </c>
      <c r="H165" s="557">
        <f t="shared" si="10"/>
        <v>12073.01167824074</v>
      </c>
      <c r="I165" s="58" t="s">
        <v>583</v>
      </c>
    </row>
    <row r="166" spans="1:9" x14ac:dyDescent="0.25">
      <c r="A166" s="58">
        <v>165</v>
      </c>
      <c r="B166" s="58" t="s">
        <v>582</v>
      </c>
      <c r="C166" s="58">
        <v>1210</v>
      </c>
      <c r="D166" s="58">
        <v>550</v>
      </c>
      <c r="E166" s="223">
        <v>1</v>
      </c>
      <c r="F166" s="223">
        <f t="shared" si="7"/>
        <v>2072.2906250000001</v>
      </c>
      <c r="G166" s="223">
        <f t="shared" si="9"/>
        <v>0</v>
      </c>
      <c r="H166" s="557">
        <f t="shared" si="10"/>
        <v>0</v>
      </c>
      <c r="I166" s="58" t="s">
        <v>583</v>
      </c>
    </row>
    <row r="167" spans="1:9" x14ac:dyDescent="0.25">
      <c r="A167" s="58">
        <v>166</v>
      </c>
      <c r="B167" s="58" t="s">
        <v>582</v>
      </c>
      <c r="C167" s="58">
        <v>1210</v>
      </c>
      <c r="D167" s="58">
        <v>550</v>
      </c>
      <c r="E167" s="223">
        <v>1</v>
      </c>
      <c r="F167" s="223">
        <f t="shared" si="7"/>
        <v>2072.2906250000001</v>
      </c>
      <c r="G167" s="223">
        <f t="shared" si="9"/>
        <v>0</v>
      </c>
      <c r="H167" s="557">
        <f t="shared" si="10"/>
        <v>0</v>
      </c>
      <c r="I167" s="58" t="s">
        <v>583</v>
      </c>
    </row>
    <row r="168" spans="1:9" x14ac:dyDescent="0.25">
      <c r="A168" s="58">
        <v>167</v>
      </c>
      <c r="B168" s="58" t="s">
        <v>582</v>
      </c>
      <c r="C168" s="58">
        <v>1210</v>
      </c>
      <c r="D168" s="58">
        <v>550</v>
      </c>
      <c r="E168" s="223">
        <v>1</v>
      </c>
      <c r="F168" s="223">
        <f t="shared" si="7"/>
        <v>2072.2906250000001</v>
      </c>
      <c r="G168" s="223">
        <f t="shared" si="9"/>
        <v>0</v>
      </c>
      <c r="H168" s="557">
        <f t="shared" si="10"/>
        <v>0</v>
      </c>
      <c r="I168" s="58" t="s">
        <v>583</v>
      </c>
    </row>
    <row r="169" spans="1:9" x14ac:dyDescent="0.25">
      <c r="A169" s="58">
        <v>168</v>
      </c>
      <c r="B169" s="58" t="s">
        <v>582</v>
      </c>
      <c r="C169" s="58">
        <v>1210</v>
      </c>
      <c r="D169" s="58">
        <v>550</v>
      </c>
      <c r="E169" s="223">
        <v>1</v>
      </c>
      <c r="F169" s="223">
        <f t="shared" si="7"/>
        <v>2072.2906250000001</v>
      </c>
      <c r="G169" s="223">
        <f t="shared" si="9"/>
        <v>0</v>
      </c>
      <c r="H169" s="557">
        <f t="shared" si="10"/>
        <v>0</v>
      </c>
      <c r="I169" s="58" t="s">
        <v>583</v>
      </c>
    </row>
    <row r="170" spans="1:9" x14ac:dyDescent="0.25">
      <c r="A170" s="58">
        <v>169</v>
      </c>
      <c r="B170" s="58" t="s">
        <v>582</v>
      </c>
      <c r="C170" s="58">
        <v>1210</v>
      </c>
      <c r="D170" s="58">
        <v>550</v>
      </c>
      <c r="E170" s="223">
        <v>1</v>
      </c>
      <c r="F170" s="223">
        <f t="shared" si="7"/>
        <v>2072.2906250000001</v>
      </c>
      <c r="G170" s="223">
        <f t="shared" si="9"/>
        <v>0</v>
      </c>
      <c r="H170" s="557">
        <f t="shared" si="10"/>
        <v>0</v>
      </c>
      <c r="I170" s="58" t="s">
        <v>583</v>
      </c>
    </row>
    <row r="171" spans="1:9" x14ac:dyDescent="0.25">
      <c r="A171" s="58">
        <v>170</v>
      </c>
      <c r="B171" s="58" t="s">
        <v>582</v>
      </c>
      <c r="C171" s="58">
        <v>1210</v>
      </c>
      <c r="D171" s="58">
        <v>550</v>
      </c>
      <c r="E171" s="223">
        <v>1</v>
      </c>
      <c r="F171" s="223">
        <f t="shared" si="7"/>
        <v>2072.2906250000001</v>
      </c>
      <c r="G171" s="223">
        <f t="shared" si="9"/>
        <v>0</v>
      </c>
      <c r="H171" s="557">
        <f t="shared" si="10"/>
        <v>0</v>
      </c>
      <c r="I171" s="58" t="s">
        <v>583</v>
      </c>
    </row>
    <row r="172" spans="1:9" x14ac:dyDescent="0.25">
      <c r="A172" s="58">
        <v>171</v>
      </c>
      <c r="B172" s="58" t="s">
        <v>582</v>
      </c>
      <c r="C172" s="58">
        <v>1210</v>
      </c>
      <c r="D172" s="58">
        <v>550</v>
      </c>
      <c r="E172" s="223">
        <v>1</v>
      </c>
      <c r="F172" s="223">
        <f t="shared" si="7"/>
        <v>2072.2906250000001</v>
      </c>
      <c r="G172" s="223">
        <f t="shared" si="9"/>
        <v>0</v>
      </c>
      <c r="H172" s="557">
        <f t="shared" si="10"/>
        <v>0</v>
      </c>
      <c r="I172" s="58" t="s">
        <v>583</v>
      </c>
    </row>
    <row r="173" spans="1:9" x14ac:dyDescent="0.25">
      <c r="A173" s="58">
        <v>172</v>
      </c>
      <c r="B173" s="58" t="s">
        <v>582</v>
      </c>
      <c r="C173" s="58">
        <v>1210</v>
      </c>
      <c r="D173" s="58">
        <v>550</v>
      </c>
      <c r="E173" s="223">
        <v>1</v>
      </c>
      <c r="F173" s="223">
        <f t="shared" si="7"/>
        <v>2072.2906250000001</v>
      </c>
      <c r="G173" s="223">
        <f t="shared" si="9"/>
        <v>0</v>
      </c>
      <c r="H173" s="557">
        <f t="shared" si="10"/>
        <v>0</v>
      </c>
      <c r="I173" s="58" t="s">
        <v>583</v>
      </c>
    </row>
    <row r="174" spans="1:9" x14ac:dyDescent="0.25">
      <c r="A174" s="58">
        <v>173</v>
      </c>
      <c r="B174" s="58" t="s">
        <v>582</v>
      </c>
      <c r="C174" s="58">
        <v>1210</v>
      </c>
      <c r="D174" s="58">
        <v>550</v>
      </c>
      <c r="E174" s="223">
        <v>1</v>
      </c>
      <c r="F174" s="223">
        <f t="shared" si="7"/>
        <v>2072.2906250000001</v>
      </c>
      <c r="G174" s="223">
        <f t="shared" si="9"/>
        <v>0</v>
      </c>
      <c r="H174" s="557">
        <f t="shared" si="10"/>
        <v>0</v>
      </c>
      <c r="I174" s="58" t="s">
        <v>583</v>
      </c>
    </row>
    <row r="175" spans="1:9" x14ac:dyDescent="0.25">
      <c r="A175" s="58">
        <v>174</v>
      </c>
      <c r="B175" s="58" t="s">
        <v>582</v>
      </c>
      <c r="C175" s="58">
        <v>1210</v>
      </c>
      <c r="D175" s="58">
        <v>550</v>
      </c>
      <c r="E175" s="223">
        <v>1</v>
      </c>
      <c r="F175" s="223">
        <f t="shared" si="7"/>
        <v>2072.2906250000001</v>
      </c>
      <c r="G175" s="223">
        <f t="shared" si="9"/>
        <v>0</v>
      </c>
      <c r="H175" s="557">
        <f t="shared" si="10"/>
        <v>0</v>
      </c>
      <c r="I175" s="58" t="s">
        <v>583</v>
      </c>
    </row>
    <row r="176" spans="1:9" x14ac:dyDescent="0.25">
      <c r="A176" s="58">
        <v>175</v>
      </c>
      <c r="B176" s="58" t="s">
        <v>582</v>
      </c>
      <c r="C176" s="58">
        <v>1210</v>
      </c>
      <c r="D176" s="58">
        <v>2451.56</v>
      </c>
      <c r="E176" s="223">
        <v>1</v>
      </c>
      <c r="F176" s="223">
        <f t="shared" si="7"/>
        <v>2072.2906250000001</v>
      </c>
      <c r="G176" s="223">
        <f t="shared" si="9"/>
        <v>4141.2398885962502</v>
      </c>
      <c r="H176" s="557">
        <f t="shared" si="10"/>
        <v>6135.1702053277777</v>
      </c>
      <c r="I176" s="58" t="s">
        <v>583</v>
      </c>
    </row>
    <row r="177" spans="1:9" x14ac:dyDescent="0.25">
      <c r="A177" s="58">
        <v>176</v>
      </c>
      <c r="B177" s="58" t="s">
        <v>582</v>
      </c>
      <c r="C177" s="58">
        <v>1210</v>
      </c>
      <c r="D177" s="58">
        <v>4116.2700000000004</v>
      </c>
      <c r="E177" s="223">
        <v>1</v>
      </c>
      <c r="F177" s="223">
        <f t="shared" si="7"/>
        <v>2072.2906250000001</v>
      </c>
      <c r="G177" s="223">
        <f t="shared" si="9"/>
        <v>8315.4530294721899</v>
      </c>
      <c r="H177" s="557">
        <f t="shared" si="10"/>
        <v>12319.189673292132</v>
      </c>
      <c r="I177" s="58" t="s">
        <v>583</v>
      </c>
    </row>
    <row r="178" spans="1:9" x14ac:dyDescent="0.25">
      <c r="A178" s="58">
        <v>177</v>
      </c>
      <c r="B178" s="58" t="s">
        <v>582</v>
      </c>
      <c r="C178" s="58">
        <v>1210</v>
      </c>
      <c r="D178" s="58">
        <v>2874.08</v>
      </c>
      <c r="E178" s="223">
        <v>1</v>
      </c>
      <c r="F178" s="223">
        <f t="shared" si="7"/>
        <v>2072.2906250000001</v>
      </c>
      <c r="G178" s="223">
        <f t="shared" si="9"/>
        <v>5200.6968127950004</v>
      </c>
      <c r="H178" s="557">
        <f t="shared" si="10"/>
        <v>7704.7360189555557</v>
      </c>
      <c r="I178" s="58" t="s">
        <v>583</v>
      </c>
    </row>
    <row r="179" spans="1:9" x14ac:dyDescent="0.25">
      <c r="A179" s="58">
        <v>178</v>
      </c>
      <c r="B179" s="58" t="s">
        <v>582</v>
      </c>
      <c r="C179" s="58">
        <v>1210</v>
      </c>
      <c r="D179" s="58">
        <v>2427.67</v>
      </c>
      <c r="E179" s="223">
        <v>1</v>
      </c>
      <c r="F179" s="223">
        <f t="shared" si="7"/>
        <v>2072.2906250000001</v>
      </c>
      <c r="G179" s="223">
        <f t="shared" si="9"/>
        <v>4081.3363907284379</v>
      </c>
      <c r="H179" s="557">
        <f t="shared" si="10"/>
        <v>6046.424282560648</v>
      </c>
      <c r="I179" s="58" t="s">
        <v>583</v>
      </c>
    </row>
    <row r="180" spans="1:9" x14ac:dyDescent="0.25">
      <c r="A180" s="58">
        <v>179</v>
      </c>
      <c r="B180" s="58" t="s">
        <v>582</v>
      </c>
      <c r="C180" s="58">
        <v>1210</v>
      </c>
      <c r="D180" s="58">
        <v>3650</v>
      </c>
      <c r="E180" s="223">
        <v>1</v>
      </c>
      <c r="F180" s="223">
        <f t="shared" si="7"/>
        <v>2072.2906250000001</v>
      </c>
      <c r="G180" s="223">
        <f t="shared" si="9"/>
        <v>7146.2942203125003</v>
      </c>
      <c r="H180" s="557">
        <f t="shared" si="10"/>
        <v>10587.10254861111</v>
      </c>
      <c r="I180" s="58" t="s">
        <v>583</v>
      </c>
    </row>
    <row r="181" spans="1:9" x14ac:dyDescent="0.25">
      <c r="A181" s="58">
        <v>180</v>
      </c>
      <c r="B181" s="58" t="s">
        <v>582</v>
      </c>
      <c r="C181" s="58">
        <v>1210</v>
      </c>
      <c r="D181" s="58">
        <v>3650</v>
      </c>
      <c r="E181" s="223">
        <v>1</v>
      </c>
      <c r="F181" s="223">
        <f t="shared" ref="F181:F244" si="11">$R$1</f>
        <v>2072.2906250000001</v>
      </c>
      <c r="G181" s="223">
        <f t="shared" si="9"/>
        <v>7146.2942203125003</v>
      </c>
      <c r="H181" s="557">
        <f t="shared" si="10"/>
        <v>10587.10254861111</v>
      </c>
      <c r="I181" s="58" t="s">
        <v>583</v>
      </c>
    </row>
    <row r="182" spans="1:9" x14ac:dyDescent="0.25">
      <c r="A182" s="58">
        <v>181</v>
      </c>
      <c r="B182" s="58" t="s">
        <v>582</v>
      </c>
      <c r="C182" s="58">
        <v>1210</v>
      </c>
      <c r="D182" s="58">
        <v>572.34900000000005</v>
      </c>
      <c r="E182" s="223">
        <v>1</v>
      </c>
      <c r="F182" s="223">
        <f t="shared" si="11"/>
        <v>2072.2906250000001</v>
      </c>
      <c r="G182" s="223">
        <f t="shared" si="9"/>
        <v>0</v>
      </c>
      <c r="H182" s="557">
        <f t="shared" si="10"/>
        <v>0</v>
      </c>
      <c r="I182" s="58" t="s">
        <v>583</v>
      </c>
    </row>
    <row r="183" spans="1:9" x14ac:dyDescent="0.25">
      <c r="A183" s="58">
        <v>182</v>
      </c>
      <c r="B183" s="58" t="s">
        <v>582</v>
      </c>
      <c r="C183" s="58">
        <v>1210</v>
      </c>
      <c r="D183" s="58">
        <v>3856.21</v>
      </c>
      <c r="E183" s="223">
        <v>1</v>
      </c>
      <c r="F183" s="223">
        <f t="shared" si="11"/>
        <v>2072.2906250000001</v>
      </c>
      <c r="G183" s="223">
        <f t="shared" si="9"/>
        <v>7663.3599505478123</v>
      </c>
      <c r="H183" s="557">
        <f t="shared" si="10"/>
        <v>11353.125852663425</v>
      </c>
      <c r="I183" s="58" t="s">
        <v>583</v>
      </c>
    </row>
    <row r="184" spans="1:9" x14ac:dyDescent="0.25">
      <c r="A184" s="58">
        <v>183</v>
      </c>
      <c r="B184" s="58" t="s">
        <v>582</v>
      </c>
      <c r="C184" s="58">
        <v>1210</v>
      </c>
      <c r="D184" s="58">
        <v>2324.6999999999998</v>
      </c>
      <c r="E184" s="223">
        <v>1</v>
      </c>
      <c r="F184" s="223">
        <f t="shared" si="11"/>
        <v>2072.2906250000001</v>
      </c>
      <c r="G184" s="223">
        <f t="shared" si="9"/>
        <v>3823.1420342843744</v>
      </c>
      <c r="H184" s="557">
        <f t="shared" si="10"/>
        <v>5663.9141248657397</v>
      </c>
      <c r="I184" s="58" t="s">
        <v>583</v>
      </c>
    </row>
    <row r="185" spans="1:9" x14ac:dyDescent="0.25">
      <c r="A185" s="58">
        <v>184</v>
      </c>
      <c r="B185" s="58" t="s">
        <v>582</v>
      </c>
      <c r="C185" s="58">
        <v>1210</v>
      </c>
      <c r="D185" s="58">
        <v>1464.23</v>
      </c>
      <c r="E185" s="223">
        <v>1</v>
      </c>
      <c r="F185" s="223">
        <f t="shared" si="11"/>
        <v>2072.2906250000001</v>
      </c>
      <c r="G185" s="223">
        <f t="shared" si="9"/>
        <v>1665.5378982309376</v>
      </c>
      <c r="H185" s="557">
        <f t="shared" si="10"/>
        <v>2467.463552934722</v>
      </c>
      <c r="I185" s="58" t="s">
        <v>583</v>
      </c>
    </row>
    <row r="186" spans="1:9" x14ac:dyDescent="0.25">
      <c r="A186" s="58">
        <v>185</v>
      </c>
      <c r="B186" s="58" t="s">
        <v>582</v>
      </c>
      <c r="C186" s="58">
        <v>1210</v>
      </c>
      <c r="D186" s="58">
        <v>526.11400000000003</v>
      </c>
      <c r="E186" s="223">
        <v>1</v>
      </c>
      <c r="F186" s="223">
        <f t="shared" si="11"/>
        <v>2072.2906250000001</v>
      </c>
      <c r="G186" s="223">
        <f t="shared" si="9"/>
        <v>0</v>
      </c>
      <c r="H186" s="557">
        <f t="shared" si="10"/>
        <v>0</v>
      </c>
      <c r="I186" s="58" t="s">
        <v>583</v>
      </c>
    </row>
    <row r="187" spans="1:9" x14ac:dyDescent="0.25">
      <c r="A187" s="58">
        <v>186</v>
      </c>
      <c r="B187" s="58" t="s">
        <v>582</v>
      </c>
      <c r="C187" s="58">
        <v>1238</v>
      </c>
      <c r="D187" s="58">
        <v>800</v>
      </c>
      <c r="E187" s="223">
        <v>1</v>
      </c>
      <c r="F187" s="223">
        <f t="shared" si="11"/>
        <v>2072.2906250000001</v>
      </c>
      <c r="G187" s="223">
        <f t="shared" si="9"/>
        <v>0</v>
      </c>
      <c r="H187" s="557">
        <f t="shared" si="10"/>
        <v>0</v>
      </c>
      <c r="I187" s="58" t="s">
        <v>583</v>
      </c>
    </row>
    <row r="188" spans="1:9" x14ac:dyDescent="0.25">
      <c r="A188" s="58">
        <v>187</v>
      </c>
      <c r="B188" s="58" t="s">
        <v>582</v>
      </c>
      <c r="C188" s="58">
        <v>1238</v>
      </c>
      <c r="D188" s="58">
        <v>800</v>
      </c>
      <c r="E188" s="223">
        <v>1</v>
      </c>
      <c r="F188" s="223">
        <f t="shared" si="11"/>
        <v>2072.2906250000001</v>
      </c>
      <c r="G188" s="223">
        <f t="shared" si="9"/>
        <v>0</v>
      </c>
      <c r="H188" s="557">
        <f t="shared" si="10"/>
        <v>0</v>
      </c>
      <c r="I188" s="58" t="s">
        <v>583</v>
      </c>
    </row>
    <row r="189" spans="1:9" x14ac:dyDescent="0.25">
      <c r="A189" s="58">
        <v>188</v>
      </c>
      <c r="B189" s="58" t="s">
        <v>582</v>
      </c>
      <c r="C189" s="58">
        <v>1238</v>
      </c>
      <c r="D189" s="58">
        <v>1200</v>
      </c>
      <c r="E189" s="223">
        <v>1</v>
      </c>
      <c r="F189" s="223">
        <f t="shared" si="11"/>
        <v>2072.2906250000001</v>
      </c>
      <c r="G189" s="223">
        <f t="shared" si="9"/>
        <v>1026.1983175</v>
      </c>
      <c r="H189" s="557">
        <f t="shared" si="10"/>
        <v>1520.2938037037036</v>
      </c>
      <c r="I189" s="58" t="s">
        <v>583</v>
      </c>
    </row>
    <row r="190" spans="1:9" x14ac:dyDescent="0.25">
      <c r="A190" s="58">
        <v>189</v>
      </c>
      <c r="B190" s="58" t="s">
        <v>582</v>
      </c>
      <c r="C190" s="58">
        <v>1238</v>
      </c>
      <c r="D190" s="58">
        <v>1200</v>
      </c>
      <c r="E190" s="223">
        <v>1</v>
      </c>
      <c r="F190" s="223">
        <f t="shared" si="11"/>
        <v>2072.2906250000001</v>
      </c>
      <c r="G190" s="223">
        <f t="shared" si="9"/>
        <v>1026.1983175</v>
      </c>
      <c r="H190" s="557">
        <f t="shared" si="10"/>
        <v>1520.2938037037036</v>
      </c>
      <c r="I190" s="58" t="s">
        <v>583</v>
      </c>
    </row>
    <row r="191" spans="1:9" x14ac:dyDescent="0.25">
      <c r="A191" s="58">
        <v>190</v>
      </c>
      <c r="B191" s="58" t="s">
        <v>582</v>
      </c>
      <c r="C191" s="58">
        <v>1238</v>
      </c>
      <c r="D191" s="58">
        <v>800</v>
      </c>
      <c r="E191" s="223">
        <v>1</v>
      </c>
      <c r="F191" s="223">
        <f t="shared" si="11"/>
        <v>2072.2906250000001</v>
      </c>
      <c r="G191" s="223">
        <f t="shared" si="9"/>
        <v>0</v>
      </c>
      <c r="H191" s="557">
        <f t="shared" si="10"/>
        <v>0</v>
      </c>
      <c r="I191" s="58" t="s">
        <v>583</v>
      </c>
    </row>
    <row r="192" spans="1:9" x14ac:dyDescent="0.25">
      <c r="A192" s="58">
        <v>191</v>
      </c>
      <c r="B192" s="58" t="s">
        <v>582</v>
      </c>
      <c r="C192" s="58">
        <v>1238</v>
      </c>
      <c r="D192" s="58">
        <v>800</v>
      </c>
      <c r="E192" s="223">
        <v>1</v>
      </c>
      <c r="F192" s="223">
        <f t="shared" si="11"/>
        <v>2072.2906250000001</v>
      </c>
      <c r="G192" s="223">
        <f t="shared" si="9"/>
        <v>0</v>
      </c>
      <c r="H192" s="557">
        <f t="shared" si="10"/>
        <v>0</v>
      </c>
      <c r="I192" s="58" t="s">
        <v>583</v>
      </c>
    </row>
    <row r="193" spans="1:9" x14ac:dyDescent="0.25">
      <c r="A193" s="58">
        <v>192</v>
      </c>
      <c r="B193" s="58" t="s">
        <v>582</v>
      </c>
      <c r="C193" s="58">
        <v>1238</v>
      </c>
      <c r="D193" s="58">
        <v>800</v>
      </c>
      <c r="E193" s="223">
        <v>1</v>
      </c>
      <c r="F193" s="223">
        <f t="shared" si="11"/>
        <v>2072.2906250000001</v>
      </c>
      <c r="G193" s="223">
        <f t="shared" si="9"/>
        <v>0</v>
      </c>
      <c r="H193" s="557">
        <f t="shared" si="10"/>
        <v>0</v>
      </c>
      <c r="I193" s="58" t="s">
        <v>583</v>
      </c>
    </row>
    <row r="194" spans="1:9" x14ac:dyDescent="0.25">
      <c r="A194" s="58">
        <v>193</v>
      </c>
      <c r="B194" s="58" t="s">
        <v>582</v>
      </c>
      <c r="C194" s="58">
        <v>1238</v>
      </c>
      <c r="D194" s="58">
        <v>800</v>
      </c>
      <c r="E194" s="223">
        <v>1</v>
      </c>
      <c r="F194" s="223">
        <f t="shared" si="11"/>
        <v>2072.2906250000001</v>
      </c>
      <c r="G194" s="223">
        <f t="shared" si="9"/>
        <v>0</v>
      </c>
      <c r="H194" s="557">
        <f t="shared" si="10"/>
        <v>0</v>
      </c>
      <c r="I194" s="58" t="s">
        <v>583</v>
      </c>
    </row>
    <row r="195" spans="1:9" x14ac:dyDescent="0.25">
      <c r="A195" s="58">
        <v>194</v>
      </c>
      <c r="B195" s="58" t="s">
        <v>582</v>
      </c>
      <c r="C195" s="58">
        <v>1238</v>
      </c>
      <c r="D195" s="58">
        <v>800</v>
      </c>
      <c r="E195" s="223">
        <v>1</v>
      </c>
      <c r="F195" s="223">
        <f t="shared" si="11"/>
        <v>2072.2906250000001</v>
      </c>
      <c r="G195" s="223">
        <f t="shared" si="9"/>
        <v>0</v>
      </c>
      <c r="H195" s="557">
        <f t="shared" si="10"/>
        <v>0</v>
      </c>
      <c r="I195" s="58" t="s">
        <v>583</v>
      </c>
    </row>
    <row r="196" spans="1:9" x14ac:dyDescent="0.25">
      <c r="A196" s="58">
        <v>195</v>
      </c>
      <c r="B196" s="58" t="s">
        <v>582</v>
      </c>
      <c r="C196" s="58">
        <v>1238</v>
      </c>
      <c r="D196" s="58">
        <v>800</v>
      </c>
      <c r="E196" s="223">
        <v>1</v>
      </c>
      <c r="F196" s="223">
        <f t="shared" si="11"/>
        <v>2072.2906250000001</v>
      </c>
      <c r="G196" s="223">
        <f t="shared" si="9"/>
        <v>0</v>
      </c>
      <c r="H196" s="557">
        <f t="shared" si="10"/>
        <v>0</v>
      </c>
      <c r="I196" s="58" t="s">
        <v>583</v>
      </c>
    </row>
    <row r="197" spans="1:9" x14ac:dyDescent="0.25">
      <c r="A197" s="58">
        <v>196</v>
      </c>
      <c r="B197" s="58" t="s">
        <v>582</v>
      </c>
      <c r="C197" s="58">
        <v>1238</v>
      </c>
      <c r="D197" s="58">
        <v>800</v>
      </c>
      <c r="E197" s="223">
        <v>1</v>
      </c>
      <c r="F197" s="223">
        <f t="shared" si="11"/>
        <v>2072.2906250000001</v>
      </c>
      <c r="G197" s="223">
        <f t="shared" si="9"/>
        <v>0</v>
      </c>
      <c r="H197" s="557">
        <f t="shared" si="10"/>
        <v>0</v>
      </c>
      <c r="I197" s="58" t="s">
        <v>583</v>
      </c>
    </row>
    <row r="198" spans="1:9" x14ac:dyDescent="0.25">
      <c r="A198" s="58">
        <v>197</v>
      </c>
      <c r="B198" s="58" t="s">
        <v>582</v>
      </c>
      <c r="C198" s="58">
        <v>1238</v>
      </c>
      <c r="D198" s="58">
        <v>800</v>
      </c>
      <c r="E198" s="223">
        <v>1</v>
      </c>
      <c r="F198" s="223">
        <f t="shared" si="11"/>
        <v>2072.2906250000001</v>
      </c>
      <c r="G198" s="223">
        <f t="shared" si="9"/>
        <v>0</v>
      </c>
      <c r="H198" s="557">
        <f t="shared" si="10"/>
        <v>0</v>
      </c>
      <c r="I198" s="58" t="s">
        <v>583</v>
      </c>
    </row>
    <row r="199" spans="1:9" x14ac:dyDescent="0.25">
      <c r="A199" s="58">
        <v>198</v>
      </c>
      <c r="B199" s="58" t="s">
        <v>582</v>
      </c>
      <c r="C199" s="58">
        <v>1238</v>
      </c>
      <c r="D199" s="58">
        <v>800</v>
      </c>
      <c r="E199" s="223">
        <v>1</v>
      </c>
      <c r="F199" s="223">
        <f t="shared" si="11"/>
        <v>2072.2906250000001</v>
      </c>
      <c r="G199" s="223">
        <f t="shared" si="9"/>
        <v>0</v>
      </c>
      <c r="H199" s="557">
        <f t="shared" si="10"/>
        <v>0</v>
      </c>
      <c r="I199" s="58" t="s">
        <v>583</v>
      </c>
    </row>
    <row r="200" spans="1:9" x14ac:dyDescent="0.25">
      <c r="A200" s="58">
        <v>199</v>
      </c>
      <c r="B200" s="58" t="s">
        <v>582</v>
      </c>
      <c r="C200" s="58">
        <v>1238</v>
      </c>
      <c r="D200" s="58">
        <v>800</v>
      </c>
      <c r="E200" s="223">
        <v>1</v>
      </c>
      <c r="F200" s="223">
        <f t="shared" si="11"/>
        <v>2072.2906250000001</v>
      </c>
      <c r="G200" s="223">
        <f t="shared" si="9"/>
        <v>0</v>
      </c>
      <c r="H200" s="557">
        <f t="shared" si="10"/>
        <v>0</v>
      </c>
      <c r="I200" s="58" t="s">
        <v>583</v>
      </c>
    </row>
    <row r="201" spans="1:9" x14ac:dyDescent="0.25">
      <c r="A201" s="58">
        <v>200</v>
      </c>
      <c r="B201" s="58" t="s">
        <v>582</v>
      </c>
      <c r="C201" s="58">
        <v>1238</v>
      </c>
      <c r="D201" s="58">
        <v>800</v>
      </c>
      <c r="E201" s="223">
        <v>1</v>
      </c>
      <c r="F201" s="223">
        <f t="shared" si="11"/>
        <v>2072.2906250000001</v>
      </c>
      <c r="G201" s="223">
        <f t="shared" si="9"/>
        <v>0</v>
      </c>
      <c r="H201" s="557">
        <f t="shared" si="10"/>
        <v>0</v>
      </c>
      <c r="I201" s="58" t="s">
        <v>583</v>
      </c>
    </row>
    <row r="202" spans="1:9" x14ac:dyDescent="0.25">
      <c r="A202" s="58">
        <v>201</v>
      </c>
      <c r="B202" s="58" t="s">
        <v>582</v>
      </c>
      <c r="C202" s="58">
        <v>1238</v>
      </c>
      <c r="D202" s="58">
        <v>800</v>
      </c>
      <c r="E202" s="223">
        <v>1</v>
      </c>
      <c r="F202" s="223">
        <f t="shared" si="11"/>
        <v>2072.2906250000001</v>
      </c>
      <c r="G202" s="223">
        <f t="shared" si="9"/>
        <v>0</v>
      </c>
      <c r="H202" s="557">
        <f t="shared" si="10"/>
        <v>0</v>
      </c>
      <c r="I202" s="58" t="s">
        <v>583</v>
      </c>
    </row>
    <row r="203" spans="1:9" x14ac:dyDescent="0.25">
      <c r="A203" s="58">
        <v>202</v>
      </c>
      <c r="B203" s="58" t="s">
        <v>582</v>
      </c>
      <c r="C203" s="58">
        <v>1238</v>
      </c>
      <c r="D203" s="58">
        <v>800</v>
      </c>
      <c r="E203" s="223">
        <v>1</v>
      </c>
      <c r="F203" s="223">
        <f t="shared" si="11"/>
        <v>2072.2906250000001</v>
      </c>
      <c r="G203" s="223">
        <f t="shared" si="9"/>
        <v>0</v>
      </c>
      <c r="H203" s="557">
        <f t="shared" si="10"/>
        <v>0</v>
      </c>
      <c r="I203" s="58" t="s">
        <v>583</v>
      </c>
    </row>
    <row r="204" spans="1:9" x14ac:dyDescent="0.25">
      <c r="A204" s="58">
        <v>203</v>
      </c>
      <c r="B204" s="58" t="s">
        <v>582</v>
      </c>
      <c r="C204" s="58">
        <v>1238</v>
      </c>
      <c r="D204" s="58">
        <v>800</v>
      </c>
      <c r="E204" s="223">
        <v>1</v>
      </c>
      <c r="F204" s="223">
        <f t="shared" si="11"/>
        <v>2072.2906250000001</v>
      </c>
      <c r="G204" s="223">
        <f t="shared" si="9"/>
        <v>0</v>
      </c>
      <c r="H204" s="557">
        <f t="shared" si="10"/>
        <v>0</v>
      </c>
      <c r="I204" s="58" t="s">
        <v>583</v>
      </c>
    </row>
    <row r="205" spans="1:9" x14ac:dyDescent="0.25">
      <c r="A205" s="58">
        <v>204</v>
      </c>
      <c r="B205" s="58" t="s">
        <v>582</v>
      </c>
      <c r="C205" s="58">
        <v>1238</v>
      </c>
      <c r="D205" s="58">
        <v>800</v>
      </c>
      <c r="E205" s="223">
        <v>1</v>
      </c>
      <c r="F205" s="223">
        <f t="shared" si="11"/>
        <v>2072.2906250000001</v>
      </c>
      <c r="G205" s="223">
        <f t="shared" si="9"/>
        <v>0</v>
      </c>
      <c r="H205" s="557">
        <f t="shared" si="10"/>
        <v>0</v>
      </c>
      <c r="I205" s="58" t="s">
        <v>583</v>
      </c>
    </row>
    <row r="206" spans="1:9" x14ac:dyDescent="0.25">
      <c r="A206" s="58">
        <v>205</v>
      </c>
      <c r="B206" s="58" t="s">
        <v>582</v>
      </c>
      <c r="C206" s="58">
        <v>1238</v>
      </c>
      <c r="D206" s="58">
        <v>800</v>
      </c>
      <c r="E206" s="223">
        <v>1</v>
      </c>
      <c r="F206" s="223">
        <f t="shared" si="11"/>
        <v>2072.2906250000001</v>
      </c>
      <c r="G206" s="223">
        <f t="shared" si="9"/>
        <v>0</v>
      </c>
      <c r="H206" s="557">
        <f t="shared" si="10"/>
        <v>0</v>
      </c>
      <c r="I206" s="58" t="s">
        <v>583</v>
      </c>
    </row>
    <row r="207" spans="1:9" x14ac:dyDescent="0.25">
      <c r="A207" s="58">
        <v>206</v>
      </c>
      <c r="B207" s="58" t="s">
        <v>582</v>
      </c>
      <c r="C207" s="58">
        <v>1238</v>
      </c>
      <c r="D207" s="58">
        <v>800</v>
      </c>
      <c r="E207" s="223">
        <v>1</v>
      </c>
      <c r="F207" s="223">
        <f t="shared" si="11"/>
        <v>2072.2906250000001</v>
      </c>
      <c r="G207" s="223">
        <f t="shared" si="9"/>
        <v>0</v>
      </c>
      <c r="H207" s="557">
        <f t="shared" si="10"/>
        <v>0</v>
      </c>
      <c r="I207" s="58" t="s">
        <v>583</v>
      </c>
    </row>
    <row r="208" spans="1:9" x14ac:dyDescent="0.25">
      <c r="A208" s="58">
        <v>207</v>
      </c>
      <c r="B208" s="58" t="s">
        <v>582</v>
      </c>
      <c r="C208" s="58">
        <v>1238</v>
      </c>
      <c r="D208" s="58">
        <v>800</v>
      </c>
      <c r="E208" s="223">
        <v>1</v>
      </c>
      <c r="F208" s="223">
        <f t="shared" si="11"/>
        <v>2072.2906250000001</v>
      </c>
      <c r="G208" s="223">
        <f t="shared" si="9"/>
        <v>0</v>
      </c>
      <c r="H208" s="557">
        <f t="shared" si="10"/>
        <v>0</v>
      </c>
      <c r="I208" s="58" t="s">
        <v>583</v>
      </c>
    </row>
    <row r="209" spans="1:9" x14ac:dyDescent="0.25">
      <c r="A209" s="58">
        <v>208</v>
      </c>
      <c r="B209" s="58" t="s">
        <v>582</v>
      </c>
      <c r="C209" s="58">
        <v>1238</v>
      </c>
      <c r="D209" s="58">
        <v>800</v>
      </c>
      <c r="E209" s="223">
        <v>1</v>
      </c>
      <c r="F209" s="223">
        <f t="shared" si="11"/>
        <v>2072.2906250000001</v>
      </c>
      <c r="G209" s="223">
        <f t="shared" si="9"/>
        <v>0</v>
      </c>
      <c r="H209" s="557">
        <f t="shared" si="10"/>
        <v>0</v>
      </c>
      <c r="I209" s="58" t="s">
        <v>583</v>
      </c>
    </row>
    <row r="210" spans="1:9" x14ac:dyDescent="0.25">
      <c r="A210" s="58">
        <v>209</v>
      </c>
      <c r="B210" s="58" t="s">
        <v>582</v>
      </c>
      <c r="C210" s="58">
        <v>1238</v>
      </c>
      <c r="D210" s="58">
        <v>800</v>
      </c>
      <c r="E210" s="223">
        <v>1</v>
      </c>
      <c r="F210" s="223">
        <f t="shared" si="11"/>
        <v>2072.2906250000001</v>
      </c>
      <c r="G210" s="223">
        <f t="shared" si="9"/>
        <v>0</v>
      </c>
      <c r="H210" s="557">
        <f t="shared" si="10"/>
        <v>0</v>
      </c>
      <c r="I210" s="58" t="s">
        <v>583</v>
      </c>
    </row>
    <row r="211" spans="1:9" x14ac:dyDescent="0.25">
      <c r="A211" s="58">
        <v>210</v>
      </c>
      <c r="B211" s="58" t="s">
        <v>582</v>
      </c>
      <c r="C211" s="58">
        <v>1238</v>
      </c>
      <c r="D211" s="58">
        <v>800</v>
      </c>
      <c r="E211" s="223">
        <v>1</v>
      </c>
      <c r="F211" s="223">
        <f t="shared" si="11"/>
        <v>2072.2906250000001</v>
      </c>
      <c r="G211" s="223">
        <f t="shared" si="9"/>
        <v>0</v>
      </c>
      <c r="H211" s="557">
        <f t="shared" si="10"/>
        <v>0</v>
      </c>
      <c r="I211" s="58" t="s">
        <v>583</v>
      </c>
    </row>
    <row r="212" spans="1:9" x14ac:dyDescent="0.25">
      <c r="A212" s="58">
        <v>211</v>
      </c>
      <c r="B212" s="58" t="s">
        <v>582</v>
      </c>
      <c r="C212" s="58">
        <v>1238</v>
      </c>
      <c r="D212" s="58">
        <v>800</v>
      </c>
      <c r="E212" s="223">
        <v>1</v>
      </c>
      <c r="F212" s="223">
        <f t="shared" si="11"/>
        <v>2072.2906250000001</v>
      </c>
      <c r="G212" s="223">
        <f t="shared" si="9"/>
        <v>0</v>
      </c>
      <c r="H212" s="557">
        <f t="shared" si="10"/>
        <v>0</v>
      </c>
      <c r="I212" s="58" t="s">
        <v>583</v>
      </c>
    </row>
    <row r="213" spans="1:9" x14ac:dyDescent="0.25">
      <c r="A213" s="58">
        <v>212</v>
      </c>
      <c r="B213" s="58" t="s">
        <v>582</v>
      </c>
      <c r="C213" s="58">
        <v>1238</v>
      </c>
      <c r="D213" s="58">
        <v>800</v>
      </c>
      <c r="E213" s="223">
        <v>1</v>
      </c>
      <c r="F213" s="223">
        <f t="shared" si="11"/>
        <v>2072.2906250000001</v>
      </c>
      <c r="G213" s="223">
        <f t="shared" si="9"/>
        <v>0</v>
      </c>
      <c r="H213" s="557">
        <f t="shared" si="10"/>
        <v>0</v>
      </c>
      <c r="I213" s="58" t="s">
        <v>583</v>
      </c>
    </row>
    <row r="214" spans="1:9" x14ac:dyDescent="0.25">
      <c r="A214" s="58">
        <v>213</v>
      </c>
      <c r="B214" s="58" t="s">
        <v>582</v>
      </c>
      <c r="C214" s="58">
        <v>1238</v>
      </c>
      <c r="D214" s="58">
        <v>800</v>
      </c>
      <c r="E214" s="223">
        <v>1</v>
      </c>
      <c r="F214" s="223">
        <f t="shared" si="11"/>
        <v>2072.2906250000001</v>
      </c>
      <c r="G214" s="223">
        <f t="shared" si="9"/>
        <v>0</v>
      </c>
      <c r="H214" s="557">
        <f t="shared" si="10"/>
        <v>0</v>
      </c>
      <c r="I214" s="58" t="s">
        <v>583</v>
      </c>
    </row>
    <row r="215" spans="1:9" x14ac:dyDescent="0.25">
      <c r="A215" s="58">
        <v>214</v>
      </c>
      <c r="B215" s="58" t="s">
        <v>582</v>
      </c>
      <c r="C215" s="58">
        <v>1238</v>
      </c>
      <c r="D215" s="58">
        <v>1200</v>
      </c>
      <c r="E215" s="223">
        <v>1</v>
      </c>
      <c r="F215" s="223">
        <f t="shared" si="11"/>
        <v>2072.2906250000001</v>
      </c>
      <c r="G215" s="223">
        <f t="shared" si="9"/>
        <v>1026.1983175</v>
      </c>
      <c r="H215" s="557">
        <f t="shared" si="10"/>
        <v>1520.2938037037036</v>
      </c>
      <c r="I215" s="58" t="s">
        <v>583</v>
      </c>
    </row>
    <row r="216" spans="1:9" x14ac:dyDescent="0.25">
      <c r="A216" s="58">
        <v>215</v>
      </c>
      <c r="B216" s="58" t="s">
        <v>582</v>
      </c>
      <c r="C216" s="58">
        <v>1238</v>
      </c>
      <c r="D216" s="58">
        <v>1200</v>
      </c>
      <c r="E216" s="223">
        <v>1</v>
      </c>
      <c r="F216" s="223">
        <f t="shared" si="11"/>
        <v>2072.2906250000001</v>
      </c>
      <c r="G216" s="223">
        <f t="shared" si="9"/>
        <v>1026.1983175</v>
      </c>
      <c r="H216" s="557">
        <f t="shared" si="10"/>
        <v>1520.2938037037036</v>
      </c>
      <c r="I216" s="58" t="s">
        <v>583</v>
      </c>
    </row>
    <row r="217" spans="1:9" x14ac:dyDescent="0.25">
      <c r="A217" s="58">
        <v>216</v>
      </c>
      <c r="B217" s="58" t="s">
        <v>582</v>
      </c>
      <c r="C217" s="58">
        <v>1238</v>
      </c>
      <c r="D217" s="58">
        <v>1200</v>
      </c>
      <c r="E217" s="223">
        <v>1</v>
      </c>
      <c r="F217" s="223">
        <f t="shared" si="11"/>
        <v>2072.2906250000001</v>
      </c>
      <c r="G217" s="223">
        <f t="shared" si="9"/>
        <v>1026.1983175</v>
      </c>
      <c r="H217" s="557">
        <f t="shared" si="10"/>
        <v>1520.2938037037036</v>
      </c>
      <c r="I217" s="58" t="s">
        <v>583</v>
      </c>
    </row>
    <row r="218" spans="1:9" x14ac:dyDescent="0.25">
      <c r="A218" s="58">
        <v>217</v>
      </c>
      <c r="B218" s="58" t="s">
        <v>582</v>
      </c>
      <c r="C218" s="58">
        <v>1238</v>
      </c>
      <c r="D218" s="58">
        <v>1200</v>
      </c>
      <c r="E218" s="223">
        <v>1</v>
      </c>
      <c r="F218" s="223">
        <f t="shared" si="11"/>
        <v>2072.2906250000001</v>
      </c>
      <c r="G218" s="223">
        <f t="shared" si="9"/>
        <v>1026.1983175</v>
      </c>
      <c r="H218" s="557">
        <f t="shared" si="10"/>
        <v>1520.2938037037036</v>
      </c>
      <c r="I218" s="58" t="s">
        <v>583</v>
      </c>
    </row>
    <row r="219" spans="1:9" x14ac:dyDescent="0.25">
      <c r="A219" s="58">
        <v>218</v>
      </c>
      <c r="B219" s="58" t="s">
        <v>582</v>
      </c>
      <c r="C219" s="58">
        <v>1238</v>
      </c>
      <c r="D219" s="58">
        <v>1200</v>
      </c>
      <c r="E219" s="223">
        <v>1</v>
      </c>
      <c r="F219" s="223">
        <f t="shared" si="11"/>
        <v>2072.2906250000001</v>
      </c>
      <c r="G219" s="223">
        <f t="shared" si="9"/>
        <v>1026.1983175</v>
      </c>
      <c r="H219" s="557">
        <f t="shared" si="10"/>
        <v>1520.2938037037036</v>
      </c>
      <c r="I219" s="58" t="s">
        <v>583</v>
      </c>
    </row>
    <row r="220" spans="1:9" x14ac:dyDescent="0.25">
      <c r="A220" s="58">
        <v>219</v>
      </c>
      <c r="B220" s="58" t="s">
        <v>582</v>
      </c>
      <c r="C220" s="58">
        <v>1238</v>
      </c>
      <c r="D220" s="58">
        <v>1200</v>
      </c>
      <c r="E220" s="223">
        <v>1</v>
      </c>
      <c r="F220" s="223">
        <f t="shared" si="11"/>
        <v>2072.2906250000001</v>
      </c>
      <c r="G220" s="223">
        <f t="shared" si="9"/>
        <v>1026.1983175</v>
      </c>
      <c r="H220" s="557">
        <f t="shared" si="10"/>
        <v>1520.2938037037036</v>
      </c>
      <c r="I220" s="58" t="s">
        <v>583</v>
      </c>
    </row>
    <row r="221" spans="1:9" x14ac:dyDescent="0.25">
      <c r="A221" s="58">
        <v>220</v>
      </c>
      <c r="B221" s="58" t="s">
        <v>582</v>
      </c>
      <c r="C221" s="58">
        <v>1238</v>
      </c>
      <c r="D221" s="58">
        <v>1200</v>
      </c>
      <c r="E221" s="223">
        <v>1</v>
      </c>
      <c r="F221" s="223">
        <f t="shared" si="11"/>
        <v>2072.2906250000001</v>
      </c>
      <c r="G221" s="223">
        <f t="shared" si="9"/>
        <v>1026.1983175</v>
      </c>
      <c r="H221" s="557">
        <f t="shared" si="10"/>
        <v>1520.2938037037036</v>
      </c>
      <c r="I221" s="58" t="s">
        <v>583</v>
      </c>
    </row>
    <row r="222" spans="1:9" x14ac:dyDescent="0.25">
      <c r="A222" s="58">
        <v>221</v>
      </c>
      <c r="B222" s="58" t="s">
        <v>582</v>
      </c>
      <c r="C222" s="58">
        <v>1238</v>
      </c>
      <c r="D222" s="58">
        <v>1200</v>
      </c>
      <c r="E222" s="223">
        <v>1</v>
      </c>
      <c r="F222" s="223">
        <f t="shared" si="11"/>
        <v>2072.2906250000001</v>
      </c>
      <c r="G222" s="223">
        <f t="shared" si="9"/>
        <v>1026.1983175</v>
      </c>
      <c r="H222" s="557">
        <f t="shared" si="10"/>
        <v>1520.2938037037036</v>
      </c>
      <c r="I222" s="58" t="s">
        <v>583</v>
      </c>
    </row>
    <row r="223" spans="1:9" x14ac:dyDescent="0.25">
      <c r="A223" s="58">
        <v>222</v>
      </c>
      <c r="B223" s="58" t="s">
        <v>582</v>
      </c>
      <c r="C223" s="58">
        <v>1238</v>
      </c>
      <c r="D223" s="58">
        <v>1200</v>
      </c>
      <c r="E223" s="223">
        <v>1</v>
      </c>
      <c r="F223" s="223">
        <f t="shared" si="11"/>
        <v>2072.2906250000001</v>
      </c>
      <c r="G223" s="223">
        <f t="shared" si="9"/>
        <v>1026.1983175</v>
      </c>
      <c r="H223" s="557">
        <f t="shared" si="10"/>
        <v>1520.2938037037036</v>
      </c>
      <c r="I223" s="58" t="s">
        <v>583</v>
      </c>
    </row>
    <row r="224" spans="1:9" x14ac:dyDescent="0.25">
      <c r="A224" s="58">
        <v>223</v>
      </c>
      <c r="B224" s="58" t="s">
        <v>582</v>
      </c>
      <c r="C224" s="58">
        <v>1238</v>
      </c>
      <c r="D224" s="58">
        <v>1200</v>
      </c>
      <c r="E224" s="223">
        <v>1</v>
      </c>
      <c r="F224" s="223">
        <f t="shared" si="11"/>
        <v>2072.2906250000001</v>
      </c>
      <c r="G224" s="223">
        <f t="shared" si="9"/>
        <v>1026.1983175</v>
      </c>
      <c r="H224" s="557">
        <f t="shared" si="10"/>
        <v>1520.2938037037036</v>
      </c>
      <c r="I224" s="58" t="s">
        <v>583</v>
      </c>
    </row>
    <row r="225" spans="1:9" x14ac:dyDescent="0.25">
      <c r="A225" s="58">
        <v>224</v>
      </c>
      <c r="B225" s="58" t="s">
        <v>582</v>
      </c>
      <c r="C225" s="58">
        <v>1238</v>
      </c>
      <c r="D225" s="58">
        <v>1200</v>
      </c>
      <c r="E225" s="223">
        <v>1</v>
      </c>
      <c r="F225" s="223">
        <f t="shared" si="11"/>
        <v>2072.2906250000001</v>
      </c>
      <c r="G225" s="223">
        <f t="shared" si="9"/>
        <v>1026.1983175</v>
      </c>
      <c r="H225" s="557">
        <f t="shared" si="10"/>
        <v>1520.2938037037036</v>
      </c>
      <c r="I225" s="58" t="s">
        <v>583</v>
      </c>
    </row>
    <row r="226" spans="1:9" x14ac:dyDescent="0.25">
      <c r="A226" s="58">
        <v>225</v>
      </c>
      <c r="B226" s="58" t="s">
        <v>582</v>
      </c>
      <c r="C226" s="58">
        <v>1238</v>
      </c>
      <c r="D226" s="58">
        <v>1200</v>
      </c>
      <c r="E226" s="223">
        <v>1</v>
      </c>
      <c r="F226" s="223">
        <f t="shared" si="11"/>
        <v>2072.2906250000001</v>
      </c>
      <c r="G226" s="223">
        <f t="shared" ref="G226:G289" si="12">IF(D226&gt;800,((C226*(D226-800))/10^6)*F226,0)</f>
        <v>1026.1983175</v>
      </c>
      <c r="H226" s="557">
        <f t="shared" ref="H226:H289" si="13">(G226/$R$2)*E226</f>
        <v>1520.2938037037036</v>
      </c>
      <c r="I226" s="58" t="s">
        <v>583</v>
      </c>
    </row>
    <row r="227" spans="1:9" x14ac:dyDescent="0.25">
      <c r="A227" s="58">
        <v>226</v>
      </c>
      <c r="B227" s="58" t="s">
        <v>582</v>
      </c>
      <c r="C227" s="58">
        <v>1238</v>
      </c>
      <c r="D227" s="58">
        <v>1200</v>
      </c>
      <c r="E227" s="223">
        <v>1</v>
      </c>
      <c r="F227" s="223">
        <f t="shared" si="11"/>
        <v>2072.2906250000001</v>
      </c>
      <c r="G227" s="223">
        <f t="shared" si="12"/>
        <v>1026.1983175</v>
      </c>
      <c r="H227" s="557">
        <f t="shared" si="13"/>
        <v>1520.2938037037036</v>
      </c>
      <c r="I227" s="58" t="s">
        <v>583</v>
      </c>
    </row>
    <row r="228" spans="1:9" x14ac:dyDescent="0.25">
      <c r="A228" s="58">
        <v>227</v>
      </c>
      <c r="B228" s="58" t="s">
        <v>582</v>
      </c>
      <c r="C228" s="58">
        <v>1238</v>
      </c>
      <c r="D228" s="58">
        <v>1200</v>
      </c>
      <c r="E228" s="223">
        <v>1</v>
      </c>
      <c r="F228" s="223">
        <f t="shared" si="11"/>
        <v>2072.2906250000001</v>
      </c>
      <c r="G228" s="223">
        <f t="shared" si="12"/>
        <v>1026.1983175</v>
      </c>
      <c r="H228" s="557">
        <f t="shared" si="13"/>
        <v>1520.2938037037036</v>
      </c>
      <c r="I228" s="58" t="s">
        <v>583</v>
      </c>
    </row>
    <row r="229" spans="1:9" x14ac:dyDescent="0.25">
      <c r="A229" s="58">
        <v>228</v>
      </c>
      <c r="B229" s="58" t="s">
        <v>582</v>
      </c>
      <c r="C229" s="58">
        <v>1238</v>
      </c>
      <c r="D229" s="58">
        <v>800</v>
      </c>
      <c r="E229" s="223">
        <v>1</v>
      </c>
      <c r="F229" s="223">
        <f t="shared" si="11"/>
        <v>2072.2906250000001</v>
      </c>
      <c r="G229" s="223">
        <f t="shared" si="12"/>
        <v>0</v>
      </c>
      <c r="H229" s="557">
        <f t="shared" si="13"/>
        <v>0</v>
      </c>
      <c r="I229" s="58" t="s">
        <v>583</v>
      </c>
    </row>
    <row r="230" spans="1:9" x14ac:dyDescent="0.25">
      <c r="A230" s="58">
        <v>229</v>
      </c>
      <c r="B230" s="58" t="s">
        <v>582</v>
      </c>
      <c r="C230" s="58">
        <v>1238</v>
      </c>
      <c r="D230" s="58">
        <v>800</v>
      </c>
      <c r="E230" s="223">
        <v>1</v>
      </c>
      <c r="F230" s="223">
        <f t="shared" si="11"/>
        <v>2072.2906250000001</v>
      </c>
      <c r="G230" s="223">
        <f t="shared" si="12"/>
        <v>0</v>
      </c>
      <c r="H230" s="557">
        <f t="shared" si="13"/>
        <v>0</v>
      </c>
      <c r="I230" s="58" t="s">
        <v>583</v>
      </c>
    </row>
    <row r="231" spans="1:9" x14ac:dyDescent="0.25">
      <c r="A231" s="58">
        <v>230</v>
      </c>
      <c r="B231" s="58" t="s">
        <v>582</v>
      </c>
      <c r="C231" s="58">
        <v>1250</v>
      </c>
      <c r="D231" s="58">
        <v>800</v>
      </c>
      <c r="E231" s="223">
        <v>1</v>
      </c>
      <c r="F231" s="223">
        <f t="shared" si="11"/>
        <v>2072.2906250000001</v>
      </c>
      <c r="G231" s="223">
        <f t="shared" si="12"/>
        <v>0</v>
      </c>
      <c r="H231" s="557">
        <f t="shared" si="13"/>
        <v>0</v>
      </c>
      <c r="I231" s="58" t="s">
        <v>583</v>
      </c>
    </row>
    <row r="232" spans="1:9" x14ac:dyDescent="0.25">
      <c r="A232" s="58">
        <v>231</v>
      </c>
      <c r="B232" s="58" t="s">
        <v>582</v>
      </c>
      <c r="C232" s="58">
        <v>1250</v>
      </c>
      <c r="D232" s="58">
        <v>800</v>
      </c>
      <c r="E232" s="223">
        <v>1</v>
      </c>
      <c r="F232" s="223">
        <f t="shared" si="11"/>
        <v>2072.2906250000001</v>
      </c>
      <c r="G232" s="223">
        <f t="shared" si="12"/>
        <v>0</v>
      </c>
      <c r="H232" s="557">
        <f t="shared" si="13"/>
        <v>0</v>
      </c>
      <c r="I232" s="58" t="s">
        <v>583</v>
      </c>
    </row>
    <row r="233" spans="1:9" x14ac:dyDescent="0.25">
      <c r="A233" s="58">
        <v>232</v>
      </c>
      <c r="B233" s="58" t="s">
        <v>582</v>
      </c>
      <c r="C233" s="58">
        <v>1238</v>
      </c>
      <c r="D233" s="58">
        <v>800</v>
      </c>
      <c r="E233" s="223">
        <v>1</v>
      </c>
      <c r="F233" s="223">
        <f t="shared" si="11"/>
        <v>2072.2906250000001</v>
      </c>
      <c r="G233" s="223">
        <f t="shared" si="12"/>
        <v>0</v>
      </c>
      <c r="H233" s="557">
        <f t="shared" si="13"/>
        <v>0</v>
      </c>
      <c r="I233" s="58" t="s">
        <v>583</v>
      </c>
    </row>
    <row r="234" spans="1:9" x14ac:dyDescent="0.25">
      <c r="A234" s="58">
        <v>233</v>
      </c>
      <c r="B234" s="58" t="s">
        <v>582</v>
      </c>
      <c r="C234" s="58">
        <v>1238</v>
      </c>
      <c r="D234" s="58">
        <v>1200</v>
      </c>
      <c r="E234" s="223">
        <v>1</v>
      </c>
      <c r="F234" s="223">
        <f t="shared" si="11"/>
        <v>2072.2906250000001</v>
      </c>
      <c r="G234" s="223">
        <f t="shared" si="12"/>
        <v>1026.1983175</v>
      </c>
      <c r="H234" s="557">
        <f t="shared" si="13"/>
        <v>1520.2938037037036</v>
      </c>
      <c r="I234" s="58" t="s">
        <v>583</v>
      </c>
    </row>
    <row r="235" spans="1:9" x14ac:dyDescent="0.25">
      <c r="A235" s="58">
        <v>234</v>
      </c>
      <c r="B235" s="58" t="s">
        <v>582</v>
      </c>
      <c r="C235" s="58">
        <v>1238</v>
      </c>
      <c r="D235" s="58">
        <v>1200</v>
      </c>
      <c r="E235" s="223">
        <v>1</v>
      </c>
      <c r="F235" s="223">
        <f t="shared" si="11"/>
        <v>2072.2906250000001</v>
      </c>
      <c r="G235" s="223">
        <f t="shared" si="12"/>
        <v>1026.1983175</v>
      </c>
      <c r="H235" s="557">
        <f t="shared" si="13"/>
        <v>1520.2938037037036</v>
      </c>
      <c r="I235" s="58" t="s">
        <v>583</v>
      </c>
    </row>
    <row r="236" spans="1:9" x14ac:dyDescent="0.25">
      <c r="A236" s="58">
        <v>235</v>
      </c>
      <c r="B236" s="58" t="s">
        <v>582</v>
      </c>
      <c r="C236" s="58">
        <v>1238</v>
      </c>
      <c r="D236" s="58">
        <v>800</v>
      </c>
      <c r="E236" s="223">
        <v>1</v>
      </c>
      <c r="F236" s="223">
        <f t="shared" si="11"/>
        <v>2072.2906250000001</v>
      </c>
      <c r="G236" s="223">
        <f t="shared" si="12"/>
        <v>0</v>
      </c>
      <c r="H236" s="557">
        <f t="shared" si="13"/>
        <v>0</v>
      </c>
      <c r="I236" s="58" t="s">
        <v>583</v>
      </c>
    </row>
    <row r="237" spans="1:9" x14ac:dyDescent="0.25">
      <c r="A237" s="58">
        <v>236</v>
      </c>
      <c r="B237" s="58" t="s">
        <v>582</v>
      </c>
      <c r="C237" s="58">
        <v>1238</v>
      </c>
      <c r="D237" s="58">
        <v>800</v>
      </c>
      <c r="E237" s="223">
        <v>1</v>
      </c>
      <c r="F237" s="223">
        <f t="shared" si="11"/>
        <v>2072.2906250000001</v>
      </c>
      <c r="G237" s="223">
        <f t="shared" si="12"/>
        <v>0</v>
      </c>
      <c r="H237" s="557">
        <f t="shared" si="13"/>
        <v>0</v>
      </c>
      <c r="I237" s="58" t="s">
        <v>583</v>
      </c>
    </row>
    <row r="238" spans="1:9" x14ac:dyDescent="0.25">
      <c r="A238" s="58">
        <v>237</v>
      </c>
      <c r="B238" s="58" t="s">
        <v>582</v>
      </c>
      <c r="C238" s="58">
        <v>1238</v>
      </c>
      <c r="D238" s="58">
        <v>800</v>
      </c>
      <c r="E238" s="223">
        <v>1</v>
      </c>
      <c r="F238" s="223">
        <f t="shared" si="11"/>
        <v>2072.2906250000001</v>
      </c>
      <c r="G238" s="223">
        <f t="shared" si="12"/>
        <v>0</v>
      </c>
      <c r="H238" s="557">
        <f t="shared" si="13"/>
        <v>0</v>
      </c>
      <c r="I238" s="58" t="s">
        <v>583</v>
      </c>
    </row>
    <row r="239" spans="1:9" x14ac:dyDescent="0.25">
      <c r="A239" s="58">
        <v>238</v>
      </c>
      <c r="B239" s="58" t="s">
        <v>582</v>
      </c>
      <c r="C239" s="58">
        <v>1238</v>
      </c>
      <c r="D239" s="58">
        <v>800</v>
      </c>
      <c r="E239" s="223">
        <v>1</v>
      </c>
      <c r="F239" s="223">
        <f t="shared" si="11"/>
        <v>2072.2906250000001</v>
      </c>
      <c r="G239" s="223">
        <f t="shared" si="12"/>
        <v>0</v>
      </c>
      <c r="H239" s="557">
        <f t="shared" si="13"/>
        <v>0</v>
      </c>
      <c r="I239" s="58" t="s">
        <v>583</v>
      </c>
    </row>
    <row r="240" spans="1:9" x14ac:dyDescent="0.25">
      <c r="A240" s="58">
        <v>239</v>
      </c>
      <c r="B240" s="58" t="s">
        <v>582</v>
      </c>
      <c r="C240" s="58">
        <v>1238</v>
      </c>
      <c r="D240" s="58">
        <v>800</v>
      </c>
      <c r="E240" s="223">
        <v>1</v>
      </c>
      <c r="F240" s="223">
        <f t="shared" si="11"/>
        <v>2072.2906250000001</v>
      </c>
      <c r="G240" s="223">
        <f t="shared" si="12"/>
        <v>0</v>
      </c>
      <c r="H240" s="557">
        <f t="shared" si="13"/>
        <v>0</v>
      </c>
      <c r="I240" s="58" t="s">
        <v>583</v>
      </c>
    </row>
    <row r="241" spans="1:9" x14ac:dyDescent="0.25">
      <c r="A241" s="58">
        <v>240</v>
      </c>
      <c r="B241" s="58" t="s">
        <v>582</v>
      </c>
      <c r="C241" s="58">
        <v>1238</v>
      </c>
      <c r="D241" s="58">
        <v>1200</v>
      </c>
      <c r="E241" s="223">
        <v>1</v>
      </c>
      <c r="F241" s="223">
        <f t="shared" si="11"/>
        <v>2072.2906250000001</v>
      </c>
      <c r="G241" s="223">
        <f t="shared" si="12"/>
        <v>1026.1983175</v>
      </c>
      <c r="H241" s="557">
        <f t="shared" si="13"/>
        <v>1520.2938037037036</v>
      </c>
      <c r="I241" s="58" t="s">
        <v>583</v>
      </c>
    </row>
    <row r="242" spans="1:9" x14ac:dyDescent="0.25">
      <c r="A242" s="58">
        <v>241</v>
      </c>
      <c r="B242" s="58" t="s">
        <v>582</v>
      </c>
      <c r="C242" s="58">
        <v>1238</v>
      </c>
      <c r="D242" s="58">
        <v>1200</v>
      </c>
      <c r="E242" s="223">
        <v>1</v>
      </c>
      <c r="F242" s="223">
        <f t="shared" si="11"/>
        <v>2072.2906250000001</v>
      </c>
      <c r="G242" s="223">
        <f t="shared" si="12"/>
        <v>1026.1983175</v>
      </c>
      <c r="H242" s="557">
        <f t="shared" si="13"/>
        <v>1520.2938037037036</v>
      </c>
      <c r="I242" s="58" t="s">
        <v>583</v>
      </c>
    </row>
    <row r="243" spans="1:9" x14ac:dyDescent="0.25">
      <c r="A243" s="58">
        <v>242</v>
      </c>
      <c r="B243" s="58" t="s">
        <v>582</v>
      </c>
      <c r="C243" s="58">
        <v>1238</v>
      </c>
      <c r="D243" s="58">
        <v>800</v>
      </c>
      <c r="E243" s="223">
        <v>1</v>
      </c>
      <c r="F243" s="223">
        <f t="shared" si="11"/>
        <v>2072.2906250000001</v>
      </c>
      <c r="G243" s="223">
        <f t="shared" si="12"/>
        <v>0</v>
      </c>
      <c r="H243" s="557">
        <f t="shared" si="13"/>
        <v>0</v>
      </c>
      <c r="I243" s="58" t="s">
        <v>583</v>
      </c>
    </row>
    <row r="244" spans="1:9" x14ac:dyDescent="0.25">
      <c r="A244" s="58">
        <v>243</v>
      </c>
      <c r="B244" s="58" t="s">
        <v>582</v>
      </c>
      <c r="C244" s="58">
        <v>1238</v>
      </c>
      <c r="D244" s="58">
        <v>800</v>
      </c>
      <c r="E244" s="223">
        <v>1</v>
      </c>
      <c r="F244" s="223">
        <f t="shared" si="11"/>
        <v>2072.2906250000001</v>
      </c>
      <c r="G244" s="223">
        <f t="shared" si="12"/>
        <v>0</v>
      </c>
      <c r="H244" s="557">
        <f t="shared" si="13"/>
        <v>0</v>
      </c>
      <c r="I244" s="58" t="s">
        <v>583</v>
      </c>
    </row>
    <row r="245" spans="1:9" x14ac:dyDescent="0.25">
      <c r="A245" s="58">
        <v>244</v>
      </c>
      <c r="B245" s="58" t="s">
        <v>582</v>
      </c>
      <c r="C245" s="58">
        <v>1238</v>
      </c>
      <c r="D245" s="58">
        <v>800</v>
      </c>
      <c r="E245" s="223">
        <v>1</v>
      </c>
      <c r="F245" s="223">
        <f t="shared" ref="F245:F301" si="14">$R$1</f>
        <v>2072.2906250000001</v>
      </c>
      <c r="G245" s="223">
        <f t="shared" si="12"/>
        <v>0</v>
      </c>
      <c r="H245" s="557">
        <f t="shared" si="13"/>
        <v>0</v>
      </c>
      <c r="I245" s="58" t="s">
        <v>583</v>
      </c>
    </row>
    <row r="246" spans="1:9" x14ac:dyDescent="0.25">
      <c r="A246" s="58">
        <v>245</v>
      </c>
      <c r="B246" s="58" t="s">
        <v>582</v>
      </c>
      <c r="C246" s="58">
        <v>1238</v>
      </c>
      <c r="D246" s="58">
        <v>800</v>
      </c>
      <c r="E246" s="223">
        <v>1</v>
      </c>
      <c r="F246" s="223">
        <f t="shared" si="14"/>
        <v>2072.2906250000001</v>
      </c>
      <c r="G246" s="223">
        <f t="shared" si="12"/>
        <v>0</v>
      </c>
      <c r="H246" s="557">
        <f t="shared" si="13"/>
        <v>0</v>
      </c>
      <c r="I246" s="58" t="s">
        <v>583</v>
      </c>
    </row>
    <row r="247" spans="1:9" x14ac:dyDescent="0.25">
      <c r="A247" s="58">
        <v>246</v>
      </c>
      <c r="B247" s="58" t="s">
        <v>582</v>
      </c>
      <c r="C247" s="58">
        <v>1210</v>
      </c>
      <c r="D247" s="58">
        <v>4050</v>
      </c>
      <c r="E247" s="223">
        <v>1</v>
      </c>
      <c r="F247" s="223">
        <f t="shared" si="14"/>
        <v>2072.2906250000001</v>
      </c>
      <c r="G247" s="223">
        <f t="shared" si="12"/>
        <v>8149.2828828125002</v>
      </c>
      <c r="H247" s="557">
        <f t="shared" si="13"/>
        <v>12073.01167824074</v>
      </c>
      <c r="I247" s="58" t="s">
        <v>583</v>
      </c>
    </row>
    <row r="248" spans="1:9" x14ac:dyDescent="0.25">
      <c r="A248" s="58">
        <v>247</v>
      </c>
      <c r="B248" s="58" t="s">
        <v>582</v>
      </c>
      <c r="C248" s="58">
        <v>1210</v>
      </c>
      <c r="D248" s="58">
        <v>4050</v>
      </c>
      <c r="E248" s="223">
        <v>1</v>
      </c>
      <c r="F248" s="223">
        <f t="shared" si="14"/>
        <v>2072.2906250000001</v>
      </c>
      <c r="G248" s="223">
        <f t="shared" si="12"/>
        <v>8149.2828828125002</v>
      </c>
      <c r="H248" s="557">
        <f t="shared" si="13"/>
        <v>12073.01167824074</v>
      </c>
      <c r="I248" s="58" t="s">
        <v>583</v>
      </c>
    </row>
    <row r="249" spans="1:9" x14ac:dyDescent="0.25">
      <c r="A249" s="58">
        <v>248</v>
      </c>
      <c r="B249" s="58" t="s">
        <v>582</v>
      </c>
      <c r="C249" s="58">
        <v>1210</v>
      </c>
      <c r="D249" s="58">
        <v>550</v>
      </c>
      <c r="E249" s="223">
        <v>1</v>
      </c>
      <c r="F249" s="223">
        <f t="shared" si="14"/>
        <v>2072.2906250000001</v>
      </c>
      <c r="G249" s="223">
        <f t="shared" si="12"/>
        <v>0</v>
      </c>
      <c r="H249" s="557">
        <f t="shared" si="13"/>
        <v>0</v>
      </c>
      <c r="I249" s="58" t="s">
        <v>583</v>
      </c>
    </row>
    <row r="250" spans="1:9" x14ac:dyDescent="0.25">
      <c r="A250" s="58">
        <v>249</v>
      </c>
      <c r="B250" s="58" t="s">
        <v>582</v>
      </c>
      <c r="C250" s="58">
        <v>1210</v>
      </c>
      <c r="D250" s="58">
        <v>550</v>
      </c>
      <c r="E250" s="223">
        <v>1</v>
      </c>
      <c r="F250" s="223">
        <f t="shared" si="14"/>
        <v>2072.2906250000001</v>
      </c>
      <c r="G250" s="223">
        <f t="shared" si="12"/>
        <v>0</v>
      </c>
      <c r="H250" s="557">
        <f t="shared" si="13"/>
        <v>0</v>
      </c>
      <c r="I250" s="58" t="s">
        <v>583</v>
      </c>
    </row>
    <row r="251" spans="1:9" x14ac:dyDescent="0.25">
      <c r="A251" s="58">
        <v>250</v>
      </c>
      <c r="B251" s="58" t="s">
        <v>582</v>
      </c>
      <c r="C251" s="58">
        <v>1210</v>
      </c>
      <c r="D251" s="58">
        <v>550</v>
      </c>
      <c r="E251" s="223">
        <v>1</v>
      </c>
      <c r="F251" s="223">
        <f t="shared" si="14"/>
        <v>2072.2906250000001</v>
      </c>
      <c r="G251" s="223">
        <f t="shared" si="12"/>
        <v>0</v>
      </c>
      <c r="H251" s="557">
        <f t="shared" si="13"/>
        <v>0</v>
      </c>
      <c r="I251" s="58" t="s">
        <v>583</v>
      </c>
    </row>
    <row r="252" spans="1:9" x14ac:dyDescent="0.25">
      <c r="A252" s="58">
        <v>251</v>
      </c>
      <c r="B252" s="58" t="s">
        <v>582</v>
      </c>
      <c r="C252" s="58">
        <v>1210</v>
      </c>
      <c r="D252" s="58">
        <v>550</v>
      </c>
      <c r="E252" s="223">
        <v>1</v>
      </c>
      <c r="F252" s="223">
        <f t="shared" si="14"/>
        <v>2072.2906250000001</v>
      </c>
      <c r="G252" s="223">
        <f t="shared" si="12"/>
        <v>0</v>
      </c>
      <c r="H252" s="557">
        <f t="shared" si="13"/>
        <v>0</v>
      </c>
      <c r="I252" s="58" t="s">
        <v>583</v>
      </c>
    </row>
    <row r="253" spans="1:9" x14ac:dyDescent="0.25">
      <c r="A253" s="58">
        <v>252</v>
      </c>
      <c r="B253" s="58" t="s">
        <v>582</v>
      </c>
      <c r="C253" s="58">
        <v>1210</v>
      </c>
      <c r="D253" s="58">
        <v>550</v>
      </c>
      <c r="E253" s="223">
        <v>1</v>
      </c>
      <c r="F253" s="223">
        <f t="shared" si="14"/>
        <v>2072.2906250000001</v>
      </c>
      <c r="G253" s="223">
        <f t="shared" si="12"/>
        <v>0</v>
      </c>
      <c r="H253" s="557">
        <f t="shared" si="13"/>
        <v>0</v>
      </c>
      <c r="I253" s="58" t="s">
        <v>583</v>
      </c>
    </row>
    <row r="254" spans="1:9" x14ac:dyDescent="0.25">
      <c r="A254" s="58">
        <v>253</v>
      </c>
      <c r="B254" s="58" t="s">
        <v>582</v>
      </c>
      <c r="C254" s="58">
        <v>1210</v>
      </c>
      <c r="D254" s="58">
        <v>550</v>
      </c>
      <c r="E254" s="223">
        <v>1</v>
      </c>
      <c r="F254" s="223">
        <f t="shared" si="14"/>
        <v>2072.2906250000001</v>
      </c>
      <c r="G254" s="223">
        <f t="shared" si="12"/>
        <v>0</v>
      </c>
      <c r="H254" s="557">
        <f t="shared" si="13"/>
        <v>0</v>
      </c>
      <c r="I254" s="58" t="s">
        <v>583</v>
      </c>
    </row>
    <row r="255" spans="1:9" x14ac:dyDescent="0.25">
      <c r="A255" s="58">
        <v>254</v>
      </c>
      <c r="B255" s="58" t="s">
        <v>582</v>
      </c>
      <c r="C255" s="58">
        <v>1210</v>
      </c>
      <c r="D255" s="58">
        <v>550</v>
      </c>
      <c r="E255" s="223">
        <v>1</v>
      </c>
      <c r="F255" s="223">
        <f t="shared" si="14"/>
        <v>2072.2906250000001</v>
      </c>
      <c r="G255" s="223">
        <f t="shared" si="12"/>
        <v>0</v>
      </c>
      <c r="H255" s="557">
        <f t="shared" si="13"/>
        <v>0</v>
      </c>
      <c r="I255" s="58" t="s">
        <v>583</v>
      </c>
    </row>
    <row r="256" spans="1:9" x14ac:dyDescent="0.25">
      <c r="A256" s="58">
        <v>255</v>
      </c>
      <c r="B256" s="58" t="s">
        <v>582</v>
      </c>
      <c r="C256" s="58">
        <v>1210</v>
      </c>
      <c r="D256" s="58">
        <v>550</v>
      </c>
      <c r="E256" s="223">
        <v>1</v>
      </c>
      <c r="F256" s="223">
        <f t="shared" si="14"/>
        <v>2072.2906250000001</v>
      </c>
      <c r="G256" s="223">
        <f t="shared" si="12"/>
        <v>0</v>
      </c>
      <c r="H256" s="557">
        <f t="shared" si="13"/>
        <v>0</v>
      </c>
      <c r="I256" s="58" t="s">
        <v>583</v>
      </c>
    </row>
    <row r="257" spans="1:9" x14ac:dyDescent="0.25">
      <c r="A257" s="58">
        <v>256</v>
      </c>
      <c r="B257" s="58" t="s">
        <v>582</v>
      </c>
      <c r="C257" s="58">
        <v>1210</v>
      </c>
      <c r="D257" s="58">
        <v>550</v>
      </c>
      <c r="E257" s="223">
        <v>1</v>
      </c>
      <c r="F257" s="223">
        <f t="shared" si="14"/>
        <v>2072.2906250000001</v>
      </c>
      <c r="G257" s="223">
        <f t="shared" si="12"/>
        <v>0</v>
      </c>
      <c r="H257" s="557">
        <f t="shared" si="13"/>
        <v>0</v>
      </c>
      <c r="I257" s="58" t="s">
        <v>583</v>
      </c>
    </row>
    <row r="258" spans="1:9" x14ac:dyDescent="0.25">
      <c r="A258" s="58">
        <v>257</v>
      </c>
      <c r="B258" s="58" t="s">
        <v>582</v>
      </c>
      <c r="C258" s="58">
        <v>1210</v>
      </c>
      <c r="D258" s="58">
        <v>550</v>
      </c>
      <c r="E258" s="223">
        <v>1</v>
      </c>
      <c r="F258" s="223">
        <f t="shared" si="14"/>
        <v>2072.2906250000001</v>
      </c>
      <c r="G258" s="223">
        <f t="shared" si="12"/>
        <v>0</v>
      </c>
      <c r="H258" s="557">
        <f t="shared" si="13"/>
        <v>0</v>
      </c>
      <c r="I258" s="58" t="s">
        <v>583</v>
      </c>
    </row>
    <row r="259" spans="1:9" x14ac:dyDescent="0.25">
      <c r="A259" s="58">
        <v>258</v>
      </c>
      <c r="B259" s="58" t="s">
        <v>582</v>
      </c>
      <c r="C259" s="58">
        <v>1238</v>
      </c>
      <c r="D259" s="58">
        <v>800</v>
      </c>
      <c r="E259" s="223">
        <v>1</v>
      </c>
      <c r="F259" s="223">
        <f t="shared" si="14"/>
        <v>2072.2906250000001</v>
      </c>
      <c r="G259" s="223">
        <f t="shared" si="12"/>
        <v>0</v>
      </c>
      <c r="H259" s="557">
        <f t="shared" si="13"/>
        <v>0</v>
      </c>
      <c r="I259" s="58" t="s">
        <v>583</v>
      </c>
    </row>
    <row r="260" spans="1:9" x14ac:dyDescent="0.25">
      <c r="A260" s="58">
        <v>259</v>
      </c>
      <c r="B260" s="58" t="s">
        <v>582</v>
      </c>
      <c r="C260" s="58">
        <v>1238</v>
      </c>
      <c r="D260" s="58">
        <v>800</v>
      </c>
      <c r="E260" s="223">
        <v>1</v>
      </c>
      <c r="F260" s="223">
        <f t="shared" si="14"/>
        <v>2072.2906250000001</v>
      </c>
      <c r="G260" s="223">
        <f t="shared" si="12"/>
        <v>0</v>
      </c>
      <c r="H260" s="557">
        <f t="shared" si="13"/>
        <v>0</v>
      </c>
      <c r="I260" s="58" t="s">
        <v>583</v>
      </c>
    </row>
    <row r="261" spans="1:9" x14ac:dyDescent="0.25">
      <c r="A261" s="58">
        <v>260</v>
      </c>
      <c r="B261" s="58" t="s">
        <v>582</v>
      </c>
      <c r="C261" s="58">
        <v>1238</v>
      </c>
      <c r="D261" s="58">
        <v>800</v>
      </c>
      <c r="E261" s="223">
        <v>1</v>
      </c>
      <c r="F261" s="223">
        <f t="shared" si="14"/>
        <v>2072.2906250000001</v>
      </c>
      <c r="G261" s="223">
        <f t="shared" si="12"/>
        <v>0</v>
      </c>
      <c r="H261" s="557">
        <f t="shared" si="13"/>
        <v>0</v>
      </c>
      <c r="I261" s="58" t="s">
        <v>583</v>
      </c>
    </row>
    <row r="262" spans="1:9" x14ac:dyDescent="0.25">
      <c r="A262" s="58">
        <v>261</v>
      </c>
      <c r="B262" s="58" t="s">
        <v>582</v>
      </c>
      <c r="C262" s="58">
        <v>1238</v>
      </c>
      <c r="D262" s="58">
        <v>800</v>
      </c>
      <c r="E262" s="223">
        <v>1</v>
      </c>
      <c r="F262" s="223">
        <f t="shared" si="14"/>
        <v>2072.2906250000001</v>
      </c>
      <c r="G262" s="223">
        <f t="shared" si="12"/>
        <v>0</v>
      </c>
      <c r="H262" s="557">
        <f t="shared" si="13"/>
        <v>0</v>
      </c>
      <c r="I262" s="58" t="s">
        <v>583</v>
      </c>
    </row>
    <row r="263" spans="1:9" x14ac:dyDescent="0.25">
      <c r="A263" s="58">
        <v>262</v>
      </c>
      <c r="B263" s="58" t="s">
        <v>582</v>
      </c>
      <c r="C263" s="58">
        <v>1238</v>
      </c>
      <c r="D263" s="58">
        <v>800</v>
      </c>
      <c r="E263" s="223">
        <v>1</v>
      </c>
      <c r="F263" s="223">
        <f t="shared" si="14"/>
        <v>2072.2906250000001</v>
      </c>
      <c r="G263" s="223">
        <f t="shared" si="12"/>
        <v>0</v>
      </c>
      <c r="H263" s="557">
        <f t="shared" si="13"/>
        <v>0</v>
      </c>
      <c r="I263" s="58" t="s">
        <v>583</v>
      </c>
    </row>
    <row r="264" spans="1:9" x14ac:dyDescent="0.25">
      <c r="A264" s="58">
        <v>263</v>
      </c>
      <c r="B264" s="58" t="s">
        <v>582</v>
      </c>
      <c r="C264" s="58">
        <v>1238</v>
      </c>
      <c r="D264" s="58">
        <v>800</v>
      </c>
      <c r="E264" s="223">
        <v>1</v>
      </c>
      <c r="F264" s="223">
        <f t="shared" si="14"/>
        <v>2072.2906250000001</v>
      </c>
      <c r="G264" s="223">
        <f t="shared" si="12"/>
        <v>0</v>
      </c>
      <c r="H264" s="557">
        <f t="shared" si="13"/>
        <v>0</v>
      </c>
      <c r="I264" s="58" t="s">
        <v>583</v>
      </c>
    </row>
    <row r="265" spans="1:9" x14ac:dyDescent="0.25">
      <c r="A265" s="58">
        <v>264</v>
      </c>
      <c r="B265" s="58" t="s">
        <v>582</v>
      </c>
      <c r="C265" s="58">
        <v>1238</v>
      </c>
      <c r="D265" s="58">
        <v>800</v>
      </c>
      <c r="E265" s="223">
        <v>1</v>
      </c>
      <c r="F265" s="223">
        <f t="shared" si="14"/>
        <v>2072.2906250000001</v>
      </c>
      <c r="G265" s="223">
        <f t="shared" si="12"/>
        <v>0</v>
      </c>
      <c r="H265" s="557">
        <f t="shared" si="13"/>
        <v>0</v>
      </c>
      <c r="I265" s="58" t="s">
        <v>583</v>
      </c>
    </row>
    <row r="266" spans="1:9" x14ac:dyDescent="0.25">
      <c r="A266" s="58">
        <v>265</v>
      </c>
      <c r="B266" s="58" t="s">
        <v>582</v>
      </c>
      <c r="C266" s="58">
        <v>1238</v>
      </c>
      <c r="D266" s="58">
        <v>800</v>
      </c>
      <c r="E266" s="223">
        <v>1</v>
      </c>
      <c r="F266" s="223">
        <f t="shared" si="14"/>
        <v>2072.2906250000001</v>
      </c>
      <c r="G266" s="223">
        <f t="shared" si="12"/>
        <v>0</v>
      </c>
      <c r="H266" s="557">
        <f t="shared" si="13"/>
        <v>0</v>
      </c>
      <c r="I266" s="58" t="s">
        <v>583</v>
      </c>
    </row>
    <row r="267" spans="1:9" x14ac:dyDescent="0.25">
      <c r="A267" s="58">
        <v>266</v>
      </c>
      <c r="B267" s="58" t="s">
        <v>582</v>
      </c>
      <c r="C267" s="58">
        <v>1238</v>
      </c>
      <c r="D267" s="58">
        <v>800</v>
      </c>
      <c r="E267" s="223">
        <v>1</v>
      </c>
      <c r="F267" s="223">
        <f t="shared" si="14"/>
        <v>2072.2906250000001</v>
      </c>
      <c r="G267" s="223">
        <f t="shared" si="12"/>
        <v>0</v>
      </c>
      <c r="H267" s="557">
        <f t="shared" si="13"/>
        <v>0</v>
      </c>
      <c r="I267" s="58" t="s">
        <v>583</v>
      </c>
    </row>
    <row r="268" spans="1:9" x14ac:dyDescent="0.25">
      <c r="A268" s="58">
        <v>267</v>
      </c>
      <c r="B268" s="58" t="s">
        <v>582</v>
      </c>
      <c r="C268" s="58">
        <v>1238</v>
      </c>
      <c r="D268" s="58">
        <v>800</v>
      </c>
      <c r="E268" s="223">
        <v>1</v>
      </c>
      <c r="F268" s="223">
        <f t="shared" si="14"/>
        <v>2072.2906250000001</v>
      </c>
      <c r="G268" s="223">
        <f t="shared" si="12"/>
        <v>0</v>
      </c>
      <c r="H268" s="557">
        <f t="shared" si="13"/>
        <v>0</v>
      </c>
      <c r="I268" s="58" t="s">
        <v>583</v>
      </c>
    </row>
    <row r="269" spans="1:9" x14ac:dyDescent="0.25">
      <c r="A269" s="58">
        <v>268</v>
      </c>
      <c r="B269" s="58" t="s">
        <v>582</v>
      </c>
      <c r="C269" s="58">
        <v>1238</v>
      </c>
      <c r="D269" s="58">
        <v>800</v>
      </c>
      <c r="E269" s="223">
        <v>1</v>
      </c>
      <c r="F269" s="223">
        <f t="shared" si="14"/>
        <v>2072.2906250000001</v>
      </c>
      <c r="G269" s="223">
        <f t="shared" si="12"/>
        <v>0</v>
      </c>
      <c r="H269" s="557">
        <f t="shared" si="13"/>
        <v>0</v>
      </c>
      <c r="I269" s="58" t="s">
        <v>583</v>
      </c>
    </row>
    <row r="270" spans="1:9" x14ac:dyDescent="0.25">
      <c r="A270" s="58">
        <v>269</v>
      </c>
      <c r="B270" s="58" t="s">
        <v>582</v>
      </c>
      <c r="C270" s="58">
        <v>1238</v>
      </c>
      <c r="D270" s="58">
        <v>800</v>
      </c>
      <c r="E270" s="223">
        <v>1</v>
      </c>
      <c r="F270" s="223">
        <f t="shared" si="14"/>
        <v>2072.2906250000001</v>
      </c>
      <c r="G270" s="223">
        <f t="shared" si="12"/>
        <v>0</v>
      </c>
      <c r="H270" s="557">
        <f t="shared" si="13"/>
        <v>0</v>
      </c>
      <c r="I270" s="58" t="s">
        <v>583</v>
      </c>
    </row>
    <row r="271" spans="1:9" x14ac:dyDescent="0.25">
      <c r="A271" s="58">
        <v>270</v>
      </c>
      <c r="B271" s="58" t="s">
        <v>582</v>
      </c>
      <c r="C271" s="58">
        <v>1238</v>
      </c>
      <c r="D271" s="58">
        <v>800</v>
      </c>
      <c r="E271" s="223">
        <v>1</v>
      </c>
      <c r="F271" s="223">
        <f t="shared" si="14"/>
        <v>2072.2906250000001</v>
      </c>
      <c r="G271" s="223">
        <f t="shared" si="12"/>
        <v>0</v>
      </c>
      <c r="H271" s="557">
        <f t="shared" si="13"/>
        <v>0</v>
      </c>
      <c r="I271" s="58" t="s">
        <v>583</v>
      </c>
    </row>
    <row r="272" spans="1:9" x14ac:dyDescent="0.25">
      <c r="A272" s="58">
        <v>271</v>
      </c>
      <c r="B272" s="58" t="s">
        <v>582</v>
      </c>
      <c r="C272" s="58">
        <v>1238</v>
      </c>
      <c r="D272" s="58">
        <v>800</v>
      </c>
      <c r="E272" s="223">
        <v>1</v>
      </c>
      <c r="F272" s="223">
        <f t="shared" si="14"/>
        <v>2072.2906250000001</v>
      </c>
      <c r="G272" s="223">
        <f t="shared" si="12"/>
        <v>0</v>
      </c>
      <c r="H272" s="557">
        <f t="shared" si="13"/>
        <v>0</v>
      </c>
      <c r="I272" s="58" t="s">
        <v>583</v>
      </c>
    </row>
    <row r="273" spans="1:9" x14ac:dyDescent="0.25">
      <c r="A273" s="58">
        <v>272</v>
      </c>
      <c r="B273" s="58" t="s">
        <v>582</v>
      </c>
      <c r="C273" s="58">
        <v>1238</v>
      </c>
      <c r="D273" s="58">
        <v>800</v>
      </c>
      <c r="E273" s="223">
        <v>1</v>
      </c>
      <c r="F273" s="223">
        <f t="shared" si="14"/>
        <v>2072.2906250000001</v>
      </c>
      <c r="G273" s="223">
        <f t="shared" si="12"/>
        <v>0</v>
      </c>
      <c r="H273" s="557">
        <f t="shared" si="13"/>
        <v>0</v>
      </c>
      <c r="I273" s="58" t="s">
        <v>583</v>
      </c>
    </row>
    <row r="274" spans="1:9" x14ac:dyDescent="0.25">
      <c r="A274" s="58">
        <v>273</v>
      </c>
      <c r="B274" s="58" t="s">
        <v>582</v>
      </c>
      <c r="C274" s="58">
        <v>1238</v>
      </c>
      <c r="D274" s="58">
        <v>800</v>
      </c>
      <c r="E274" s="223">
        <v>1</v>
      </c>
      <c r="F274" s="223">
        <f t="shared" si="14"/>
        <v>2072.2906250000001</v>
      </c>
      <c r="G274" s="223">
        <f t="shared" si="12"/>
        <v>0</v>
      </c>
      <c r="H274" s="557">
        <f t="shared" si="13"/>
        <v>0</v>
      </c>
      <c r="I274" s="58" t="s">
        <v>583</v>
      </c>
    </row>
    <row r="275" spans="1:9" x14ac:dyDescent="0.25">
      <c r="A275" s="58">
        <v>274</v>
      </c>
      <c r="B275" s="58" t="s">
        <v>582</v>
      </c>
      <c r="C275" s="58">
        <v>1238</v>
      </c>
      <c r="D275" s="58">
        <v>800</v>
      </c>
      <c r="E275" s="223">
        <v>1</v>
      </c>
      <c r="F275" s="223">
        <f t="shared" si="14"/>
        <v>2072.2906250000001</v>
      </c>
      <c r="G275" s="223">
        <f t="shared" si="12"/>
        <v>0</v>
      </c>
      <c r="H275" s="557">
        <f t="shared" si="13"/>
        <v>0</v>
      </c>
      <c r="I275" s="58" t="s">
        <v>583</v>
      </c>
    </row>
    <row r="276" spans="1:9" x14ac:dyDescent="0.25">
      <c r="A276" s="58">
        <v>275</v>
      </c>
      <c r="B276" s="58" t="s">
        <v>582</v>
      </c>
      <c r="C276" s="58">
        <v>1238</v>
      </c>
      <c r="D276" s="58">
        <v>800</v>
      </c>
      <c r="E276" s="223">
        <v>1</v>
      </c>
      <c r="F276" s="223">
        <f t="shared" si="14"/>
        <v>2072.2906250000001</v>
      </c>
      <c r="G276" s="223">
        <f t="shared" si="12"/>
        <v>0</v>
      </c>
      <c r="H276" s="557">
        <f t="shared" si="13"/>
        <v>0</v>
      </c>
      <c r="I276" s="58" t="s">
        <v>583</v>
      </c>
    </row>
    <row r="277" spans="1:9" x14ac:dyDescent="0.25">
      <c r="A277" s="58">
        <v>276</v>
      </c>
      <c r="B277" s="58" t="s">
        <v>582</v>
      </c>
      <c r="C277" s="58">
        <v>1238</v>
      </c>
      <c r="D277" s="58">
        <v>800</v>
      </c>
      <c r="E277" s="223">
        <v>1</v>
      </c>
      <c r="F277" s="223">
        <f t="shared" si="14"/>
        <v>2072.2906250000001</v>
      </c>
      <c r="G277" s="223">
        <f t="shared" si="12"/>
        <v>0</v>
      </c>
      <c r="H277" s="557">
        <f t="shared" si="13"/>
        <v>0</v>
      </c>
      <c r="I277" s="58" t="s">
        <v>583</v>
      </c>
    </row>
    <row r="278" spans="1:9" x14ac:dyDescent="0.25">
      <c r="A278" s="58">
        <v>277</v>
      </c>
      <c r="B278" s="58" t="s">
        <v>582</v>
      </c>
      <c r="C278" s="58">
        <v>1238</v>
      </c>
      <c r="D278" s="58">
        <v>800</v>
      </c>
      <c r="E278" s="223">
        <v>1</v>
      </c>
      <c r="F278" s="223">
        <f t="shared" si="14"/>
        <v>2072.2906250000001</v>
      </c>
      <c r="G278" s="223">
        <f t="shared" si="12"/>
        <v>0</v>
      </c>
      <c r="H278" s="557">
        <f t="shared" si="13"/>
        <v>0</v>
      </c>
      <c r="I278" s="58" t="s">
        <v>583</v>
      </c>
    </row>
    <row r="279" spans="1:9" x14ac:dyDescent="0.25">
      <c r="A279" s="58">
        <v>278</v>
      </c>
      <c r="B279" s="58" t="s">
        <v>582</v>
      </c>
      <c r="C279" s="58">
        <v>1238</v>
      </c>
      <c r="D279" s="58">
        <v>1200</v>
      </c>
      <c r="E279" s="223">
        <v>1</v>
      </c>
      <c r="F279" s="223">
        <f t="shared" si="14"/>
        <v>2072.2906250000001</v>
      </c>
      <c r="G279" s="223">
        <f t="shared" si="12"/>
        <v>1026.1983175</v>
      </c>
      <c r="H279" s="557">
        <f t="shared" si="13"/>
        <v>1520.2938037037036</v>
      </c>
      <c r="I279" s="58" t="s">
        <v>583</v>
      </c>
    </row>
    <row r="280" spans="1:9" x14ac:dyDescent="0.25">
      <c r="A280" s="58">
        <v>279</v>
      </c>
      <c r="B280" s="58" t="s">
        <v>582</v>
      </c>
      <c r="C280" s="58">
        <v>1238</v>
      </c>
      <c r="D280" s="58">
        <v>1200</v>
      </c>
      <c r="E280" s="223">
        <v>1</v>
      </c>
      <c r="F280" s="223">
        <f t="shared" si="14"/>
        <v>2072.2906250000001</v>
      </c>
      <c r="G280" s="223">
        <f t="shared" si="12"/>
        <v>1026.1983175</v>
      </c>
      <c r="H280" s="557">
        <f t="shared" si="13"/>
        <v>1520.2938037037036</v>
      </c>
      <c r="I280" s="58" t="s">
        <v>583</v>
      </c>
    </row>
    <row r="281" spans="1:9" x14ac:dyDescent="0.25">
      <c r="A281" s="58">
        <v>280</v>
      </c>
      <c r="B281" s="58" t="s">
        <v>582</v>
      </c>
      <c r="C281" s="58">
        <v>1238</v>
      </c>
      <c r="D281" s="58">
        <v>1200</v>
      </c>
      <c r="E281" s="223">
        <v>1</v>
      </c>
      <c r="F281" s="223">
        <f t="shared" si="14"/>
        <v>2072.2906250000001</v>
      </c>
      <c r="G281" s="223">
        <f t="shared" si="12"/>
        <v>1026.1983175</v>
      </c>
      <c r="H281" s="557">
        <f t="shared" si="13"/>
        <v>1520.2938037037036</v>
      </c>
      <c r="I281" s="58" t="s">
        <v>583</v>
      </c>
    </row>
    <row r="282" spans="1:9" x14ac:dyDescent="0.25">
      <c r="A282" s="58">
        <v>281</v>
      </c>
      <c r="B282" s="58" t="s">
        <v>582</v>
      </c>
      <c r="C282" s="58">
        <v>1238</v>
      </c>
      <c r="D282" s="58">
        <v>1200</v>
      </c>
      <c r="E282" s="223">
        <v>1</v>
      </c>
      <c r="F282" s="223">
        <f t="shared" si="14"/>
        <v>2072.2906250000001</v>
      </c>
      <c r="G282" s="223">
        <f t="shared" si="12"/>
        <v>1026.1983175</v>
      </c>
      <c r="H282" s="557">
        <f t="shared" si="13"/>
        <v>1520.2938037037036</v>
      </c>
      <c r="I282" s="58" t="s">
        <v>583</v>
      </c>
    </row>
    <row r="283" spans="1:9" x14ac:dyDescent="0.25">
      <c r="A283" s="58">
        <v>282</v>
      </c>
      <c r="B283" s="58" t="s">
        <v>582</v>
      </c>
      <c r="C283" s="58">
        <v>1238</v>
      </c>
      <c r="D283" s="58">
        <v>1200</v>
      </c>
      <c r="E283" s="223">
        <v>1</v>
      </c>
      <c r="F283" s="223">
        <f t="shared" si="14"/>
        <v>2072.2906250000001</v>
      </c>
      <c r="G283" s="223">
        <f t="shared" si="12"/>
        <v>1026.1983175</v>
      </c>
      <c r="H283" s="557">
        <f t="shared" si="13"/>
        <v>1520.2938037037036</v>
      </c>
      <c r="I283" s="58" t="s">
        <v>583</v>
      </c>
    </row>
    <row r="284" spans="1:9" x14ac:dyDescent="0.25">
      <c r="A284" s="58">
        <v>283</v>
      </c>
      <c r="B284" s="58" t="s">
        <v>582</v>
      </c>
      <c r="C284" s="58">
        <v>1238</v>
      </c>
      <c r="D284" s="58">
        <v>1200</v>
      </c>
      <c r="E284" s="223">
        <v>1</v>
      </c>
      <c r="F284" s="223">
        <f t="shared" si="14"/>
        <v>2072.2906250000001</v>
      </c>
      <c r="G284" s="223">
        <f t="shared" si="12"/>
        <v>1026.1983175</v>
      </c>
      <c r="H284" s="557">
        <f t="shared" si="13"/>
        <v>1520.2938037037036</v>
      </c>
      <c r="I284" s="58" t="s">
        <v>583</v>
      </c>
    </row>
    <row r="285" spans="1:9" x14ac:dyDescent="0.25">
      <c r="A285" s="58">
        <v>284</v>
      </c>
      <c r="B285" s="58" t="s">
        <v>582</v>
      </c>
      <c r="C285" s="58">
        <v>1238</v>
      </c>
      <c r="D285" s="58">
        <v>1200</v>
      </c>
      <c r="E285" s="223">
        <v>1</v>
      </c>
      <c r="F285" s="223">
        <f t="shared" si="14"/>
        <v>2072.2906250000001</v>
      </c>
      <c r="G285" s="223">
        <f t="shared" si="12"/>
        <v>1026.1983175</v>
      </c>
      <c r="H285" s="557">
        <f t="shared" si="13"/>
        <v>1520.2938037037036</v>
      </c>
      <c r="I285" s="58" t="s">
        <v>583</v>
      </c>
    </row>
    <row r="286" spans="1:9" x14ac:dyDescent="0.25">
      <c r="A286" s="58">
        <v>285</v>
      </c>
      <c r="B286" s="58" t="s">
        <v>582</v>
      </c>
      <c r="C286" s="58">
        <v>1238</v>
      </c>
      <c r="D286" s="58">
        <v>1200</v>
      </c>
      <c r="E286" s="223">
        <v>1</v>
      </c>
      <c r="F286" s="223">
        <f t="shared" si="14"/>
        <v>2072.2906250000001</v>
      </c>
      <c r="G286" s="223">
        <f t="shared" si="12"/>
        <v>1026.1983175</v>
      </c>
      <c r="H286" s="557">
        <f t="shared" si="13"/>
        <v>1520.2938037037036</v>
      </c>
      <c r="I286" s="58" t="s">
        <v>583</v>
      </c>
    </row>
    <row r="287" spans="1:9" x14ac:dyDescent="0.25">
      <c r="A287" s="58">
        <v>286</v>
      </c>
      <c r="B287" s="58" t="s">
        <v>582</v>
      </c>
      <c r="C287" s="58">
        <v>1238</v>
      </c>
      <c r="D287" s="58">
        <v>1200</v>
      </c>
      <c r="E287" s="223">
        <v>1</v>
      </c>
      <c r="F287" s="223">
        <f t="shared" si="14"/>
        <v>2072.2906250000001</v>
      </c>
      <c r="G287" s="223">
        <f t="shared" si="12"/>
        <v>1026.1983175</v>
      </c>
      <c r="H287" s="557">
        <f t="shared" si="13"/>
        <v>1520.2938037037036</v>
      </c>
      <c r="I287" s="58" t="s">
        <v>583</v>
      </c>
    </row>
    <row r="288" spans="1:9" x14ac:dyDescent="0.25">
      <c r="A288" s="58">
        <v>287</v>
      </c>
      <c r="B288" s="58" t="s">
        <v>582</v>
      </c>
      <c r="C288" s="58">
        <v>1238</v>
      </c>
      <c r="D288" s="58">
        <v>1200</v>
      </c>
      <c r="E288" s="223">
        <v>1</v>
      </c>
      <c r="F288" s="223">
        <f t="shared" si="14"/>
        <v>2072.2906250000001</v>
      </c>
      <c r="G288" s="223">
        <f t="shared" si="12"/>
        <v>1026.1983175</v>
      </c>
      <c r="H288" s="557">
        <f t="shared" si="13"/>
        <v>1520.2938037037036</v>
      </c>
      <c r="I288" s="58" t="s">
        <v>583</v>
      </c>
    </row>
    <row r="289" spans="1:9" x14ac:dyDescent="0.25">
      <c r="A289" s="58">
        <v>288</v>
      </c>
      <c r="B289" s="58" t="s">
        <v>582</v>
      </c>
      <c r="C289" s="58">
        <v>1238</v>
      </c>
      <c r="D289" s="58">
        <v>1200</v>
      </c>
      <c r="E289" s="223">
        <v>1</v>
      </c>
      <c r="F289" s="223">
        <f t="shared" si="14"/>
        <v>2072.2906250000001</v>
      </c>
      <c r="G289" s="223">
        <f t="shared" si="12"/>
        <v>1026.1983175</v>
      </c>
      <c r="H289" s="557">
        <f t="shared" si="13"/>
        <v>1520.2938037037036</v>
      </c>
      <c r="I289" s="58" t="s">
        <v>583</v>
      </c>
    </row>
    <row r="290" spans="1:9" x14ac:dyDescent="0.25">
      <c r="A290" s="58">
        <v>289</v>
      </c>
      <c r="B290" s="58" t="s">
        <v>582</v>
      </c>
      <c r="C290" s="58">
        <v>1238</v>
      </c>
      <c r="D290" s="58">
        <v>1200</v>
      </c>
      <c r="E290" s="223">
        <v>1</v>
      </c>
      <c r="F290" s="223">
        <f t="shared" si="14"/>
        <v>2072.2906250000001</v>
      </c>
      <c r="G290" s="223">
        <f t="shared" ref="G290:G292" si="15">IF(D290&gt;800,((C290*(D290-800))/10^6)*F290,0)</f>
        <v>1026.1983175</v>
      </c>
      <c r="H290" s="557">
        <f t="shared" ref="H290:H292" si="16">(G290/$R$2)*E290</f>
        <v>1520.2938037037036</v>
      </c>
      <c r="I290" s="58" t="s">
        <v>583</v>
      </c>
    </row>
    <row r="291" spans="1:9" x14ac:dyDescent="0.25">
      <c r="A291" s="58">
        <v>290</v>
      </c>
      <c r="B291" s="58" t="s">
        <v>582</v>
      </c>
      <c r="C291" s="58">
        <v>1238</v>
      </c>
      <c r="D291" s="58">
        <v>1200</v>
      </c>
      <c r="E291" s="223">
        <v>1</v>
      </c>
      <c r="F291" s="223">
        <f t="shared" si="14"/>
        <v>2072.2906250000001</v>
      </c>
      <c r="G291" s="223">
        <f t="shared" si="15"/>
        <v>1026.1983175</v>
      </c>
      <c r="H291" s="557">
        <f t="shared" si="16"/>
        <v>1520.2938037037036</v>
      </c>
      <c r="I291" s="58" t="s">
        <v>583</v>
      </c>
    </row>
    <row r="292" spans="1:9" x14ac:dyDescent="0.25">
      <c r="A292" s="58">
        <v>291</v>
      </c>
      <c r="B292" s="58" t="s">
        <v>582</v>
      </c>
      <c r="C292" s="58">
        <v>1238</v>
      </c>
      <c r="D292" s="58">
        <v>1200</v>
      </c>
      <c r="E292" s="223">
        <v>1</v>
      </c>
      <c r="F292" s="223">
        <f t="shared" si="14"/>
        <v>2072.2906250000001</v>
      </c>
      <c r="G292" s="223">
        <f t="shared" si="15"/>
        <v>1026.1983175</v>
      </c>
      <c r="H292" s="557">
        <f t="shared" si="16"/>
        <v>1520.2938037037036</v>
      </c>
      <c r="I292" s="58" t="s">
        <v>583</v>
      </c>
    </row>
    <row r="293" spans="1:9" x14ac:dyDescent="0.25">
      <c r="A293" s="58">
        <v>292</v>
      </c>
      <c r="B293" s="58" t="s">
        <v>582</v>
      </c>
      <c r="C293" s="58">
        <v>1238</v>
      </c>
      <c r="D293" s="58">
        <v>800</v>
      </c>
      <c r="E293" s="223">
        <v>1</v>
      </c>
      <c r="F293" s="223">
        <f t="shared" si="14"/>
        <v>2072.2906250000001</v>
      </c>
      <c r="G293" s="223">
        <f t="shared" ref="G293:G301" si="17">IF(D293&gt;800,((C293*(D293-800))/10^6)*F293,0)</f>
        <v>0</v>
      </c>
      <c r="H293" s="557">
        <f t="shared" ref="H293:H301" si="18">(G293/$R$2)*E293</f>
        <v>0</v>
      </c>
      <c r="I293" s="58" t="s">
        <v>583</v>
      </c>
    </row>
    <row r="294" spans="1:9" x14ac:dyDescent="0.25">
      <c r="A294" s="58">
        <v>293</v>
      </c>
      <c r="B294" s="58" t="s">
        <v>582</v>
      </c>
      <c r="C294" s="58">
        <v>1238</v>
      </c>
      <c r="D294" s="58">
        <v>800</v>
      </c>
      <c r="E294" s="223">
        <v>1</v>
      </c>
      <c r="F294" s="223">
        <f t="shared" si="14"/>
        <v>2072.2906250000001</v>
      </c>
      <c r="G294" s="223">
        <f t="shared" si="17"/>
        <v>0</v>
      </c>
      <c r="H294" s="557">
        <f t="shared" si="18"/>
        <v>0</v>
      </c>
      <c r="I294" s="58" t="s">
        <v>583</v>
      </c>
    </row>
    <row r="295" spans="1:9" x14ac:dyDescent="0.25">
      <c r="A295" s="58">
        <v>294</v>
      </c>
      <c r="B295" s="58" t="s">
        <v>582</v>
      </c>
      <c r="C295" s="58">
        <v>1250</v>
      </c>
      <c r="D295" s="58">
        <v>800</v>
      </c>
      <c r="E295" s="223">
        <v>1</v>
      </c>
      <c r="F295" s="223">
        <f t="shared" si="14"/>
        <v>2072.2906250000001</v>
      </c>
      <c r="G295" s="223">
        <f t="shared" si="17"/>
        <v>0</v>
      </c>
      <c r="H295" s="557">
        <f t="shared" si="18"/>
        <v>0</v>
      </c>
      <c r="I295" s="58" t="s">
        <v>583</v>
      </c>
    </row>
    <row r="296" spans="1:9" x14ac:dyDescent="0.25">
      <c r="A296" s="58">
        <v>295</v>
      </c>
      <c r="B296" s="58" t="s">
        <v>582</v>
      </c>
      <c r="C296" s="58">
        <v>1250</v>
      </c>
      <c r="D296" s="58">
        <v>800</v>
      </c>
      <c r="E296" s="223">
        <v>1</v>
      </c>
      <c r="F296" s="223">
        <f t="shared" si="14"/>
        <v>2072.2906250000001</v>
      </c>
      <c r="G296" s="223">
        <f t="shared" si="17"/>
        <v>0</v>
      </c>
      <c r="H296" s="557">
        <f t="shared" si="18"/>
        <v>0</v>
      </c>
      <c r="I296" s="58" t="s">
        <v>583</v>
      </c>
    </row>
    <row r="297" spans="1:9" x14ac:dyDescent="0.25">
      <c r="A297" s="58">
        <v>296</v>
      </c>
      <c r="B297" s="58" t="s">
        <v>582</v>
      </c>
      <c r="C297" s="58">
        <v>1238</v>
      </c>
      <c r="D297" s="58">
        <v>800</v>
      </c>
      <c r="E297" s="223">
        <v>1</v>
      </c>
      <c r="F297" s="223">
        <f t="shared" si="14"/>
        <v>2072.2906250000001</v>
      </c>
      <c r="G297" s="223">
        <f t="shared" si="17"/>
        <v>0</v>
      </c>
      <c r="H297" s="557">
        <f t="shared" si="18"/>
        <v>0</v>
      </c>
      <c r="I297" s="58" t="s">
        <v>583</v>
      </c>
    </row>
    <row r="298" spans="1:9" x14ac:dyDescent="0.25">
      <c r="A298" s="58">
        <v>297</v>
      </c>
      <c r="B298" s="58" t="s">
        <v>582</v>
      </c>
      <c r="C298" s="58">
        <v>1238</v>
      </c>
      <c r="D298" s="58">
        <v>1200</v>
      </c>
      <c r="E298" s="223">
        <v>1</v>
      </c>
      <c r="F298" s="223">
        <f t="shared" si="14"/>
        <v>2072.2906250000001</v>
      </c>
      <c r="G298" s="223">
        <f t="shared" si="17"/>
        <v>1026.1983175</v>
      </c>
      <c r="H298" s="557">
        <f t="shared" si="18"/>
        <v>1520.2938037037036</v>
      </c>
      <c r="I298" s="58" t="s">
        <v>583</v>
      </c>
    </row>
    <row r="299" spans="1:9" x14ac:dyDescent="0.25">
      <c r="A299" s="58">
        <v>298</v>
      </c>
      <c r="B299" s="58" t="s">
        <v>582</v>
      </c>
      <c r="C299" s="58">
        <v>1238</v>
      </c>
      <c r="D299" s="58">
        <v>1200</v>
      </c>
      <c r="E299" s="223">
        <v>1</v>
      </c>
      <c r="F299" s="223">
        <f t="shared" si="14"/>
        <v>2072.2906250000001</v>
      </c>
      <c r="G299" s="223">
        <f t="shared" si="17"/>
        <v>1026.1983175</v>
      </c>
      <c r="H299" s="557">
        <f t="shared" si="18"/>
        <v>1520.2938037037036</v>
      </c>
      <c r="I299" s="58" t="s">
        <v>583</v>
      </c>
    </row>
    <row r="300" spans="1:9" x14ac:dyDescent="0.25">
      <c r="A300" s="58">
        <v>299</v>
      </c>
      <c r="B300" s="58" t="s">
        <v>582</v>
      </c>
      <c r="C300" s="58">
        <v>1238</v>
      </c>
      <c r="D300" s="58">
        <v>800</v>
      </c>
      <c r="E300" s="223">
        <v>1</v>
      </c>
      <c r="F300" s="223">
        <f t="shared" si="14"/>
        <v>2072.2906250000001</v>
      </c>
      <c r="G300" s="223">
        <f t="shared" si="17"/>
        <v>0</v>
      </c>
      <c r="H300" s="557">
        <f t="shared" si="18"/>
        <v>0</v>
      </c>
      <c r="I300" s="58" t="s">
        <v>583</v>
      </c>
    </row>
    <row r="301" spans="1:9" x14ac:dyDescent="0.25">
      <c r="A301" s="58">
        <v>300</v>
      </c>
      <c r="B301" s="58" t="s">
        <v>582</v>
      </c>
      <c r="C301" s="58">
        <v>1238</v>
      </c>
      <c r="D301" s="58">
        <v>800</v>
      </c>
      <c r="E301" s="223">
        <v>1</v>
      </c>
      <c r="F301" s="223">
        <f t="shared" si="14"/>
        <v>2072.2906250000001</v>
      </c>
      <c r="G301" s="223">
        <f t="shared" si="17"/>
        <v>0</v>
      </c>
      <c r="H301" s="557">
        <f t="shared" si="18"/>
        <v>0</v>
      </c>
      <c r="I301" s="58" t="s">
        <v>583</v>
      </c>
    </row>
    <row r="302" spans="1:9" ht="16.5" thickBot="1" x14ac:dyDescent="0.3">
      <c r="G302" s="224" t="s">
        <v>477</v>
      </c>
      <c r="H302" s="225">
        <f>SUM(H2:H292)</f>
        <v>544145.14581115253</v>
      </c>
    </row>
  </sheetData>
  <pageMargins left="0.75" right="0.75" top="1" bottom="1" header="0.5" footer="0.5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B1:F50"/>
  <sheetViews>
    <sheetView topLeftCell="A22" zoomScale="115" zoomScaleNormal="115" workbookViewId="0">
      <selection activeCell="D34" sqref="D34"/>
    </sheetView>
  </sheetViews>
  <sheetFormatPr defaultColWidth="8.7109375" defaultRowHeight="15" x14ac:dyDescent="0.25"/>
  <cols>
    <col min="1" max="1" width="8.7109375" style="1"/>
    <col min="2" max="2" width="32.28515625" style="1" customWidth="1"/>
    <col min="3" max="3" width="59.7109375" style="1" bestFit="1" customWidth="1"/>
    <col min="4" max="4" width="11.5703125" style="1" bestFit="1" customWidth="1"/>
    <col min="5" max="5" width="20.85546875" bestFit="1" customWidth="1"/>
    <col min="6" max="6" width="52.140625" style="1" customWidth="1"/>
    <col min="7" max="16384" width="8.7109375" style="1"/>
  </cols>
  <sheetData>
    <row r="1" spans="2:6" x14ac:dyDescent="0.25">
      <c r="C1" s="2" t="s">
        <v>381</v>
      </c>
      <c r="D1" s="2" t="s">
        <v>317</v>
      </c>
    </row>
    <row r="2" spans="2:6" x14ac:dyDescent="0.25">
      <c r="B2" s="1" t="s">
        <v>383</v>
      </c>
      <c r="C2" s="1" t="s">
        <v>584</v>
      </c>
      <c r="D2" s="1">
        <f>(17209+1800)*1.15</f>
        <v>21860.35</v>
      </c>
      <c r="E2" s="80"/>
    </row>
    <row r="3" spans="2:6" x14ac:dyDescent="0.25">
      <c r="C3" s="46" t="s">
        <v>585</v>
      </c>
      <c r="D3" s="46">
        <v>30075.84</v>
      </c>
      <c r="E3" s="1"/>
    </row>
    <row r="4" spans="2:6" x14ac:dyDescent="0.25">
      <c r="B4" s="607" t="s">
        <v>586</v>
      </c>
      <c r="C4" s="49">
        <v>3.5</v>
      </c>
      <c r="D4" s="3">
        <f>(55729/3)*1.15</f>
        <v>21362.783333333329</v>
      </c>
      <c r="E4" s="80"/>
      <c r="F4" s="3"/>
    </row>
    <row r="5" spans="2:6" x14ac:dyDescent="0.25">
      <c r="B5" s="607"/>
      <c r="C5" s="49">
        <v>4.5</v>
      </c>
      <c r="D5" s="3">
        <f>(D4*4.5/3.5)</f>
        <v>27466.435714285708</v>
      </c>
      <c r="E5" s="1"/>
    </row>
    <row r="6" spans="2:6" x14ac:dyDescent="0.25">
      <c r="B6" s="7"/>
      <c r="C6" s="46">
        <v>4.58</v>
      </c>
      <c r="D6" s="228">
        <v>34700</v>
      </c>
      <c r="E6" s="1"/>
    </row>
    <row r="7" spans="2:6" x14ac:dyDescent="0.25">
      <c r="B7" s="607" t="s">
        <v>587</v>
      </c>
      <c r="C7" s="1">
        <v>600</v>
      </c>
      <c r="D7" s="1">
        <f>10333*1.18</f>
        <v>12192.939999999999</v>
      </c>
      <c r="E7" s="80"/>
    </row>
    <row r="8" spans="2:6" x14ac:dyDescent="0.25">
      <c r="B8" s="607"/>
      <c r="C8" s="1">
        <v>1175</v>
      </c>
      <c r="D8" s="1">
        <f>12539*1.18</f>
        <v>14796.019999999999</v>
      </c>
      <c r="E8" s="80"/>
    </row>
    <row r="9" spans="2:6" x14ac:dyDescent="0.25">
      <c r="B9" s="607"/>
      <c r="C9" s="46">
        <v>1200</v>
      </c>
      <c r="D9" s="46">
        <v>22637</v>
      </c>
      <c r="E9" s="80"/>
    </row>
    <row r="10" spans="2:6" x14ac:dyDescent="0.25">
      <c r="B10" s="607"/>
      <c r="C10" s="46">
        <v>800</v>
      </c>
      <c r="D10" s="46">
        <v>20637</v>
      </c>
      <c r="E10" s="1"/>
    </row>
    <row r="11" spans="2:6" x14ac:dyDescent="0.25">
      <c r="B11" s="7"/>
      <c r="E11" s="1"/>
    </row>
    <row r="12" spans="2:6" x14ac:dyDescent="0.25">
      <c r="B12" s="608" t="s">
        <v>135</v>
      </c>
      <c r="C12" s="1" t="s">
        <v>144</v>
      </c>
      <c r="D12" s="1">
        <f>28932*1.05</f>
        <v>30378.600000000002</v>
      </c>
      <c r="E12" s="80"/>
    </row>
    <row r="13" spans="2:6" x14ac:dyDescent="0.25">
      <c r="B13" s="608"/>
      <c r="C13" s="46" t="s">
        <v>152</v>
      </c>
      <c r="D13" s="46">
        <v>49213</v>
      </c>
      <c r="E13" s="80"/>
    </row>
    <row r="14" spans="2:6" x14ac:dyDescent="0.25">
      <c r="B14" s="608"/>
      <c r="C14" s="46" t="s">
        <v>155</v>
      </c>
      <c r="D14" s="46">
        <v>59213</v>
      </c>
      <c r="E14" s="80"/>
    </row>
    <row r="15" spans="2:6" x14ac:dyDescent="0.25">
      <c r="B15" s="7"/>
      <c r="E15" s="1"/>
    </row>
    <row r="16" spans="2:6" x14ac:dyDescent="0.25">
      <c r="B16" s="607" t="s">
        <v>588</v>
      </c>
      <c r="C16" t="s">
        <v>589</v>
      </c>
      <c r="D16" s="1">
        <f>9000*1.15</f>
        <v>10350</v>
      </c>
      <c r="E16" s="1"/>
    </row>
    <row r="17" spans="2:6" x14ac:dyDescent="0.25">
      <c r="B17" s="607"/>
      <c r="C17" t="s">
        <v>176</v>
      </c>
      <c r="D17" s="1">
        <f>13552*1.15</f>
        <v>15584.8</v>
      </c>
      <c r="E17" s="1"/>
    </row>
    <row r="18" spans="2:6" x14ac:dyDescent="0.25">
      <c r="B18" s="607"/>
      <c r="C18" s="229" t="s">
        <v>590</v>
      </c>
      <c r="D18" s="46">
        <v>24000</v>
      </c>
      <c r="E18" s="1"/>
    </row>
    <row r="19" spans="2:6" x14ac:dyDescent="0.25">
      <c r="B19" s="7"/>
      <c r="C19"/>
      <c r="E19" s="1"/>
    </row>
    <row r="20" spans="2:6" x14ac:dyDescent="0.25">
      <c r="B20" s="607" t="s">
        <v>391</v>
      </c>
      <c r="C20" s="1" t="s">
        <v>181</v>
      </c>
      <c r="D20" s="1">
        <f>347553*1.05</f>
        <v>364930.65</v>
      </c>
      <c r="E20" s="1"/>
    </row>
    <row r="21" spans="2:6" x14ac:dyDescent="0.25">
      <c r="B21" s="607"/>
      <c r="C21" s="1" t="s">
        <v>290</v>
      </c>
      <c r="D21" s="1">
        <f>792675*1.1</f>
        <v>871942.50000000012</v>
      </c>
      <c r="E21" s="1"/>
    </row>
    <row r="22" spans="2:6" x14ac:dyDescent="0.25">
      <c r="B22" s="7"/>
      <c r="E22" s="1"/>
    </row>
    <row r="23" spans="2:6" x14ac:dyDescent="0.25">
      <c r="B23" s="1" t="s">
        <v>393</v>
      </c>
      <c r="C23" s="1" t="s">
        <v>591</v>
      </c>
      <c r="D23" s="1">
        <f>(257312+300000-171000)*1.12</f>
        <v>432669.44000000006</v>
      </c>
      <c r="E23" s="1"/>
    </row>
    <row r="24" spans="2:6" x14ac:dyDescent="0.25">
      <c r="C24" s="46" t="s">
        <v>592</v>
      </c>
      <c r="D24" s="46">
        <v>540836.80000000005</v>
      </c>
      <c r="E24" s="1"/>
    </row>
    <row r="25" spans="2:6" x14ac:dyDescent="0.25">
      <c r="B25" s="607" t="s">
        <v>394</v>
      </c>
      <c r="C25" s="4" t="s">
        <v>296</v>
      </c>
      <c r="D25" s="1">
        <f>(2325266-764700-186000-176000)*1.12</f>
        <v>1342393.9200000002</v>
      </c>
      <c r="E25" s="1"/>
      <c r="F25" s="5"/>
    </row>
    <row r="26" spans="2:6" x14ac:dyDescent="0.25">
      <c r="B26" s="607"/>
      <c r="C26" s="4" t="s">
        <v>188</v>
      </c>
      <c r="D26" s="1">
        <f>(D25+276000+496700+818216+100000+552000)*1.12</f>
        <v>4015547.1104000001</v>
      </c>
      <c r="E26" s="1"/>
    </row>
    <row r="27" spans="2:6" x14ac:dyDescent="0.25">
      <c r="B27" s="607"/>
      <c r="C27" s="4"/>
      <c r="E27" s="1"/>
    </row>
    <row r="28" spans="2:6" x14ac:dyDescent="0.25">
      <c r="B28" s="607" t="s">
        <v>395</v>
      </c>
      <c r="C28" s="1" t="s">
        <v>192</v>
      </c>
      <c r="D28" s="56">
        <v>1272600</v>
      </c>
      <c r="E28" s="1" t="s">
        <v>593</v>
      </c>
    </row>
    <row r="29" spans="2:6" x14ac:dyDescent="0.25">
      <c r="B29" s="607"/>
      <c r="C29" s="1" t="s">
        <v>302</v>
      </c>
      <c r="D29" s="1">
        <f>1900000*1.12</f>
        <v>2128000</v>
      </c>
      <c r="E29" s="1"/>
    </row>
    <row r="30" spans="2:6" x14ac:dyDescent="0.25">
      <c r="B30" s="7"/>
      <c r="E30" s="1"/>
    </row>
    <row r="31" spans="2:6" x14ac:dyDescent="0.25">
      <c r="B31" s="607" t="s">
        <v>396</v>
      </c>
      <c r="C31" s="1" t="s">
        <v>397</v>
      </c>
      <c r="D31" s="1">
        <f>1527639*1.1</f>
        <v>1680402.9000000001</v>
      </c>
      <c r="E31" s="1"/>
    </row>
    <row r="32" spans="2:6" x14ac:dyDescent="0.25">
      <c r="B32" s="607"/>
      <c r="C32" s="1" t="s">
        <v>305</v>
      </c>
      <c r="D32" s="1">
        <f>+(1527639*1.1)+200000</f>
        <v>1880402.9000000001</v>
      </c>
      <c r="E32" s="1"/>
    </row>
    <row r="33" spans="2:5" x14ac:dyDescent="0.25">
      <c r="B33" s="607"/>
      <c r="C33" s="46" t="s">
        <v>398</v>
      </c>
      <c r="D33" s="46">
        <f>3100000+100000</f>
        <v>3200000</v>
      </c>
      <c r="E33" s="1"/>
    </row>
    <row r="34" spans="2:5" x14ac:dyDescent="0.25">
      <c r="B34" s="607"/>
      <c r="C34" s="46" t="s">
        <v>196</v>
      </c>
      <c r="D34" s="46">
        <f>'Quote Master'!$H$109</f>
        <v>5800000</v>
      </c>
      <c r="E34" s="1"/>
    </row>
    <row r="35" spans="2:5" x14ac:dyDescent="0.25">
      <c r="B35" s="607"/>
      <c r="C35" s="46" t="s">
        <v>594</v>
      </c>
      <c r="D35" s="46">
        <v>1100000</v>
      </c>
      <c r="E35" s="1"/>
    </row>
    <row r="36" spans="2:5" x14ac:dyDescent="0.25">
      <c r="B36" s="607"/>
      <c r="C36" s="164" t="s">
        <v>400</v>
      </c>
      <c r="D36" s="46">
        <f>'Quote Master'!$H$110</f>
        <v>424771</v>
      </c>
      <c r="E36" s="1"/>
    </row>
    <row r="37" spans="2:5" x14ac:dyDescent="0.25">
      <c r="B37" s="607"/>
      <c r="C37" s="46" t="s">
        <v>595</v>
      </c>
      <c r="D37" s="46">
        <f>D35+250000</f>
        <v>1350000</v>
      </c>
    </row>
    <row r="38" spans="2:5" x14ac:dyDescent="0.25">
      <c r="B38" s="7"/>
      <c r="E38" s="1"/>
    </row>
    <row r="39" spans="2:5" x14ac:dyDescent="0.25">
      <c r="B39" s="607" t="s">
        <v>402</v>
      </c>
      <c r="C39" s="1" t="s">
        <v>596</v>
      </c>
      <c r="D39" s="1">
        <f>750000*1.1</f>
        <v>825000.00000000012</v>
      </c>
      <c r="E39" s="1"/>
    </row>
    <row r="40" spans="2:5" x14ac:dyDescent="0.25">
      <c r="B40" s="607"/>
      <c r="C40" s="1" t="s">
        <v>198</v>
      </c>
      <c r="D40" s="1">
        <f>950000*1.1</f>
        <v>1045000.0000000001</v>
      </c>
      <c r="E40" s="1"/>
    </row>
    <row r="41" spans="2:5" x14ac:dyDescent="0.25">
      <c r="B41" s="7"/>
      <c r="C41" s="164" t="s">
        <v>404</v>
      </c>
      <c r="D41" s="46">
        <f>'Quote Master'!$H$113</f>
        <v>351032</v>
      </c>
      <c r="E41" s="1"/>
    </row>
    <row r="42" spans="2:5" x14ac:dyDescent="0.25">
      <c r="B42" s="7"/>
      <c r="E42" s="1"/>
    </row>
    <row r="43" spans="2:5" x14ac:dyDescent="0.25">
      <c r="B43" s="607" t="s">
        <v>597</v>
      </c>
      <c r="C43" s="1" t="s">
        <v>598</v>
      </c>
      <c r="D43" s="1">
        <f>84490*1.1</f>
        <v>92939.000000000015</v>
      </c>
      <c r="E43" s="1"/>
    </row>
    <row r="44" spans="2:5" x14ac:dyDescent="0.25">
      <c r="B44" s="607"/>
      <c r="C44" s="1" t="s">
        <v>599</v>
      </c>
      <c r="D44" s="1">
        <f>344490*1.12</f>
        <v>385828.80000000005</v>
      </c>
      <c r="E44" s="1"/>
    </row>
    <row r="45" spans="2:5" x14ac:dyDescent="0.25">
      <c r="B45" s="7"/>
      <c r="E45" s="1"/>
    </row>
    <row r="46" spans="2:5" x14ac:dyDescent="0.25">
      <c r="E46" s="1"/>
    </row>
    <row r="47" spans="2:5" x14ac:dyDescent="0.25">
      <c r="E47" s="1"/>
    </row>
    <row r="48" spans="2:5" x14ac:dyDescent="0.25">
      <c r="B48" s="1" t="s">
        <v>405</v>
      </c>
      <c r="C48" s="1" t="s">
        <v>406</v>
      </c>
      <c r="D48" s="1">
        <f>7656*1.15</f>
        <v>8804.4</v>
      </c>
      <c r="E48" s="1"/>
    </row>
    <row r="49" spans="2:5" x14ac:dyDescent="0.25">
      <c r="B49" s="1" t="s">
        <v>407</v>
      </c>
      <c r="C49" s="1" t="s">
        <v>406</v>
      </c>
      <c r="D49" s="1">
        <f>6590*1.15</f>
        <v>7578.4999999999991</v>
      </c>
      <c r="E49" s="1"/>
    </row>
    <row r="50" spans="2:5" x14ac:dyDescent="0.25">
      <c r="B50" s="1" t="s">
        <v>408</v>
      </c>
      <c r="C50" s="1" t="s">
        <v>406</v>
      </c>
      <c r="D50" s="1">
        <f>3685*1.15</f>
        <v>4237.75</v>
      </c>
      <c r="E50" s="1"/>
    </row>
  </sheetData>
  <mergeCells count="10">
    <mergeCell ref="B4:B5"/>
    <mergeCell ref="B43:B44"/>
    <mergeCell ref="B20:B21"/>
    <mergeCell ref="B25:B27"/>
    <mergeCell ref="B28:B29"/>
    <mergeCell ref="B39:B40"/>
    <mergeCell ref="B7:B10"/>
    <mergeCell ref="B12:B14"/>
    <mergeCell ref="B16:B18"/>
    <mergeCell ref="B31:B37"/>
  </mergeCells>
  <pageMargins left="0.7" right="0.7" top="0.75" bottom="0.75" header="0.3" footer="0.3"/>
  <pageSetup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G14"/>
  <sheetViews>
    <sheetView workbookViewId="0">
      <selection activeCell="E17" sqref="E17"/>
    </sheetView>
  </sheetViews>
  <sheetFormatPr defaultRowHeight="15" x14ac:dyDescent="0.25"/>
  <cols>
    <col min="1" max="1" width="27.28515625" bestFit="1" customWidth="1"/>
    <col min="2" max="2" width="9.7109375" bestFit="1" customWidth="1"/>
    <col min="3" max="3" width="24.7109375" customWidth="1"/>
    <col min="4" max="4" width="14.85546875" bestFit="1" customWidth="1"/>
  </cols>
  <sheetData>
    <row r="1" spans="1:7" x14ac:dyDescent="0.25">
      <c r="A1" s="2" t="s">
        <v>128</v>
      </c>
      <c r="B1" s="2">
        <v>0.6</v>
      </c>
      <c r="C1" s="1"/>
      <c r="D1" s="1"/>
      <c r="E1" s="1"/>
      <c r="F1" s="1"/>
      <c r="G1" s="1"/>
    </row>
    <row r="2" spans="1:7" x14ac:dyDescent="0.25">
      <c r="A2" s="2"/>
      <c r="B2" s="2"/>
      <c r="C2" s="1"/>
      <c r="D2" s="1"/>
      <c r="E2" s="1"/>
      <c r="F2" s="1"/>
      <c r="G2" s="1"/>
    </row>
    <row r="3" spans="1:7" x14ac:dyDescent="0.25">
      <c r="A3" s="2" t="s">
        <v>324</v>
      </c>
      <c r="B3" s="2" t="s">
        <v>317</v>
      </c>
      <c r="C3" s="2" t="s">
        <v>600</v>
      </c>
      <c r="D3" s="1"/>
      <c r="E3" s="1"/>
      <c r="F3" s="1"/>
      <c r="G3" s="1"/>
    </row>
    <row r="4" spans="1:7" x14ac:dyDescent="0.25">
      <c r="A4" s="1" t="s">
        <v>601</v>
      </c>
      <c r="B4" s="1">
        <v>235000</v>
      </c>
      <c r="C4" s="3">
        <f>B4/$B$1</f>
        <v>391666.66666666669</v>
      </c>
      <c r="D4" s="1" t="s">
        <v>602</v>
      </c>
      <c r="E4" s="1"/>
      <c r="F4" s="1"/>
      <c r="G4" s="1"/>
    </row>
    <row r="5" spans="1:7" x14ac:dyDescent="0.25">
      <c r="A5" s="1" t="s">
        <v>603</v>
      </c>
      <c r="B5" s="1">
        <v>129000</v>
      </c>
      <c r="C5" s="1">
        <f t="shared" ref="C5:C10" si="0">B5/$B$1</f>
        <v>215000</v>
      </c>
      <c r="D5" s="1"/>
      <c r="E5" s="1"/>
      <c r="F5" s="1"/>
      <c r="G5" s="1"/>
    </row>
    <row r="6" spans="1:7" x14ac:dyDescent="0.25">
      <c r="A6" s="1" t="s">
        <v>604</v>
      </c>
      <c r="B6" s="1">
        <v>350000</v>
      </c>
      <c r="C6" s="3">
        <f t="shared" si="0"/>
        <v>583333.33333333337</v>
      </c>
      <c r="D6" s="1"/>
      <c r="E6" s="1"/>
      <c r="F6" s="1"/>
      <c r="G6" s="1"/>
    </row>
    <row r="7" spans="1:7" x14ac:dyDescent="0.25">
      <c r="A7" s="1" t="s">
        <v>605</v>
      </c>
      <c r="B7" s="1">
        <v>107000</v>
      </c>
      <c r="C7" s="1">
        <f t="shared" si="0"/>
        <v>178333.33333333334</v>
      </c>
      <c r="D7" s="1"/>
      <c r="E7" s="1"/>
      <c r="F7" s="1"/>
      <c r="G7" s="1"/>
    </row>
    <row r="8" spans="1:7" x14ac:dyDescent="0.25">
      <c r="A8" s="1" t="s">
        <v>606</v>
      </c>
      <c r="B8" s="1">
        <f>60000+15000</f>
        <v>75000</v>
      </c>
      <c r="C8" s="1">
        <f t="shared" si="0"/>
        <v>125000</v>
      </c>
      <c r="D8" s="1" t="s">
        <v>607</v>
      </c>
      <c r="E8" s="1"/>
      <c r="F8" s="1"/>
      <c r="G8" s="1"/>
    </row>
    <row r="9" spans="1:7" x14ac:dyDescent="0.25">
      <c r="A9" s="1" t="s">
        <v>608</v>
      </c>
      <c r="B9" s="1">
        <v>77000</v>
      </c>
      <c r="C9" s="3">
        <f t="shared" si="0"/>
        <v>128333.33333333334</v>
      </c>
      <c r="D9" s="1"/>
      <c r="E9" s="1"/>
      <c r="F9" s="1"/>
      <c r="G9" s="1"/>
    </row>
    <row r="10" spans="1:7" x14ac:dyDescent="0.25">
      <c r="A10" s="1" t="s">
        <v>609</v>
      </c>
      <c r="B10" s="1">
        <f>31000-12000</f>
        <v>19000</v>
      </c>
      <c r="C10" s="3">
        <f t="shared" si="0"/>
        <v>31666.666666666668</v>
      </c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2" t="s">
        <v>610</v>
      </c>
      <c r="B12" s="3">
        <f>SUM(B4:B10)</f>
        <v>992000</v>
      </c>
      <c r="C12" s="3">
        <f>SUM(C4:C10)</f>
        <v>1653333.3333333333</v>
      </c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EEE7C-C6CC-4727-8EBB-2D1D609F376E}">
  <dimension ref="A1:J5"/>
  <sheetViews>
    <sheetView zoomScale="160" zoomScaleNormal="160" workbookViewId="0">
      <selection activeCell="E18" sqref="E18"/>
    </sheetView>
  </sheetViews>
  <sheetFormatPr defaultRowHeight="15" x14ac:dyDescent="0.25"/>
  <cols>
    <col min="1" max="1" width="6.140625" bestFit="1" customWidth="1"/>
    <col min="2" max="2" width="16.5703125" bestFit="1" customWidth="1"/>
    <col min="3" max="3" width="4" bestFit="1" customWidth="1"/>
    <col min="4" max="4" width="14" bestFit="1" customWidth="1"/>
    <col min="5" max="5" width="11.5703125" bestFit="1" customWidth="1"/>
  </cols>
  <sheetData>
    <row r="1" spans="1:10" x14ac:dyDescent="0.25">
      <c r="A1" s="247" t="s">
        <v>571</v>
      </c>
      <c r="B1" s="247" t="s">
        <v>611</v>
      </c>
      <c r="C1" s="247" t="s">
        <v>575</v>
      </c>
      <c r="D1" s="247" t="s">
        <v>612</v>
      </c>
      <c r="E1" s="247" t="s">
        <v>578</v>
      </c>
    </row>
    <row r="2" spans="1:10" x14ac:dyDescent="0.25">
      <c r="A2" s="58">
        <v>1</v>
      </c>
      <c r="B2" s="238" t="s">
        <v>613</v>
      </c>
      <c r="C2" s="235">
        <v>100</v>
      </c>
      <c r="D2" s="223">
        <f>VLOOKUP(B2,'Quote Master'!$C$133:$I$135,7,0)</f>
        <v>1555.5555555555554</v>
      </c>
      <c r="E2" s="58">
        <f>D2*C2</f>
        <v>155555.55555555553</v>
      </c>
    </row>
    <row r="3" spans="1:10" x14ac:dyDescent="0.25">
      <c r="A3" s="58">
        <v>2</v>
      </c>
      <c r="B3" s="238" t="s">
        <v>614</v>
      </c>
      <c r="C3" s="58">
        <v>0</v>
      </c>
      <c r="D3" s="223">
        <f>VLOOKUP(B3,'Quote Master'!$C$133:$I$135,7,0)</f>
        <v>5641.4814814814808</v>
      </c>
      <c r="E3" s="58">
        <f t="shared" ref="E3:E4" si="0">D3*C3</f>
        <v>0</v>
      </c>
    </row>
    <row r="4" spans="1:10" x14ac:dyDescent="0.25">
      <c r="A4" s="58">
        <v>3</v>
      </c>
      <c r="B4" s="238" t="s">
        <v>615</v>
      </c>
      <c r="C4" s="58">
        <v>174</v>
      </c>
      <c r="D4" s="223">
        <f>VLOOKUP(B4,'Quote Master'!$C$133:$I$135,7,0)</f>
        <v>3986.6666666666665</v>
      </c>
      <c r="E4" s="58">
        <f t="shared" si="0"/>
        <v>693680</v>
      </c>
      <c r="J4">
        <f>126*1.4</f>
        <v>176.39999999999998</v>
      </c>
    </row>
    <row r="5" spans="1:10" x14ac:dyDescent="0.25">
      <c r="D5" s="222" t="s">
        <v>477</v>
      </c>
      <c r="E5" s="241">
        <f>SUM(E2:E4)</f>
        <v>849235.5555555555</v>
      </c>
      <c r="J5">
        <f>1.6*100</f>
        <v>160</v>
      </c>
    </row>
  </sheetData>
  <pageMargins left="0.75" right="0.75" top="1" bottom="1" header="0.5" footer="0.5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CA4D9-2528-4B94-9CBF-B9202CDF3A23}">
  <dimension ref="A1:I4"/>
  <sheetViews>
    <sheetView workbookViewId="0">
      <selection activeCell="H13" sqref="H13"/>
    </sheetView>
  </sheetViews>
  <sheetFormatPr defaultRowHeight="15" x14ac:dyDescent="0.25"/>
  <cols>
    <col min="1" max="1" width="6.140625" bestFit="1" customWidth="1"/>
    <col min="2" max="2" width="8.85546875" bestFit="1" customWidth="1"/>
    <col min="3" max="3" width="11.140625" bestFit="1" customWidth="1"/>
    <col min="4" max="4" width="14.42578125" bestFit="1" customWidth="1"/>
    <col min="5" max="5" width="6.7109375" bestFit="1" customWidth="1"/>
    <col min="6" max="6" width="13.5703125" bestFit="1" customWidth="1"/>
    <col min="7" max="7" width="4" bestFit="1" customWidth="1"/>
    <col min="8" max="8" width="13.85546875" bestFit="1" customWidth="1"/>
    <col min="9" max="9" width="11.5703125" bestFit="1" customWidth="1"/>
  </cols>
  <sheetData>
    <row r="1" spans="1:9" x14ac:dyDescent="0.25">
      <c r="A1" s="377" t="s">
        <v>571</v>
      </c>
      <c r="B1" s="377" t="s">
        <v>572</v>
      </c>
      <c r="C1" s="377" t="s">
        <v>616</v>
      </c>
      <c r="D1" s="377" t="s">
        <v>617</v>
      </c>
      <c r="E1" s="377" t="s">
        <v>466</v>
      </c>
      <c r="F1" s="377" t="s">
        <v>573</v>
      </c>
      <c r="G1" s="377" t="s">
        <v>575</v>
      </c>
      <c r="H1" s="377" t="s">
        <v>612</v>
      </c>
      <c r="I1" s="377" t="s">
        <v>578</v>
      </c>
    </row>
    <row r="2" spans="1:9" x14ac:dyDescent="0.25">
      <c r="A2">
        <v>1</v>
      </c>
      <c r="B2" t="s">
        <v>618</v>
      </c>
      <c r="C2" t="s">
        <v>619</v>
      </c>
      <c r="D2" s="235" t="s">
        <v>620</v>
      </c>
      <c r="E2">
        <v>0</v>
      </c>
      <c r="F2" t="s">
        <v>621</v>
      </c>
      <c r="G2">
        <v>0</v>
      </c>
      <c r="H2">
        <f>VLOOKUP(D2,'Quote Master'!$C$124:$I$132,7,0)</f>
        <v>9000</v>
      </c>
      <c r="I2">
        <f t="shared" ref="I2:I3" si="0">H2*G2</f>
        <v>0</v>
      </c>
    </row>
    <row r="3" spans="1:9" x14ac:dyDescent="0.25">
      <c r="A3">
        <v>2</v>
      </c>
      <c r="B3" t="s">
        <v>618</v>
      </c>
      <c r="C3" t="s">
        <v>622</v>
      </c>
      <c r="D3" s="235" t="s">
        <v>623</v>
      </c>
      <c r="E3">
        <v>0</v>
      </c>
      <c r="F3" t="s">
        <v>621</v>
      </c>
      <c r="G3">
        <f>11+11</f>
        <v>22</v>
      </c>
      <c r="H3">
        <f>VLOOKUP(D3,'Quote Master'!$C$124:$I$132,7,0)</f>
        <v>11000</v>
      </c>
      <c r="I3">
        <f t="shared" si="0"/>
        <v>242000</v>
      </c>
    </row>
    <row r="4" spans="1:9" x14ac:dyDescent="0.25">
      <c r="H4" s="8" t="s">
        <v>477</v>
      </c>
      <c r="I4" s="237">
        <f>SUM(I2:I3)</f>
        <v>242000</v>
      </c>
    </row>
  </sheetData>
  <pageMargins left="0.75" right="0.75" top="1" bottom="1" header="0.5" footer="0.5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C1:AE40"/>
  <sheetViews>
    <sheetView zoomScale="70" zoomScaleNormal="70" workbookViewId="0">
      <selection activeCell="Y26" sqref="Y26"/>
    </sheetView>
  </sheetViews>
  <sheetFormatPr defaultRowHeight="15" x14ac:dyDescent="0.25"/>
  <cols>
    <col min="3" max="3" width="14.7109375" customWidth="1"/>
  </cols>
  <sheetData>
    <row r="1" spans="3:31" ht="15.75" thickBot="1" x14ac:dyDescent="0.3"/>
    <row r="2" spans="3:31" x14ac:dyDescent="0.25">
      <c r="F2" s="19"/>
      <c r="G2" s="609" t="s">
        <v>624</v>
      </c>
      <c r="H2" s="609"/>
      <c r="I2" s="609"/>
      <c r="J2" s="609"/>
      <c r="K2" s="609"/>
      <c r="L2" s="20"/>
      <c r="M2" s="19"/>
      <c r="N2" s="609" t="s">
        <v>625</v>
      </c>
      <c r="O2" s="609"/>
      <c r="P2" s="609"/>
      <c r="Q2" s="609"/>
      <c r="R2" s="26"/>
      <c r="S2" s="20"/>
      <c r="T2" s="610" t="s">
        <v>626</v>
      </c>
      <c r="U2" s="609"/>
      <c r="V2" s="609"/>
      <c r="W2" s="609"/>
      <c r="X2" s="609"/>
      <c r="Y2" s="609"/>
      <c r="Z2" s="609"/>
      <c r="AA2" s="609"/>
      <c r="AB2" s="609"/>
      <c r="AC2" s="609"/>
      <c r="AD2" s="609"/>
      <c r="AE2" s="20"/>
    </row>
    <row r="3" spans="3:31" x14ac:dyDescent="0.25">
      <c r="C3" s="1" t="s">
        <v>626</v>
      </c>
      <c r="F3" s="21"/>
      <c r="L3" s="22"/>
      <c r="M3" s="21"/>
      <c r="S3" s="22"/>
      <c r="T3" s="21"/>
      <c r="AE3" s="22"/>
    </row>
    <row r="4" spans="3:31" x14ac:dyDescent="0.25">
      <c r="C4" s="1">
        <v>1242</v>
      </c>
      <c r="F4" s="21"/>
      <c r="L4" s="22"/>
      <c r="M4" s="21"/>
      <c r="S4" s="22"/>
      <c r="T4" s="21"/>
      <c r="AE4" s="22"/>
    </row>
    <row r="5" spans="3:31" x14ac:dyDescent="0.25">
      <c r="C5" s="1" t="s">
        <v>624</v>
      </c>
      <c r="F5" s="21"/>
      <c r="L5" s="22"/>
      <c r="M5" s="21"/>
      <c r="S5" s="22"/>
      <c r="T5" s="21"/>
      <c r="AE5" s="22"/>
    </row>
    <row r="6" spans="3:31" x14ac:dyDescent="0.25">
      <c r="C6" s="1" t="s">
        <v>625</v>
      </c>
      <c r="F6" s="21"/>
      <c r="L6" s="22"/>
      <c r="M6" s="21"/>
      <c r="S6" s="22"/>
      <c r="T6" s="21"/>
      <c r="AE6" s="22"/>
    </row>
    <row r="7" spans="3:31" x14ac:dyDescent="0.25">
      <c r="F7" s="21"/>
      <c r="L7" s="22"/>
      <c r="M7" s="21"/>
      <c r="S7" s="22"/>
      <c r="T7" s="21"/>
      <c r="AE7" s="22"/>
    </row>
    <row r="8" spans="3:31" x14ac:dyDescent="0.25">
      <c r="F8" s="21"/>
      <c r="L8" s="22"/>
      <c r="M8" s="21"/>
      <c r="S8" s="22"/>
      <c r="T8" s="21"/>
      <c r="AE8" s="22"/>
    </row>
    <row r="9" spans="3:31" x14ac:dyDescent="0.25">
      <c r="F9" s="21"/>
      <c r="L9" s="22"/>
      <c r="M9" s="21"/>
      <c r="S9" s="22"/>
      <c r="T9" s="21"/>
      <c r="AE9" s="22"/>
    </row>
    <row r="10" spans="3:31" x14ac:dyDescent="0.25">
      <c r="F10" s="21"/>
      <c r="L10" s="22"/>
      <c r="M10" s="21"/>
      <c r="S10" s="22"/>
      <c r="T10" s="21"/>
      <c r="AE10" s="22"/>
    </row>
    <row r="11" spans="3:31" x14ac:dyDescent="0.25">
      <c r="F11" s="21"/>
      <c r="L11" s="22"/>
      <c r="M11" s="21"/>
      <c r="S11" s="22"/>
      <c r="T11" s="21"/>
      <c r="AE11" s="22"/>
    </row>
    <row r="12" spans="3:31" x14ac:dyDescent="0.25">
      <c r="F12" s="21"/>
      <c r="L12" s="22"/>
      <c r="M12" s="21"/>
      <c r="S12" s="22"/>
      <c r="T12" s="21"/>
      <c r="AE12" s="22"/>
    </row>
    <row r="13" spans="3:31" x14ac:dyDescent="0.25">
      <c r="F13" s="21"/>
      <c r="L13" s="22"/>
      <c r="M13" s="21"/>
      <c r="S13" s="22"/>
      <c r="T13" s="21"/>
      <c r="AE13" s="22"/>
    </row>
    <row r="14" spans="3:31" x14ac:dyDescent="0.25">
      <c r="F14" s="21"/>
      <c r="L14" s="22"/>
      <c r="M14" s="21"/>
      <c r="S14" s="22"/>
      <c r="T14" s="21"/>
      <c r="AE14" s="22"/>
    </row>
    <row r="15" spans="3:31" x14ac:dyDescent="0.25">
      <c r="F15" s="21"/>
      <c r="L15" s="22"/>
      <c r="M15" s="21"/>
      <c r="S15" s="22"/>
      <c r="T15" s="21"/>
      <c r="AE15" s="22"/>
    </row>
    <row r="16" spans="3:31" x14ac:dyDescent="0.25">
      <c r="F16" s="21"/>
      <c r="L16" s="22"/>
      <c r="M16" s="21"/>
      <c r="S16" s="22"/>
      <c r="T16" s="21"/>
      <c r="AE16" s="22"/>
    </row>
    <row r="17" spans="3:31" x14ac:dyDescent="0.25">
      <c r="F17" s="21"/>
      <c r="L17" s="22"/>
      <c r="M17" s="21"/>
      <c r="S17" s="22"/>
      <c r="T17" s="21"/>
      <c r="AE17" s="22"/>
    </row>
    <row r="18" spans="3:31" x14ac:dyDescent="0.25">
      <c r="F18" s="21"/>
      <c r="L18" s="22"/>
      <c r="M18" s="21"/>
      <c r="S18" s="22"/>
      <c r="T18" s="21"/>
      <c r="AE18" s="22"/>
    </row>
    <row r="19" spans="3:31" ht="15.75" thickBot="1" x14ac:dyDescent="0.3">
      <c r="F19" s="23"/>
      <c r="G19" s="24"/>
      <c r="H19" s="24"/>
      <c r="I19" s="24"/>
      <c r="J19" s="24"/>
      <c r="K19" s="24"/>
      <c r="L19" s="25"/>
      <c r="M19" s="23"/>
      <c r="N19" s="24"/>
      <c r="O19" s="24"/>
      <c r="P19" s="24"/>
      <c r="Q19" s="24"/>
      <c r="R19" s="24"/>
      <c r="S19" s="25"/>
      <c r="T19" s="23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5"/>
    </row>
    <row r="21" spans="3:31" ht="15.75" thickBot="1" x14ac:dyDescent="0.3"/>
    <row r="22" spans="3:31" x14ac:dyDescent="0.25">
      <c r="F22" s="610" t="s">
        <v>627</v>
      </c>
      <c r="G22" s="609"/>
      <c r="H22" s="609"/>
      <c r="I22" s="609"/>
      <c r="J22" s="609"/>
      <c r="K22" s="609"/>
      <c r="L22" s="609"/>
      <c r="M22" s="609"/>
      <c r="N22" s="609"/>
      <c r="O22" s="609"/>
      <c r="P22" s="609"/>
      <c r="Q22" s="20"/>
    </row>
    <row r="23" spans="3:31" x14ac:dyDescent="0.25">
      <c r="F23" s="21"/>
      <c r="Q23" s="22"/>
    </row>
    <row r="24" spans="3:31" x14ac:dyDescent="0.25">
      <c r="F24" s="21"/>
      <c r="Q24" s="22"/>
    </row>
    <row r="25" spans="3:31" x14ac:dyDescent="0.25">
      <c r="F25" s="21"/>
      <c r="Q25" s="22"/>
    </row>
    <row r="26" spans="3:31" x14ac:dyDescent="0.25">
      <c r="F26" s="21"/>
      <c r="Q26" s="22"/>
    </row>
    <row r="27" spans="3:31" ht="15.75" thickBot="1" x14ac:dyDescent="0.3">
      <c r="F27" s="21"/>
      <c r="Q27" s="22"/>
    </row>
    <row r="28" spans="3:31" x14ac:dyDescent="0.25">
      <c r="C28" s="29" t="s">
        <v>628</v>
      </c>
      <c r="F28" s="21"/>
      <c r="Q28" s="22"/>
    </row>
    <row r="29" spans="3:31" x14ac:dyDescent="0.25">
      <c r="F29" s="21"/>
      <c r="Q29" s="22"/>
    </row>
    <row r="30" spans="3:31" x14ac:dyDescent="0.25">
      <c r="F30" s="21"/>
      <c r="Q30" s="22"/>
    </row>
    <row r="31" spans="3:31" x14ac:dyDescent="0.25">
      <c r="F31" s="21"/>
      <c r="Q31" s="22"/>
    </row>
    <row r="32" spans="3:31" x14ac:dyDescent="0.25">
      <c r="F32" s="21"/>
      <c r="Q32" s="22"/>
    </row>
    <row r="33" spans="6:17" x14ac:dyDescent="0.25">
      <c r="F33" s="21"/>
      <c r="Q33" s="22"/>
    </row>
    <row r="34" spans="6:17" x14ac:dyDescent="0.25">
      <c r="F34" s="21"/>
      <c r="Q34" s="22"/>
    </row>
    <row r="35" spans="6:17" x14ac:dyDescent="0.25">
      <c r="F35" s="21"/>
      <c r="Q35" s="22"/>
    </row>
    <row r="36" spans="6:17" x14ac:dyDescent="0.25">
      <c r="F36" s="21"/>
      <c r="Q36" s="22"/>
    </row>
    <row r="37" spans="6:17" x14ac:dyDescent="0.25">
      <c r="F37" s="21"/>
      <c r="Q37" s="22"/>
    </row>
    <row r="38" spans="6:17" x14ac:dyDescent="0.25">
      <c r="F38" s="21"/>
      <c r="Q38" s="22"/>
    </row>
    <row r="39" spans="6:17" x14ac:dyDescent="0.25">
      <c r="F39" s="21"/>
      <c r="Q39" s="22"/>
    </row>
    <row r="40" spans="6:17" ht="15.75" thickBot="1" x14ac:dyDescent="0.3">
      <c r="F40" s="23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</row>
  </sheetData>
  <mergeCells count="4">
    <mergeCell ref="G2:K2"/>
    <mergeCell ref="N2:Q2"/>
    <mergeCell ref="T2:AD2"/>
    <mergeCell ref="F22:P22"/>
  </mergeCells>
  <pageMargins left="0.7" right="0.7" top="0.75" bottom="0.75" header="0.3" footer="0.3"/>
  <pageSetup orientation="portrait" horizontalDpi="3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B1:G33"/>
  <sheetViews>
    <sheetView zoomScale="91" zoomScaleNormal="91" workbookViewId="0">
      <selection activeCell="D30" sqref="D30"/>
    </sheetView>
  </sheetViews>
  <sheetFormatPr defaultRowHeight="15" x14ac:dyDescent="0.25"/>
  <cols>
    <col min="1" max="1" width="22.42578125" customWidth="1"/>
    <col min="2" max="2" width="32.85546875" bestFit="1" customWidth="1"/>
    <col min="3" max="3" width="17.85546875" bestFit="1" customWidth="1"/>
    <col min="4" max="4" width="19.85546875" bestFit="1" customWidth="1"/>
    <col min="5" max="5" width="14.5703125" customWidth="1"/>
    <col min="6" max="6" width="16.42578125" customWidth="1"/>
    <col min="7" max="7" width="20.5703125" customWidth="1"/>
  </cols>
  <sheetData>
    <row r="1" spans="2:7" x14ac:dyDescent="0.25">
      <c r="G1" t="s">
        <v>181</v>
      </c>
    </row>
    <row r="2" spans="2:7" x14ac:dyDescent="0.25">
      <c r="G2" t="s">
        <v>290</v>
      </c>
    </row>
    <row r="3" spans="2:7" x14ac:dyDescent="0.25">
      <c r="B3" s="8" t="s">
        <v>629</v>
      </c>
      <c r="G3" t="e">
        <f>IF(VLOOKUP(#REF!,#REF!,7,0)="Yes","LSM","")</f>
        <v>#REF!</v>
      </c>
    </row>
    <row r="4" spans="2:7" x14ac:dyDescent="0.25">
      <c r="B4" t="s">
        <v>202</v>
      </c>
    </row>
    <row r="5" spans="2:7" x14ac:dyDescent="0.25">
      <c r="B5" t="s">
        <v>268</v>
      </c>
    </row>
    <row r="7" spans="2:7" x14ac:dyDescent="0.25">
      <c r="B7" s="8" t="s">
        <v>630</v>
      </c>
      <c r="G7" t="e">
        <f>IF(#REF!="yes","HAA-Falcon Standard","")</f>
        <v>#REF!</v>
      </c>
    </row>
    <row r="8" spans="2:7" x14ac:dyDescent="0.25">
      <c r="B8" t="s">
        <v>589</v>
      </c>
      <c r="G8" t="e">
        <f>IF(#REF!="yes","HAA-Amazon Standard","")</f>
        <v>#REF!</v>
      </c>
    </row>
    <row r="9" spans="2:7" x14ac:dyDescent="0.25">
      <c r="B9" t="s">
        <v>176</v>
      </c>
    </row>
    <row r="10" spans="2:7" x14ac:dyDescent="0.25">
      <c r="B10" s="229" t="s">
        <v>590</v>
      </c>
    </row>
    <row r="12" spans="2:7" x14ac:dyDescent="0.25">
      <c r="B12" s="8" t="s">
        <v>631</v>
      </c>
    </row>
    <row r="13" spans="2:7" x14ac:dyDescent="0.25">
      <c r="B13" t="s">
        <v>145</v>
      </c>
    </row>
    <row r="14" spans="2:7" x14ac:dyDescent="0.25">
      <c r="B14" t="s">
        <v>148</v>
      </c>
    </row>
    <row r="16" spans="2:7" x14ac:dyDescent="0.25">
      <c r="B16" s="8" t="s">
        <v>632</v>
      </c>
    </row>
    <row r="17" spans="2:7" x14ac:dyDescent="0.25">
      <c r="B17" t="s">
        <v>633</v>
      </c>
    </row>
    <row r="18" spans="2:7" x14ac:dyDescent="0.25">
      <c r="B18" t="s">
        <v>634</v>
      </c>
    </row>
    <row r="22" spans="2:7" x14ac:dyDescent="0.25">
      <c r="B22" t="s">
        <v>635</v>
      </c>
      <c r="C22" s="1" t="s">
        <v>636</v>
      </c>
    </row>
    <row r="23" spans="2:7" s="1" customFormat="1" x14ac:dyDescent="0.25">
      <c r="B23" s="18" t="s">
        <v>440</v>
      </c>
      <c r="C23" s="1" t="s">
        <v>448</v>
      </c>
      <c r="G23" s="2" t="s">
        <v>637</v>
      </c>
    </row>
    <row r="24" spans="2:7" s="1" customFormat="1" x14ac:dyDescent="0.25">
      <c r="C24" s="1" t="s">
        <v>638</v>
      </c>
      <c r="G24" s="1" t="s">
        <v>639</v>
      </c>
    </row>
    <row r="25" spans="2:7" s="1" customFormat="1" x14ac:dyDescent="0.25">
      <c r="G25" s="1" t="s">
        <v>640</v>
      </c>
    </row>
    <row r="26" spans="2:7" s="1" customFormat="1" x14ac:dyDescent="0.25">
      <c r="G26" s="1" t="s">
        <v>641</v>
      </c>
    </row>
    <row r="27" spans="2:7" s="1" customFormat="1" x14ac:dyDescent="0.25">
      <c r="G27" s="1" t="s">
        <v>642</v>
      </c>
    </row>
    <row r="28" spans="2:7" s="1" customFormat="1" x14ac:dyDescent="0.25">
      <c r="G28" s="1" t="s">
        <v>643</v>
      </c>
    </row>
    <row r="29" spans="2:7" s="1" customFormat="1" x14ac:dyDescent="0.25">
      <c r="G29" s="1" t="s">
        <v>644</v>
      </c>
    </row>
    <row r="30" spans="2:7" s="1" customFormat="1" x14ac:dyDescent="0.25"/>
    <row r="31" spans="2:7" s="1" customFormat="1" x14ac:dyDescent="0.25"/>
    <row r="32" spans="2:7" s="1" customFormat="1" x14ac:dyDescent="0.25"/>
    <row r="33" s="1" customFormat="1" x14ac:dyDescent="0.25"/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95DB-1E93-47E5-B8B3-174923838CD6}">
  <sheetPr>
    <tabColor rgb="FFFF0000"/>
  </sheetPr>
  <dimension ref="B2:F20"/>
  <sheetViews>
    <sheetView zoomScale="120" zoomScaleNormal="120" workbookViewId="0">
      <selection activeCell="F17" sqref="F17"/>
    </sheetView>
  </sheetViews>
  <sheetFormatPr defaultColWidth="8.7109375" defaultRowHeight="15" x14ac:dyDescent="0.25"/>
  <cols>
    <col min="1" max="1" width="8.7109375" style="1"/>
    <col min="2" max="2" width="30.7109375" style="1" customWidth="1"/>
    <col min="3" max="3" width="21.85546875" style="1" customWidth="1"/>
    <col min="4" max="4" width="17.7109375" style="1" customWidth="1"/>
    <col min="5" max="5" width="16.7109375" style="1" customWidth="1"/>
    <col min="6" max="16384" width="8.7109375" style="1"/>
  </cols>
  <sheetData>
    <row r="2" spans="2:6" x14ac:dyDescent="0.25">
      <c r="B2" s="2" t="s">
        <v>266</v>
      </c>
      <c r="C2" s="2" t="s">
        <v>267</v>
      </c>
      <c r="D2" s="2" t="s">
        <v>202</v>
      </c>
      <c r="E2" s="2" t="s">
        <v>268</v>
      </c>
      <c r="F2" s="2" t="s">
        <v>269</v>
      </c>
    </row>
    <row r="3" spans="2:6" x14ac:dyDescent="0.25">
      <c r="B3" s="1" t="s">
        <v>226</v>
      </c>
      <c r="C3" s="1" t="s">
        <v>636</v>
      </c>
      <c r="D3" s="1">
        <f>120170*1.125</f>
        <v>135191.25</v>
      </c>
      <c r="E3" s="1">
        <f>120170*1.125</f>
        <v>135191.25</v>
      </c>
      <c r="F3" s="1">
        <v>2</v>
      </c>
    </row>
    <row r="4" spans="2:6" x14ac:dyDescent="0.25">
      <c r="B4" s="1" t="s">
        <v>226</v>
      </c>
      <c r="C4" s="1" t="s">
        <v>448</v>
      </c>
      <c r="D4" s="1">
        <f>D3*1.1</f>
        <v>148710.375</v>
      </c>
      <c r="E4" s="1">
        <f>E3*1.1</f>
        <v>148710.375</v>
      </c>
      <c r="F4" s="1">
        <v>3</v>
      </c>
    </row>
    <row r="5" spans="2:6" x14ac:dyDescent="0.25">
      <c r="B5" s="1" t="s">
        <v>272</v>
      </c>
      <c r="C5" s="1" t="s">
        <v>636</v>
      </c>
      <c r="D5" s="1">
        <f>101317*1.125</f>
        <v>113981.625</v>
      </c>
      <c r="E5" s="1">
        <f>D5-24000+4000</f>
        <v>93981.625</v>
      </c>
      <c r="F5" s="1">
        <v>1</v>
      </c>
    </row>
    <row r="6" spans="2:6" x14ac:dyDescent="0.25">
      <c r="B6" s="1" t="s">
        <v>272</v>
      </c>
      <c r="C6" s="1" t="s">
        <v>448</v>
      </c>
      <c r="D6" s="1">
        <f>D5*1.1</f>
        <v>125379.78750000001</v>
      </c>
      <c r="E6" s="1">
        <f>E5*1.1</f>
        <v>103379.78750000001</v>
      </c>
      <c r="F6" s="1">
        <v>1</v>
      </c>
    </row>
    <row r="7" spans="2:6" x14ac:dyDescent="0.25">
      <c r="B7" s="1" t="s">
        <v>228</v>
      </c>
      <c r="C7" s="1" t="s">
        <v>636</v>
      </c>
      <c r="D7" s="1">
        <f>105817*1.125</f>
        <v>119044.125</v>
      </c>
      <c r="E7" s="1">
        <f>D7-24000+4000</f>
        <v>99044.125</v>
      </c>
      <c r="F7" s="1">
        <v>1</v>
      </c>
    </row>
    <row r="8" spans="2:6" x14ac:dyDescent="0.25">
      <c r="B8" s="1" t="s">
        <v>228</v>
      </c>
      <c r="C8" s="1" t="s">
        <v>448</v>
      </c>
      <c r="D8" s="1">
        <f>D7*1.1</f>
        <v>130948.53750000001</v>
      </c>
      <c r="E8" s="1">
        <f>E7*1.1</f>
        <v>108948.53750000001</v>
      </c>
      <c r="F8" s="1">
        <v>1.5</v>
      </c>
    </row>
    <row r="10" spans="2:6" x14ac:dyDescent="0.25">
      <c r="C10" s="1" t="s">
        <v>280</v>
      </c>
      <c r="D10" s="1">
        <f>198000*1.12</f>
        <v>221760.00000000003</v>
      </c>
    </row>
    <row r="11" spans="2:6" x14ac:dyDescent="0.25">
      <c r="C11" s="1" t="s">
        <v>281</v>
      </c>
      <c r="D11" s="1">
        <f>(75000/6)*1.15</f>
        <v>14374.999999999998</v>
      </c>
    </row>
    <row r="20" spans="3:3" x14ac:dyDescent="0.25">
      <c r="C20" s="28"/>
    </row>
  </sheetData>
  <phoneticPr fontId="20" type="noConversion"/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4FD5-74AD-44E4-82C2-675E08E7A8D9}">
  <sheetPr>
    <tabColor rgb="FFFF0000"/>
  </sheetPr>
  <dimension ref="B2:F23"/>
  <sheetViews>
    <sheetView zoomScale="120" zoomScaleNormal="120" workbookViewId="0">
      <selection activeCell="B30" sqref="B30"/>
    </sheetView>
  </sheetViews>
  <sheetFormatPr defaultColWidth="8.7109375" defaultRowHeight="15" x14ac:dyDescent="0.25"/>
  <cols>
    <col min="1" max="1" width="8.7109375" style="1"/>
    <col min="2" max="2" width="30.7109375" style="1" customWidth="1"/>
    <col min="3" max="3" width="21.85546875" style="1" customWidth="1"/>
    <col min="4" max="4" width="17.7109375" style="1" customWidth="1"/>
    <col min="5" max="5" width="16.7109375" style="1" customWidth="1"/>
    <col min="6" max="16384" width="8.7109375" style="1"/>
  </cols>
  <sheetData>
    <row r="2" spans="2:6" x14ac:dyDescent="0.25">
      <c r="B2" s="2" t="s">
        <v>266</v>
      </c>
      <c r="C2" s="2" t="s">
        <v>267</v>
      </c>
      <c r="D2" s="2" t="s">
        <v>202</v>
      </c>
      <c r="E2" s="2" t="s">
        <v>268</v>
      </c>
      <c r="F2" s="2" t="s">
        <v>269</v>
      </c>
    </row>
    <row r="3" spans="2:6" x14ac:dyDescent="0.25">
      <c r="B3" s="1" t="s">
        <v>226</v>
      </c>
      <c r="C3" s="1" t="s">
        <v>636</v>
      </c>
      <c r="D3" s="1">
        <f>120170*1.125</f>
        <v>135191.25</v>
      </c>
      <c r="E3" s="1">
        <f>120170*1.125</f>
        <v>135191.25</v>
      </c>
      <c r="F3" s="1">
        <v>2</v>
      </c>
    </row>
    <row r="4" spans="2:6" x14ac:dyDescent="0.25">
      <c r="B4" s="1" t="s">
        <v>226</v>
      </c>
      <c r="C4" s="1" t="s">
        <v>448</v>
      </c>
      <c r="D4" s="1">
        <f>D3*1.1</f>
        <v>148710.375</v>
      </c>
      <c r="E4" s="1">
        <f>E3*1.1</f>
        <v>148710.375</v>
      </c>
      <c r="F4" s="1">
        <v>2</v>
      </c>
    </row>
    <row r="5" spans="2:6" x14ac:dyDescent="0.25">
      <c r="B5" s="1" t="s">
        <v>226</v>
      </c>
      <c r="C5" s="1" t="s">
        <v>638</v>
      </c>
      <c r="D5" s="1">
        <f>D4*1.1</f>
        <v>163581.41250000001</v>
      </c>
      <c r="E5" s="1">
        <f>E4*1.1</f>
        <v>163581.41250000001</v>
      </c>
      <c r="F5" s="1">
        <v>2</v>
      </c>
    </row>
    <row r="6" spans="2:6" x14ac:dyDescent="0.25">
      <c r="B6" s="1" t="s">
        <v>272</v>
      </c>
      <c r="C6" s="1" t="s">
        <v>636</v>
      </c>
      <c r="D6" s="1">
        <f>101317*1.125</f>
        <v>113981.625</v>
      </c>
      <c r="E6" s="1">
        <f>D6-24000+4000</f>
        <v>93981.625</v>
      </c>
      <c r="F6" s="1">
        <v>1</v>
      </c>
    </row>
    <row r="7" spans="2:6" x14ac:dyDescent="0.25">
      <c r="B7" s="1" t="s">
        <v>272</v>
      </c>
      <c r="C7" s="1" t="s">
        <v>448</v>
      </c>
      <c r="D7" s="1">
        <f>D6*1.1</f>
        <v>125379.78750000001</v>
      </c>
      <c r="E7" s="1">
        <f>E6*1.1</f>
        <v>103379.78750000001</v>
      </c>
      <c r="F7" s="1">
        <v>1</v>
      </c>
    </row>
    <row r="8" spans="2:6" x14ac:dyDescent="0.25">
      <c r="B8" s="1" t="s">
        <v>272</v>
      </c>
      <c r="C8" s="1" t="s">
        <v>638</v>
      </c>
      <c r="D8" s="1">
        <f>D7*1.1</f>
        <v>137917.76625000002</v>
      </c>
      <c r="E8" s="1">
        <f>E7*1.1</f>
        <v>113717.76625000002</v>
      </c>
      <c r="F8" s="1">
        <v>1</v>
      </c>
    </row>
    <row r="9" spans="2:6" x14ac:dyDescent="0.25">
      <c r="B9" s="1" t="s">
        <v>228</v>
      </c>
      <c r="C9" s="1" t="s">
        <v>636</v>
      </c>
      <c r="D9" s="1">
        <f>105817*1.125</f>
        <v>119044.125</v>
      </c>
      <c r="E9" s="1">
        <f>D9-24000+4000</f>
        <v>99044.125</v>
      </c>
      <c r="F9" s="1">
        <v>1</v>
      </c>
    </row>
    <row r="10" spans="2:6" x14ac:dyDescent="0.25">
      <c r="B10" s="1" t="s">
        <v>228</v>
      </c>
      <c r="C10" s="1" t="s">
        <v>448</v>
      </c>
      <c r="D10" s="1">
        <f>D9*1.1</f>
        <v>130948.53750000001</v>
      </c>
      <c r="E10" s="1">
        <f>E9*1.1</f>
        <v>108948.53750000001</v>
      </c>
      <c r="F10" s="1">
        <v>1.5</v>
      </c>
    </row>
    <row r="11" spans="2:6" x14ac:dyDescent="0.25">
      <c r="B11" s="1" t="s">
        <v>228</v>
      </c>
      <c r="C11" s="1" t="s">
        <v>638</v>
      </c>
      <c r="D11" s="1">
        <f>D10*1.1</f>
        <v>144043.39125000002</v>
      </c>
      <c r="E11" s="1">
        <f>E10*1.1</f>
        <v>119843.39125000002</v>
      </c>
      <c r="F11" s="1">
        <v>1.5</v>
      </c>
    </row>
    <row r="13" spans="2:6" x14ac:dyDescent="0.25">
      <c r="C13" s="1" t="s">
        <v>280</v>
      </c>
      <c r="D13" s="1">
        <f>198000*1.12</f>
        <v>221760.00000000003</v>
      </c>
    </row>
    <row r="14" spans="2:6" x14ac:dyDescent="0.25">
      <c r="C14" s="1" t="s">
        <v>281</v>
      </c>
      <c r="D14" s="1">
        <f>(75000/6)*1.15</f>
        <v>14374.999999999998</v>
      </c>
    </row>
    <row r="23" spans="3:3" x14ac:dyDescent="0.25">
      <c r="C23" s="28"/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46649-131E-42D6-AC45-978710620CF6}">
  <sheetPr>
    <tabColor rgb="FFFFC000"/>
  </sheetPr>
  <dimension ref="A1:L27"/>
  <sheetViews>
    <sheetView zoomScale="115" zoomScaleNormal="115" workbookViewId="0">
      <selection activeCell="H27" sqref="H27"/>
    </sheetView>
  </sheetViews>
  <sheetFormatPr defaultRowHeight="15" x14ac:dyDescent="0.25"/>
  <cols>
    <col min="1" max="1" width="5.5703125" bestFit="1" customWidth="1"/>
    <col min="2" max="2" width="34.5703125" bestFit="1" customWidth="1"/>
    <col min="3" max="3" width="4.5703125" bestFit="1" customWidth="1"/>
    <col min="4" max="4" width="11.85546875" bestFit="1" customWidth="1"/>
    <col min="5" max="5" width="9.140625" bestFit="1" customWidth="1"/>
    <col min="6" max="6" width="11.42578125" bestFit="1" customWidth="1"/>
    <col min="7" max="7" width="12.5703125" bestFit="1" customWidth="1"/>
    <col min="8" max="8" width="74.42578125" bestFit="1" customWidth="1"/>
    <col min="9" max="9" width="15.28515625" bestFit="1" customWidth="1"/>
    <col min="11" max="11" width="16.85546875" bestFit="1" customWidth="1"/>
    <col min="12" max="12" width="4.42578125" bestFit="1" customWidth="1"/>
    <col min="14" max="14" width="11.28515625" bestFit="1" customWidth="1"/>
    <col min="17" max="17" width="12.85546875" bestFit="1" customWidth="1"/>
  </cols>
  <sheetData>
    <row r="1" spans="1:12" ht="15.75" x14ac:dyDescent="0.25">
      <c r="A1" s="105" t="s">
        <v>353</v>
      </c>
      <c r="B1" s="106" t="s">
        <v>436</v>
      </c>
      <c r="C1" s="106" t="s">
        <v>325</v>
      </c>
      <c r="D1" s="106" t="s">
        <v>645</v>
      </c>
      <c r="E1" s="106" t="s">
        <v>4</v>
      </c>
      <c r="F1" s="106" t="s">
        <v>317</v>
      </c>
      <c r="G1" s="106" t="s">
        <v>318</v>
      </c>
      <c r="K1" t="s">
        <v>646</v>
      </c>
      <c r="L1">
        <v>1.2</v>
      </c>
    </row>
    <row r="2" spans="1:12" ht="15.75" thickBot="1" x14ac:dyDescent="0.3">
      <c r="A2" s="460">
        <v>1</v>
      </c>
      <c r="B2" s="94" t="s">
        <v>647</v>
      </c>
      <c r="C2" s="94">
        <f>7*2</f>
        <v>14</v>
      </c>
      <c r="D2" s="94"/>
      <c r="E2" s="94" t="s">
        <v>648</v>
      </c>
      <c r="F2" s="461">
        <f>('RECOMMEDED DESIGNS'!$P$15/'Overall Costing'!$M$1)*6</f>
        <v>543532.46888888965</v>
      </c>
      <c r="G2" s="473">
        <f>C2*F2</f>
        <v>7609454.5644444553</v>
      </c>
      <c r="H2" s="475" t="s">
        <v>649</v>
      </c>
    </row>
    <row r="3" spans="1:12" x14ac:dyDescent="0.25">
      <c r="A3" s="463">
        <v>2</v>
      </c>
      <c r="B3" s="464" t="s">
        <v>650</v>
      </c>
      <c r="C3" s="464">
        <f>52*2</f>
        <v>104</v>
      </c>
      <c r="D3" s="464"/>
      <c r="E3" s="464" t="s">
        <v>648</v>
      </c>
      <c r="F3" s="465">
        <v>150000</v>
      </c>
      <c r="G3" s="529">
        <f>F3*C3</f>
        <v>15600000</v>
      </c>
      <c r="H3" s="466"/>
    </row>
    <row r="4" spans="1:12" x14ac:dyDescent="0.25">
      <c r="A4" s="467">
        <v>3</v>
      </c>
      <c r="B4" s="309" t="s">
        <v>651</v>
      </c>
      <c r="C4" s="309">
        <f>5*2</f>
        <v>10</v>
      </c>
      <c r="D4" s="309"/>
      <c r="E4" s="309" t="s">
        <v>648</v>
      </c>
      <c r="F4" s="459">
        <v>130000</v>
      </c>
      <c r="G4" s="309">
        <f>F4*C4</f>
        <v>1300000</v>
      </c>
      <c r="H4" s="468"/>
    </row>
    <row r="5" spans="1:12" ht="15.75" thickBot="1" x14ac:dyDescent="0.3">
      <c r="A5" s="469">
        <v>4</v>
      </c>
      <c r="B5" s="470" t="s">
        <v>652</v>
      </c>
      <c r="C5" s="470">
        <f>1*2</f>
        <v>2</v>
      </c>
      <c r="D5" s="470"/>
      <c r="E5" s="470" t="s">
        <v>648</v>
      </c>
      <c r="F5" s="471">
        <f>'Chute Costing '!E4</f>
        <v>345450</v>
      </c>
      <c r="G5" s="470">
        <f>F5*C5</f>
        <v>690900</v>
      </c>
      <c r="H5" s="472"/>
    </row>
    <row r="6" spans="1:12" x14ac:dyDescent="0.25">
      <c r="A6" s="462">
        <v>4</v>
      </c>
      <c r="B6" s="290" t="s">
        <v>653</v>
      </c>
      <c r="C6" s="290">
        <f>1*2</f>
        <v>2</v>
      </c>
      <c r="D6" s="290"/>
      <c r="E6" s="290" t="s">
        <v>654</v>
      </c>
      <c r="F6" s="478">
        <f>((('RECOMMEDED DESIGNS'!$P$24)/3)*2)/'Overall Costing'!M1</f>
        <v>470586.10736168281</v>
      </c>
      <c r="G6" s="477">
        <f>F6*C6</f>
        <v>941172.21472336561</v>
      </c>
      <c r="H6" s="475" t="s">
        <v>655</v>
      </c>
    </row>
    <row r="7" spans="1:12" x14ac:dyDescent="0.25">
      <c r="A7" s="49">
        <v>6</v>
      </c>
      <c r="B7" s="58" t="s">
        <v>656</v>
      </c>
      <c r="C7" s="58">
        <f>1*2</f>
        <v>2</v>
      </c>
      <c r="D7" s="476">
        <f>(16.6779243)*L1</f>
        <v>20.013509160000002</v>
      </c>
      <c r="E7" s="58" t="s">
        <v>648</v>
      </c>
      <c r="F7" s="98">
        <f>+'Quote Master'!$I$56*6</f>
        <v>70560.000000000015</v>
      </c>
      <c r="G7" s="447">
        <f t="shared" ref="G7:G12" si="0">+F7*C7*D7</f>
        <v>2824306.4126592008</v>
      </c>
      <c r="H7" s="475" t="s">
        <v>655</v>
      </c>
    </row>
    <row r="8" spans="1:12" x14ac:dyDescent="0.25">
      <c r="A8" s="49">
        <v>7</v>
      </c>
      <c r="B8" s="58" t="s">
        <v>657</v>
      </c>
      <c r="C8" s="58"/>
      <c r="D8" s="58"/>
      <c r="E8" s="58" t="s">
        <v>648</v>
      </c>
      <c r="F8" s="98">
        <f>+'Quote Master'!$I$56</f>
        <v>11760.000000000002</v>
      </c>
      <c r="G8" s="58">
        <f t="shared" si="0"/>
        <v>0</v>
      </c>
    </row>
    <row r="9" spans="1:12" x14ac:dyDescent="0.25">
      <c r="A9" s="49">
        <v>8</v>
      </c>
      <c r="B9" s="58" t="s">
        <v>658</v>
      </c>
      <c r="C9" s="58">
        <f>C2</f>
        <v>14</v>
      </c>
      <c r="D9" s="58"/>
      <c r="E9" s="58" t="s">
        <v>654</v>
      </c>
      <c r="F9" s="479">
        <f>'RECOMMEDED DESIGNS'!$P$7/'Overall Costing'!M1</f>
        <v>79927.83068783069</v>
      </c>
      <c r="G9" s="447">
        <f>F9*C9</f>
        <v>1118989.6296296297</v>
      </c>
      <c r="H9" s="475" t="s">
        <v>659</v>
      </c>
      <c r="I9" t="e" vm="1">
        <v>#VALUE!</v>
      </c>
    </row>
    <row r="10" spans="1:12" x14ac:dyDescent="0.25">
      <c r="A10" s="49">
        <v>9</v>
      </c>
      <c r="B10" s="58" t="s">
        <v>660</v>
      </c>
      <c r="C10" s="58"/>
      <c r="D10" s="58"/>
      <c r="E10" s="58" t="s">
        <v>648</v>
      </c>
      <c r="F10" s="98">
        <f>+'Quote Master'!$I$56</f>
        <v>11760.000000000002</v>
      </c>
      <c r="G10" s="473">
        <f t="shared" si="0"/>
        <v>0</v>
      </c>
    </row>
    <row r="11" spans="1:12" x14ac:dyDescent="0.25">
      <c r="A11" s="49">
        <v>10</v>
      </c>
      <c r="B11" s="58" t="s">
        <v>661</v>
      </c>
      <c r="C11" s="58"/>
      <c r="D11" s="58"/>
      <c r="E11" s="58" t="s">
        <v>648</v>
      </c>
      <c r="F11" s="98">
        <f>+'Quote Master'!$I$56</f>
        <v>11760.000000000002</v>
      </c>
      <c r="G11" s="473">
        <f t="shared" si="0"/>
        <v>0</v>
      </c>
    </row>
    <row r="12" spans="1:12" x14ac:dyDescent="0.25">
      <c r="A12" s="49">
        <v>11</v>
      </c>
      <c r="B12" s="58" t="s">
        <v>662</v>
      </c>
      <c r="C12" s="58"/>
      <c r="D12" s="58"/>
      <c r="E12" s="58" t="s">
        <v>648</v>
      </c>
      <c r="F12" s="98">
        <v>0</v>
      </c>
      <c r="G12" s="473">
        <f t="shared" si="0"/>
        <v>0</v>
      </c>
    </row>
    <row r="13" spans="1:12" x14ac:dyDescent="0.25">
      <c r="A13" s="49">
        <v>12</v>
      </c>
      <c r="B13" s="58" t="s">
        <v>663</v>
      </c>
      <c r="C13" s="58"/>
      <c r="D13" s="58"/>
      <c r="E13" s="58" t="s">
        <v>664</v>
      </c>
      <c r="F13" s="98">
        <f>+'Quote Master'!I60</f>
        <v>50400.000000000007</v>
      </c>
      <c r="G13" s="473">
        <f>+F13*C13</f>
        <v>0</v>
      </c>
    </row>
    <row r="14" spans="1:12" x14ac:dyDescent="0.25">
      <c r="A14" s="49">
        <v>13</v>
      </c>
      <c r="B14" s="58" t="s">
        <v>665</v>
      </c>
      <c r="C14" s="58"/>
      <c r="D14" s="58"/>
      <c r="E14" s="58" t="s">
        <v>664</v>
      </c>
      <c r="F14" s="98">
        <f>+'Quote Master'!I61</f>
        <v>56000.000000000007</v>
      </c>
      <c r="G14" s="473">
        <f t="shared" ref="G14:G22" si="1">+F14*C14</f>
        <v>0</v>
      </c>
    </row>
    <row r="15" spans="1:12" x14ac:dyDescent="0.25">
      <c r="A15" s="49">
        <v>14</v>
      </c>
      <c r="B15" s="58" t="s">
        <v>666</v>
      </c>
      <c r="C15" s="58"/>
      <c r="D15" s="58"/>
      <c r="E15" s="58" t="s">
        <v>664</v>
      </c>
      <c r="F15" s="98">
        <f>+'Quote Master'!I62</f>
        <v>13440.000000000002</v>
      </c>
      <c r="G15" s="473">
        <f t="shared" si="1"/>
        <v>0</v>
      </c>
    </row>
    <row r="16" spans="1:12" x14ac:dyDescent="0.25">
      <c r="A16" s="49">
        <v>15</v>
      </c>
      <c r="B16" s="58" t="s">
        <v>667</v>
      </c>
      <c r="C16" s="58"/>
      <c r="D16" s="58"/>
      <c r="E16" s="58" t="s">
        <v>664</v>
      </c>
      <c r="F16" s="98">
        <f>+'Quote Master'!$I$63</f>
        <v>16800</v>
      </c>
      <c r="G16" s="473">
        <f t="shared" si="1"/>
        <v>0</v>
      </c>
    </row>
    <row r="17" spans="1:7" x14ac:dyDescent="0.25">
      <c r="A17" s="49">
        <v>16</v>
      </c>
      <c r="B17" s="58" t="s">
        <v>668</v>
      </c>
      <c r="C17" s="58"/>
      <c r="D17" s="58"/>
      <c r="E17" s="58" t="s">
        <v>664</v>
      </c>
      <c r="F17" s="98">
        <f>+'Quote Master'!$I$63</f>
        <v>16800</v>
      </c>
      <c r="G17" s="473">
        <f t="shared" si="1"/>
        <v>0</v>
      </c>
    </row>
    <row r="18" spans="1:7" x14ac:dyDescent="0.25">
      <c r="A18" s="49">
        <v>17</v>
      </c>
      <c r="B18" s="58" t="s">
        <v>669</v>
      </c>
      <c r="C18" s="58"/>
      <c r="D18" s="58"/>
      <c r="E18" s="58" t="s">
        <v>664</v>
      </c>
      <c r="F18" s="98">
        <f>+'Quote Master'!I59</f>
        <v>12880.000000000002</v>
      </c>
      <c r="G18" s="473">
        <f t="shared" si="1"/>
        <v>0</v>
      </c>
    </row>
    <row r="19" spans="1:7" x14ac:dyDescent="0.25">
      <c r="A19" s="49">
        <v>19</v>
      </c>
      <c r="B19" s="58" t="s">
        <v>670</v>
      </c>
      <c r="C19" s="380">
        <f>(SUM($C$2:$C$7))*2</f>
        <v>268</v>
      </c>
      <c r="D19" s="58"/>
      <c r="E19" s="58" t="s">
        <v>664</v>
      </c>
      <c r="F19" s="98">
        <f>+'Quote Master'!I57</f>
        <v>5600.0000000000009</v>
      </c>
      <c r="G19" s="473">
        <f t="shared" si="1"/>
        <v>1500800.0000000002</v>
      </c>
    </row>
    <row r="20" spans="1:7" x14ac:dyDescent="0.25">
      <c r="A20" s="49">
        <v>21</v>
      </c>
      <c r="B20" s="58" t="s">
        <v>671</v>
      </c>
      <c r="C20" s="58">
        <f>(SUM($C$2:$C$7))</f>
        <v>134</v>
      </c>
      <c r="D20" s="58"/>
      <c r="E20" s="58" t="s">
        <v>664</v>
      </c>
      <c r="F20" s="98">
        <f>'Quote Master'!I86</f>
        <v>7500</v>
      </c>
      <c r="G20" s="473">
        <f t="shared" si="1"/>
        <v>1005000</v>
      </c>
    </row>
    <row r="21" spans="1:7" x14ac:dyDescent="0.25">
      <c r="A21" s="49">
        <v>22</v>
      </c>
      <c r="B21" s="58" t="s">
        <v>672</v>
      </c>
      <c r="C21" s="380">
        <f>(SUM($C$3:$C$7))</f>
        <v>120</v>
      </c>
      <c r="D21" s="58"/>
      <c r="E21" s="58" t="s">
        <v>664</v>
      </c>
      <c r="F21" s="58">
        <f>+'Quote Master'!I96</f>
        <v>5000</v>
      </c>
      <c r="G21" s="473">
        <f t="shared" si="1"/>
        <v>600000</v>
      </c>
    </row>
    <row r="22" spans="1:7" ht="15.75" thickBot="1" x14ac:dyDescent="0.3">
      <c r="A22" s="49">
        <v>20</v>
      </c>
      <c r="B22" s="58" t="s">
        <v>673</v>
      </c>
      <c r="C22" s="58">
        <f>ROUNDUP(SUM(C19:C21)/4,0)+1</f>
        <v>132</v>
      </c>
      <c r="D22" s="58">
        <f>+ROUNDUP((D19+D20+D21)/4,0)</f>
        <v>0</v>
      </c>
      <c r="E22" s="58" t="s">
        <v>664</v>
      </c>
      <c r="F22" s="461">
        <f>+'Quote Master'!I88</f>
        <v>34000</v>
      </c>
      <c r="G22" s="473">
        <f t="shared" si="1"/>
        <v>4488000</v>
      </c>
    </row>
    <row r="23" spans="1:7" ht="19.5" thickBot="1" x14ac:dyDescent="0.35">
      <c r="A23" s="1"/>
      <c r="F23" s="95" t="s">
        <v>87</v>
      </c>
      <c r="G23" s="558">
        <f>+SUM(G2:G22)</f>
        <v>37678622.821456656</v>
      </c>
    </row>
    <row r="26" spans="1:7" x14ac:dyDescent="0.25">
      <c r="B26" t="s">
        <v>674</v>
      </c>
      <c r="D26" s="611">
        <f>G2+G3+G4+G5+G6+G7+G9</f>
        <v>30084822.821456656</v>
      </c>
      <c r="E26" s="611"/>
      <c r="F26" s="484">
        <f>D26/'Overall Costing'!M5</f>
        <v>320051.30661124102</v>
      </c>
    </row>
    <row r="27" spans="1:7" x14ac:dyDescent="0.25">
      <c r="B27" t="s">
        <v>45</v>
      </c>
      <c r="D27" s="611">
        <f>G19+G20+G21+G22</f>
        <v>7593800</v>
      </c>
      <c r="E27" s="611"/>
      <c r="F27" s="484">
        <f>D27/'Overall Costing'!M5</f>
        <v>80785.106382978716</v>
      </c>
    </row>
  </sheetData>
  <mergeCells count="2">
    <mergeCell ref="D26:E26"/>
    <mergeCell ref="D27:E27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2CAED19F-ACA1-4094-A961-503FFE6F72C6}">
          <x14:formula1>
            <xm:f>'Quote Master'!$C$85:$C$87</xm:f>
          </x14:formula1>
          <xm:sqref>B20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1FCE5-388C-4878-8005-3C34969C104F}">
  <sheetPr>
    <pageSetUpPr fitToPage="1"/>
  </sheetPr>
  <dimension ref="A1:T55"/>
  <sheetViews>
    <sheetView topLeftCell="J1" zoomScale="85" zoomScaleNormal="85" workbookViewId="0">
      <pane ySplit="2" topLeftCell="A5" activePane="bottomLeft" state="frozen"/>
      <selection activeCell="O6" sqref="O6"/>
      <selection pane="bottomLeft" activeCell="P7" sqref="P7"/>
    </sheetView>
  </sheetViews>
  <sheetFormatPr defaultColWidth="9" defaultRowHeight="15" x14ac:dyDescent="0.25"/>
  <cols>
    <col min="2" max="2" width="15.140625" bestFit="1" customWidth="1"/>
    <col min="3" max="3" width="20.28515625" customWidth="1"/>
    <col min="4" max="4" width="15.140625" customWidth="1"/>
    <col min="5" max="5" width="17.85546875" style="373" bestFit="1" customWidth="1"/>
    <col min="6" max="7" width="13.42578125" bestFit="1" customWidth="1"/>
    <col min="8" max="8" width="11.42578125" bestFit="1" customWidth="1"/>
    <col min="9" max="9" width="12" customWidth="1"/>
    <col min="10" max="10" width="18.42578125" style="373" bestFit="1" customWidth="1"/>
    <col min="11" max="11" width="33.85546875" style="373" customWidth="1"/>
    <col min="12" max="12" width="33" style="373" customWidth="1"/>
    <col min="13" max="13" width="23.28515625" style="373" customWidth="1"/>
    <col min="14" max="14" width="15.7109375" style="7" customWidth="1"/>
    <col min="15" max="15" width="18.7109375" customWidth="1"/>
    <col min="16" max="16" width="19.85546875" customWidth="1"/>
    <col min="17" max="17" width="23" customWidth="1"/>
  </cols>
  <sheetData>
    <row r="1" spans="1:20" ht="51.6" customHeight="1" thickBot="1" x14ac:dyDescent="0.3">
      <c r="A1" s="615" t="s">
        <v>675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  <c r="N1" s="616"/>
      <c r="O1" s="617"/>
      <c r="P1" s="618" t="s">
        <v>676</v>
      </c>
      <c r="Q1" s="619"/>
    </row>
    <row r="2" spans="1:20" s="18" customFormat="1" ht="27" customHeight="1" x14ac:dyDescent="0.25">
      <c r="A2" s="319" t="s">
        <v>677</v>
      </c>
      <c r="B2" s="320" t="s">
        <v>678</v>
      </c>
      <c r="C2" s="320" t="s">
        <v>679</v>
      </c>
      <c r="D2" s="320" t="s">
        <v>680</v>
      </c>
      <c r="E2" s="320" t="s">
        <v>681</v>
      </c>
      <c r="F2" s="321" t="s">
        <v>682</v>
      </c>
      <c r="G2" s="320" t="s">
        <v>683</v>
      </c>
      <c r="H2" s="321" t="s">
        <v>684</v>
      </c>
      <c r="I2" s="320" t="s">
        <v>685</v>
      </c>
      <c r="J2" s="320" t="s">
        <v>686</v>
      </c>
      <c r="K2" s="320" t="s">
        <v>687</v>
      </c>
      <c r="L2" s="320" t="s">
        <v>688</v>
      </c>
      <c r="M2" s="320" t="s">
        <v>689</v>
      </c>
      <c r="N2" s="322" t="s">
        <v>690</v>
      </c>
      <c r="O2" s="321" t="s">
        <v>691</v>
      </c>
      <c r="P2" s="321" t="s">
        <v>692</v>
      </c>
      <c r="Q2" s="323" t="s">
        <v>693</v>
      </c>
    </row>
    <row r="3" spans="1:20" ht="91.15" customHeight="1" x14ac:dyDescent="0.25">
      <c r="A3" s="324">
        <v>1</v>
      </c>
      <c r="B3" s="292" t="s">
        <v>694</v>
      </c>
      <c r="C3" s="325" t="s">
        <v>695</v>
      </c>
      <c r="D3" s="292" t="s">
        <v>696</v>
      </c>
      <c r="E3" s="325" t="s">
        <v>697</v>
      </c>
      <c r="F3" s="325" t="s">
        <v>698</v>
      </c>
      <c r="G3" s="292" t="s">
        <v>699</v>
      </c>
      <c r="H3" s="292" t="s">
        <v>700</v>
      </c>
      <c r="I3" s="27">
        <v>3525</v>
      </c>
      <c r="J3" s="325" t="s">
        <v>701</v>
      </c>
      <c r="K3" s="325" t="s">
        <v>702</v>
      </c>
      <c r="L3" s="325" t="s">
        <v>703</v>
      </c>
      <c r="M3" s="325" t="e" vm="2">
        <v>#VALUE!</v>
      </c>
      <c r="N3" s="326">
        <v>678.67843902438995</v>
      </c>
      <c r="O3" s="27" t="s">
        <v>149</v>
      </c>
      <c r="P3" s="311">
        <v>93382.042154878</v>
      </c>
      <c r="Q3" s="327"/>
    </row>
    <row r="4" spans="1:20" ht="91.15" customHeight="1" x14ac:dyDescent="0.25">
      <c r="A4" s="324">
        <v>2</v>
      </c>
      <c r="B4" s="328" t="s">
        <v>694</v>
      </c>
      <c r="C4" s="329" t="s">
        <v>695</v>
      </c>
      <c r="D4" s="328" t="s">
        <v>696</v>
      </c>
      <c r="E4" s="329" t="s">
        <v>697</v>
      </c>
      <c r="F4" s="329" t="s">
        <v>698</v>
      </c>
      <c r="G4" s="328" t="s">
        <v>699</v>
      </c>
      <c r="H4" s="328" t="s">
        <v>700</v>
      </c>
      <c r="I4" s="330" t="s">
        <v>704</v>
      </c>
      <c r="J4" s="329" t="s">
        <v>149</v>
      </c>
      <c r="K4" s="329" t="s">
        <v>149</v>
      </c>
      <c r="L4" s="329" t="s">
        <v>705</v>
      </c>
      <c r="M4" s="329" t="e" vm="3">
        <v>#VALUE!</v>
      </c>
      <c r="N4" s="330">
        <v>500</v>
      </c>
      <c r="O4" s="330" t="s">
        <v>149</v>
      </c>
      <c r="P4" s="331">
        <f>500*150</f>
        <v>75000</v>
      </c>
      <c r="Q4" s="332" t="s">
        <v>706</v>
      </c>
    </row>
    <row r="5" spans="1:20" ht="100.9" customHeight="1" x14ac:dyDescent="0.25">
      <c r="A5" s="324">
        <v>3</v>
      </c>
      <c r="B5" s="333" t="s">
        <v>694</v>
      </c>
      <c r="C5" s="334" t="s">
        <v>707</v>
      </c>
      <c r="D5" s="333" t="s">
        <v>696</v>
      </c>
      <c r="E5" s="335" t="s">
        <v>708</v>
      </c>
      <c r="F5" s="334" t="s">
        <v>698</v>
      </c>
      <c r="G5" s="333" t="s">
        <v>709</v>
      </c>
      <c r="H5" s="334" t="s">
        <v>509</v>
      </c>
      <c r="I5" s="336">
        <v>2833</v>
      </c>
      <c r="J5" s="334" t="s">
        <v>710</v>
      </c>
      <c r="K5" s="334" t="s">
        <v>711</v>
      </c>
      <c r="L5" s="334" t="s">
        <v>712</v>
      </c>
      <c r="M5" s="334" t="e" vm="4">
        <v>#VALUE!</v>
      </c>
      <c r="N5" s="336">
        <v>395</v>
      </c>
      <c r="O5" s="336" t="s">
        <v>149</v>
      </c>
      <c r="P5" s="337">
        <f>(1704826/50)+(868931/100)</f>
        <v>42785.829999999994</v>
      </c>
      <c r="Q5" s="338" t="s">
        <v>713</v>
      </c>
    </row>
    <row r="6" spans="1:20" ht="91.15" customHeight="1" x14ac:dyDescent="0.25">
      <c r="A6" s="324">
        <v>4</v>
      </c>
      <c r="B6" s="328" t="s">
        <v>694</v>
      </c>
      <c r="C6" s="329" t="s">
        <v>707</v>
      </c>
      <c r="D6" s="328" t="s">
        <v>696</v>
      </c>
      <c r="E6" s="339" t="s">
        <v>708</v>
      </c>
      <c r="F6" s="329" t="s">
        <v>698</v>
      </c>
      <c r="G6" s="328" t="s">
        <v>709</v>
      </c>
      <c r="H6" s="329" t="s">
        <v>509</v>
      </c>
      <c r="I6" s="330" t="s">
        <v>704</v>
      </c>
      <c r="J6" s="329" t="s">
        <v>149</v>
      </c>
      <c r="K6" s="329" t="s">
        <v>149</v>
      </c>
      <c r="L6" s="329" t="s">
        <v>705</v>
      </c>
      <c r="M6" s="329" t="e" vm="5">
        <v>#VALUE!</v>
      </c>
      <c r="N6" s="340" t="s">
        <v>714</v>
      </c>
      <c r="O6" s="330" t="s">
        <v>149</v>
      </c>
      <c r="P6" s="331">
        <v>65000</v>
      </c>
      <c r="Q6" s="332" t="s">
        <v>715</v>
      </c>
    </row>
    <row r="7" spans="1:20" ht="91.15" customHeight="1" x14ac:dyDescent="0.25">
      <c r="A7" s="324">
        <v>5</v>
      </c>
      <c r="B7" s="292" t="s">
        <v>694</v>
      </c>
      <c r="C7" s="325" t="s">
        <v>695</v>
      </c>
      <c r="D7" s="292" t="s">
        <v>696</v>
      </c>
      <c r="E7" s="325" t="s">
        <v>716</v>
      </c>
      <c r="F7" s="325" t="s">
        <v>698</v>
      </c>
      <c r="G7" s="292" t="s">
        <v>717</v>
      </c>
      <c r="H7" s="325" t="s">
        <v>718</v>
      </c>
      <c r="I7" s="27">
        <v>3525</v>
      </c>
      <c r="J7" s="325" t="s">
        <v>701</v>
      </c>
      <c r="K7" s="325" t="s">
        <v>719</v>
      </c>
      <c r="L7" s="325" t="s">
        <v>720</v>
      </c>
      <c r="M7" s="325" t="e" vm="6">
        <v>#VALUE!</v>
      </c>
      <c r="N7" s="27">
        <v>535</v>
      </c>
      <c r="O7" s="27" t="s">
        <v>149</v>
      </c>
      <c r="P7" s="311">
        <f>755318/14</f>
        <v>53951.285714285717</v>
      </c>
      <c r="Q7" s="327" t="s">
        <v>721</v>
      </c>
    </row>
    <row r="8" spans="1:20" ht="91.15" customHeight="1" x14ac:dyDescent="0.25">
      <c r="A8" s="324">
        <v>6</v>
      </c>
      <c r="B8" s="292" t="s">
        <v>722</v>
      </c>
      <c r="C8" s="325" t="s">
        <v>723</v>
      </c>
      <c r="D8" s="292" t="s">
        <v>724</v>
      </c>
      <c r="E8" s="325" t="s">
        <v>725</v>
      </c>
      <c r="F8" s="341" t="s">
        <v>726</v>
      </c>
      <c r="G8" s="292" t="s">
        <v>727</v>
      </c>
      <c r="H8" s="325"/>
      <c r="I8" s="27">
        <v>2333</v>
      </c>
      <c r="J8" s="325" t="s">
        <v>728</v>
      </c>
      <c r="K8" s="325" t="s">
        <v>729</v>
      </c>
      <c r="L8" s="325" t="s">
        <v>730</v>
      </c>
      <c r="M8" s="325" t="e" vm="7">
        <v>#VALUE!</v>
      </c>
      <c r="N8" s="342" t="s">
        <v>731</v>
      </c>
      <c r="O8" s="27" t="s">
        <v>149</v>
      </c>
      <c r="P8" s="311">
        <f>6371270.2932/50</f>
        <v>127425.405864</v>
      </c>
      <c r="Q8" s="327" t="s">
        <v>732</v>
      </c>
    </row>
    <row r="9" spans="1:20" ht="93" customHeight="1" x14ac:dyDescent="0.25">
      <c r="A9" s="324">
        <v>7</v>
      </c>
      <c r="B9" s="325" t="s">
        <v>733</v>
      </c>
      <c r="C9" s="325" t="s">
        <v>734</v>
      </c>
      <c r="D9" s="292" t="s">
        <v>735</v>
      </c>
      <c r="E9" s="325" t="s">
        <v>725</v>
      </c>
      <c r="F9" s="341" t="s">
        <v>726</v>
      </c>
      <c r="G9" s="292" t="s">
        <v>727</v>
      </c>
      <c r="H9" s="325" t="s">
        <v>736</v>
      </c>
      <c r="I9" s="27">
        <v>3641</v>
      </c>
      <c r="J9" s="325" t="s">
        <v>737</v>
      </c>
      <c r="K9" s="325" t="s">
        <v>738</v>
      </c>
      <c r="L9" s="325" t="s">
        <v>739</v>
      </c>
      <c r="M9" s="325" t="e" vm="8">
        <v>#VALUE!</v>
      </c>
      <c r="N9" s="326">
        <v>2610.3973333333333</v>
      </c>
      <c r="O9" s="27" t="s">
        <v>149</v>
      </c>
      <c r="P9" s="311">
        <v>335678.49666666676</v>
      </c>
      <c r="Q9" s="327"/>
    </row>
    <row r="10" spans="1:20" ht="73.900000000000006" customHeight="1" x14ac:dyDescent="0.25">
      <c r="A10" s="324">
        <v>8</v>
      </c>
      <c r="B10" s="325" t="s">
        <v>733</v>
      </c>
      <c r="C10" s="325" t="s">
        <v>734</v>
      </c>
      <c r="D10" s="292" t="s">
        <v>735</v>
      </c>
      <c r="E10" s="325" t="s">
        <v>716</v>
      </c>
      <c r="F10" s="292" t="s">
        <v>740</v>
      </c>
      <c r="G10" s="292" t="s">
        <v>699</v>
      </c>
      <c r="H10" s="325" t="s">
        <v>718</v>
      </c>
      <c r="I10" s="27">
        <v>3641</v>
      </c>
      <c r="J10" s="325" t="s">
        <v>737</v>
      </c>
      <c r="K10" s="325" t="s">
        <v>741</v>
      </c>
      <c r="L10" s="325" t="s">
        <v>742</v>
      </c>
      <c r="M10" s="325" t="e" vm="9">
        <v>#VALUE!</v>
      </c>
      <c r="N10" s="326">
        <v>762.2</v>
      </c>
      <c r="O10" s="27" t="s">
        <v>149</v>
      </c>
      <c r="P10" s="311">
        <v>115740.20700000005</v>
      </c>
      <c r="Q10" s="343"/>
    </row>
    <row r="11" spans="1:20" ht="97.9" customHeight="1" x14ac:dyDescent="0.25">
      <c r="A11" s="324">
        <v>9</v>
      </c>
      <c r="B11" s="292" t="s">
        <v>694</v>
      </c>
      <c r="C11" s="325" t="s">
        <v>743</v>
      </c>
      <c r="D11" s="292" t="s">
        <v>744</v>
      </c>
      <c r="E11" s="325" t="s">
        <v>697</v>
      </c>
      <c r="F11" s="341" t="s">
        <v>726</v>
      </c>
      <c r="G11" s="292" t="s">
        <v>699</v>
      </c>
      <c r="H11" s="292" t="s">
        <v>700</v>
      </c>
      <c r="I11" s="27">
        <v>3626</v>
      </c>
      <c r="J11" s="325" t="s">
        <v>745</v>
      </c>
      <c r="K11" s="325" t="s">
        <v>746</v>
      </c>
      <c r="L11" s="325" t="s">
        <v>747</v>
      </c>
      <c r="M11" s="325" t="e" vm="10">
        <v>#VALUE!</v>
      </c>
      <c r="N11" s="326">
        <v>294.18050000000005</v>
      </c>
      <c r="O11" s="27" t="s">
        <v>149</v>
      </c>
      <c r="P11" s="311">
        <v>42423.324575000013</v>
      </c>
      <c r="Q11" s="308"/>
      <c r="T11" s="55"/>
    </row>
    <row r="12" spans="1:20" ht="97.9" customHeight="1" x14ac:dyDescent="0.25">
      <c r="A12" s="324">
        <v>10</v>
      </c>
      <c r="B12" s="328" t="s">
        <v>694</v>
      </c>
      <c r="C12" s="329" t="s">
        <v>743</v>
      </c>
      <c r="D12" s="328" t="s">
        <v>744</v>
      </c>
      <c r="E12" s="329" t="s">
        <v>697</v>
      </c>
      <c r="F12" s="339" t="s">
        <v>726</v>
      </c>
      <c r="G12" s="328" t="s">
        <v>699</v>
      </c>
      <c r="H12" s="328" t="s">
        <v>700</v>
      </c>
      <c r="I12" s="330" t="s">
        <v>748</v>
      </c>
      <c r="J12" s="329" t="s">
        <v>149</v>
      </c>
      <c r="K12" s="329" t="s">
        <v>149</v>
      </c>
      <c r="L12" s="329" t="s">
        <v>747</v>
      </c>
      <c r="M12" s="329" t="e" vm="11">
        <v>#VALUE!</v>
      </c>
      <c r="N12" s="344">
        <v>220</v>
      </c>
      <c r="O12" s="330" t="s">
        <v>149</v>
      </c>
      <c r="P12" s="331">
        <f>N12*145</f>
        <v>31900</v>
      </c>
      <c r="Q12" s="345" t="s">
        <v>749</v>
      </c>
    </row>
    <row r="13" spans="1:20" ht="97.9" customHeight="1" x14ac:dyDescent="0.25">
      <c r="A13" s="324">
        <v>11</v>
      </c>
      <c r="B13" s="292" t="s">
        <v>694</v>
      </c>
      <c r="C13" s="325" t="s">
        <v>743</v>
      </c>
      <c r="D13" s="292" t="s">
        <v>744</v>
      </c>
      <c r="E13" s="325" t="s">
        <v>750</v>
      </c>
      <c r="F13" s="341" t="s">
        <v>726</v>
      </c>
      <c r="G13" s="292" t="s">
        <v>727</v>
      </c>
      <c r="H13" s="292" t="s">
        <v>751</v>
      </c>
      <c r="I13" s="27">
        <v>3626</v>
      </c>
      <c r="J13" s="325" t="s">
        <v>745</v>
      </c>
      <c r="K13" s="325" t="s">
        <v>752</v>
      </c>
      <c r="L13" s="325" t="s">
        <v>753</v>
      </c>
      <c r="M13" s="325" t="e" vm="12">
        <v>#VALUE!</v>
      </c>
      <c r="N13" s="27">
        <v>220</v>
      </c>
      <c r="O13" s="27" t="s">
        <v>149</v>
      </c>
      <c r="P13" s="311">
        <f>125602.412/4</f>
        <v>31400.602999999999</v>
      </c>
      <c r="Q13" s="343"/>
      <c r="T13" s="346"/>
    </row>
    <row r="14" spans="1:20" ht="89.45" customHeight="1" x14ac:dyDescent="0.25">
      <c r="A14" s="324">
        <v>12</v>
      </c>
      <c r="B14" s="292" t="s">
        <v>694</v>
      </c>
      <c r="C14" s="325" t="s">
        <v>743</v>
      </c>
      <c r="D14" s="292" t="s">
        <v>744</v>
      </c>
      <c r="E14" s="325" t="s">
        <v>716</v>
      </c>
      <c r="F14" s="292" t="s">
        <v>754</v>
      </c>
      <c r="G14" s="292" t="s">
        <v>699</v>
      </c>
      <c r="H14" s="325" t="s">
        <v>718</v>
      </c>
      <c r="I14" s="27">
        <v>3626</v>
      </c>
      <c r="J14" s="325" t="s">
        <v>755</v>
      </c>
      <c r="K14" s="325" t="s">
        <v>756</v>
      </c>
      <c r="L14" s="325" t="s">
        <v>757</v>
      </c>
      <c r="M14" s="325" t="e" vm="13">
        <v>#VALUE!</v>
      </c>
      <c r="N14" s="326">
        <v>279.87299999999999</v>
      </c>
      <c r="O14" s="27" t="s">
        <v>149</v>
      </c>
      <c r="P14" s="311">
        <v>40901.851199999997</v>
      </c>
      <c r="Q14" s="343"/>
    </row>
    <row r="15" spans="1:20" ht="75" customHeight="1" x14ac:dyDescent="0.25">
      <c r="A15" s="324">
        <v>13</v>
      </c>
      <c r="B15" s="292" t="s">
        <v>694</v>
      </c>
      <c r="C15" s="325" t="s">
        <v>743</v>
      </c>
      <c r="D15" s="292" t="s">
        <v>744</v>
      </c>
      <c r="E15" s="325" t="s">
        <v>758</v>
      </c>
      <c r="F15" s="325" t="s">
        <v>759</v>
      </c>
      <c r="G15" s="292" t="s">
        <v>760</v>
      </c>
      <c r="H15" s="292" t="s">
        <v>761</v>
      </c>
      <c r="I15" s="27">
        <v>3627</v>
      </c>
      <c r="J15" s="325" t="s">
        <v>745</v>
      </c>
      <c r="K15" s="325" t="s">
        <v>762</v>
      </c>
      <c r="L15" s="325" t="s">
        <v>763</v>
      </c>
      <c r="M15" s="325" t="e" vm="14">
        <v>#VALUE!</v>
      </c>
      <c r="N15" s="326">
        <v>318.88740999999999</v>
      </c>
      <c r="O15" s="27" t="s">
        <v>149</v>
      </c>
      <c r="P15" s="311">
        <v>61147.402750000088</v>
      </c>
      <c r="Q15" s="343"/>
    </row>
    <row r="16" spans="1:20" ht="82.15" customHeight="1" x14ac:dyDescent="0.25">
      <c r="A16" s="324">
        <v>14</v>
      </c>
      <c r="B16" s="292" t="s">
        <v>694</v>
      </c>
      <c r="C16" s="325" t="s">
        <v>743</v>
      </c>
      <c r="D16" s="292" t="s">
        <v>744</v>
      </c>
      <c r="E16" s="325" t="s">
        <v>716</v>
      </c>
      <c r="F16" s="325" t="s">
        <v>764</v>
      </c>
      <c r="G16" s="292" t="s">
        <v>699</v>
      </c>
      <c r="H16" s="325" t="s">
        <v>718</v>
      </c>
      <c r="I16" s="27">
        <v>3627</v>
      </c>
      <c r="J16" s="325" t="s">
        <v>765</v>
      </c>
      <c r="K16" s="325" t="s">
        <v>766</v>
      </c>
      <c r="L16" s="325" t="s">
        <v>767</v>
      </c>
      <c r="M16" s="325" t="e" vm="15">
        <v>#VALUE!</v>
      </c>
      <c r="N16" s="326">
        <v>245.21966666666671</v>
      </c>
      <c r="O16" s="27" t="s">
        <v>149</v>
      </c>
      <c r="P16" s="311">
        <v>35456.269616666665</v>
      </c>
      <c r="Q16" s="343"/>
    </row>
    <row r="17" spans="1:17" ht="89.45" customHeight="1" x14ac:dyDescent="0.25">
      <c r="A17" s="324">
        <v>15</v>
      </c>
      <c r="B17" s="292" t="s">
        <v>694</v>
      </c>
      <c r="C17" s="325" t="s">
        <v>743</v>
      </c>
      <c r="D17" s="292" t="s">
        <v>744</v>
      </c>
      <c r="E17" s="325" t="s">
        <v>716</v>
      </c>
      <c r="F17" s="325" t="s">
        <v>718</v>
      </c>
      <c r="G17" s="292" t="s">
        <v>727</v>
      </c>
      <c r="H17" s="292" t="s">
        <v>768</v>
      </c>
      <c r="I17" s="27">
        <v>3627</v>
      </c>
      <c r="J17" s="325" t="s">
        <v>745</v>
      </c>
      <c r="K17" s="325" t="s">
        <v>769</v>
      </c>
      <c r="L17" s="325" t="s">
        <v>770</v>
      </c>
      <c r="M17" s="325" t="e" vm="16">
        <v>#VALUE!</v>
      </c>
      <c r="N17" s="326">
        <v>157</v>
      </c>
      <c r="O17" s="27" t="s">
        <v>149</v>
      </c>
      <c r="P17" s="311">
        <f>48031/2</f>
        <v>24015.5</v>
      </c>
      <c r="Q17" s="343"/>
    </row>
    <row r="18" spans="1:17" ht="81" customHeight="1" x14ac:dyDescent="0.25">
      <c r="A18" s="324">
        <v>16</v>
      </c>
      <c r="B18" s="292" t="s">
        <v>694</v>
      </c>
      <c r="C18" s="325" t="s">
        <v>771</v>
      </c>
      <c r="D18" s="292" t="s">
        <v>772</v>
      </c>
      <c r="E18" s="325" t="s">
        <v>697</v>
      </c>
      <c r="F18" s="282" t="s">
        <v>773</v>
      </c>
      <c r="G18" s="292" t="s">
        <v>699</v>
      </c>
      <c r="H18" s="292" t="s">
        <v>700</v>
      </c>
      <c r="I18" s="27">
        <v>3765</v>
      </c>
      <c r="J18" s="325" t="s">
        <v>774</v>
      </c>
      <c r="K18" s="325" t="s">
        <v>775</v>
      </c>
      <c r="L18" s="325" t="s">
        <v>776</v>
      </c>
      <c r="M18" s="325" t="e" vm="17">
        <v>#VALUE!</v>
      </c>
      <c r="N18" s="326">
        <v>782.03474999999992</v>
      </c>
      <c r="O18" s="27" t="s">
        <v>149</v>
      </c>
      <c r="P18" s="311">
        <v>122406.95228249994</v>
      </c>
      <c r="Q18" s="343"/>
    </row>
    <row r="19" spans="1:17" ht="75" x14ac:dyDescent="0.25">
      <c r="A19" s="324">
        <v>17</v>
      </c>
      <c r="B19" s="292" t="s">
        <v>694</v>
      </c>
      <c r="C19" s="325" t="s">
        <v>771</v>
      </c>
      <c r="D19" s="292" t="s">
        <v>772</v>
      </c>
      <c r="E19" s="325" t="s">
        <v>725</v>
      </c>
      <c r="F19" s="282" t="s">
        <v>773</v>
      </c>
      <c r="G19" s="292" t="s">
        <v>727</v>
      </c>
      <c r="H19" s="292" t="s">
        <v>700</v>
      </c>
      <c r="I19" s="242">
        <v>3765</v>
      </c>
      <c r="J19" s="325" t="s">
        <v>774</v>
      </c>
      <c r="K19" s="325" t="s">
        <v>777</v>
      </c>
      <c r="L19" s="325" t="s">
        <v>778</v>
      </c>
      <c r="M19" s="325" t="e" vm="18">
        <v>#VALUE!</v>
      </c>
      <c r="N19" s="27">
        <v>250</v>
      </c>
      <c r="O19" s="27" t="s">
        <v>149</v>
      </c>
      <c r="P19" s="311">
        <f>531098.4051/15</f>
        <v>35406.560339999996</v>
      </c>
      <c r="Q19" s="343"/>
    </row>
    <row r="20" spans="1:17" ht="86.45" customHeight="1" x14ac:dyDescent="0.25">
      <c r="A20" s="324">
        <v>18</v>
      </c>
      <c r="B20" s="292" t="s">
        <v>694</v>
      </c>
      <c r="C20" s="325" t="s">
        <v>771</v>
      </c>
      <c r="D20" s="292" t="s">
        <v>772</v>
      </c>
      <c r="E20" s="325" t="s">
        <v>779</v>
      </c>
      <c r="F20" s="282" t="s">
        <v>773</v>
      </c>
      <c r="G20" s="292" t="s">
        <v>727</v>
      </c>
      <c r="H20" s="292" t="s">
        <v>700</v>
      </c>
      <c r="I20" s="242">
        <v>3765</v>
      </c>
      <c r="J20" s="325" t="s">
        <v>774</v>
      </c>
      <c r="K20" s="325" t="s">
        <v>780</v>
      </c>
      <c r="L20" s="325" t="s">
        <v>781</v>
      </c>
      <c r="M20" s="325" t="e" vm="19">
        <v>#VALUE!</v>
      </c>
      <c r="N20" s="27" t="s">
        <v>782</v>
      </c>
      <c r="O20" s="27" t="s">
        <v>149</v>
      </c>
      <c r="P20" s="311">
        <f>80932.42645/1</f>
        <v>80932.426449999999</v>
      </c>
      <c r="Q20" s="327" t="s">
        <v>783</v>
      </c>
    </row>
    <row r="21" spans="1:17" ht="99.6" customHeight="1" x14ac:dyDescent="0.25">
      <c r="A21" s="324">
        <v>19</v>
      </c>
      <c r="B21" s="292" t="s">
        <v>694</v>
      </c>
      <c r="C21" s="325" t="s">
        <v>771</v>
      </c>
      <c r="D21" s="292" t="s">
        <v>772</v>
      </c>
      <c r="E21" s="341" t="s">
        <v>784</v>
      </c>
      <c r="F21" s="282" t="s">
        <v>773</v>
      </c>
      <c r="G21" s="292" t="s">
        <v>727</v>
      </c>
      <c r="H21" s="292" t="s">
        <v>700</v>
      </c>
      <c r="I21" s="242">
        <v>3765</v>
      </c>
      <c r="J21" s="325" t="s">
        <v>774</v>
      </c>
      <c r="K21" s="325" t="s">
        <v>785</v>
      </c>
      <c r="L21" s="325" t="s">
        <v>786</v>
      </c>
      <c r="M21" s="325" t="e" vm="20">
        <v>#VALUE!</v>
      </c>
      <c r="N21" s="52" t="s">
        <v>787</v>
      </c>
      <c r="O21" s="27" t="s">
        <v>149</v>
      </c>
      <c r="P21" s="311">
        <f>246510/1</f>
        <v>246510</v>
      </c>
      <c r="Q21" s="327" t="s">
        <v>788</v>
      </c>
    </row>
    <row r="22" spans="1:17" ht="99" customHeight="1" x14ac:dyDescent="0.25">
      <c r="A22" s="324">
        <v>20</v>
      </c>
      <c r="B22" s="292" t="s">
        <v>789</v>
      </c>
      <c r="C22" s="325" t="s">
        <v>790</v>
      </c>
      <c r="D22" s="292" t="s">
        <v>791</v>
      </c>
      <c r="E22" s="325" t="s">
        <v>725</v>
      </c>
      <c r="F22" s="341" t="s">
        <v>792</v>
      </c>
      <c r="G22" s="292" t="s">
        <v>727</v>
      </c>
      <c r="H22" s="292" t="s">
        <v>700</v>
      </c>
      <c r="I22" s="347">
        <v>3902</v>
      </c>
      <c r="J22" s="348" t="s">
        <v>793</v>
      </c>
      <c r="K22" s="348" t="s">
        <v>794</v>
      </c>
      <c r="L22" s="325" t="s">
        <v>795</v>
      </c>
      <c r="M22" s="325" t="e" vm="21">
        <v>#VALUE!</v>
      </c>
      <c r="N22" s="326">
        <v>432.55050000000006</v>
      </c>
      <c r="O22" s="27" t="s">
        <v>149</v>
      </c>
      <c r="P22" s="311">
        <v>72498.759610000023</v>
      </c>
      <c r="Q22" s="327" t="s">
        <v>796</v>
      </c>
    </row>
    <row r="23" spans="1:17" ht="99" customHeight="1" x14ac:dyDescent="0.25">
      <c r="A23" s="324">
        <v>21</v>
      </c>
      <c r="B23" s="292" t="s">
        <v>789</v>
      </c>
      <c r="C23" s="325" t="s">
        <v>790</v>
      </c>
      <c r="D23" s="292" t="s">
        <v>791</v>
      </c>
      <c r="E23" s="325" t="s">
        <v>750</v>
      </c>
      <c r="F23" s="341" t="s">
        <v>792</v>
      </c>
      <c r="G23" s="292" t="s">
        <v>727</v>
      </c>
      <c r="H23" s="292" t="s">
        <v>700</v>
      </c>
      <c r="I23" s="347">
        <v>3902</v>
      </c>
      <c r="J23" s="348" t="s">
        <v>793</v>
      </c>
      <c r="K23" s="348" t="s">
        <v>797</v>
      </c>
      <c r="L23" s="325" t="s">
        <v>798</v>
      </c>
      <c r="M23" s="325" t="e" vm="22">
        <v>#VALUE!</v>
      </c>
      <c r="N23" s="326">
        <v>535</v>
      </c>
      <c r="O23" s="27" t="s">
        <v>149</v>
      </c>
      <c r="P23" s="311">
        <f>N23*150</f>
        <v>80250</v>
      </c>
      <c r="Q23" s="343"/>
    </row>
    <row r="24" spans="1:17" ht="94.15" customHeight="1" x14ac:dyDescent="0.25">
      <c r="A24" s="324">
        <v>22</v>
      </c>
      <c r="B24" s="325" t="s">
        <v>733</v>
      </c>
      <c r="C24" s="325" t="s">
        <v>799</v>
      </c>
      <c r="D24" s="292" t="s">
        <v>724</v>
      </c>
      <c r="E24" s="325" t="s">
        <v>800</v>
      </c>
      <c r="F24" s="325" t="s">
        <v>698</v>
      </c>
      <c r="G24" s="292" t="s">
        <v>801</v>
      </c>
      <c r="H24" s="292" t="s">
        <v>700</v>
      </c>
      <c r="I24" s="27">
        <v>2832</v>
      </c>
      <c r="J24" s="325" t="s">
        <v>710</v>
      </c>
      <c r="K24" s="325" t="s">
        <v>802</v>
      </c>
      <c r="L24" s="325" t="s">
        <v>803</v>
      </c>
      <c r="M24" s="325" t="e" vm="23">
        <v>#VALUE!</v>
      </c>
      <c r="N24" s="349" t="s">
        <v>149</v>
      </c>
      <c r="O24" s="27" t="s">
        <v>149</v>
      </c>
      <c r="P24" s="311">
        <v>476468.43370370386</v>
      </c>
      <c r="Q24" s="343"/>
    </row>
    <row r="25" spans="1:17" ht="121.15" customHeight="1" x14ac:dyDescent="0.25">
      <c r="A25" s="324">
        <v>23</v>
      </c>
      <c r="B25" s="325" t="s">
        <v>733</v>
      </c>
      <c r="C25" s="325" t="s">
        <v>799</v>
      </c>
      <c r="D25" s="292" t="s">
        <v>724</v>
      </c>
      <c r="E25" s="341" t="s">
        <v>804</v>
      </c>
      <c r="F25" s="341" t="s">
        <v>726</v>
      </c>
      <c r="G25" s="282" t="s">
        <v>801</v>
      </c>
      <c r="H25" s="282" t="s">
        <v>700</v>
      </c>
      <c r="I25" s="242">
        <v>3511</v>
      </c>
      <c r="J25" s="341" t="s">
        <v>701</v>
      </c>
      <c r="K25" s="341" t="s">
        <v>805</v>
      </c>
      <c r="L25" s="341" t="s">
        <v>806</v>
      </c>
      <c r="M25" s="350" t="e" vm="24">
        <v>#VALUE!</v>
      </c>
      <c r="N25" s="351" t="s">
        <v>149</v>
      </c>
      <c r="O25" s="242" t="s">
        <v>149</v>
      </c>
      <c r="P25" s="352">
        <v>511042.17830000015</v>
      </c>
      <c r="Q25" s="353"/>
    </row>
    <row r="26" spans="1:17" ht="121.15" customHeight="1" x14ac:dyDescent="0.25">
      <c r="A26" s="324">
        <v>24</v>
      </c>
      <c r="B26" s="325" t="s">
        <v>733</v>
      </c>
      <c r="C26" s="325" t="s">
        <v>799</v>
      </c>
      <c r="D26" s="292" t="s">
        <v>724</v>
      </c>
      <c r="E26" s="341" t="s">
        <v>807</v>
      </c>
      <c r="F26" s="325" t="s">
        <v>698</v>
      </c>
      <c r="G26" s="341" t="s">
        <v>808</v>
      </c>
      <c r="H26" s="282" t="s">
        <v>809</v>
      </c>
      <c r="I26" s="242">
        <v>3511</v>
      </c>
      <c r="J26" s="341" t="s">
        <v>701</v>
      </c>
      <c r="K26" s="341" t="s">
        <v>810</v>
      </c>
      <c r="L26" s="325" t="s">
        <v>811</v>
      </c>
      <c r="M26" s="350" t="e" vm="25">
        <v>#VALUE!</v>
      </c>
      <c r="N26" s="351" t="s">
        <v>149</v>
      </c>
      <c r="O26" s="242" t="s">
        <v>149</v>
      </c>
      <c r="P26" s="352">
        <f>1586025.193956/42</f>
        <v>37762.504617999999</v>
      </c>
      <c r="Q26" s="353"/>
    </row>
    <row r="27" spans="1:17" ht="109.15" customHeight="1" x14ac:dyDescent="0.25">
      <c r="A27" s="324">
        <v>25</v>
      </c>
      <c r="B27" s="325" t="s">
        <v>733</v>
      </c>
      <c r="C27" s="325" t="s">
        <v>799</v>
      </c>
      <c r="D27" s="292" t="s">
        <v>724</v>
      </c>
      <c r="E27" s="341" t="s">
        <v>812</v>
      </c>
      <c r="F27" s="325" t="s">
        <v>698</v>
      </c>
      <c r="G27" s="282" t="s">
        <v>801</v>
      </c>
      <c r="H27" s="282" t="s">
        <v>700</v>
      </c>
      <c r="I27" s="242">
        <v>3511</v>
      </c>
      <c r="J27" s="341" t="s">
        <v>701</v>
      </c>
      <c r="K27" s="341" t="s">
        <v>813</v>
      </c>
      <c r="L27" s="325" t="s">
        <v>814</v>
      </c>
      <c r="M27" s="350" t="e" vm="26">
        <v>#VALUE!</v>
      </c>
      <c r="N27" s="27">
        <v>502</v>
      </c>
      <c r="O27" s="27" t="s">
        <v>149</v>
      </c>
      <c r="P27" s="352">
        <f>281369/5</f>
        <v>56273.8</v>
      </c>
      <c r="Q27" s="353"/>
    </row>
    <row r="28" spans="1:17" ht="109.15" customHeight="1" x14ac:dyDescent="0.25">
      <c r="A28" s="324">
        <v>26</v>
      </c>
      <c r="B28" s="325" t="s">
        <v>733</v>
      </c>
      <c r="C28" s="325" t="s">
        <v>799</v>
      </c>
      <c r="D28" s="292" t="s">
        <v>724</v>
      </c>
      <c r="E28" s="341" t="s">
        <v>815</v>
      </c>
      <c r="F28" s="325" t="s">
        <v>698</v>
      </c>
      <c r="G28" s="282" t="s">
        <v>801</v>
      </c>
      <c r="H28" s="282" t="s">
        <v>700</v>
      </c>
      <c r="I28" s="242">
        <v>3511</v>
      </c>
      <c r="J28" s="341" t="s">
        <v>701</v>
      </c>
      <c r="K28" s="341" t="s">
        <v>816</v>
      </c>
      <c r="L28" s="325" t="s">
        <v>817</v>
      </c>
      <c r="M28" s="350" t="e" vm="27">
        <v>#VALUE!</v>
      </c>
      <c r="N28" s="27">
        <v>464</v>
      </c>
      <c r="O28" s="27" t="s">
        <v>149</v>
      </c>
      <c r="P28" s="352">
        <f>104414/2</f>
        <v>52207</v>
      </c>
      <c r="Q28" s="353"/>
    </row>
    <row r="29" spans="1:17" ht="109.15" customHeight="1" x14ac:dyDescent="0.25">
      <c r="A29" s="324">
        <v>27</v>
      </c>
      <c r="B29" s="325" t="s">
        <v>733</v>
      </c>
      <c r="C29" s="325" t="s">
        <v>799</v>
      </c>
      <c r="D29" s="292" t="s">
        <v>724</v>
      </c>
      <c r="E29" s="341" t="s">
        <v>818</v>
      </c>
      <c r="F29" s="325" t="s">
        <v>698</v>
      </c>
      <c r="G29" s="282" t="s">
        <v>801</v>
      </c>
      <c r="H29" s="282" t="s">
        <v>700</v>
      </c>
      <c r="I29" s="242">
        <v>3511</v>
      </c>
      <c r="J29" s="341" t="s">
        <v>701</v>
      </c>
      <c r="K29" s="341" t="s">
        <v>819</v>
      </c>
      <c r="L29" s="325" t="s">
        <v>817</v>
      </c>
      <c r="M29" s="350" t="e" vm="28">
        <v>#VALUE!</v>
      </c>
      <c r="N29" s="27">
        <v>464</v>
      </c>
      <c r="O29" s="27" t="s">
        <v>149</v>
      </c>
      <c r="P29" s="352">
        <f>51967.866386/1</f>
        <v>51967.866386000002</v>
      </c>
      <c r="Q29" s="353"/>
    </row>
    <row r="30" spans="1:17" s="362" customFormat="1" ht="109.15" customHeight="1" x14ac:dyDescent="0.25">
      <c r="A30" s="324">
        <v>28</v>
      </c>
      <c r="B30" s="348" t="s">
        <v>733</v>
      </c>
      <c r="C30" s="348" t="s">
        <v>799</v>
      </c>
      <c r="D30" s="354" t="s">
        <v>724</v>
      </c>
      <c r="E30" s="355" t="s">
        <v>820</v>
      </c>
      <c r="F30" s="348" t="s">
        <v>698</v>
      </c>
      <c r="G30" s="356" t="s">
        <v>727</v>
      </c>
      <c r="H30" s="356" t="s">
        <v>809</v>
      </c>
      <c r="I30" s="357">
        <v>3511</v>
      </c>
      <c r="J30" s="355" t="s">
        <v>701</v>
      </c>
      <c r="K30" s="355" t="s">
        <v>821</v>
      </c>
      <c r="L30" s="325" t="s">
        <v>822</v>
      </c>
      <c r="M30" s="358" t="e" vm="29">
        <v>#VALUE!</v>
      </c>
      <c r="N30" s="359" t="s">
        <v>823</v>
      </c>
      <c r="O30" s="347" t="s">
        <v>149</v>
      </c>
      <c r="P30" s="360">
        <f>143994+(195232/5)</f>
        <v>183040.4</v>
      </c>
      <c r="Q30" s="361" t="s">
        <v>824</v>
      </c>
    </row>
    <row r="31" spans="1:17" s="362" customFormat="1" ht="109.15" customHeight="1" x14ac:dyDescent="0.25">
      <c r="A31" s="324">
        <v>29</v>
      </c>
      <c r="B31" s="329" t="s">
        <v>733</v>
      </c>
      <c r="C31" s="329" t="s">
        <v>799</v>
      </c>
      <c r="D31" s="328" t="s">
        <v>724</v>
      </c>
      <c r="E31" s="339" t="s">
        <v>820</v>
      </c>
      <c r="F31" s="329" t="s">
        <v>698</v>
      </c>
      <c r="G31" s="363" t="s">
        <v>727</v>
      </c>
      <c r="H31" s="363" t="s">
        <v>809</v>
      </c>
      <c r="I31" s="330" t="s">
        <v>704</v>
      </c>
      <c r="J31" s="329" t="s">
        <v>149</v>
      </c>
      <c r="K31" s="329" t="s">
        <v>149</v>
      </c>
      <c r="L31" s="329" t="s">
        <v>825</v>
      </c>
      <c r="M31" s="364" t="e" vm="30">
        <v>#VALUE!</v>
      </c>
      <c r="N31" s="330" t="s">
        <v>149</v>
      </c>
      <c r="O31" s="330" t="s">
        <v>149</v>
      </c>
      <c r="P31" s="365">
        <f>85000+(195232/5)</f>
        <v>124046.39999999999</v>
      </c>
      <c r="Q31" s="366" t="s">
        <v>826</v>
      </c>
    </row>
    <row r="32" spans="1:17" ht="114" customHeight="1" x14ac:dyDescent="0.25">
      <c r="A32" s="324">
        <v>30</v>
      </c>
      <c r="B32" s="282" t="s">
        <v>694</v>
      </c>
      <c r="C32" s="341" t="s">
        <v>827</v>
      </c>
      <c r="D32" s="282" t="s">
        <v>828</v>
      </c>
      <c r="E32" s="341" t="s">
        <v>708</v>
      </c>
      <c r="F32" s="341" t="s">
        <v>726</v>
      </c>
      <c r="G32" s="282" t="s">
        <v>829</v>
      </c>
      <c r="H32" s="341" t="s">
        <v>509</v>
      </c>
      <c r="I32" s="242">
        <v>3245</v>
      </c>
      <c r="J32" s="341" t="s">
        <v>830</v>
      </c>
      <c r="K32" s="341" t="s">
        <v>831</v>
      </c>
      <c r="L32" s="325" t="s">
        <v>832</v>
      </c>
      <c r="M32" s="341" t="e" vm="31">
        <v>#VALUE!</v>
      </c>
      <c r="N32" s="27">
        <v>185</v>
      </c>
      <c r="O32" s="242" t="s">
        <v>149</v>
      </c>
      <c r="P32" s="352">
        <v>24760</v>
      </c>
      <c r="Q32" s="353"/>
    </row>
    <row r="33" spans="1:17" ht="97.15" customHeight="1" x14ac:dyDescent="0.25">
      <c r="A33" s="324">
        <v>31</v>
      </c>
      <c r="B33" s="282" t="s">
        <v>694</v>
      </c>
      <c r="C33" s="341" t="s">
        <v>833</v>
      </c>
      <c r="D33" s="282" t="s">
        <v>834</v>
      </c>
      <c r="E33" s="341" t="s">
        <v>835</v>
      </c>
      <c r="F33" s="325" t="s">
        <v>759</v>
      </c>
      <c r="G33" s="292" t="s">
        <v>727</v>
      </c>
      <c r="H33" s="282" t="s">
        <v>700</v>
      </c>
      <c r="I33" s="242">
        <v>3796</v>
      </c>
      <c r="J33" s="341" t="s">
        <v>836</v>
      </c>
      <c r="K33" s="341" t="s">
        <v>837</v>
      </c>
      <c r="L33" s="325" t="s">
        <v>838</v>
      </c>
      <c r="M33" s="341" t="e" vm="32">
        <v>#VALUE!</v>
      </c>
      <c r="N33" s="27">
        <v>320</v>
      </c>
      <c r="O33" s="27" t="s">
        <v>149</v>
      </c>
      <c r="P33" s="352">
        <f>415250/8</f>
        <v>51906.25</v>
      </c>
      <c r="Q33" s="353"/>
    </row>
    <row r="34" spans="1:17" ht="93.6" customHeight="1" x14ac:dyDescent="0.25">
      <c r="A34" s="324">
        <v>32</v>
      </c>
      <c r="B34" s="282" t="s">
        <v>694</v>
      </c>
      <c r="C34" s="341" t="s">
        <v>833</v>
      </c>
      <c r="D34" s="282" t="s">
        <v>834</v>
      </c>
      <c r="E34" s="341" t="s">
        <v>839</v>
      </c>
      <c r="F34" s="325" t="s">
        <v>759</v>
      </c>
      <c r="G34" s="292" t="s">
        <v>727</v>
      </c>
      <c r="H34" s="282" t="s">
        <v>700</v>
      </c>
      <c r="I34" s="242">
        <v>3796</v>
      </c>
      <c r="J34" s="341" t="s">
        <v>836</v>
      </c>
      <c r="K34" s="341" t="s">
        <v>840</v>
      </c>
      <c r="L34" s="325" t="s">
        <v>841</v>
      </c>
      <c r="M34" s="341" t="e" vm="33">
        <v>#VALUE!</v>
      </c>
      <c r="N34" s="27">
        <v>335</v>
      </c>
      <c r="O34" s="27" t="s">
        <v>149</v>
      </c>
      <c r="P34" s="352">
        <f>98104/2</f>
        <v>49052</v>
      </c>
      <c r="Q34" s="353"/>
    </row>
    <row r="35" spans="1:17" ht="75" x14ac:dyDescent="0.25">
      <c r="A35" s="324">
        <v>33</v>
      </c>
      <c r="B35" s="282" t="s">
        <v>694</v>
      </c>
      <c r="C35" s="341" t="s">
        <v>842</v>
      </c>
      <c r="D35" s="282" t="s">
        <v>843</v>
      </c>
      <c r="E35" s="341" t="s">
        <v>844</v>
      </c>
      <c r="F35" s="341" t="s">
        <v>726</v>
      </c>
      <c r="G35" s="292" t="s">
        <v>727</v>
      </c>
      <c r="H35" s="282" t="s">
        <v>751</v>
      </c>
      <c r="I35" s="242">
        <v>4132</v>
      </c>
      <c r="J35" s="341" t="s">
        <v>845</v>
      </c>
      <c r="K35" s="341" t="s">
        <v>846</v>
      </c>
      <c r="L35" s="325" t="s">
        <v>847</v>
      </c>
      <c r="M35" s="341" t="e" vm="34">
        <v>#VALUE!</v>
      </c>
      <c r="N35" s="27">
        <v>55</v>
      </c>
      <c r="O35" s="27" t="s">
        <v>149</v>
      </c>
      <c r="P35" s="352">
        <f>105874.5/10</f>
        <v>10587.45</v>
      </c>
      <c r="Q35" s="353"/>
    </row>
    <row r="36" spans="1:17" ht="90" x14ac:dyDescent="0.25">
      <c r="A36" s="324">
        <v>34</v>
      </c>
      <c r="B36" s="282" t="s">
        <v>694</v>
      </c>
      <c r="C36" s="341" t="s">
        <v>842</v>
      </c>
      <c r="D36" s="282" t="s">
        <v>843</v>
      </c>
      <c r="E36" s="341" t="s">
        <v>848</v>
      </c>
      <c r="F36" s="341" t="s">
        <v>726</v>
      </c>
      <c r="G36" s="292" t="s">
        <v>727</v>
      </c>
      <c r="H36" s="282" t="s">
        <v>751</v>
      </c>
      <c r="I36" s="242">
        <v>4132</v>
      </c>
      <c r="J36" s="341" t="s">
        <v>845</v>
      </c>
      <c r="K36" s="341" t="s">
        <v>849</v>
      </c>
      <c r="L36" s="325" t="s">
        <v>850</v>
      </c>
      <c r="M36" s="341" t="e" vm="35">
        <v>#VALUE!</v>
      </c>
      <c r="N36" s="27">
        <v>80</v>
      </c>
      <c r="O36" s="27" t="s">
        <v>149</v>
      </c>
      <c r="P36" s="352">
        <f>247991/17</f>
        <v>14587.705882352941</v>
      </c>
      <c r="Q36" s="367" t="s">
        <v>851</v>
      </c>
    </row>
    <row r="37" spans="1:17" ht="90" customHeight="1" x14ac:dyDescent="0.25">
      <c r="A37" s="324">
        <v>35</v>
      </c>
      <c r="B37" s="282" t="s">
        <v>694</v>
      </c>
      <c r="C37" s="341" t="s">
        <v>695</v>
      </c>
      <c r="D37" s="282" t="s">
        <v>852</v>
      </c>
      <c r="E37" s="341" t="s">
        <v>853</v>
      </c>
      <c r="F37" s="282" t="s">
        <v>773</v>
      </c>
      <c r="G37" s="341" t="s">
        <v>854</v>
      </c>
      <c r="H37" s="341" t="s">
        <v>855</v>
      </c>
      <c r="I37" s="242">
        <v>3953</v>
      </c>
      <c r="J37" s="341" t="s">
        <v>856</v>
      </c>
      <c r="K37" s="341" t="s">
        <v>857</v>
      </c>
      <c r="L37" s="325" t="s">
        <v>858</v>
      </c>
      <c r="M37" s="341" t="e" vm="36">
        <v>#VALUE!</v>
      </c>
      <c r="N37" s="27">
        <v>175</v>
      </c>
      <c r="O37" s="27" t="s">
        <v>149</v>
      </c>
      <c r="P37" s="352">
        <f>52028.1338/2</f>
        <v>26014.066900000002</v>
      </c>
      <c r="Q37" s="353"/>
    </row>
    <row r="38" spans="1:17" ht="101.45" customHeight="1" x14ac:dyDescent="0.25">
      <c r="A38" s="324">
        <v>36</v>
      </c>
      <c r="B38" s="282" t="s">
        <v>694</v>
      </c>
      <c r="C38" s="341" t="s">
        <v>859</v>
      </c>
      <c r="D38" s="282" t="s">
        <v>772</v>
      </c>
      <c r="E38" s="341" t="s">
        <v>860</v>
      </c>
      <c r="F38" s="341" t="s">
        <v>726</v>
      </c>
      <c r="G38" s="282"/>
      <c r="H38" s="282" t="s">
        <v>700</v>
      </c>
      <c r="I38" s="242">
        <v>1631</v>
      </c>
      <c r="J38" s="341" t="s">
        <v>861</v>
      </c>
      <c r="K38" s="341" t="s">
        <v>862</v>
      </c>
      <c r="L38" s="325" t="s">
        <v>863</v>
      </c>
      <c r="M38" s="341" t="e" vm="37">
        <v>#VALUE!</v>
      </c>
      <c r="N38" s="27">
        <v>120</v>
      </c>
      <c r="O38" s="27" t="s">
        <v>149</v>
      </c>
      <c r="P38" s="352">
        <f>609674/34</f>
        <v>17931.588235294119</v>
      </c>
      <c r="Q38" s="353"/>
    </row>
    <row r="39" spans="1:17" ht="96.6" customHeight="1" x14ac:dyDescent="0.25">
      <c r="A39" s="324">
        <v>37</v>
      </c>
      <c r="B39" s="282" t="s">
        <v>864</v>
      </c>
      <c r="C39" s="341" t="s">
        <v>859</v>
      </c>
      <c r="D39" s="282" t="s">
        <v>772</v>
      </c>
      <c r="E39" s="341" t="s">
        <v>865</v>
      </c>
      <c r="F39" s="341" t="s">
        <v>726</v>
      </c>
      <c r="G39" s="341" t="s">
        <v>866</v>
      </c>
      <c r="H39" s="282" t="s">
        <v>751</v>
      </c>
      <c r="I39" s="242">
        <v>1634</v>
      </c>
      <c r="J39" s="341" t="s">
        <v>867</v>
      </c>
      <c r="K39" s="341" t="s">
        <v>868</v>
      </c>
      <c r="L39" s="325" t="s">
        <v>869</v>
      </c>
      <c r="M39" s="341" t="e" vm="38">
        <v>#VALUE!</v>
      </c>
      <c r="N39" s="368" t="s">
        <v>870</v>
      </c>
      <c r="O39" s="27" t="s">
        <v>149</v>
      </c>
      <c r="P39" s="352">
        <f>15000+(350*150)</f>
        <v>67500</v>
      </c>
      <c r="Q39" s="353"/>
    </row>
    <row r="40" spans="1:17" x14ac:dyDescent="0.25">
      <c r="A40" s="369"/>
      <c r="B40" s="282"/>
      <c r="C40" s="282"/>
      <c r="D40" s="282"/>
      <c r="E40" s="341"/>
      <c r="F40" s="282"/>
      <c r="G40" s="282"/>
      <c r="H40" s="282"/>
      <c r="I40" s="282"/>
      <c r="J40" s="341"/>
      <c r="K40" s="341"/>
      <c r="L40" s="341"/>
      <c r="M40" s="341"/>
      <c r="N40" s="370"/>
      <c r="O40" s="282"/>
      <c r="P40" s="371"/>
      <c r="Q40" s="353"/>
    </row>
    <row r="41" spans="1:17" x14ac:dyDescent="0.25">
      <c r="A41" s="369"/>
      <c r="B41" s="282"/>
      <c r="C41" s="282"/>
      <c r="D41" s="282"/>
      <c r="E41" s="341"/>
      <c r="F41" s="282"/>
      <c r="G41" s="282"/>
      <c r="H41" s="282"/>
      <c r="I41" s="282"/>
      <c r="J41" s="341"/>
      <c r="K41" s="341"/>
      <c r="L41" s="341"/>
      <c r="M41" s="341"/>
      <c r="N41" s="370"/>
      <c r="O41" s="282"/>
      <c r="P41" s="371"/>
      <c r="Q41" s="353"/>
    </row>
    <row r="42" spans="1:17" x14ac:dyDescent="0.25">
      <c r="A42" s="369"/>
      <c r="B42" s="282"/>
      <c r="C42" s="282"/>
      <c r="D42" s="282"/>
      <c r="E42" s="341"/>
      <c r="F42" s="282"/>
      <c r="G42" s="282"/>
      <c r="H42" s="282"/>
      <c r="I42" s="282"/>
      <c r="J42" s="341"/>
      <c r="K42" s="341"/>
      <c r="L42" s="341"/>
      <c r="M42" s="341"/>
      <c r="N42" s="370"/>
      <c r="O42" s="282"/>
      <c r="P42" s="371"/>
      <c r="Q42" s="353"/>
    </row>
    <row r="43" spans="1:17" ht="15.75" thickBot="1" x14ac:dyDescent="0.3">
      <c r="A43" s="369"/>
      <c r="B43" s="282"/>
      <c r="C43" s="282"/>
      <c r="D43" s="282"/>
      <c r="E43" s="341"/>
      <c r="F43" s="282"/>
      <c r="G43" s="282"/>
      <c r="H43" s="282"/>
      <c r="I43" s="282"/>
      <c r="J43" s="341"/>
      <c r="K43" s="341"/>
      <c r="L43" s="341"/>
      <c r="M43" s="350"/>
      <c r="N43" s="242"/>
      <c r="O43" s="282"/>
      <c r="P43" s="371"/>
      <c r="Q43" s="353"/>
    </row>
    <row r="44" spans="1:17" x14ac:dyDescent="0.25">
      <c r="A44" s="620" t="s">
        <v>871</v>
      </c>
      <c r="B44" s="621"/>
      <c r="C44" s="621"/>
      <c r="D44" s="621"/>
      <c r="E44" s="621"/>
      <c r="F44" s="621"/>
      <c r="G44" s="621"/>
      <c r="H44" s="621" t="s">
        <v>872</v>
      </c>
      <c r="I44" s="621"/>
      <c r="J44" s="621"/>
      <c r="K44" s="621"/>
      <c r="L44" s="622" t="s">
        <v>873</v>
      </c>
      <c r="M44" s="622"/>
      <c r="N44" s="622"/>
      <c r="O44" s="622"/>
      <c r="P44" s="622"/>
      <c r="Q44" s="623"/>
    </row>
    <row r="45" spans="1:17" x14ac:dyDescent="0.25">
      <c r="A45" s="612" t="s">
        <v>572</v>
      </c>
      <c r="B45" s="613"/>
      <c r="C45" s="613"/>
      <c r="D45" s="613"/>
      <c r="E45" s="613"/>
      <c r="F45" s="613" t="s">
        <v>874</v>
      </c>
      <c r="G45" s="613"/>
      <c r="H45" s="613" t="s">
        <v>572</v>
      </c>
      <c r="I45" s="613"/>
      <c r="J45" s="613"/>
      <c r="K45" s="281" t="s">
        <v>874</v>
      </c>
      <c r="L45" s="613" t="s">
        <v>572</v>
      </c>
      <c r="M45" s="613"/>
      <c r="N45" s="613"/>
      <c r="O45" s="613"/>
      <c r="P45" s="613" t="s">
        <v>874</v>
      </c>
      <c r="Q45" s="614"/>
    </row>
    <row r="46" spans="1:17" ht="15.75" thickBot="1" x14ac:dyDescent="0.3">
      <c r="A46" s="624" t="s">
        <v>875</v>
      </c>
      <c r="B46" s="625"/>
      <c r="C46" s="625"/>
      <c r="D46" s="625"/>
      <c r="E46" s="625"/>
      <c r="F46" s="625"/>
      <c r="G46" s="625"/>
      <c r="H46" s="625" t="s">
        <v>876</v>
      </c>
      <c r="I46" s="625"/>
      <c r="J46" s="625"/>
      <c r="K46" s="372"/>
      <c r="L46" s="625" t="s">
        <v>877</v>
      </c>
      <c r="M46" s="625"/>
      <c r="N46" s="625"/>
      <c r="O46" s="625"/>
      <c r="P46" s="625"/>
      <c r="Q46" s="626"/>
    </row>
    <row r="47" spans="1:17" x14ac:dyDescent="0.25">
      <c r="L47" s="374"/>
    </row>
    <row r="48" spans="1:17" ht="18.75" x14ac:dyDescent="0.3">
      <c r="A48" s="375" t="s">
        <v>878</v>
      </c>
      <c r="B48" s="375"/>
      <c r="C48" s="375"/>
      <c r="D48" s="375"/>
    </row>
    <row r="55" spans="12:12" ht="15.75" thickBot="1" x14ac:dyDescent="0.3">
      <c r="L55" s="376"/>
    </row>
  </sheetData>
  <autoFilter ref="A2:P43" xr:uid="{00000000-0009-0000-0000-000000000000}"/>
  <mergeCells count="15">
    <mergeCell ref="A46:E46"/>
    <mergeCell ref="F46:G46"/>
    <mergeCell ref="H46:J46"/>
    <mergeCell ref="L46:O46"/>
    <mergeCell ref="P46:Q46"/>
    <mergeCell ref="A1:O1"/>
    <mergeCell ref="P1:Q1"/>
    <mergeCell ref="A44:G44"/>
    <mergeCell ref="H44:K44"/>
    <mergeCell ref="L44:Q44"/>
    <mergeCell ref="A45:E45"/>
    <mergeCell ref="F45:G45"/>
    <mergeCell ref="H45:J45"/>
    <mergeCell ref="L45:O45"/>
    <mergeCell ref="P45:Q45"/>
  </mergeCells>
  <pageMargins left="0.2" right="0.19" top="0.28999999999999998" bottom="0.17" header="0.3" footer="0.3"/>
  <pageSetup paperSize="9" scale="46" orientation="landscape" horizontalDpi="300" verticalDpi="30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F9AF-3F40-4A31-8271-285473AEB618}">
  <sheetPr>
    <tabColor theme="5" tint="0.39997558519241921"/>
  </sheetPr>
  <dimension ref="A1:Q12"/>
  <sheetViews>
    <sheetView zoomScale="115" zoomScaleNormal="115" workbookViewId="0">
      <selection activeCell="J26" sqref="J26"/>
    </sheetView>
  </sheetViews>
  <sheetFormatPr defaultRowHeight="15" x14ac:dyDescent="0.25"/>
  <cols>
    <col min="1" max="1" width="5.28515625" bestFit="1" customWidth="1"/>
    <col min="2" max="2" width="36.7109375" bestFit="1" customWidth="1"/>
    <col min="3" max="3" width="4.5703125" bestFit="1" customWidth="1"/>
    <col min="4" max="4" width="9.140625" bestFit="1" customWidth="1"/>
    <col min="5" max="5" width="10.140625" bestFit="1" customWidth="1"/>
    <col min="6" max="6" width="10.85546875" bestFit="1" customWidth="1"/>
    <col min="11" max="11" width="24.140625" bestFit="1" customWidth="1"/>
    <col min="15" max="15" width="24.140625" bestFit="1" customWidth="1"/>
  </cols>
  <sheetData>
    <row r="1" spans="1:17" ht="15.75" x14ac:dyDescent="0.25">
      <c r="A1" s="107" t="s">
        <v>353</v>
      </c>
      <c r="B1" s="108" t="s">
        <v>436</v>
      </c>
      <c r="C1" s="108" t="s">
        <v>325</v>
      </c>
      <c r="D1" s="108" t="s">
        <v>4</v>
      </c>
      <c r="E1" s="108" t="s">
        <v>317</v>
      </c>
      <c r="F1" s="108" t="s">
        <v>318</v>
      </c>
      <c r="K1" s="318" t="s">
        <v>879</v>
      </c>
      <c r="L1" s="58">
        <f>'[9]Budgetary Costing'!$C$4</f>
        <v>2</v>
      </c>
      <c r="O1" s="58" t="s">
        <v>880</v>
      </c>
      <c r="P1" s="58">
        <f>'[9]Budgetary Costing'!$C$3</f>
        <v>4</v>
      </c>
    </row>
    <row r="2" spans="1:17" x14ac:dyDescent="0.25">
      <c r="A2" s="49">
        <v>1</v>
      </c>
      <c r="B2" s="58" t="s">
        <v>881</v>
      </c>
      <c r="C2" s="58"/>
      <c r="D2" s="58" t="s">
        <v>664</v>
      </c>
      <c r="E2" s="98">
        <f>+'Quote Master'!$I$67</f>
        <v>2040</v>
      </c>
      <c r="F2" s="58">
        <f>+E2*C2</f>
        <v>0</v>
      </c>
      <c r="K2" s="58" t="s">
        <v>882</v>
      </c>
      <c r="L2" s="309">
        <v>0</v>
      </c>
      <c r="O2" s="58" t="s">
        <v>883</v>
      </c>
      <c r="P2" s="309">
        <v>0</v>
      </c>
    </row>
    <row r="3" spans="1:17" x14ac:dyDescent="0.25">
      <c r="A3" s="49">
        <v>2</v>
      </c>
      <c r="B3" s="58" t="s">
        <v>884</v>
      </c>
      <c r="C3" s="58"/>
      <c r="D3" s="58" t="s">
        <v>664</v>
      </c>
      <c r="E3" s="98">
        <f>+'Quote Master'!I68</f>
        <v>2520</v>
      </c>
      <c r="F3" s="58">
        <f t="shared" ref="F3:F6" si="0">+E3*C3</f>
        <v>0</v>
      </c>
      <c r="K3" s="58" t="s">
        <v>885</v>
      </c>
      <c r="L3" s="309">
        <v>0</v>
      </c>
      <c r="O3" s="58" t="s">
        <v>886</v>
      </c>
      <c r="P3" s="309">
        <v>0</v>
      </c>
    </row>
    <row r="4" spans="1:17" x14ac:dyDescent="0.25">
      <c r="A4" s="49">
        <v>3</v>
      </c>
      <c r="B4" s="58" t="s">
        <v>887</v>
      </c>
      <c r="C4" s="58"/>
      <c r="D4" s="58" t="s">
        <v>664</v>
      </c>
      <c r="E4" s="98">
        <f>+'Quote Master'!I69</f>
        <v>4080</v>
      </c>
      <c r="F4" s="58">
        <f t="shared" si="0"/>
        <v>0</v>
      </c>
      <c r="K4" s="58" t="s">
        <v>888</v>
      </c>
      <c r="L4" s="58">
        <v>0</v>
      </c>
      <c r="M4" s="378" t="s">
        <v>889</v>
      </c>
      <c r="O4" s="58" t="s">
        <v>888</v>
      </c>
      <c r="P4" s="58">
        <v>0</v>
      </c>
      <c r="Q4" s="378" t="s">
        <v>889</v>
      </c>
    </row>
    <row r="5" spans="1:17" x14ac:dyDescent="0.25">
      <c r="A5" s="49">
        <v>3</v>
      </c>
      <c r="B5" s="58" t="s">
        <v>890</v>
      </c>
      <c r="C5" s="58"/>
      <c r="D5" s="58" t="s">
        <v>664</v>
      </c>
      <c r="E5" s="98">
        <f>+'Quote Master'!$I$67</f>
        <v>2040</v>
      </c>
      <c r="F5" s="58">
        <f t="shared" ref="F5" si="1">+E5*C5</f>
        <v>0</v>
      </c>
      <c r="K5" s="58" t="s">
        <v>891</v>
      </c>
      <c r="L5" s="58">
        <v>0</v>
      </c>
      <c r="M5" s="378" t="s">
        <v>889</v>
      </c>
      <c r="O5" s="58" t="s">
        <v>891</v>
      </c>
      <c r="P5" s="58"/>
      <c r="Q5" s="378" t="s">
        <v>889</v>
      </c>
    </row>
    <row r="6" spans="1:17" x14ac:dyDescent="0.25">
      <c r="A6" s="49">
        <v>4</v>
      </c>
      <c r="B6" s="58" t="s">
        <v>892</v>
      </c>
      <c r="C6" s="58">
        <f>L6</f>
        <v>0</v>
      </c>
      <c r="D6" s="58" t="s">
        <v>664</v>
      </c>
      <c r="E6" s="98">
        <f>+'Quote Master'!I64</f>
        <v>6500</v>
      </c>
      <c r="F6" s="58">
        <f t="shared" si="0"/>
        <v>0</v>
      </c>
      <c r="K6" s="379" t="s">
        <v>893</v>
      </c>
      <c r="L6" s="379">
        <f>L3*L2*L1</f>
        <v>0</v>
      </c>
      <c r="O6" s="379" t="s">
        <v>893</v>
      </c>
      <c r="P6" s="379">
        <f>P3*P2*P1</f>
        <v>0</v>
      </c>
    </row>
    <row r="7" spans="1:17" x14ac:dyDescent="0.25">
      <c r="A7" s="49">
        <v>5</v>
      </c>
      <c r="B7" s="58" t="s">
        <v>894</v>
      </c>
      <c r="C7" s="58">
        <f t="shared" ref="C7:C8" si="2">L7</f>
        <v>0</v>
      </c>
      <c r="D7" s="58" t="s">
        <v>664</v>
      </c>
      <c r="E7" s="98">
        <f>+'Quote Master'!I65</f>
        <v>30000</v>
      </c>
      <c r="F7" s="58">
        <f t="shared" ref="F7" si="3">+E7*C7</f>
        <v>0</v>
      </c>
      <c r="K7" s="380" t="s">
        <v>895</v>
      </c>
      <c r="L7" s="380">
        <f>L4*L1</f>
        <v>0</v>
      </c>
      <c r="O7" s="380" t="s">
        <v>895</v>
      </c>
      <c r="P7" s="380">
        <f>P4*P1</f>
        <v>0</v>
      </c>
    </row>
    <row r="8" spans="1:17" x14ac:dyDescent="0.25">
      <c r="A8" s="49">
        <v>6</v>
      </c>
      <c r="B8" s="58" t="s">
        <v>896</v>
      </c>
      <c r="C8" s="58">
        <f t="shared" si="2"/>
        <v>0</v>
      </c>
      <c r="D8" s="58" t="s">
        <v>664</v>
      </c>
      <c r="E8" s="98">
        <f>+'Quote Master'!I66</f>
        <v>10000</v>
      </c>
      <c r="F8" s="58">
        <f t="shared" ref="F8:F9" si="4">+E8*C8</f>
        <v>0</v>
      </c>
      <c r="K8" s="380" t="s">
        <v>897</v>
      </c>
      <c r="L8" s="380">
        <f>L5*L1</f>
        <v>0</v>
      </c>
      <c r="O8" s="380" t="s">
        <v>897</v>
      </c>
      <c r="P8" s="380">
        <f>P5*P1</f>
        <v>0</v>
      </c>
    </row>
    <row r="9" spans="1:17" x14ac:dyDescent="0.25">
      <c r="A9" s="49">
        <v>7</v>
      </c>
      <c r="B9" s="58" t="s">
        <v>898</v>
      </c>
      <c r="C9" s="58">
        <f>L1</f>
        <v>2</v>
      </c>
      <c r="D9" s="58" t="s">
        <v>664</v>
      </c>
      <c r="E9" s="98">
        <f>+'Quote Master'!$I$72</f>
        <v>30000</v>
      </c>
      <c r="F9" s="58">
        <f t="shared" si="4"/>
        <v>60000</v>
      </c>
    </row>
    <row r="10" spans="1:17" x14ac:dyDescent="0.25">
      <c r="A10" s="49">
        <v>8</v>
      </c>
      <c r="B10" s="58" t="s">
        <v>899</v>
      </c>
      <c r="C10" s="58"/>
      <c r="D10" s="58" t="s">
        <v>664</v>
      </c>
      <c r="E10" s="98">
        <f>'Quote Master'!$I$73</f>
        <v>0</v>
      </c>
      <c r="F10" s="58">
        <f t="shared" ref="F10" si="5">+E10*C10</f>
        <v>0</v>
      </c>
    </row>
    <row r="11" spans="1:17" x14ac:dyDescent="0.25">
      <c r="A11" s="49">
        <v>9</v>
      </c>
      <c r="B11" s="58" t="s">
        <v>114</v>
      </c>
      <c r="C11" s="58"/>
      <c r="D11" s="58"/>
      <c r="E11" s="58">
        <f>+C6*1000</f>
        <v>0</v>
      </c>
      <c r="F11" s="58">
        <f>+E11</f>
        <v>0</v>
      </c>
    </row>
    <row r="12" spans="1:17" ht="19.5" thickBot="1" x14ac:dyDescent="0.35">
      <c r="A12" s="1"/>
      <c r="E12" s="96" t="s">
        <v>87</v>
      </c>
      <c r="F12" s="97">
        <f>+SUM(F2:F11)</f>
        <v>60000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E9FE2-DB58-46FA-8384-596AD9219B4D}">
  <sheetPr>
    <tabColor rgb="FFFFFF00"/>
  </sheetPr>
  <dimension ref="A1:J13"/>
  <sheetViews>
    <sheetView zoomScale="130" zoomScaleNormal="130" workbookViewId="0">
      <selection activeCell="G21" sqref="G21"/>
    </sheetView>
  </sheetViews>
  <sheetFormatPr defaultRowHeight="15" x14ac:dyDescent="0.25"/>
  <cols>
    <col min="1" max="1" width="5.5703125" style="1" bestFit="1" customWidth="1"/>
    <col min="2" max="2" width="17.7109375" bestFit="1" customWidth="1"/>
    <col min="3" max="3" width="4.5703125" bestFit="1" customWidth="1"/>
    <col min="4" max="4" width="8.7109375" bestFit="1" customWidth="1"/>
    <col min="5" max="5" width="9.140625" bestFit="1" customWidth="1"/>
    <col min="6" max="6" width="11.140625" bestFit="1" customWidth="1"/>
    <col min="7" max="7" width="16.140625" bestFit="1" customWidth="1"/>
    <col min="8" max="8" width="33.28515625" bestFit="1" customWidth="1"/>
    <col min="9" max="10" width="13.140625" bestFit="1" customWidth="1"/>
  </cols>
  <sheetData>
    <row r="1" spans="1:10" ht="15.75" x14ac:dyDescent="0.25">
      <c r="A1" s="92" t="s">
        <v>353</v>
      </c>
      <c r="B1" s="93" t="s">
        <v>436</v>
      </c>
      <c r="C1" s="93" t="s">
        <v>325</v>
      </c>
      <c r="D1" s="93" t="s">
        <v>900</v>
      </c>
      <c r="E1" s="93" t="s">
        <v>4</v>
      </c>
      <c r="F1" s="93" t="s">
        <v>317</v>
      </c>
      <c r="G1" s="93" t="s">
        <v>318</v>
      </c>
    </row>
    <row r="2" spans="1:10" x14ac:dyDescent="0.25">
      <c r="A2" s="49">
        <v>1</v>
      </c>
      <c r="B2" s="235" t="s">
        <v>901</v>
      </c>
      <c r="C2" s="235">
        <v>2</v>
      </c>
      <c r="D2" s="58">
        <f>198.76</f>
        <v>198.76</v>
      </c>
      <c r="E2" s="58" t="s">
        <v>648</v>
      </c>
      <c r="F2" s="531">
        <v>80000</v>
      </c>
      <c r="G2" s="447">
        <f t="shared" ref="G2" si="0">+F2*C2*D2</f>
        <v>31801600</v>
      </c>
      <c r="H2" s="559" t="s">
        <v>902</v>
      </c>
      <c r="I2">
        <f t="shared" ref="I2" si="1">D2*C2</f>
        <v>397.52</v>
      </c>
    </row>
    <row r="3" spans="1:10" x14ac:dyDescent="0.25">
      <c r="A3" s="49">
        <v>2</v>
      </c>
      <c r="B3" s="235" t="s">
        <v>903</v>
      </c>
      <c r="C3" s="235">
        <v>2</v>
      </c>
      <c r="D3" s="58">
        <f>118.4</f>
        <v>118.4</v>
      </c>
      <c r="E3" s="58" t="s">
        <v>648</v>
      </c>
      <c r="F3" s="531">
        <v>80000</v>
      </c>
      <c r="G3" s="447">
        <f t="shared" ref="G3" si="2">+F3*C3*D3</f>
        <v>18944000</v>
      </c>
      <c r="H3" s="559" t="s">
        <v>904</v>
      </c>
      <c r="I3">
        <f>D3*C3</f>
        <v>236.8</v>
      </c>
    </row>
    <row r="4" spans="1:10" x14ac:dyDescent="0.25">
      <c r="A4" s="49">
        <v>3</v>
      </c>
      <c r="B4" s="235" t="s">
        <v>905</v>
      </c>
      <c r="C4" s="235">
        <v>2</v>
      </c>
      <c r="D4" s="58">
        <f>(12+8.33+4.5)</f>
        <v>24.83</v>
      </c>
      <c r="E4" s="58" t="s">
        <v>648</v>
      </c>
      <c r="F4" s="531">
        <v>80000</v>
      </c>
      <c r="G4" s="447">
        <f t="shared" ref="G4:G5" si="3">+F4*C4*D4</f>
        <v>3972799.9999999995</v>
      </c>
      <c r="H4" s="559" t="s">
        <v>906</v>
      </c>
      <c r="I4">
        <f t="shared" ref="I4" si="4">D4*C4</f>
        <v>49.66</v>
      </c>
    </row>
    <row r="5" spans="1:10" x14ac:dyDescent="0.25">
      <c r="A5" s="49">
        <v>4</v>
      </c>
      <c r="B5" s="235" t="s">
        <v>905</v>
      </c>
      <c r="C5" s="235">
        <v>1</v>
      </c>
      <c r="D5" s="58">
        <v>0</v>
      </c>
      <c r="E5" s="58"/>
      <c r="F5" s="531">
        <v>80000</v>
      </c>
      <c r="G5" s="447">
        <f t="shared" si="3"/>
        <v>0</v>
      </c>
    </row>
    <row r="6" spans="1:10" x14ac:dyDescent="0.25">
      <c r="A6" s="49">
        <v>5</v>
      </c>
      <c r="B6" s="235" t="s">
        <v>907</v>
      </c>
      <c r="C6" s="235">
        <v>2</v>
      </c>
      <c r="D6" s="58"/>
      <c r="E6" s="58" t="s">
        <v>664</v>
      </c>
      <c r="F6" s="531">
        <f>+'Quote Master'!I77</f>
        <v>50000</v>
      </c>
      <c r="G6" s="447">
        <f t="shared" ref="G6:G9" si="5">+F6*C6</f>
        <v>100000</v>
      </c>
    </row>
    <row r="7" spans="1:10" x14ac:dyDescent="0.25">
      <c r="A7" s="49">
        <v>6</v>
      </c>
      <c r="B7" s="235" t="s">
        <v>908</v>
      </c>
      <c r="C7" s="235">
        <v>18</v>
      </c>
      <c r="D7" s="58"/>
      <c r="E7" s="58" t="s">
        <v>664</v>
      </c>
      <c r="F7" s="531">
        <f>+'Quote Master'!I78*3</f>
        <v>225000</v>
      </c>
      <c r="G7" s="447">
        <f>F7*C7</f>
        <v>4050000</v>
      </c>
    </row>
    <row r="8" spans="1:10" x14ac:dyDescent="0.25">
      <c r="A8" s="49">
        <v>7</v>
      </c>
      <c r="B8" s="235" t="s">
        <v>909</v>
      </c>
      <c r="C8" s="235">
        <v>2</v>
      </c>
      <c r="D8" s="58"/>
      <c r="E8" s="58" t="s">
        <v>664</v>
      </c>
      <c r="F8" s="531">
        <f>+'Quote Master'!I79</f>
        <v>100000</v>
      </c>
      <c r="G8" s="447">
        <f t="shared" si="5"/>
        <v>200000</v>
      </c>
    </row>
    <row r="9" spans="1:10" ht="15.75" thickBot="1" x14ac:dyDescent="0.3">
      <c r="A9" s="49">
        <v>8</v>
      </c>
      <c r="B9" s="235" t="s">
        <v>910</v>
      </c>
      <c r="C9" s="235">
        <v>2</v>
      </c>
      <c r="D9" s="58"/>
      <c r="E9" s="58" t="s">
        <v>664</v>
      </c>
      <c r="F9" s="532">
        <f>+'Quote Master'!I75</f>
        <v>33600</v>
      </c>
      <c r="G9" s="473">
        <f t="shared" si="5"/>
        <v>67200</v>
      </c>
      <c r="I9">
        <f>2.7*3600/1.175</f>
        <v>8272.3404255319147</v>
      </c>
      <c r="J9">
        <f>I9*2</f>
        <v>16544.680851063829</v>
      </c>
    </row>
    <row r="10" spans="1:10" ht="19.5" thickBot="1" x14ac:dyDescent="0.35">
      <c r="F10" s="95" t="s">
        <v>87</v>
      </c>
      <c r="G10" s="474">
        <f>+SUM(G2:G9)</f>
        <v>59135600</v>
      </c>
      <c r="H10" s="533">
        <f>G10/'Overall Costing'!M5</f>
        <v>629102.1276595745</v>
      </c>
    </row>
    <row r="11" spans="1:10" x14ac:dyDescent="0.25">
      <c r="J11">
        <f>J9*1.33*85%</f>
        <v>18703.76170212766</v>
      </c>
    </row>
    <row r="13" spans="1:10" x14ac:dyDescent="0.25">
      <c r="H13" s="538">
        <f>20000*750</f>
        <v>15000000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EBAD2F34-DA70-4D3A-80FF-0FF3DC6D8F49}">
          <x14:formula1>
            <xm:f>'Quote Master'!$C$119:$C$123</xm:f>
          </x14:formula1>
          <xm:sqref>B2:B5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01731-1441-41FB-BE13-B28B2647E2E7}">
  <sheetPr>
    <tabColor rgb="FF000099"/>
  </sheetPr>
  <dimension ref="A1:H7"/>
  <sheetViews>
    <sheetView zoomScale="115" zoomScaleNormal="115" workbookViewId="0">
      <selection activeCell="G4" sqref="G4"/>
    </sheetView>
  </sheetViews>
  <sheetFormatPr defaultRowHeight="15" x14ac:dyDescent="0.25"/>
  <cols>
    <col min="1" max="1" width="5.5703125" bestFit="1" customWidth="1"/>
    <col min="2" max="2" width="26" bestFit="1" customWidth="1"/>
    <col min="3" max="3" width="8.28515625" bestFit="1" customWidth="1"/>
    <col min="4" max="4" width="5.42578125" bestFit="1" customWidth="1"/>
    <col min="5" max="5" width="12.42578125" bestFit="1" customWidth="1"/>
    <col min="6" max="6" width="15.140625" customWidth="1"/>
    <col min="7" max="7" width="31.5703125" bestFit="1" customWidth="1"/>
  </cols>
  <sheetData>
    <row r="1" spans="1:8" x14ac:dyDescent="0.25">
      <c r="A1" s="103" t="s">
        <v>435</v>
      </c>
      <c r="B1" s="103" t="s">
        <v>436</v>
      </c>
      <c r="C1" s="103" t="s">
        <v>437</v>
      </c>
      <c r="D1" s="103" t="s">
        <v>4</v>
      </c>
      <c r="E1" s="103" t="s">
        <v>317</v>
      </c>
      <c r="F1" s="103" t="s">
        <v>87</v>
      </c>
    </row>
    <row r="2" spans="1:8" x14ac:dyDescent="0.25">
      <c r="A2" s="52">
        <v>1</v>
      </c>
      <c r="B2" s="49" t="s">
        <v>911</v>
      </c>
      <c r="C2" s="49">
        <v>1</v>
      </c>
      <c r="D2" s="49" t="s">
        <v>327</v>
      </c>
      <c r="E2" s="100">
        <v>300000</v>
      </c>
      <c r="F2" s="560">
        <f>E2*C2</f>
        <v>300000</v>
      </c>
    </row>
    <row r="3" spans="1:8" x14ac:dyDescent="0.25">
      <c r="A3" s="52">
        <v>2</v>
      </c>
      <c r="B3" s="27" t="s">
        <v>342</v>
      </c>
      <c r="C3" s="27">
        <v>1</v>
      </c>
      <c r="D3" s="27" t="s">
        <v>327</v>
      </c>
      <c r="E3" s="100">
        <v>300000</v>
      </c>
      <c r="F3" s="560">
        <f>E3*C3</f>
        <v>300000</v>
      </c>
    </row>
    <row r="4" spans="1:8" x14ac:dyDescent="0.25">
      <c r="A4" s="52">
        <v>3</v>
      </c>
      <c r="B4" s="27" t="s">
        <v>912</v>
      </c>
      <c r="C4" s="27">
        <v>1</v>
      </c>
      <c r="D4" s="27" t="s">
        <v>327</v>
      </c>
      <c r="E4" s="100">
        <v>500000</v>
      </c>
      <c r="F4" s="560">
        <f>E4*C4</f>
        <v>500000</v>
      </c>
      <c r="G4" t="s">
        <v>913</v>
      </c>
      <c r="H4">
        <f>(2+1)/0.6*2</f>
        <v>10</v>
      </c>
    </row>
    <row r="5" spans="1:8" x14ac:dyDescent="0.25">
      <c r="A5" s="52">
        <v>4</v>
      </c>
      <c r="B5" s="27" t="s">
        <v>914</v>
      </c>
      <c r="C5" s="27">
        <v>1</v>
      </c>
      <c r="D5" s="27" t="s">
        <v>327</v>
      </c>
      <c r="E5" s="100">
        <v>300000</v>
      </c>
      <c r="F5" s="560">
        <f>E5*C5</f>
        <v>300000</v>
      </c>
    </row>
    <row r="6" spans="1:8" x14ac:dyDescent="0.25">
      <c r="A6" s="52">
        <v>5</v>
      </c>
      <c r="B6" s="27" t="s">
        <v>915</v>
      </c>
      <c r="C6" s="27">
        <v>1</v>
      </c>
      <c r="D6" s="27" t="s">
        <v>327</v>
      </c>
      <c r="E6" s="100">
        <v>100000</v>
      </c>
      <c r="F6" s="560">
        <f>E6*C6</f>
        <v>100000</v>
      </c>
    </row>
    <row r="7" spans="1:8" ht="15.75" x14ac:dyDescent="0.25">
      <c r="A7" s="49"/>
      <c r="B7" s="49"/>
      <c r="C7" s="49"/>
      <c r="D7" s="49"/>
      <c r="E7" s="138" t="s">
        <v>87</v>
      </c>
      <c r="F7" s="561">
        <f>SUM(F2:F6)</f>
        <v>1500000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5C7F-2626-411D-BBB3-046517623701}">
  <sheetPr>
    <tabColor rgb="FF00B0F0"/>
  </sheetPr>
  <dimension ref="A1:S138"/>
  <sheetViews>
    <sheetView topLeftCell="A15" zoomScale="89" zoomScaleNormal="89" workbookViewId="0">
      <selection activeCell="I42" sqref="I42"/>
    </sheetView>
  </sheetViews>
  <sheetFormatPr defaultRowHeight="15" x14ac:dyDescent="0.25"/>
  <cols>
    <col min="1" max="1" width="7.42578125" style="7" customWidth="1"/>
    <col min="2" max="2" width="21" style="7" customWidth="1"/>
    <col min="3" max="3" width="47.5703125" style="71" customWidth="1"/>
    <col min="4" max="4" width="12.85546875" style="71" bestFit="1" customWidth="1"/>
    <col min="5" max="5" width="11.28515625" style="7" bestFit="1" customWidth="1"/>
    <col min="6" max="6" width="16.85546875" style="7" bestFit="1" customWidth="1"/>
    <col min="7" max="8" width="16.85546875" style="7" customWidth="1"/>
    <col min="9" max="9" width="18.7109375" style="141" bestFit="1" customWidth="1"/>
    <col min="10" max="10" width="31.140625" style="7" bestFit="1" customWidth="1"/>
    <col min="11" max="11" width="49.5703125" style="7" bestFit="1" customWidth="1"/>
    <col min="12" max="12" width="18.7109375" style="7" bestFit="1" customWidth="1"/>
    <col min="13" max="15" width="49.5703125" style="7" customWidth="1"/>
    <col min="16" max="16" width="14.42578125" style="7" bestFit="1" customWidth="1"/>
    <col min="17" max="19" width="7.28515625" style="7" customWidth="1"/>
    <col min="20" max="20" width="11.140625" customWidth="1"/>
  </cols>
  <sheetData>
    <row r="1" spans="1:16" ht="15.75" thickBot="1" x14ac:dyDescent="0.3">
      <c r="J1" s="7">
        <f>'Overall Costing'!$M$1</f>
        <v>0.67500000000000004</v>
      </c>
    </row>
    <row r="2" spans="1:16" ht="19.5" thickBot="1" x14ac:dyDescent="0.3">
      <c r="A2" s="59" t="s">
        <v>435</v>
      </c>
      <c r="B2" s="60" t="s">
        <v>916</v>
      </c>
      <c r="C2" s="127" t="s">
        <v>436</v>
      </c>
      <c r="D2" s="61" t="s">
        <v>917</v>
      </c>
      <c r="E2" s="59" t="s">
        <v>4</v>
      </c>
      <c r="F2" s="59" t="s">
        <v>918</v>
      </c>
      <c r="G2" s="157" t="s">
        <v>267</v>
      </c>
      <c r="H2" s="157" t="s">
        <v>224</v>
      </c>
      <c r="I2" s="145" t="s">
        <v>317</v>
      </c>
      <c r="J2" s="151" t="s">
        <v>919</v>
      </c>
      <c r="K2" s="60" t="s">
        <v>920</v>
      </c>
      <c r="L2" s="59" t="s">
        <v>317</v>
      </c>
      <c r="M2" s="120"/>
      <c r="N2" s="120"/>
      <c r="O2" s="120"/>
      <c r="P2" s="62" t="s">
        <v>921</v>
      </c>
    </row>
    <row r="3" spans="1:16" ht="15.75" x14ac:dyDescent="0.25">
      <c r="A3" s="63">
        <v>1</v>
      </c>
      <c r="B3" s="634" t="s">
        <v>922</v>
      </c>
      <c r="C3" s="64" t="s">
        <v>923</v>
      </c>
      <c r="D3" s="65"/>
      <c r="E3" s="63" t="s">
        <v>924</v>
      </c>
      <c r="F3" s="27" t="s">
        <v>925</v>
      </c>
      <c r="G3" s="158"/>
      <c r="H3" s="158"/>
      <c r="I3" s="146"/>
      <c r="J3" s="27" t="s">
        <v>145</v>
      </c>
      <c r="K3" s="122"/>
      <c r="L3" s="63"/>
      <c r="M3" s="66"/>
      <c r="N3" s="66"/>
      <c r="O3" s="66"/>
      <c r="P3" s="67"/>
    </row>
    <row r="4" spans="1:16" ht="15.75" x14ac:dyDescent="0.25">
      <c r="A4" s="27">
        <v>2</v>
      </c>
      <c r="B4" s="628"/>
      <c r="C4" s="160" t="s">
        <v>926</v>
      </c>
      <c r="D4" s="33"/>
      <c r="E4" s="63" t="s">
        <v>924</v>
      </c>
      <c r="F4" s="27" t="s">
        <v>925</v>
      </c>
      <c r="G4" s="158">
        <v>610</v>
      </c>
      <c r="H4" s="158">
        <v>12500</v>
      </c>
      <c r="I4" s="156">
        <f t="shared" ref="I4:I11" si="0">H4/$J$1</f>
        <v>18518.518518518518</v>
      </c>
      <c r="J4" s="27" t="s">
        <v>927</v>
      </c>
      <c r="K4" s="122"/>
      <c r="L4" s="27"/>
      <c r="M4" s="66"/>
      <c r="N4" s="66"/>
      <c r="O4" s="66"/>
      <c r="P4" s="67"/>
    </row>
    <row r="5" spans="1:16" ht="15.75" x14ac:dyDescent="0.25">
      <c r="A5" s="63">
        <v>3</v>
      </c>
      <c r="B5" s="628"/>
      <c r="C5" s="160" t="s">
        <v>928</v>
      </c>
      <c r="D5" s="33"/>
      <c r="E5" s="63" t="s">
        <v>924</v>
      </c>
      <c r="F5" s="27" t="s">
        <v>925</v>
      </c>
      <c r="G5" s="158">
        <v>610</v>
      </c>
      <c r="H5" s="158">
        <v>122000</v>
      </c>
      <c r="I5" s="156">
        <f t="shared" si="0"/>
        <v>180740.74074074073</v>
      </c>
      <c r="J5" s="27" t="s">
        <v>927</v>
      </c>
      <c r="K5" s="122"/>
      <c r="L5" s="27"/>
      <c r="M5" s="66"/>
      <c r="N5" s="66"/>
      <c r="O5" s="66"/>
      <c r="P5" s="67"/>
    </row>
    <row r="6" spans="1:16" ht="15.75" x14ac:dyDescent="0.25">
      <c r="A6" s="27">
        <v>4</v>
      </c>
      <c r="B6" s="628"/>
      <c r="C6" s="163" t="s">
        <v>929</v>
      </c>
      <c r="D6" s="33"/>
      <c r="E6" s="63" t="s">
        <v>924</v>
      </c>
      <c r="F6" s="27" t="s">
        <v>925</v>
      </c>
      <c r="G6" s="158">
        <v>810</v>
      </c>
      <c r="H6" s="158"/>
      <c r="I6" s="156">
        <f t="shared" si="0"/>
        <v>0</v>
      </c>
      <c r="J6" s="27" t="s">
        <v>927</v>
      </c>
      <c r="K6" s="122"/>
      <c r="L6" s="27"/>
      <c r="M6" s="66"/>
      <c r="N6" s="66"/>
      <c r="O6" s="66"/>
      <c r="P6" s="67"/>
    </row>
    <row r="7" spans="1:16" ht="15.75" x14ac:dyDescent="0.25">
      <c r="A7" s="63">
        <v>5</v>
      </c>
      <c r="B7" s="628"/>
      <c r="C7" s="163" t="s">
        <v>930</v>
      </c>
      <c r="D7" s="33"/>
      <c r="E7" s="63" t="s">
        <v>924</v>
      </c>
      <c r="F7" s="27" t="s">
        <v>925</v>
      </c>
      <c r="G7" s="158">
        <v>810</v>
      </c>
      <c r="H7" s="158"/>
      <c r="I7" s="156">
        <f t="shared" si="0"/>
        <v>0</v>
      </c>
      <c r="J7" s="27" t="s">
        <v>927</v>
      </c>
      <c r="K7" s="122"/>
      <c r="L7" s="27"/>
      <c r="M7" s="66"/>
      <c r="N7" s="66"/>
      <c r="O7" s="66"/>
      <c r="P7" s="67"/>
    </row>
    <row r="8" spans="1:16" ht="15.75" x14ac:dyDescent="0.25">
      <c r="A8" s="27">
        <v>6</v>
      </c>
      <c r="B8" s="628"/>
      <c r="C8" s="163" t="s">
        <v>931</v>
      </c>
      <c r="D8" s="33"/>
      <c r="E8" s="63" t="s">
        <v>924</v>
      </c>
      <c r="F8" s="27" t="s">
        <v>925</v>
      </c>
      <c r="G8" s="158">
        <v>1010</v>
      </c>
      <c r="H8" s="158"/>
      <c r="I8" s="156">
        <f t="shared" si="0"/>
        <v>0</v>
      </c>
      <c r="J8" s="27" t="s">
        <v>927</v>
      </c>
      <c r="K8" s="122"/>
      <c r="L8" s="27"/>
      <c r="M8" s="66"/>
      <c r="N8" s="66"/>
      <c r="O8" s="66"/>
      <c r="P8" s="67"/>
    </row>
    <row r="9" spans="1:16" ht="15.75" x14ac:dyDescent="0.25">
      <c r="A9" s="63">
        <v>7</v>
      </c>
      <c r="B9" s="628"/>
      <c r="C9" s="163" t="s">
        <v>932</v>
      </c>
      <c r="D9" s="33"/>
      <c r="E9" s="63" t="s">
        <v>924</v>
      </c>
      <c r="F9" s="27" t="s">
        <v>925</v>
      </c>
      <c r="G9" s="158">
        <v>1010</v>
      </c>
      <c r="H9" s="158"/>
      <c r="I9" s="156">
        <f t="shared" si="0"/>
        <v>0</v>
      </c>
      <c r="J9" s="27" t="s">
        <v>927</v>
      </c>
      <c r="K9" s="122"/>
      <c r="L9" s="27"/>
      <c r="M9" s="66"/>
      <c r="N9" s="66"/>
      <c r="O9" s="66"/>
      <c r="P9" s="67"/>
    </row>
    <row r="10" spans="1:16" ht="15.75" x14ac:dyDescent="0.25">
      <c r="A10" s="27">
        <v>8</v>
      </c>
      <c r="B10" s="628"/>
      <c r="C10" s="160" t="s">
        <v>933</v>
      </c>
      <c r="D10" s="33"/>
      <c r="E10" s="63" t="s">
        <v>924</v>
      </c>
      <c r="F10" s="27" t="s">
        <v>925</v>
      </c>
      <c r="G10" s="158">
        <v>1210</v>
      </c>
      <c r="H10" s="158">
        <v>18000</v>
      </c>
      <c r="I10" s="156">
        <f t="shared" si="0"/>
        <v>26666.666666666664</v>
      </c>
      <c r="J10" s="27" t="s">
        <v>927</v>
      </c>
      <c r="K10" s="122"/>
      <c r="L10" s="27"/>
      <c r="M10" s="66"/>
      <c r="N10" s="66"/>
      <c r="O10" s="66"/>
      <c r="P10" s="67"/>
    </row>
    <row r="11" spans="1:16" ht="16.5" thickBot="1" x14ac:dyDescent="0.3">
      <c r="A11" s="63">
        <v>9</v>
      </c>
      <c r="B11" s="635"/>
      <c r="C11" s="160" t="s">
        <v>934</v>
      </c>
      <c r="D11" s="33"/>
      <c r="E11" s="63" t="s">
        <v>924</v>
      </c>
      <c r="F11" s="27" t="s">
        <v>925</v>
      </c>
      <c r="G11" s="158">
        <v>1210</v>
      </c>
      <c r="H11" s="158">
        <v>135000</v>
      </c>
      <c r="I11" s="156">
        <f t="shared" si="0"/>
        <v>200000</v>
      </c>
      <c r="J11" s="27" t="s">
        <v>927</v>
      </c>
      <c r="K11" s="122"/>
      <c r="L11" s="27"/>
      <c r="M11" s="66"/>
      <c r="N11" s="66"/>
      <c r="O11" s="66"/>
      <c r="P11" s="67"/>
    </row>
    <row r="12" spans="1:16" x14ac:dyDescent="0.25">
      <c r="A12" s="27">
        <v>10</v>
      </c>
      <c r="B12" s="633" t="s">
        <v>935</v>
      </c>
      <c r="C12" s="33" t="s">
        <v>936</v>
      </c>
      <c r="D12" s="33"/>
      <c r="E12" s="27" t="s">
        <v>937</v>
      </c>
      <c r="F12" s="27" t="s">
        <v>925</v>
      </c>
      <c r="G12" s="66">
        <v>1200</v>
      </c>
      <c r="H12" s="66"/>
      <c r="I12" s="147">
        <v>825000</v>
      </c>
      <c r="J12" s="27" t="s">
        <v>148</v>
      </c>
      <c r="K12" s="122"/>
      <c r="L12" s="69">
        <v>825000</v>
      </c>
      <c r="M12" s="66"/>
      <c r="N12" s="66"/>
      <c r="O12" s="66"/>
      <c r="P12" s="67"/>
    </row>
    <row r="13" spans="1:16" x14ac:dyDescent="0.25">
      <c r="A13" s="63">
        <v>11</v>
      </c>
      <c r="B13" s="631"/>
      <c r="C13" s="33" t="s">
        <v>938</v>
      </c>
      <c r="D13" s="65"/>
      <c r="E13" s="27" t="s">
        <v>937</v>
      </c>
      <c r="F13" s="27" t="s">
        <v>925</v>
      </c>
      <c r="G13" s="66">
        <v>1000</v>
      </c>
      <c r="H13" s="66"/>
      <c r="I13" s="147">
        <v>760000</v>
      </c>
      <c r="J13" s="27"/>
      <c r="K13" s="122"/>
      <c r="L13" s="69">
        <v>760000</v>
      </c>
      <c r="M13" s="66"/>
      <c r="N13" s="66"/>
      <c r="O13" s="66"/>
      <c r="P13" s="67"/>
    </row>
    <row r="14" spans="1:16" x14ac:dyDescent="0.25">
      <c r="A14" s="27">
        <v>12</v>
      </c>
      <c r="B14" s="628"/>
      <c r="C14" s="33" t="s">
        <v>939</v>
      </c>
      <c r="D14" s="65"/>
      <c r="E14" s="27" t="s">
        <v>937</v>
      </c>
      <c r="F14" s="27" t="s">
        <v>925</v>
      </c>
      <c r="G14" s="66"/>
      <c r="H14" s="66"/>
      <c r="I14" s="147">
        <v>760000</v>
      </c>
      <c r="J14" s="27"/>
      <c r="K14" s="122"/>
      <c r="L14" s="69">
        <v>760000</v>
      </c>
      <c r="M14" s="66"/>
      <c r="N14" s="66"/>
      <c r="O14" s="66"/>
      <c r="P14" s="67"/>
    </row>
    <row r="15" spans="1:16" x14ac:dyDescent="0.25">
      <c r="A15" s="63">
        <v>13</v>
      </c>
      <c r="B15" s="628"/>
      <c r="C15" s="33" t="s">
        <v>940</v>
      </c>
      <c r="D15" s="33"/>
      <c r="E15" s="27" t="s">
        <v>937</v>
      </c>
      <c r="F15" s="27" t="s">
        <v>925</v>
      </c>
      <c r="G15" s="66"/>
      <c r="H15" s="66"/>
      <c r="I15" s="147">
        <v>760000</v>
      </c>
      <c r="J15" s="27"/>
      <c r="K15" s="122"/>
      <c r="L15" s="69">
        <v>760000</v>
      </c>
      <c r="M15" s="66"/>
      <c r="N15" s="66"/>
      <c r="O15" s="66"/>
      <c r="P15" s="67"/>
    </row>
    <row r="16" spans="1:16" x14ac:dyDescent="0.25">
      <c r="A16" s="27">
        <v>14</v>
      </c>
      <c r="B16" s="629"/>
      <c r="C16" s="33" t="s">
        <v>941</v>
      </c>
      <c r="D16" s="33"/>
      <c r="E16" s="27" t="s">
        <v>937</v>
      </c>
      <c r="F16" s="27" t="s">
        <v>925</v>
      </c>
      <c r="G16" s="66"/>
      <c r="H16" s="66"/>
      <c r="I16" s="147">
        <v>760000</v>
      </c>
      <c r="J16" s="27"/>
      <c r="K16" s="122"/>
      <c r="L16" s="69">
        <v>760000</v>
      </c>
      <c r="M16" s="66"/>
      <c r="N16" s="66"/>
      <c r="O16" s="66"/>
      <c r="P16" s="67"/>
    </row>
    <row r="17" spans="1:19" s="30" customFormat="1" ht="15.75" x14ac:dyDescent="0.25">
      <c r="A17" s="63">
        <v>15</v>
      </c>
      <c r="B17" s="627"/>
      <c r="C17" s="81" t="s">
        <v>942</v>
      </c>
      <c r="D17" s="82"/>
      <c r="E17" s="83"/>
      <c r="F17" s="84" t="s">
        <v>925</v>
      </c>
      <c r="G17" s="85"/>
      <c r="H17" s="85"/>
      <c r="I17" s="148">
        <v>900000</v>
      </c>
      <c r="J17" s="84" t="s">
        <v>148</v>
      </c>
      <c r="K17" s="150"/>
      <c r="L17" s="78">
        <v>900000</v>
      </c>
      <c r="M17" s="85"/>
      <c r="N17" s="85"/>
      <c r="O17" s="85"/>
      <c r="P17" s="84"/>
      <c r="Q17" s="7"/>
      <c r="R17" s="7"/>
      <c r="S17" s="7"/>
    </row>
    <row r="18" spans="1:19" s="30" customFormat="1" ht="15.75" x14ac:dyDescent="0.25">
      <c r="A18" s="27">
        <v>16</v>
      </c>
      <c r="B18" s="628"/>
      <c r="C18" s="81" t="s">
        <v>943</v>
      </c>
      <c r="D18" s="82"/>
      <c r="E18" s="83"/>
      <c r="F18" s="84" t="s">
        <v>925</v>
      </c>
      <c r="G18" s="85"/>
      <c r="H18" s="85"/>
      <c r="I18" s="148">
        <v>1800000</v>
      </c>
      <c r="J18" s="84"/>
      <c r="K18" s="150"/>
      <c r="L18" s="78">
        <v>1800000</v>
      </c>
      <c r="M18" s="85"/>
      <c r="N18" s="85"/>
      <c r="O18" s="85"/>
      <c r="P18" s="84"/>
      <c r="Q18" s="7"/>
      <c r="R18" s="7"/>
      <c r="S18" s="7"/>
    </row>
    <row r="19" spans="1:19" s="30" customFormat="1" ht="15.75" x14ac:dyDescent="0.25">
      <c r="A19" s="63">
        <v>17</v>
      </c>
      <c r="B19" s="628"/>
      <c r="C19" s="68" t="s">
        <v>944</v>
      </c>
      <c r="D19" s="65"/>
      <c r="E19" s="63"/>
      <c r="F19" s="27" t="s">
        <v>925</v>
      </c>
      <c r="G19" s="66">
        <v>1000</v>
      </c>
      <c r="H19" s="66"/>
      <c r="I19" s="147">
        <v>250000</v>
      </c>
      <c r="J19" s="27" t="s">
        <v>148</v>
      </c>
      <c r="K19" s="122"/>
      <c r="L19" s="69">
        <v>250000</v>
      </c>
      <c r="M19" s="66"/>
      <c r="N19" s="66"/>
      <c r="O19" s="66"/>
      <c r="P19" s="67"/>
      <c r="Q19" s="7"/>
      <c r="R19" s="7"/>
      <c r="S19" s="7"/>
    </row>
    <row r="20" spans="1:19" s="30" customFormat="1" ht="15.75" x14ac:dyDescent="0.25">
      <c r="A20" s="27">
        <v>18</v>
      </c>
      <c r="B20" s="628"/>
      <c r="C20" s="68" t="s">
        <v>945</v>
      </c>
      <c r="D20" s="65"/>
      <c r="E20" s="63"/>
      <c r="F20" s="27" t="s">
        <v>925</v>
      </c>
      <c r="G20" s="66">
        <v>800</v>
      </c>
      <c r="H20" s="66"/>
      <c r="I20" s="147">
        <v>225000</v>
      </c>
      <c r="J20" s="27" t="s">
        <v>148</v>
      </c>
      <c r="K20" s="122"/>
      <c r="L20" s="69">
        <v>225000</v>
      </c>
      <c r="M20" s="66"/>
      <c r="N20" s="66"/>
      <c r="O20" s="66"/>
      <c r="P20" s="67"/>
      <c r="Q20" s="7"/>
      <c r="R20" s="7"/>
      <c r="S20" s="7"/>
    </row>
    <row r="21" spans="1:19" s="30" customFormat="1" ht="15.75" x14ac:dyDescent="0.25">
      <c r="A21" s="63">
        <v>19</v>
      </c>
      <c r="B21" s="628"/>
      <c r="C21" s="68" t="s">
        <v>946</v>
      </c>
      <c r="D21" s="65"/>
      <c r="E21" s="63"/>
      <c r="F21" s="27" t="s">
        <v>925</v>
      </c>
      <c r="G21" s="66">
        <v>1000</v>
      </c>
      <c r="H21" s="66"/>
      <c r="I21" s="147">
        <v>250000</v>
      </c>
      <c r="J21" s="27"/>
      <c r="K21" s="122"/>
      <c r="L21" s="69">
        <v>250000</v>
      </c>
      <c r="M21" s="66"/>
      <c r="N21" s="66"/>
      <c r="O21" s="66"/>
      <c r="P21" s="67"/>
      <c r="Q21" s="7"/>
      <c r="R21" s="7"/>
      <c r="S21" s="7"/>
    </row>
    <row r="22" spans="1:19" s="30" customFormat="1" ht="15.75" x14ac:dyDescent="0.25">
      <c r="A22" s="27">
        <v>20</v>
      </c>
      <c r="B22" s="629"/>
      <c r="C22" s="68" t="s">
        <v>947</v>
      </c>
      <c r="D22" s="65"/>
      <c r="E22" s="63"/>
      <c r="F22" s="27" t="s">
        <v>925</v>
      </c>
      <c r="G22" s="66">
        <v>800</v>
      </c>
      <c r="H22" s="66"/>
      <c r="I22" s="147">
        <v>225000</v>
      </c>
      <c r="J22" s="27"/>
      <c r="K22" s="122"/>
      <c r="L22" s="69">
        <v>225000</v>
      </c>
      <c r="M22" s="66"/>
      <c r="N22" s="66"/>
      <c r="O22" s="66"/>
      <c r="P22" s="67"/>
      <c r="Q22" s="7"/>
      <c r="R22" s="7"/>
      <c r="S22" s="7"/>
    </row>
    <row r="23" spans="1:19" x14ac:dyDescent="0.25">
      <c r="A23" s="63">
        <v>21</v>
      </c>
      <c r="B23" s="627" t="s">
        <v>948</v>
      </c>
      <c r="C23" s="161" t="s">
        <v>949</v>
      </c>
      <c r="D23" s="65"/>
      <c r="E23" s="63" t="s">
        <v>924</v>
      </c>
      <c r="F23" s="27" t="s">
        <v>925</v>
      </c>
      <c r="G23" s="66">
        <v>600</v>
      </c>
      <c r="H23" s="66">
        <v>31350</v>
      </c>
      <c r="I23" s="156">
        <f>H23/$J$1</f>
        <v>46444.444444444438</v>
      </c>
      <c r="J23" s="27" t="s">
        <v>148</v>
      </c>
      <c r="K23" s="122">
        <v>20</v>
      </c>
      <c r="L23" s="69">
        <f>15000</f>
        <v>15000</v>
      </c>
      <c r="M23" s="66"/>
      <c r="N23" s="66"/>
      <c r="O23" s="66"/>
      <c r="P23" s="67"/>
    </row>
    <row r="24" spans="1:19" x14ac:dyDescent="0.25">
      <c r="A24" s="27">
        <v>22</v>
      </c>
      <c r="B24" s="628"/>
      <c r="C24" s="164" t="s">
        <v>950</v>
      </c>
      <c r="D24" s="65"/>
      <c r="E24" s="63" t="s">
        <v>924</v>
      </c>
      <c r="F24" s="27" t="s">
        <v>925</v>
      </c>
      <c r="G24" s="66">
        <v>800</v>
      </c>
      <c r="H24" s="66">
        <v>42660</v>
      </c>
      <c r="I24" s="156">
        <f>H24/$J$1</f>
        <v>63199.999999999993</v>
      </c>
      <c r="J24" s="27" t="s">
        <v>148</v>
      </c>
      <c r="K24" s="122">
        <v>20</v>
      </c>
      <c r="L24" s="69">
        <f>15000</f>
        <v>15000</v>
      </c>
      <c r="M24" s="66"/>
      <c r="N24" s="66"/>
      <c r="O24" s="66"/>
      <c r="P24" s="67"/>
    </row>
    <row r="25" spans="1:19" x14ac:dyDescent="0.25">
      <c r="A25" s="63">
        <v>23</v>
      </c>
      <c r="B25" s="628"/>
      <c r="C25" s="164" t="s">
        <v>951</v>
      </c>
      <c r="D25" s="65"/>
      <c r="E25" s="63" t="s">
        <v>924</v>
      </c>
      <c r="F25" s="27" t="s">
        <v>925</v>
      </c>
      <c r="G25" s="66">
        <v>1000</v>
      </c>
      <c r="H25" s="66">
        <v>53970</v>
      </c>
      <c r="I25" s="156">
        <f>H25/$J$1</f>
        <v>79955.555555555547</v>
      </c>
      <c r="J25" s="27" t="s">
        <v>148</v>
      </c>
      <c r="K25" s="122">
        <v>20</v>
      </c>
      <c r="L25" s="69">
        <f>15000</f>
        <v>15000</v>
      </c>
      <c r="M25" s="66"/>
      <c r="N25" s="66"/>
      <c r="O25" s="66"/>
      <c r="P25" s="67"/>
    </row>
    <row r="26" spans="1:19" x14ac:dyDescent="0.25">
      <c r="A26" s="27">
        <v>24</v>
      </c>
      <c r="B26" s="628"/>
      <c r="C26" s="164" t="s">
        <v>952</v>
      </c>
      <c r="D26" s="65"/>
      <c r="E26" s="63" t="s">
        <v>924</v>
      </c>
      <c r="F26" s="27" t="s">
        <v>925</v>
      </c>
      <c r="G26" s="66">
        <v>1200</v>
      </c>
      <c r="H26" s="66">
        <v>65280</v>
      </c>
      <c r="I26" s="156">
        <f>H26/$J$1</f>
        <v>96711.111111111109</v>
      </c>
      <c r="J26" s="27" t="s">
        <v>148</v>
      </c>
      <c r="K26" s="122">
        <v>20</v>
      </c>
      <c r="L26" s="69">
        <f>15000</f>
        <v>15000</v>
      </c>
      <c r="M26" s="66"/>
      <c r="N26" s="66"/>
      <c r="O26" s="66"/>
      <c r="P26" s="67"/>
    </row>
    <row r="27" spans="1:19" x14ac:dyDescent="0.25">
      <c r="A27" s="63">
        <v>25</v>
      </c>
      <c r="B27" s="628"/>
      <c r="C27" s="161" t="s">
        <v>953</v>
      </c>
      <c r="D27" s="65"/>
      <c r="E27" s="63" t="s">
        <v>924</v>
      </c>
      <c r="F27" s="27" t="s">
        <v>925</v>
      </c>
      <c r="G27" s="66">
        <v>600</v>
      </c>
      <c r="H27" s="66">
        <v>33350</v>
      </c>
      <c r="I27" s="156">
        <f t="shared" ref="I27" si="1">H27/$J$1</f>
        <v>49407.407407407401</v>
      </c>
      <c r="J27" s="27" t="s">
        <v>148</v>
      </c>
      <c r="K27" s="122">
        <v>20</v>
      </c>
      <c r="L27" s="69">
        <v>15000</v>
      </c>
      <c r="M27" s="66"/>
      <c r="N27" s="66"/>
      <c r="O27" s="66"/>
      <c r="P27" s="67"/>
    </row>
    <row r="28" spans="1:19" x14ac:dyDescent="0.25">
      <c r="A28" s="27">
        <v>26</v>
      </c>
      <c r="B28" s="628"/>
      <c r="C28" s="164" t="s">
        <v>954</v>
      </c>
      <c r="D28" s="65"/>
      <c r="E28" s="63" t="s">
        <v>924</v>
      </c>
      <c r="F28" s="27" t="s">
        <v>925</v>
      </c>
      <c r="G28" s="66">
        <v>800</v>
      </c>
      <c r="H28" s="66">
        <f>H24+($H$27-$H$23)</f>
        <v>44660</v>
      </c>
      <c r="I28" s="156">
        <f t="shared" ref="I28:I29" si="2">H28/$J$1</f>
        <v>66162.962962962964</v>
      </c>
      <c r="J28" s="27" t="s">
        <v>148</v>
      </c>
      <c r="K28" s="122">
        <v>20</v>
      </c>
      <c r="L28" s="69">
        <v>15000</v>
      </c>
      <c r="M28" s="66"/>
      <c r="N28" s="66"/>
      <c r="O28" s="66"/>
      <c r="P28" s="67"/>
    </row>
    <row r="29" spans="1:19" x14ac:dyDescent="0.25">
      <c r="A29" s="63">
        <v>27</v>
      </c>
      <c r="B29" s="628"/>
      <c r="C29" s="164" t="s">
        <v>955</v>
      </c>
      <c r="D29" s="65"/>
      <c r="E29" s="63" t="s">
        <v>924</v>
      </c>
      <c r="F29" s="27" t="s">
        <v>925</v>
      </c>
      <c r="G29" s="66">
        <v>1000</v>
      </c>
      <c r="H29" s="66">
        <f t="shared" ref="H29:H30" si="3">H25+($H$27-$H$23)</f>
        <v>55970</v>
      </c>
      <c r="I29" s="156">
        <f t="shared" si="2"/>
        <v>82918.518518518511</v>
      </c>
      <c r="J29" s="27" t="s">
        <v>148</v>
      </c>
      <c r="K29" s="122">
        <v>20</v>
      </c>
      <c r="L29" s="69">
        <v>15000</v>
      </c>
      <c r="M29" s="66"/>
      <c r="N29" s="66"/>
      <c r="O29" s="66"/>
      <c r="P29" s="67"/>
    </row>
    <row r="30" spans="1:19" x14ac:dyDescent="0.25">
      <c r="A30" s="27">
        <v>28</v>
      </c>
      <c r="B30" s="628"/>
      <c r="C30" s="164" t="s">
        <v>956</v>
      </c>
      <c r="D30" s="65"/>
      <c r="E30" s="63" t="s">
        <v>924</v>
      </c>
      <c r="F30" s="27" t="s">
        <v>925</v>
      </c>
      <c r="G30" s="66">
        <v>1200</v>
      </c>
      <c r="H30" s="66">
        <f t="shared" si="3"/>
        <v>67280</v>
      </c>
      <c r="I30" s="156">
        <f t="shared" ref="I30" si="4">H30/$J$1</f>
        <v>99674.074074074073</v>
      </c>
      <c r="J30" s="27" t="s">
        <v>148</v>
      </c>
      <c r="K30" s="122">
        <v>20</v>
      </c>
      <c r="L30" s="69">
        <v>15000</v>
      </c>
      <c r="M30" s="66"/>
      <c r="N30" s="66"/>
      <c r="O30" s="66"/>
      <c r="P30" s="67"/>
    </row>
    <row r="31" spans="1:19" x14ac:dyDescent="0.25">
      <c r="A31" s="63">
        <v>29</v>
      </c>
      <c r="B31" s="628"/>
      <c r="C31" s="33" t="s">
        <v>957</v>
      </c>
      <c r="D31" s="65"/>
      <c r="E31" s="63" t="s">
        <v>924</v>
      </c>
      <c r="F31" s="27" t="s">
        <v>925</v>
      </c>
      <c r="G31" s="66"/>
      <c r="H31" s="66"/>
      <c r="I31" s="147">
        <f t="shared" ref="I31:I89" si="5">+L31*(1+K31/100)</f>
        <v>18000</v>
      </c>
      <c r="J31" s="27" t="s">
        <v>148</v>
      </c>
      <c r="K31" s="122">
        <v>20</v>
      </c>
      <c r="L31" s="69">
        <v>15000</v>
      </c>
      <c r="M31" s="66"/>
      <c r="N31" s="66"/>
      <c r="O31" s="66"/>
      <c r="P31" s="67"/>
    </row>
    <row r="32" spans="1:19" x14ac:dyDescent="0.25">
      <c r="A32" s="27">
        <v>30</v>
      </c>
      <c r="B32" s="628"/>
      <c r="C32" s="33" t="s">
        <v>958</v>
      </c>
      <c r="D32" s="33"/>
      <c r="E32" s="27" t="s">
        <v>937</v>
      </c>
      <c r="F32" s="27" t="s">
        <v>925</v>
      </c>
      <c r="G32" s="66"/>
      <c r="H32" s="66"/>
      <c r="I32" s="147">
        <f t="shared" si="5"/>
        <v>360000</v>
      </c>
      <c r="J32" s="27" t="s">
        <v>148</v>
      </c>
      <c r="K32" s="122">
        <v>20</v>
      </c>
      <c r="L32" s="69">
        <v>300000</v>
      </c>
      <c r="M32" s="66"/>
      <c r="N32" s="66"/>
      <c r="O32" s="66"/>
      <c r="P32" s="67"/>
    </row>
    <row r="33" spans="1:16" x14ac:dyDescent="0.25">
      <c r="A33" s="63">
        <v>31</v>
      </c>
      <c r="B33" s="628"/>
      <c r="C33" s="33" t="s">
        <v>959</v>
      </c>
      <c r="D33" s="33"/>
      <c r="E33" s="27" t="s">
        <v>937</v>
      </c>
      <c r="F33" s="27" t="s">
        <v>925</v>
      </c>
      <c r="G33" s="66"/>
      <c r="H33" s="66"/>
      <c r="I33" s="147">
        <f t="shared" si="5"/>
        <v>198000</v>
      </c>
      <c r="J33" s="27" t="s">
        <v>148</v>
      </c>
      <c r="K33" s="122">
        <v>20</v>
      </c>
      <c r="L33" s="69">
        <v>165000</v>
      </c>
      <c r="M33" s="66"/>
      <c r="N33" s="66"/>
      <c r="O33" s="66"/>
      <c r="P33" s="67"/>
    </row>
    <row r="34" spans="1:16" x14ac:dyDescent="0.25">
      <c r="A34" s="27">
        <v>32</v>
      </c>
      <c r="B34" s="628"/>
      <c r="C34" s="33" t="s">
        <v>960</v>
      </c>
      <c r="D34" s="65"/>
      <c r="E34" s="27" t="s">
        <v>937</v>
      </c>
      <c r="F34" s="27" t="s">
        <v>925</v>
      </c>
      <c r="G34" s="66"/>
      <c r="H34" s="66"/>
      <c r="I34" s="147">
        <f t="shared" si="5"/>
        <v>198000</v>
      </c>
      <c r="J34" s="27" t="s">
        <v>148</v>
      </c>
      <c r="K34" s="122">
        <v>20</v>
      </c>
      <c r="L34" s="69">
        <v>165000</v>
      </c>
      <c r="M34" s="66"/>
      <c r="N34" s="66"/>
      <c r="O34" s="66"/>
      <c r="P34" s="67"/>
    </row>
    <row r="35" spans="1:16" x14ac:dyDescent="0.25">
      <c r="A35" s="63">
        <v>33</v>
      </c>
      <c r="B35" s="628"/>
      <c r="C35" s="33" t="s">
        <v>961</v>
      </c>
      <c r="D35" s="33"/>
      <c r="E35" s="27" t="s">
        <v>937</v>
      </c>
      <c r="F35" s="27" t="s">
        <v>925</v>
      </c>
      <c r="G35" s="66"/>
      <c r="H35" s="66"/>
      <c r="I35" s="147">
        <f t="shared" si="5"/>
        <v>198000</v>
      </c>
      <c r="J35" s="27" t="s">
        <v>148</v>
      </c>
      <c r="K35" s="122">
        <v>20</v>
      </c>
      <c r="L35" s="78">
        <v>165000</v>
      </c>
      <c r="M35" s="66"/>
      <c r="N35" s="66"/>
      <c r="O35" s="66"/>
      <c r="P35" s="67"/>
    </row>
    <row r="36" spans="1:16" x14ac:dyDescent="0.25">
      <c r="A36" s="27">
        <v>34</v>
      </c>
      <c r="B36" s="628"/>
      <c r="C36" s="33" t="s">
        <v>962</v>
      </c>
      <c r="D36" s="33"/>
      <c r="E36" s="27" t="s">
        <v>937</v>
      </c>
      <c r="F36" s="27" t="s">
        <v>925</v>
      </c>
      <c r="G36" s="66"/>
      <c r="H36" s="66"/>
      <c r="I36" s="147">
        <f t="shared" si="5"/>
        <v>198000</v>
      </c>
      <c r="J36" s="27" t="s">
        <v>148</v>
      </c>
      <c r="K36" s="122">
        <v>20</v>
      </c>
      <c r="L36" s="78">
        <v>165000</v>
      </c>
      <c r="M36" s="66"/>
      <c r="N36" s="66"/>
      <c r="O36" s="66"/>
      <c r="P36" s="67"/>
    </row>
    <row r="37" spans="1:16" x14ac:dyDescent="0.25">
      <c r="A37" s="63">
        <v>35</v>
      </c>
      <c r="B37" s="629"/>
      <c r="C37" s="33" t="s">
        <v>963</v>
      </c>
      <c r="D37" s="33"/>
      <c r="E37" s="27" t="s">
        <v>937</v>
      </c>
      <c r="F37" s="27" t="s">
        <v>925</v>
      </c>
      <c r="G37" s="66"/>
      <c r="H37" s="66"/>
      <c r="I37" s="147">
        <f t="shared" si="5"/>
        <v>198000</v>
      </c>
      <c r="J37" s="27" t="s">
        <v>148</v>
      </c>
      <c r="K37" s="122">
        <v>20</v>
      </c>
      <c r="L37" s="78">
        <v>165000</v>
      </c>
      <c r="M37" s="66"/>
      <c r="N37" s="66"/>
      <c r="O37" s="66"/>
      <c r="P37" s="67"/>
    </row>
    <row r="38" spans="1:16" x14ac:dyDescent="0.25">
      <c r="A38" s="27">
        <v>36</v>
      </c>
      <c r="B38" s="630" t="s">
        <v>964</v>
      </c>
      <c r="C38" s="33" t="s">
        <v>965</v>
      </c>
      <c r="D38" s="33"/>
      <c r="E38" s="63" t="s">
        <v>924</v>
      </c>
      <c r="F38" s="27" t="s">
        <v>925</v>
      </c>
      <c r="G38" s="66"/>
      <c r="H38" s="66"/>
      <c r="I38" s="147">
        <f t="shared" si="5"/>
        <v>65166.666666666664</v>
      </c>
      <c r="J38" s="27" t="s">
        <v>148</v>
      </c>
      <c r="K38" s="122">
        <v>15</v>
      </c>
      <c r="L38" s="69">
        <f>34000/0.6</f>
        <v>56666.666666666672</v>
      </c>
      <c r="M38" s="66"/>
      <c r="N38" s="66"/>
      <c r="O38" s="66"/>
      <c r="P38" s="67"/>
    </row>
    <row r="39" spans="1:16" x14ac:dyDescent="0.25">
      <c r="A39" s="63">
        <v>37</v>
      </c>
      <c r="B39" s="631"/>
      <c r="C39" s="33" t="s">
        <v>966</v>
      </c>
      <c r="D39" s="65"/>
      <c r="E39" s="63" t="s">
        <v>924</v>
      </c>
      <c r="F39" s="27" t="s">
        <v>925</v>
      </c>
      <c r="G39" s="66"/>
      <c r="H39" s="66"/>
      <c r="I39" s="147">
        <f t="shared" si="5"/>
        <v>233833.33333333331</v>
      </c>
      <c r="J39" s="27" t="s">
        <v>148</v>
      </c>
      <c r="K39" s="122">
        <v>15</v>
      </c>
      <c r="L39" s="69">
        <f>122000/0.6</f>
        <v>203333.33333333334</v>
      </c>
      <c r="M39" s="66"/>
      <c r="N39" s="66"/>
      <c r="O39" s="66"/>
      <c r="P39" s="67"/>
    </row>
    <row r="40" spans="1:16" x14ac:dyDescent="0.25">
      <c r="A40" s="27">
        <v>38</v>
      </c>
      <c r="B40" s="631"/>
      <c r="C40" s="33" t="s">
        <v>967</v>
      </c>
      <c r="D40" s="65"/>
      <c r="E40" s="63" t="s">
        <v>924</v>
      </c>
      <c r="F40" s="27" t="s">
        <v>925</v>
      </c>
      <c r="G40" s="66"/>
      <c r="H40" s="66"/>
      <c r="I40" s="147">
        <f t="shared" si="5"/>
        <v>243416.66666666666</v>
      </c>
      <c r="J40" s="27" t="s">
        <v>148</v>
      </c>
      <c r="K40" s="122">
        <v>15</v>
      </c>
      <c r="L40" s="69">
        <f>127000/0.6</f>
        <v>211666.66666666669</v>
      </c>
      <c r="M40" s="66"/>
      <c r="N40" s="66"/>
      <c r="O40" s="66"/>
      <c r="P40" s="67"/>
    </row>
    <row r="41" spans="1:16" x14ac:dyDescent="0.25">
      <c r="A41" s="63">
        <v>39</v>
      </c>
      <c r="B41" s="631"/>
      <c r="C41" s="33" t="s">
        <v>968</v>
      </c>
      <c r="D41" s="65"/>
      <c r="E41" s="63" t="s">
        <v>924</v>
      </c>
      <c r="F41" s="27" t="s">
        <v>925</v>
      </c>
      <c r="G41" s="66"/>
      <c r="H41" s="66"/>
      <c r="I41" s="147">
        <f t="shared" si="5"/>
        <v>252999.99999999997</v>
      </c>
      <c r="J41" s="27" t="s">
        <v>148</v>
      </c>
      <c r="K41" s="122">
        <v>15</v>
      </c>
      <c r="L41" s="69">
        <f>132000/0.6</f>
        <v>220000</v>
      </c>
      <c r="M41" s="66"/>
      <c r="N41" s="66"/>
      <c r="O41" s="66"/>
      <c r="P41" s="67"/>
    </row>
    <row r="42" spans="1:16" x14ac:dyDescent="0.25">
      <c r="A42" s="27">
        <v>40</v>
      </c>
      <c r="B42" s="631"/>
      <c r="C42" s="33" t="s">
        <v>969</v>
      </c>
      <c r="D42" s="65"/>
      <c r="E42" s="63" t="s">
        <v>924</v>
      </c>
      <c r="F42" s="27" t="s">
        <v>925</v>
      </c>
      <c r="G42" s="66"/>
      <c r="H42" s="66"/>
      <c r="I42" s="147">
        <f t="shared" si="5"/>
        <v>256833.33333333331</v>
      </c>
      <c r="J42" s="27" t="s">
        <v>148</v>
      </c>
      <c r="K42" s="122">
        <v>15</v>
      </c>
      <c r="L42" s="69">
        <f>134000/0.6</f>
        <v>223333.33333333334</v>
      </c>
      <c r="M42" s="66"/>
      <c r="N42" s="66"/>
      <c r="O42" s="66"/>
      <c r="P42" s="67"/>
    </row>
    <row r="43" spans="1:16" ht="15.75" x14ac:dyDescent="0.25">
      <c r="A43" s="63">
        <v>41</v>
      </c>
      <c r="B43" s="632"/>
      <c r="C43" s="68" t="s">
        <v>970</v>
      </c>
      <c r="D43" s="65"/>
      <c r="E43" s="27" t="s">
        <v>937</v>
      </c>
      <c r="F43" s="27" t="s">
        <v>925</v>
      </c>
      <c r="G43" s="66"/>
      <c r="H43" s="66"/>
      <c r="I43" s="147">
        <f t="shared" si="5"/>
        <v>1650000</v>
      </c>
      <c r="J43" s="27" t="s">
        <v>148</v>
      </c>
      <c r="K43" s="122"/>
      <c r="L43" s="69">
        <v>1650000</v>
      </c>
      <c r="M43" s="66"/>
      <c r="N43" s="66"/>
      <c r="O43" s="66"/>
      <c r="P43" s="67"/>
    </row>
    <row r="44" spans="1:16" ht="15.75" x14ac:dyDescent="0.25">
      <c r="A44" s="27">
        <v>42</v>
      </c>
      <c r="B44" s="77"/>
      <c r="C44" s="68" t="s">
        <v>971</v>
      </c>
      <c r="D44" s="65"/>
      <c r="E44" s="27" t="s">
        <v>937</v>
      </c>
      <c r="F44" s="27" t="s">
        <v>925</v>
      </c>
      <c r="G44" s="66"/>
      <c r="H44" s="66"/>
      <c r="I44" s="147">
        <f t="shared" si="5"/>
        <v>1900000</v>
      </c>
      <c r="J44" s="27" t="s">
        <v>148</v>
      </c>
      <c r="K44" s="122"/>
      <c r="L44" s="69">
        <v>1900000</v>
      </c>
      <c r="M44" s="66"/>
      <c r="N44" s="66"/>
      <c r="O44" s="66"/>
      <c r="P44" s="67"/>
    </row>
    <row r="45" spans="1:16" ht="15.75" x14ac:dyDescent="0.25">
      <c r="A45" s="63">
        <v>43</v>
      </c>
      <c r="B45" s="27"/>
      <c r="C45" s="68" t="s">
        <v>972</v>
      </c>
      <c r="D45" s="33"/>
      <c r="E45" s="27" t="s">
        <v>924</v>
      </c>
      <c r="F45" s="27"/>
      <c r="G45" s="66"/>
      <c r="H45" s="66"/>
      <c r="I45" s="147">
        <f t="shared" si="5"/>
        <v>134400</v>
      </c>
      <c r="J45" s="27" t="s">
        <v>148</v>
      </c>
      <c r="K45" s="122">
        <v>12</v>
      </c>
      <c r="L45" s="69">
        <v>120000</v>
      </c>
      <c r="M45" s="66"/>
      <c r="N45" s="66"/>
      <c r="O45" s="66"/>
      <c r="P45" s="67"/>
    </row>
    <row r="46" spans="1:16" ht="15.75" x14ac:dyDescent="0.25">
      <c r="A46" s="27">
        <v>44</v>
      </c>
      <c r="B46" s="27"/>
      <c r="C46" s="68" t="s">
        <v>973</v>
      </c>
      <c r="D46" s="33"/>
      <c r="E46" s="27" t="s">
        <v>937</v>
      </c>
      <c r="F46" s="27" t="s">
        <v>925</v>
      </c>
      <c r="G46" s="66"/>
      <c r="H46" s="66"/>
      <c r="I46" s="147">
        <f t="shared" si="5"/>
        <v>132000</v>
      </c>
      <c r="J46" s="27" t="s">
        <v>148</v>
      </c>
      <c r="K46" s="122">
        <v>10</v>
      </c>
      <c r="L46" s="69">
        <v>120000</v>
      </c>
      <c r="M46" s="66"/>
      <c r="N46" s="66"/>
      <c r="O46" s="66"/>
      <c r="P46" s="67"/>
    </row>
    <row r="47" spans="1:16" ht="15.75" x14ac:dyDescent="0.25">
      <c r="A47" s="63">
        <v>45</v>
      </c>
      <c r="B47" s="27"/>
      <c r="C47" s="68" t="s">
        <v>974</v>
      </c>
      <c r="D47" s="33"/>
      <c r="E47" s="27" t="s">
        <v>937</v>
      </c>
      <c r="F47" s="27" t="s">
        <v>925</v>
      </c>
      <c r="G47" s="66"/>
      <c r="H47" s="66"/>
      <c r="I47" s="147">
        <f t="shared" si="5"/>
        <v>400000</v>
      </c>
      <c r="J47" s="27" t="s">
        <v>148</v>
      </c>
      <c r="K47" s="122"/>
      <c r="L47" s="69">
        <v>400000</v>
      </c>
      <c r="M47" s="66"/>
      <c r="N47" s="66"/>
      <c r="O47" s="66"/>
      <c r="P47" s="67"/>
    </row>
    <row r="48" spans="1:16" ht="15.75" x14ac:dyDescent="0.25">
      <c r="A48" s="27">
        <v>46</v>
      </c>
      <c r="B48" s="27"/>
      <c r="C48" s="68" t="s">
        <v>975</v>
      </c>
      <c r="D48" s="33"/>
      <c r="E48" s="27" t="s">
        <v>937</v>
      </c>
      <c r="F48" s="27" t="s">
        <v>925</v>
      </c>
      <c r="G48" s="66"/>
      <c r="H48" s="66"/>
      <c r="I48" s="147">
        <f t="shared" si="5"/>
        <v>600000</v>
      </c>
      <c r="J48" s="27" t="s">
        <v>148</v>
      </c>
      <c r="K48" s="122">
        <v>20</v>
      </c>
      <c r="L48" s="69">
        <v>500000</v>
      </c>
      <c r="M48" s="66"/>
      <c r="N48" s="66"/>
      <c r="O48" s="66"/>
      <c r="P48" s="67"/>
    </row>
    <row r="49" spans="1:16" ht="15.75" x14ac:dyDescent="0.25">
      <c r="A49" s="63">
        <v>47</v>
      </c>
      <c r="B49" s="63"/>
      <c r="C49" s="68" t="s">
        <v>976</v>
      </c>
      <c r="D49" s="65"/>
      <c r="E49" s="27" t="s">
        <v>937</v>
      </c>
      <c r="F49" s="27" t="s">
        <v>977</v>
      </c>
      <c r="G49" s="66"/>
      <c r="H49" s="66"/>
      <c r="I49" s="147">
        <f t="shared" si="5"/>
        <v>0</v>
      </c>
      <c r="J49" s="27"/>
      <c r="K49" s="122">
        <v>10</v>
      </c>
      <c r="L49" s="69"/>
      <c r="M49" s="66"/>
      <c r="N49" s="66"/>
      <c r="O49" s="66"/>
      <c r="P49" s="67"/>
    </row>
    <row r="50" spans="1:16" ht="15.75" x14ac:dyDescent="0.25">
      <c r="A50" s="27">
        <v>48</v>
      </c>
      <c r="B50" s="63"/>
      <c r="C50" s="68" t="s">
        <v>978</v>
      </c>
      <c r="D50" s="65"/>
      <c r="E50" s="27"/>
      <c r="F50" s="27"/>
      <c r="G50" s="66"/>
      <c r="H50" s="66"/>
      <c r="I50" s="147">
        <f t="shared" si="5"/>
        <v>210000</v>
      </c>
      <c r="J50" s="27" t="s">
        <v>148</v>
      </c>
      <c r="K50" s="122">
        <v>20</v>
      </c>
      <c r="L50" s="69">
        <v>175000</v>
      </c>
      <c r="M50" s="66"/>
      <c r="N50" s="66"/>
      <c r="O50" s="66"/>
      <c r="P50" s="67"/>
    </row>
    <row r="51" spans="1:16" ht="15.75" x14ac:dyDescent="0.25">
      <c r="A51" s="63">
        <v>49</v>
      </c>
      <c r="B51" s="27"/>
      <c r="C51" s="68" t="s">
        <v>979</v>
      </c>
      <c r="D51" s="33"/>
      <c r="E51" s="27"/>
      <c r="F51" s="27"/>
      <c r="G51" s="66"/>
      <c r="H51" s="66"/>
      <c r="I51" s="147">
        <f t="shared" si="5"/>
        <v>550000</v>
      </c>
      <c r="J51" s="27" t="s">
        <v>148</v>
      </c>
      <c r="K51" s="122">
        <v>10</v>
      </c>
      <c r="L51" s="69">
        <v>500000</v>
      </c>
      <c r="M51" s="66"/>
      <c r="N51" s="66"/>
      <c r="O51" s="66"/>
      <c r="P51" s="67"/>
    </row>
    <row r="52" spans="1:16" ht="15.75" x14ac:dyDescent="0.25">
      <c r="A52" s="27">
        <v>50</v>
      </c>
      <c r="B52" s="27"/>
      <c r="C52" s="89" t="s">
        <v>980</v>
      </c>
      <c r="D52" s="86"/>
      <c r="E52" s="87"/>
      <c r="F52" s="87"/>
      <c r="G52" s="159"/>
      <c r="H52" s="159"/>
      <c r="I52" s="147">
        <f t="shared" si="5"/>
        <v>100000</v>
      </c>
      <c r="J52" s="27" t="s">
        <v>148</v>
      </c>
      <c r="K52" s="122"/>
      <c r="L52" s="88">
        <v>100000</v>
      </c>
      <c r="M52" s="66"/>
      <c r="N52" s="66"/>
      <c r="O52" s="66"/>
      <c r="P52" s="67"/>
    </row>
    <row r="53" spans="1:16" ht="15.75" x14ac:dyDescent="0.25">
      <c r="A53" s="63">
        <v>51</v>
      </c>
      <c r="B53" s="27"/>
      <c r="C53" s="89" t="s">
        <v>981</v>
      </c>
      <c r="D53" s="86"/>
      <c r="E53" s="87"/>
      <c r="F53" s="87"/>
      <c r="G53" s="159"/>
      <c r="H53" s="159"/>
      <c r="I53" s="147">
        <f t="shared" si="5"/>
        <v>100000</v>
      </c>
      <c r="J53" s="27" t="s">
        <v>148</v>
      </c>
      <c r="K53" s="122"/>
      <c r="L53" s="88">
        <v>100000</v>
      </c>
      <c r="M53" s="66"/>
      <c r="N53" s="66"/>
      <c r="O53" s="66"/>
      <c r="P53" s="67"/>
    </row>
    <row r="54" spans="1:16" ht="15.75" x14ac:dyDescent="0.25">
      <c r="A54" s="27">
        <v>52</v>
      </c>
      <c r="B54" s="27"/>
      <c r="C54" s="89" t="s">
        <v>635</v>
      </c>
      <c r="D54" s="86"/>
      <c r="E54" s="87"/>
      <c r="F54" s="87"/>
      <c r="G54" s="159"/>
      <c r="H54" s="159"/>
      <c r="I54" s="147">
        <f t="shared" si="5"/>
        <v>140000</v>
      </c>
      <c r="J54" s="27" t="s">
        <v>148</v>
      </c>
      <c r="K54" s="122"/>
      <c r="L54" s="88">
        <v>140000</v>
      </c>
      <c r="M54" s="66"/>
      <c r="N54" s="66"/>
      <c r="O54" s="66"/>
      <c r="P54" s="67"/>
    </row>
    <row r="55" spans="1:16" ht="15.75" x14ac:dyDescent="0.25">
      <c r="A55" s="63">
        <v>53</v>
      </c>
      <c r="B55" s="27"/>
      <c r="C55" s="89" t="s">
        <v>440</v>
      </c>
      <c r="D55" s="86"/>
      <c r="E55" s="87"/>
      <c r="F55" s="87"/>
      <c r="G55" s="159"/>
      <c r="H55" s="159"/>
      <c r="I55" s="147">
        <f t="shared" ref="I55" si="6">+L55*(1+K55/100)</f>
        <v>175000</v>
      </c>
      <c r="J55" s="27" t="s">
        <v>148</v>
      </c>
      <c r="K55" s="122"/>
      <c r="L55" s="88">
        <v>175000</v>
      </c>
      <c r="M55" s="66"/>
      <c r="N55" s="66"/>
      <c r="O55" s="66"/>
      <c r="P55" s="67"/>
    </row>
    <row r="56" spans="1:16" ht="15.75" x14ac:dyDescent="0.25">
      <c r="A56" s="27">
        <v>54</v>
      </c>
      <c r="B56" s="27"/>
      <c r="C56" s="68" t="s">
        <v>256</v>
      </c>
      <c r="D56" s="33"/>
      <c r="E56" s="27" t="s">
        <v>982</v>
      </c>
      <c r="F56" s="27"/>
      <c r="G56" s="66"/>
      <c r="H56" s="66"/>
      <c r="I56" s="147">
        <f t="shared" si="5"/>
        <v>11760.000000000002</v>
      </c>
      <c r="J56" s="27" t="s">
        <v>148</v>
      </c>
      <c r="K56" s="122">
        <v>12</v>
      </c>
      <c r="L56" s="69">
        <v>10500</v>
      </c>
      <c r="M56" s="66"/>
      <c r="N56" s="66"/>
      <c r="O56" s="66"/>
      <c r="P56" s="67"/>
    </row>
    <row r="57" spans="1:16" x14ac:dyDescent="0.25">
      <c r="A57" s="63">
        <v>55</v>
      </c>
      <c r="B57" s="27"/>
      <c r="C57" s="33" t="s">
        <v>983</v>
      </c>
      <c r="D57" s="33"/>
      <c r="E57" s="27"/>
      <c r="F57" s="27"/>
      <c r="G57" s="66"/>
      <c r="H57" s="66"/>
      <c r="I57" s="147">
        <f t="shared" si="5"/>
        <v>5600.0000000000009</v>
      </c>
      <c r="J57" s="27" t="s">
        <v>148</v>
      </c>
      <c r="K57" s="122">
        <v>12</v>
      </c>
      <c r="L57" s="69">
        <v>5000</v>
      </c>
      <c r="M57" s="66"/>
      <c r="N57" s="66"/>
      <c r="O57" s="66"/>
      <c r="P57" s="67"/>
    </row>
    <row r="58" spans="1:16" x14ac:dyDescent="0.25">
      <c r="A58" s="27">
        <v>56</v>
      </c>
      <c r="B58" s="27"/>
      <c r="C58" s="33" t="s">
        <v>984</v>
      </c>
      <c r="D58" s="33"/>
      <c r="E58" s="27"/>
      <c r="F58" s="27"/>
      <c r="G58" s="66"/>
      <c r="H58" s="66"/>
      <c r="I58" s="147">
        <f t="shared" si="5"/>
        <v>6500</v>
      </c>
      <c r="J58" s="27" t="s">
        <v>148</v>
      </c>
      <c r="K58" s="122"/>
      <c r="L58" s="69">
        <v>6500</v>
      </c>
      <c r="M58" s="66"/>
      <c r="N58" s="66"/>
      <c r="O58" s="66"/>
      <c r="P58" s="67"/>
    </row>
    <row r="59" spans="1:16" ht="15.75" x14ac:dyDescent="0.25">
      <c r="A59" s="63">
        <v>57</v>
      </c>
      <c r="B59" s="27"/>
      <c r="C59" s="68" t="s">
        <v>985</v>
      </c>
      <c r="D59" s="33"/>
      <c r="E59" s="27"/>
      <c r="F59" s="27"/>
      <c r="G59" s="66"/>
      <c r="H59" s="66"/>
      <c r="I59" s="147">
        <f t="shared" si="5"/>
        <v>12880.000000000002</v>
      </c>
      <c r="J59" s="27" t="s">
        <v>148</v>
      </c>
      <c r="K59" s="122">
        <v>12</v>
      </c>
      <c r="L59" s="69">
        <v>11500</v>
      </c>
      <c r="M59" s="66"/>
      <c r="N59" s="66"/>
      <c r="O59" s="66"/>
      <c r="P59" s="67"/>
    </row>
    <row r="60" spans="1:16" ht="15.75" x14ac:dyDescent="0.25">
      <c r="A60" s="27">
        <v>58</v>
      </c>
      <c r="B60" s="27"/>
      <c r="C60" s="68" t="s">
        <v>663</v>
      </c>
      <c r="D60" s="33"/>
      <c r="E60" s="27"/>
      <c r="F60" s="27"/>
      <c r="G60" s="66"/>
      <c r="H60" s="66"/>
      <c r="I60" s="147">
        <f t="shared" si="5"/>
        <v>50400.000000000007</v>
      </c>
      <c r="J60" s="27" t="s">
        <v>148</v>
      </c>
      <c r="K60" s="122">
        <v>12</v>
      </c>
      <c r="L60" s="69">
        <v>45000</v>
      </c>
      <c r="M60" s="66"/>
      <c r="N60" s="66"/>
      <c r="O60" s="66"/>
      <c r="P60" s="67"/>
    </row>
    <row r="61" spans="1:16" ht="15.75" x14ac:dyDescent="0.25">
      <c r="A61" s="63">
        <v>59</v>
      </c>
      <c r="B61" s="27"/>
      <c r="C61" s="68" t="s">
        <v>665</v>
      </c>
      <c r="D61" s="33"/>
      <c r="E61" s="27"/>
      <c r="F61" s="27"/>
      <c r="G61" s="66"/>
      <c r="H61" s="66"/>
      <c r="I61" s="147">
        <f t="shared" si="5"/>
        <v>56000.000000000007</v>
      </c>
      <c r="J61" s="27" t="s">
        <v>148</v>
      </c>
      <c r="K61" s="122">
        <v>12</v>
      </c>
      <c r="L61" s="69">
        <v>50000</v>
      </c>
      <c r="M61" s="66"/>
      <c r="N61" s="66"/>
      <c r="O61" s="66"/>
      <c r="P61" s="67"/>
    </row>
    <row r="62" spans="1:16" ht="15.75" x14ac:dyDescent="0.25">
      <c r="A62" s="27">
        <v>60</v>
      </c>
      <c r="B62" s="27"/>
      <c r="C62" s="68" t="s">
        <v>666</v>
      </c>
      <c r="D62" s="33"/>
      <c r="E62" s="27"/>
      <c r="F62" s="27"/>
      <c r="G62" s="66"/>
      <c r="H62" s="66"/>
      <c r="I62" s="147">
        <f t="shared" si="5"/>
        <v>13440.000000000002</v>
      </c>
      <c r="J62" s="27" t="s">
        <v>148</v>
      </c>
      <c r="K62" s="122">
        <v>12</v>
      </c>
      <c r="L62" s="69">
        <v>12000</v>
      </c>
      <c r="M62" s="66"/>
      <c r="N62" s="66"/>
      <c r="O62" s="66"/>
      <c r="P62" s="67"/>
    </row>
    <row r="63" spans="1:16" ht="15.75" x14ac:dyDescent="0.25">
      <c r="A63" s="63">
        <v>61</v>
      </c>
      <c r="B63" s="27"/>
      <c r="C63" s="68" t="s">
        <v>667</v>
      </c>
      <c r="D63" s="33"/>
      <c r="E63" s="27"/>
      <c r="F63" s="27"/>
      <c r="G63" s="66"/>
      <c r="H63" s="66"/>
      <c r="I63" s="147">
        <f t="shared" si="5"/>
        <v>16800</v>
      </c>
      <c r="J63" s="27" t="s">
        <v>148</v>
      </c>
      <c r="K63" s="122">
        <v>12</v>
      </c>
      <c r="L63" s="69">
        <v>15000</v>
      </c>
      <c r="M63" s="66"/>
      <c r="N63" s="66"/>
      <c r="O63" s="66"/>
      <c r="P63" s="67"/>
    </row>
    <row r="64" spans="1:16" ht="15.75" x14ac:dyDescent="0.25">
      <c r="A64" s="27">
        <v>62</v>
      </c>
      <c r="B64" s="27"/>
      <c r="C64" s="68" t="s">
        <v>986</v>
      </c>
      <c r="D64" s="33"/>
      <c r="E64" s="27"/>
      <c r="F64" s="27"/>
      <c r="G64" s="66"/>
      <c r="H64" s="66"/>
      <c r="I64" s="147">
        <f t="shared" si="5"/>
        <v>6500</v>
      </c>
      <c r="J64" s="27" t="s">
        <v>148</v>
      </c>
      <c r="K64" s="122"/>
      <c r="L64" s="69">
        <v>6500</v>
      </c>
      <c r="M64" s="66"/>
      <c r="N64" s="66"/>
      <c r="O64" s="66"/>
      <c r="P64" s="67"/>
    </row>
    <row r="65" spans="1:16" x14ac:dyDescent="0.25">
      <c r="A65" s="63">
        <v>63</v>
      </c>
      <c r="B65" s="27"/>
      <c r="C65" s="33" t="s">
        <v>894</v>
      </c>
      <c r="D65" s="33"/>
      <c r="E65" s="27"/>
      <c r="F65" s="27"/>
      <c r="G65" s="66"/>
      <c r="H65" s="66"/>
      <c r="I65" s="147">
        <f t="shared" si="5"/>
        <v>30000</v>
      </c>
      <c r="J65" s="27" t="s">
        <v>148</v>
      </c>
      <c r="K65" s="122"/>
      <c r="L65" s="69">
        <v>30000</v>
      </c>
      <c r="M65" s="66"/>
      <c r="N65" s="66"/>
      <c r="O65" s="66"/>
      <c r="P65" s="67"/>
    </row>
    <row r="66" spans="1:16" x14ac:dyDescent="0.25">
      <c r="A66" s="27">
        <v>64</v>
      </c>
      <c r="B66" s="27"/>
      <c r="C66" s="33" t="s">
        <v>987</v>
      </c>
      <c r="D66" s="33"/>
      <c r="E66" s="27"/>
      <c r="F66" s="27"/>
      <c r="G66" s="66"/>
      <c r="H66" s="66"/>
      <c r="I66" s="147">
        <f t="shared" si="5"/>
        <v>10000</v>
      </c>
      <c r="J66" s="27"/>
      <c r="K66" s="122"/>
      <c r="L66" s="69">
        <v>10000</v>
      </c>
      <c r="M66" s="66"/>
      <c r="N66" s="66"/>
      <c r="O66" s="66"/>
      <c r="P66" s="67"/>
    </row>
    <row r="67" spans="1:16" x14ac:dyDescent="0.25">
      <c r="A67" s="63">
        <v>65</v>
      </c>
      <c r="B67" s="27"/>
      <c r="C67" s="33" t="s">
        <v>988</v>
      </c>
      <c r="D67" s="33"/>
      <c r="E67" s="27"/>
      <c r="F67" s="27"/>
      <c r="G67" s="66"/>
      <c r="H67" s="66"/>
      <c r="I67" s="147">
        <f t="shared" si="5"/>
        <v>2040</v>
      </c>
      <c r="J67" s="27"/>
      <c r="K67" s="122">
        <v>20</v>
      </c>
      <c r="L67" s="69">
        <v>1700</v>
      </c>
      <c r="M67" s="66"/>
      <c r="N67" s="66"/>
      <c r="O67" s="66"/>
      <c r="P67" s="67"/>
    </row>
    <row r="68" spans="1:16" x14ac:dyDescent="0.25">
      <c r="A68" s="27">
        <v>66</v>
      </c>
      <c r="B68" s="27"/>
      <c r="C68" s="33" t="s">
        <v>989</v>
      </c>
      <c r="D68" s="33"/>
      <c r="E68" s="27"/>
      <c r="F68" s="27"/>
      <c r="G68" s="66"/>
      <c r="H68" s="66"/>
      <c r="I68" s="147">
        <f t="shared" ref="I68" si="7">+L68*(1+K68/100)</f>
        <v>2520</v>
      </c>
      <c r="J68" s="27"/>
      <c r="K68" s="122">
        <v>20</v>
      </c>
      <c r="L68" s="69">
        <v>2100</v>
      </c>
      <c r="M68" s="66"/>
      <c r="N68" s="66"/>
      <c r="O68" s="66"/>
      <c r="P68" s="67"/>
    </row>
    <row r="69" spans="1:16" x14ac:dyDescent="0.25">
      <c r="A69" s="63">
        <v>67</v>
      </c>
      <c r="B69" s="27"/>
      <c r="C69" s="33" t="s">
        <v>990</v>
      </c>
      <c r="D69" s="33"/>
      <c r="E69" s="27"/>
      <c r="F69" s="27"/>
      <c r="G69" s="66"/>
      <c r="H69" s="66"/>
      <c r="I69" s="147">
        <f t="shared" si="5"/>
        <v>4080</v>
      </c>
      <c r="J69" s="27"/>
      <c r="K69" s="122">
        <v>20</v>
      </c>
      <c r="L69" s="69">
        <v>3400</v>
      </c>
      <c r="M69" s="66"/>
      <c r="N69" s="66"/>
      <c r="O69" s="66"/>
      <c r="P69" s="67"/>
    </row>
    <row r="70" spans="1:16" x14ac:dyDescent="0.25">
      <c r="A70" s="27">
        <v>68</v>
      </c>
      <c r="B70" s="27"/>
      <c r="C70" s="86" t="s">
        <v>991</v>
      </c>
      <c r="D70" s="86"/>
      <c r="E70" s="87"/>
      <c r="F70" s="87"/>
      <c r="G70" s="159"/>
      <c r="H70" s="159"/>
      <c r="I70" s="147">
        <f t="shared" si="5"/>
        <v>1500</v>
      </c>
      <c r="J70" s="27"/>
      <c r="K70" s="122"/>
      <c r="L70" s="88">
        <v>1500</v>
      </c>
      <c r="M70" s="66"/>
      <c r="N70" s="66"/>
      <c r="O70" s="66"/>
      <c r="P70" s="67"/>
    </row>
    <row r="71" spans="1:16" ht="15.75" x14ac:dyDescent="0.25">
      <c r="A71" s="63">
        <v>69</v>
      </c>
      <c r="B71" s="27"/>
      <c r="C71" s="68" t="s">
        <v>992</v>
      </c>
      <c r="D71" s="33"/>
      <c r="E71" s="27"/>
      <c r="F71" s="27"/>
      <c r="G71" s="66"/>
      <c r="H71" s="66"/>
      <c r="I71" s="147">
        <f t="shared" si="5"/>
        <v>30000</v>
      </c>
      <c r="J71" s="27" t="s">
        <v>148</v>
      </c>
      <c r="K71" s="122"/>
      <c r="L71" s="69">
        <v>30000</v>
      </c>
      <c r="M71" s="66"/>
      <c r="N71" s="66"/>
      <c r="O71" s="66"/>
      <c r="P71" s="67"/>
    </row>
    <row r="72" spans="1:16" ht="15.75" x14ac:dyDescent="0.25">
      <c r="A72" s="27">
        <v>70</v>
      </c>
      <c r="B72" s="27"/>
      <c r="C72" s="68" t="s">
        <v>993</v>
      </c>
      <c r="D72" s="33"/>
      <c r="E72" s="27"/>
      <c r="F72" s="27"/>
      <c r="G72" s="66"/>
      <c r="H72" s="66"/>
      <c r="I72" s="147">
        <f t="shared" si="5"/>
        <v>30000</v>
      </c>
      <c r="J72" s="27" t="s">
        <v>148</v>
      </c>
      <c r="K72" s="122"/>
      <c r="L72" s="27">
        <v>30000</v>
      </c>
      <c r="M72" s="66"/>
      <c r="N72" s="66"/>
      <c r="O72" s="66"/>
      <c r="P72" s="67"/>
    </row>
    <row r="73" spans="1:16" ht="15.75" x14ac:dyDescent="0.25">
      <c r="A73" s="63">
        <v>71</v>
      </c>
      <c r="B73" s="27"/>
      <c r="C73" s="68" t="s">
        <v>994</v>
      </c>
      <c r="D73" s="33"/>
      <c r="E73" s="27"/>
      <c r="F73" s="27"/>
      <c r="G73" s="66"/>
      <c r="H73" s="66"/>
      <c r="I73" s="147">
        <f t="shared" si="5"/>
        <v>0</v>
      </c>
      <c r="J73" s="27" t="s">
        <v>148</v>
      </c>
      <c r="K73" s="122"/>
      <c r="L73" s="27"/>
      <c r="M73" s="66"/>
      <c r="N73" s="66"/>
      <c r="O73" s="66"/>
      <c r="P73" s="67"/>
    </row>
    <row r="74" spans="1:16" ht="15.75" x14ac:dyDescent="0.25">
      <c r="A74" s="27">
        <v>72</v>
      </c>
      <c r="B74" s="27"/>
      <c r="C74" s="68" t="s">
        <v>995</v>
      </c>
      <c r="D74" s="33"/>
      <c r="E74" s="27"/>
      <c r="F74" s="27"/>
      <c r="G74" s="66"/>
      <c r="H74" s="66"/>
      <c r="I74" s="147">
        <f t="shared" si="5"/>
        <v>250000</v>
      </c>
      <c r="J74" s="27" t="s">
        <v>148</v>
      </c>
      <c r="K74" s="122"/>
      <c r="L74" s="27">
        <v>250000</v>
      </c>
      <c r="M74" s="66"/>
      <c r="N74" s="66"/>
      <c r="O74" s="66"/>
      <c r="P74" s="67"/>
    </row>
    <row r="75" spans="1:16" ht="15.75" x14ac:dyDescent="0.25">
      <c r="A75" s="63">
        <v>73</v>
      </c>
      <c r="B75" s="27"/>
      <c r="C75" s="68" t="s">
        <v>996</v>
      </c>
      <c r="D75" s="33"/>
      <c r="E75" s="27"/>
      <c r="F75" s="27"/>
      <c r="G75" s="66"/>
      <c r="H75" s="66"/>
      <c r="I75" s="147">
        <f t="shared" si="5"/>
        <v>33600</v>
      </c>
      <c r="J75" s="27"/>
      <c r="K75" s="122">
        <v>12</v>
      </c>
      <c r="L75" s="27">
        <v>30000</v>
      </c>
      <c r="M75" s="66"/>
      <c r="N75" s="66"/>
      <c r="O75" s="66"/>
      <c r="P75" s="67"/>
    </row>
    <row r="76" spans="1:16" ht="15.75" x14ac:dyDescent="0.25">
      <c r="A76" s="27">
        <v>74</v>
      </c>
      <c r="B76" s="27"/>
      <c r="C76" s="68" t="s">
        <v>997</v>
      </c>
      <c r="D76" s="33"/>
      <c r="E76" s="27" t="s">
        <v>982</v>
      </c>
      <c r="F76" s="27"/>
      <c r="G76" s="66"/>
      <c r="H76" s="66"/>
      <c r="I76" s="147">
        <f t="shared" si="5"/>
        <v>13000</v>
      </c>
      <c r="J76" s="27" t="s">
        <v>148</v>
      </c>
      <c r="K76" s="122"/>
      <c r="L76" s="27">
        <v>13000</v>
      </c>
      <c r="M76" s="66"/>
      <c r="N76" s="66"/>
      <c r="O76" s="66"/>
      <c r="P76" s="67"/>
    </row>
    <row r="77" spans="1:16" ht="15.75" x14ac:dyDescent="0.25">
      <c r="A77" s="63">
        <v>75</v>
      </c>
      <c r="B77" s="27"/>
      <c r="C77" s="68" t="s">
        <v>998</v>
      </c>
      <c r="D77" s="33"/>
      <c r="E77" s="27"/>
      <c r="F77" s="27"/>
      <c r="G77" s="66"/>
      <c r="H77" s="66"/>
      <c r="I77" s="147">
        <f t="shared" si="5"/>
        <v>50000</v>
      </c>
      <c r="J77" s="27" t="s">
        <v>148</v>
      </c>
      <c r="K77" s="122"/>
      <c r="L77" s="27">
        <v>50000</v>
      </c>
      <c r="M77" s="66"/>
      <c r="N77" s="66"/>
      <c r="O77" s="66"/>
      <c r="P77" s="67"/>
    </row>
    <row r="78" spans="1:16" ht="15.75" x14ac:dyDescent="0.25">
      <c r="A78" s="27">
        <v>76</v>
      </c>
      <c r="B78" s="27"/>
      <c r="C78" s="68" t="s">
        <v>999</v>
      </c>
      <c r="D78" s="33"/>
      <c r="E78" s="27"/>
      <c r="F78" s="27"/>
      <c r="G78" s="66"/>
      <c r="H78" s="66"/>
      <c r="I78" s="147">
        <f t="shared" si="5"/>
        <v>75000</v>
      </c>
      <c r="J78" s="27" t="s">
        <v>148</v>
      </c>
      <c r="K78" s="122"/>
      <c r="L78" s="27">
        <v>75000</v>
      </c>
      <c r="M78" s="66"/>
      <c r="N78" s="66"/>
      <c r="O78" s="66"/>
      <c r="P78" s="67"/>
    </row>
    <row r="79" spans="1:16" ht="15.75" x14ac:dyDescent="0.25">
      <c r="A79" s="63">
        <v>77</v>
      </c>
      <c r="B79" s="27"/>
      <c r="C79" s="68" t="s">
        <v>909</v>
      </c>
      <c r="D79" s="33"/>
      <c r="E79" s="27"/>
      <c r="F79" s="27"/>
      <c r="G79" s="66"/>
      <c r="H79" s="66"/>
      <c r="I79" s="147">
        <f t="shared" si="5"/>
        <v>100000</v>
      </c>
      <c r="J79" s="27" t="s">
        <v>148</v>
      </c>
      <c r="K79" s="122"/>
      <c r="L79" s="27">
        <v>100000</v>
      </c>
      <c r="M79" s="66"/>
      <c r="N79" s="66"/>
      <c r="O79" s="66"/>
      <c r="P79" s="67"/>
    </row>
    <row r="80" spans="1:16" x14ac:dyDescent="0.25">
      <c r="A80" s="27">
        <v>78</v>
      </c>
      <c r="B80" s="27"/>
      <c r="C80" s="33" t="s">
        <v>1000</v>
      </c>
      <c r="D80" s="33"/>
      <c r="E80" s="27"/>
      <c r="F80" s="27"/>
      <c r="G80" s="66"/>
      <c r="H80" s="66"/>
      <c r="I80" s="147">
        <f t="shared" si="5"/>
        <v>0</v>
      </c>
      <c r="J80" s="27"/>
      <c r="K80" s="122"/>
      <c r="L80" s="90"/>
      <c r="M80" s="66"/>
      <c r="N80" s="66"/>
      <c r="O80" s="66"/>
      <c r="P80" s="67"/>
    </row>
    <row r="81" spans="1:16" x14ac:dyDescent="0.25">
      <c r="A81" s="63">
        <v>79</v>
      </c>
      <c r="B81" s="27"/>
      <c r="C81" s="86" t="s">
        <v>1001</v>
      </c>
      <c r="D81" s="86"/>
      <c r="E81" s="87"/>
      <c r="F81" s="87"/>
      <c r="G81" s="159"/>
      <c r="H81" s="159"/>
      <c r="I81" s="147">
        <f t="shared" si="5"/>
        <v>0</v>
      </c>
      <c r="J81" s="27"/>
      <c r="K81" s="122"/>
      <c r="L81" s="88"/>
      <c r="M81" s="66"/>
      <c r="N81" s="66"/>
      <c r="O81" s="66"/>
      <c r="P81" s="67"/>
    </row>
    <row r="82" spans="1:16" x14ac:dyDescent="0.25">
      <c r="A82" s="27">
        <v>80</v>
      </c>
      <c r="B82" s="27"/>
      <c r="C82" s="33" t="s">
        <v>1002</v>
      </c>
      <c r="D82" s="33"/>
      <c r="E82" s="27"/>
      <c r="F82" s="27"/>
      <c r="G82" s="66"/>
      <c r="H82" s="66"/>
      <c r="I82" s="147">
        <f t="shared" si="5"/>
        <v>0</v>
      </c>
      <c r="J82" s="27"/>
      <c r="K82" s="122"/>
      <c r="L82" s="90"/>
      <c r="M82" s="66"/>
      <c r="N82" s="66"/>
      <c r="O82" s="66"/>
      <c r="P82" s="67"/>
    </row>
    <row r="83" spans="1:16" x14ac:dyDescent="0.25">
      <c r="A83" s="63">
        <v>81</v>
      </c>
      <c r="B83" s="27"/>
      <c r="C83" s="33" t="s">
        <v>1003</v>
      </c>
      <c r="D83" s="33"/>
      <c r="E83" s="27"/>
      <c r="F83" s="27"/>
      <c r="G83" s="66"/>
      <c r="H83" s="66"/>
      <c r="I83" s="147">
        <f t="shared" si="5"/>
        <v>0</v>
      </c>
      <c r="J83" s="27"/>
      <c r="K83" s="122"/>
      <c r="L83" s="90"/>
      <c r="M83" s="66"/>
      <c r="N83" s="66"/>
      <c r="O83" s="66"/>
      <c r="P83" s="67"/>
    </row>
    <row r="84" spans="1:16" x14ac:dyDescent="0.25">
      <c r="A84" s="27">
        <v>82</v>
      </c>
      <c r="B84" s="27"/>
      <c r="C84" s="33" t="s">
        <v>1004</v>
      </c>
      <c r="D84" s="33"/>
      <c r="E84" s="27"/>
      <c r="F84" s="27"/>
      <c r="G84" s="66"/>
      <c r="H84" s="66"/>
      <c r="I84" s="147">
        <f t="shared" si="5"/>
        <v>0</v>
      </c>
      <c r="J84" s="27"/>
      <c r="K84" s="122"/>
      <c r="L84" s="90"/>
      <c r="M84" s="66"/>
      <c r="N84" s="66"/>
      <c r="O84" s="66"/>
      <c r="P84" s="67"/>
    </row>
    <row r="85" spans="1:16" x14ac:dyDescent="0.25">
      <c r="A85" s="63">
        <v>83</v>
      </c>
      <c r="B85" s="27"/>
      <c r="C85" s="33" t="s">
        <v>1005</v>
      </c>
      <c r="D85" s="33"/>
      <c r="E85" s="27"/>
      <c r="F85" s="27"/>
      <c r="G85" s="66"/>
      <c r="H85" s="66"/>
      <c r="I85" s="147">
        <f t="shared" si="5"/>
        <v>6000</v>
      </c>
      <c r="J85" s="27"/>
      <c r="K85" s="122"/>
      <c r="L85" s="69">
        <v>6000</v>
      </c>
      <c r="M85" s="66"/>
      <c r="N85" s="66"/>
      <c r="O85" s="66"/>
      <c r="P85" s="67"/>
    </row>
    <row r="86" spans="1:16" x14ac:dyDescent="0.25">
      <c r="A86" s="27">
        <v>84</v>
      </c>
      <c r="B86" s="27"/>
      <c r="C86" s="33" t="s">
        <v>671</v>
      </c>
      <c r="D86" s="33"/>
      <c r="E86" s="27"/>
      <c r="F86" s="27"/>
      <c r="G86" s="66"/>
      <c r="H86" s="66"/>
      <c r="I86" s="147">
        <f t="shared" si="5"/>
        <v>7500</v>
      </c>
      <c r="J86" s="27"/>
      <c r="K86" s="122"/>
      <c r="L86" s="69">
        <v>7500</v>
      </c>
      <c r="M86" s="66"/>
      <c r="N86" s="66"/>
      <c r="O86" s="66"/>
      <c r="P86" s="67"/>
    </row>
    <row r="87" spans="1:16" x14ac:dyDescent="0.25">
      <c r="A87" s="63">
        <v>85</v>
      </c>
      <c r="B87" s="27"/>
      <c r="C87" s="33" t="s">
        <v>1006</v>
      </c>
      <c r="D87" s="33"/>
      <c r="E87" s="27"/>
      <c r="F87" s="27"/>
      <c r="G87" s="66"/>
      <c r="H87" s="66"/>
      <c r="I87" s="147">
        <f t="shared" si="5"/>
        <v>9000</v>
      </c>
      <c r="J87" s="27"/>
      <c r="K87" s="122"/>
      <c r="L87" s="69">
        <v>9000</v>
      </c>
      <c r="M87" s="66"/>
      <c r="N87" s="66"/>
      <c r="O87" s="66"/>
      <c r="P87" s="67"/>
    </row>
    <row r="88" spans="1:16" x14ac:dyDescent="0.25">
      <c r="A88" s="27">
        <v>86</v>
      </c>
      <c r="B88" s="27"/>
      <c r="C88" s="33" t="s">
        <v>1007</v>
      </c>
      <c r="D88" s="33"/>
      <c r="E88" s="27"/>
      <c r="F88" s="27"/>
      <c r="G88" s="66"/>
      <c r="H88" s="66"/>
      <c r="I88" s="165">
        <f t="shared" si="5"/>
        <v>34000</v>
      </c>
      <c r="J88" s="27"/>
      <c r="K88" s="122"/>
      <c r="L88" s="69">
        <v>34000</v>
      </c>
      <c r="M88" s="66"/>
      <c r="N88" s="66"/>
      <c r="O88" s="66"/>
      <c r="P88" s="67"/>
    </row>
    <row r="89" spans="1:16" x14ac:dyDescent="0.25">
      <c r="A89" s="63">
        <v>87</v>
      </c>
      <c r="B89" s="27"/>
      <c r="C89" s="33" t="s">
        <v>1008</v>
      </c>
      <c r="D89" s="33"/>
      <c r="E89" s="27"/>
      <c r="F89" s="27"/>
      <c r="G89" s="66"/>
      <c r="H89" s="66"/>
      <c r="I89" s="147">
        <f t="shared" si="5"/>
        <v>6000</v>
      </c>
      <c r="J89" s="27"/>
      <c r="K89" s="122"/>
      <c r="L89" s="69">
        <v>6000</v>
      </c>
      <c r="M89" s="66"/>
      <c r="N89" s="66"/>
      <c r="O89" s="66"/>
      <c r="P89" s="67"/>
    </row>
    <row r="90" spans="1:16" x14ac:dyDescent="0.25">
      <c r="A90" s="27">
        <v>88</v>
      </c>
      <c r="B90" s="27"/>
      <c r="C90" s="33" t="s">
        <v>407</v>
      </c>
      <c r="D90" s="33"/>
      <c r="E90" s="27"/>
      <c r="F90" s="27"/>
      <c r="G90" s="66"/>
      <c r="H90" s="264" t="e">
        <f>#REF!</f>
        <v>#REF!</v>
      </c>
      <c r="I90" s="264" t="e">
        <f>H90/$J$1</f>
        <v>#REF!</v>
      </c>
      <c r="J90" s="27"/>
      <c r="K90" s="122"/>
      <c r="L90" s="69"/>
      <c r="M90" s="66"/>
      <c r="N90" s="66"/>
      <c r="O90" s="66"/>
      <c r="P90" s="67"/>
    </row>
    <row r="91" spans="1:16" x14ac:dyDescent="0.25">
      <c r="A91" s="63">
        <v>89</v>
      </c>
      <c r="B91" s="27"/>
      <c r="C91" s="33" t="s">
        <v>1009</v>
      </c>
      <c r="D91" s="33"/>
      <c r="E91" s="27"/>
      <c r="F91" s="27"/>
      <c r="G91" s="66"/>
      <c r="H91" s="66"/>
      <c r="I91" s="147">
        <f t="shared" ref="I91:I102" si="8">+L91*(1+K91/100)</f>
        <v>0</v>
      </c>
      <c r="J91" s="27"/>
      <c r="K91" s="122"/>
      <c r="L91" s="69"/>
      <c r="M91" s="66"/>
      <c r="N91" s="66"/>
      <c r="O91" s="66"/>
      <c r="P91" s="67"/>
    </row>
    <row r="92" spans="1:16" ht="15.75" x14ac:dyDescent="0.25">
      <c r="A92" s="27">
        <v>90</v>
      </c>
      <c r="B92" s="27"/>
      <c r="C92" s="68" t="s">
        <v>1010</v>
      </c>
      <c r="D92" s="33"/>
      <c r="E92" s="27"/>
      <c r="F92" s="27"/>
      <c r="G92" s="66"/>
      <c r="H92" s="66"/>
      <c r="I92" s="147" t="e">
        <f t="shared" si="8"/>
        <v>#VALUE!</v>
      </c>
      <c r="J92" s="27"/>
      <c r="K92" s="122"/>
      <c r="L92" s="66" t="s">
        <v>1011</v>
      </c>
      <c r="M92" s="66"/>
      <c r="N92" s="66"/>
      <c r="O92" s="66"/>
      <c r="P92" s="67"/>
    </row>
    <row r="93" spans="1:16" ht="15.75" x14ac:dyDescent="0.25">
      <c r="A93" s="63">
        <v>91</v>
      </c>
      <c r="B93" s="27"/>
      <c r="C93" s="68" t="s">
        <v>1012</v>
      </c>
      <c r="D93" s="33"/>
      <c r="E93" s="27"/>
      <c r="F93" s="27"/>
      <c r="G93" s="66"/>
      <c r="H93" s="66"/>
      <c r="I93" s="147">
        <f t="shared" si="8"/>
        <v>300000</v>
      </c>
      <c r="J93" s="27"/>
      <c r="K93" s="122"/>
      <c r="L93" s="69">
        <v>300000</v>
      </c>
      <c r="M93" s="66"/>
      <c r="N93" s="66"/>
      <c r="O93" s="66"/>
      <c r="P93" s="67"/>
    </row>
    <row r="94" spans="1:16" ht="15.75" x14ac:dyDescent="0.25">
      <c r="A94" s="27">
        <v>92</v>
      </c>
      <c r="B94" s="27"/>
      <c r="C94" s="68" t="s">
        <v>1013</v>
      </c>
      <c r="D94" s="33"/>
      <c r="E94" s="27"/>
      <c r="F94" s="27"/>
      <c r="G94" s="66"/>
      <c r="H94" s="66"/>
      <c r="I94" s="147">
        <f t="shared" si="8"/>
        <v>300000</v>
      </c>
      <c r="J94" s="27"/>
      <c r="K94" s="122"/>
      <c r="L94" s="69">
        <v>300000</v>
      </c>
      <c r="M94" s="66"/>
      <c r="N94" s="66"/>
      <c r="O94" s="66"/>
      <c r="P94" s="67"/>
    </row>
    <row r="95" spans="1:16" x14ac:dyDescent="0.25">
      <c r="A95" s="63">
        <v>93</v>
      </c>
      <c r="B95" s="27"/>
      <c r="C95" s="33" t="s">
        <v>1014</v>
      </c>
      <c r="D95" s="33"/>
      <c r="E95" s="27"/>
      <c r="F95" s="27" t="s">
        <v>1015</v>
      </c>
      <c r="G95" s="66"/>
      <c r="H95" s="66"/>
      <c r="I95" s="147">
        <f t="shared" si="8"/>
        <v>0</v>
      </c>
      <c r="J95" s="27"/>
      <c r="K95" s="122"/>
      <c r="L95" s="69"/>
      <c r="M95" s="66"/>
      <c r="N95" s="66"/>
      <c r="O95" s="66"/>
      <c r="P95" s="67"/>
    </row>
    <row r="96" spans="1:16" x14ac:dyDescent="0.25">
      <c r="A96" s="27">
        <v>94</v>
      </c>
      <c r="B96" s="70"/>
      <c r="C96" s="33" t="s">
        <v>672</v>
      </c>
      <c r="D96" s="33"/>
      <c r="E96" s="27" t="s">
        <v>937</v>
      </c>
      <c r="F96" s="27" t="s">
        <v>925</v>
      </c>
      <c r="G96" s="66"/>
      <c r="H96" s="66"/>
      <c r="I96" s="147">
        <f t="shared" si="8"/>
        <v>5000</v>
      </c>
      <c r="J96" s="27"/>
      <c r="K96" s="122"/>
      <c r="L96" s="32">
        <v>5000</v>
      </c>
      <c r="M96" s="66"/>
      <c r="N96" s="66"/>
      <c r="O96" s="66"/>
      <c r="P96" s="67"/>
    </row>
    <row r="97" spans="1:16" x14ac:dyDescent="0.25">
      <c r="A97" s="63">
        <v>95</v>
      </c>
      <c r="B97" s="121"/>
      <c r="C97" s="33" t="s">
        <v>1016</v>
      </c>
      <c r="D97" s="33"/>
      <c r="E97" s="27"/>
      <c r="F97" s="27"/>
      <c r="G97" s="66"/>
      <c r="H97" s="66"/>
      <c r="I97" s="147">
        <f t="shared" si="8"/>
        <v>300000</v>
      </c>
      <c r="J97" s="27"/>
      <c r="K97" s="139"/>
      <c r="L97" s="27">
        <v>300000</v>
      </c>
      <c r="M97" s="27"/>
      <c r="N97" s="122"/>
      <c r="O97" s="66"/>
      <c r="P97" s="67"/>
    </row>
    <row r="98" spans="1:16" x14ac:dyDescent="0.25">
      <c r="A98" s="27">
        <v>96</v>
      </c>
      <c r="B98" s="121"/>
      <c r="C98" s="33" t="s">
        <v>1017</v>
      </c>
      <c r="D98" s="33"/>
      <c r="E98" s="27"/>
      <c r="F98" s="27"/>
      <c r="G98" s="66"/>
      <c r="H98" s="66"/>
      <c r="I98" s="147">
        <f t="shared" si="8"/>
        <v>300000</v>
      </c>
      <c r="J98" s="27"/>
      <c r="K98" s="139"/>
      <c r="L98" s="27">
        <v>300000</v>
      </c>
      <c r="M98" s="27"/>
      <c r="N98" s="122"/>
      <c r="O98" s="66"/>
      <c r="P98" s="67"/>
    </row>
    <row r="99" spans="1:16" x14ac:dyDescent="0.25">
      <c r="A99" s="63">
        <v>97</v>
      </c>
      <c r="B99" s="70"/>
      <c r="C99" s="33" t="s">
        <v>1018</v>
      </c>
      <c r="D99" s="33"/>
      <c r="E99" s="27"/>
      <c r="F99" s="27"/>
      <c r="G99" s="66"/>
      <c r="H99" s="66"/>
      <c r="I99" s="147">
        <f t="shared" si="8"/>
        <v>450000</v>
      </c>
      <c r="J99" s="27"/>
      <c r="K99" s="139"/>
      <c r="L99" s="27">
        <v>450000</v>
      </c>
      <c r="M99" s="27"/>
      <c r="N99" s="122"/>
      <c r="O99" s="66"/>
      <c r="P99" s="67"/>
    </row>
    <row r="100" spans="1:16" x14ac:dyDescent="0.25">
      <c r="A100" s="27">
        <v>98</v>
      </c>
      <c r="B100" s="70"/>
      <c r="C100" s="33" t="s">
        <v>1019</v>
      </c>
      <c r="D100" s="33"/>
      <c r="E100" s="27"/>
      <c r="F100" s="27"/>
      <c r="G100" s="66"/>
      <c r="H100" s="66"/>
      <c r="I100" s="165">
        <f t="shared" si="8"/>
        <v>250000</v>
      </c>
      <c r="J100" s="27"/>
      <c r="K100" s="139"/>
      <c r="L100" s="27">
        <v>250000</v>
      </c>
      <c r="M100" s="27"/>
      <c r="N100" s="122"/>
      <c r="O100" s="66"/>
      <c r="P100" s="67"/>
    </row>
    <row r="101" spans="1:16" x14ac:dyDescent="0.25">
      <c r="A101" s="63">
        <v>99</v>
      </c>
      <c r="B101" s="70"/>
      <c r="C101" s="33" t="s">
        <v>1020</v>
      </c>
      <c r="D101" s="33"/>
      <c r="E101" s="27"/>
      <c r="F101" s="27"/>
      <c r="G101" s="66"/>
      <c r="H101" s="66"/>
      <c r="I101" s="147">
        <f t="shared" si="8"/>
        <v>79800</v>
      </c>
      <c r="J101" s="27"/>
      <c r="K101" s="139"/>
      <c r="L101" s="27">
        <v>79800</v>
      </c>
      <c r="M101" s="27"/>
      <c r="N101" s="122"/>
      <c r="O101" s="66"/>
      <c r="P101" s="67"/>
    </row>
    <row r="102" spans="1:16" x14ac:dyDescent="0.25">
      <c r="A102" s="27">
        <v>100</v>
      </c>
      <c r="B102" s="27"/>
      <c r="C102" s="33" t="s">
        <v>1021</v>
      </c>
      <c r="D102" s="33"/>
      <c r="E102" s="27"/>
      <c r="F102" s="27"/>
      <c r="G102" s="66"/>
      <c r="H102" s="66"/>
      <c r="I102" s="147">
        <f t="shared" si="8"/>
        <v>800000</v>
      </c>
      <c r="J102" s="27"/>
      <c r="K102" s="139"/>
      <c r="L102" s="27">
        <v>800000</v>
      </c>
      <c r="M102" s="27"/>
      <c r="P102" s="67"/>
    </row>
    <row r="103" spans="1:16" x14ac:dyDescent="0.25">
      <c r="A103" s="63">
        <v>101</v>
      </c>
      <c r="B103" s="27"/>
      <c r="C103" s="48" t="s">
        <v>192</v>
      </c>
      <c r="D103" s="49"/>
      <c r="E103" s="27"/>
      <c r="F103" s="27"/>
      <c r="G103" s="66"/>
      <c r="H103" s="66"/>
      <c r="I103" s="149">
        <f>L103/0.6</f>
        <v>2121000</v>
      </c>
      <c r="J103" s="27"/>
      <c r="K103" s="139"/>
      <c r="L103" s="49">
        <f>+Loop!D28</f>
        <v>1272600</v>
      </c>
      <c r="M103" s="27"/>
    </row>
    <row r="104" spans="1:16" x14ac:dyDescent="0.25">
      <c r="A104" s="27">
        <v>102</v>
      </c>
      <c r="B104" s="27"/>
      <c r="C104" s="48" t="s">
        <v>302</v>
      </c>
      <c r="D104" s="49"/>
      <c r="E104" s="27"/>
      <c r="F104" s="27"/>
      <c r="G104" s="66"/>
      <c r="H104" s="66"/>
      <c r="I104" s="149">
        <f>L104/0.6</f>
        <v>3546666.666666667</v>
      </c>
      <c r="J104" s="27"/>
      <c r="K104" s="139"/>
      <c r="L104" s="49">
        <f>+Loop!D29</f>
        <v>2128000</v>
      </c>
      <c r="M104" s="27"/>
    </row>
    <row r="105" spans="1:16" x14ac:dyDescent="0.25">
      <c r="A105" s="63">
        <v>103</v>
      </c>
      <c r="B105" s="27"/>
      <c r="C105" s="48" t="s">
        <v>438</v>
      </c>
      <c r="D105" s="33"/>
      <c r="E105" s="27" t="s">
        <v>1022</v>
      </c>
      <c r="F105" s="27"/>
      <c r="G105" s="66"/>
      <c r="H105" s="66"/>
      <c r="I105" s="147">
        <v>100000</v>
      </c>
      <c r="J105" s="27"/>
    </row>
    <row r="106" spans="1:16" x14ac:dyDescent="0.25">
      <c r="A106" s="27">
        <v>104</v>
      </c>
      <c r="B106" s="27"/>
      <c r="C106" s="33" t="s">
        <v>444</v>
      </c>
      <c r="D106" s="33"/>
      <c r="E106" s="27"/>
      <c r="F106" s="27"/>
      <c r="G106" s="66"/>
      <c r="H106" s="66"/>
      <c r="I106" s="147">
        <v>250000</v>
      </c>
      <c r="J106" s="27"/>
    </row>
    <row r="107" spans="1:16" x14ac:dyDescent="0.25">
      <c r="A107" s="63">
        <v>105</v>
      </c>
      <c r="B107" s="27"/>
      <c r="C107" s="33" t="s">
        <v>457</v>
      </c>
      <c r="D107" s="33"/>
      <c r="E107" s="27"/>
      <c r="F107" s="27"/>
      <c r="G107" s="66"/>
      <c r="H107" s="66"/>
      <c r="I107" s="147">
        <f>+Loop!D31/0.6</f>
        <v>2800671.5000000005</v>
      </c>
      <c r="J107" s="27"/>
    </row>
    <row r="108" spans="1:16" x14ac:dyDescent="0.25">
      <c r="A108" s="27">
        <v>106</v>
      </c>
      <c r="B108" s="27"/>
      <c r="C108" s="33" t="s">
        <v>441</v>
      </c>
      <c r="D108" s="33"/>
      <c r="E108" s="27"/>
      <c r="F108" s="27"/>
      <c r="G108" s="66"/>
      <c r="H108" s="66"/>
      <c r="I108" s="147">
        <f>+Loop!D32/0.6</f>
        <v>3134004.8333333335</v>
      </c>
      <c r="J108" s="27"/>
    </row>
    <row r="109" spans="1:16" x14ac:dyDescent="0.25">
      <c r="A109" s="63">
        <v>107</v>
      </c>
      <c r="B109" s="27"/>
      <c r="C109" s="164" t="s">
        <v>1023</v>
      </c>
      <c r="D109" s="33"/>
      <c r="E109" s="27"/>
      <c r="F109" s="27"/>
      <c r="G109" s="66"/>
      <c r="H109" s="66">
        <v>5800000</v>
      </c>
      <c r="I109" s="147">
        <f>H109/J1</f>
        <v>8592592.5925925914</v>
      </c>
      <c r="J109" s="27"/>
    </row>
    <row r="110" spans="1:16" x14ac:dyDescent="0.25">
      <c r="A110" s="27">
        <v>108</v>
      </c>
      <c r="B110" s="27"/>
      <c r="C110" s="164" t="s">
        <v>400</v>
      </c>
      <c r="D110" s="33"/>
      <c r="E110" s="27"/>
      <c r="F110" s="27"/>
      <c r="G110" s="66"/>
      <c r="H110" s="66">
        <v>424771</v>
      </c>
      <c r="I110" s="147">
        <f>H110/J1</f>
        <v>629290.37037037034</v>
      </c>
      <c r="J110" s="27"/>
    </row>
    <row r="111" spans="1:16" x14ac:dyDescent="0.25">
      <c r="A111" s="63">
        <v>109</v>
      </c>
      <c r="B111" s="27"/>
      <c r="C111" s="33" t="s">
        <v>307</v>
      </c>
      <c r="D111" s="33"/>
      <c r="E111" s="27"/>
      <c r="F111" s="27"/>
      <c r="G111" s="66"/>
      <c r="H111" s="66"/>
      <c r="I111" s="147">
        <f>+Loop!D39/0.6</f>
        <v>1375000.0000000002</v>
      </c>
      <c r="J111" s="27"/>
    </row>
    <row r="112" spans="1:16" x14ac:dyDescent="0.25">
      <c r="A112" s="27">
        <v>110</v>
      </c>
      <c r="B112" s="27"/>
      <c r="C112" s="33" t="s">
        <v>442</v>
      </c>
      <c r="D112" s="33"/>
      <c r="E112" s="27"/>
      <c r="F112" s="27"/>
      <c r="G112" s="66"/>
      <c r="H112" s="66"/>
      <c r="I112" s="147">
        <f>+Loop!D40/0.6</f>
        <v>1741666.666666667</v>
      </c>
      <c r="J112" s="27"/>
    </row>
    <row r="113" spans="1:16" x14ac:dyDescent="0.25">
      <c r="A113" s="63">
        <v>111</v>
      </c>
      <c r="B113" s="27"/>
      <c r="C113" s="164" t="s">
        <v>404</v>
      </c>
      <c r="D113" s="33"/>
      <c r="E113" s="27"/>
      <c r="F113" s="27"/>
      <c r="G113" s="66"/>
      <c r="H113" s="66">
        <v>351032</v>
      </c>
      <c r="I113" s="147">
        <f>H113/J1</f>
        <v>520047.40740740736</v>
      </c>
      <c r="J113" s="27"/>
    </row>
    <row r="114" spans="1:16" x14ac:dyDescent="0.25">
      <c r="A114" s="27">
        <v>112</v>
      </c>
      <c r="B114" s="70"/>
      <c r="C114" s="33" t="s">
        <v>1024</v>
      </c>
      <c r="D114" s="33"/>
      <c r="E114" s="27"/>
      <c r="F114" s="27"/>
      <c r="G114" s="66"/>
      <c r="H114" s="66"/>
      <c r="I114" s="165">
        <f t="shared" ref="I114" si="9">+L114*(1+K114/100)</f>
        <v>750000</v>
      </c>
      <c r="J114" s="27"/>
      <c r="K114" s="139"/>
      <c r="L114" s="27">
        <v>750000</v>
      </c>
      <c r="M114" s="27"/>
      <c r="N114" s="122"/>
      <c r="O114" s="66"/>
      <c r="P114" s="67"/>
    </row>
    <row r="115" spans="1:16" x14ac:dyDescent="0.25">
      <c r="A115" s="63"/>
      <c r="B115" s="70"/>
      <c r="C115" s="164" t="s">
        <v>1025</v>
      </c>
      <c r="D115" s="33"/>
      <c r="E115" s="27"/>
      <c r="F115" s="27"/>
      <c r="G115" s="66">
        <v>610</v>
      </c>
      <c r="H115" s="27">
        <v>114999</v>
      </c>
      <c r="I115" s="69">
        <f t="shared" ref="I115" si="10">H115/$J$1</f>
        <v>170368.88888888888</v>
      </c>
      <c r="J115" s="27"/>
      <c r="K115" s="139"/>
      <c r="L115" s="27"/>
      <c r="M115" s="27"/>
      <c r="N115" s="122"/>
      <c r="P115" s="304"/>
    </row>
    <row r="116" spans="1:16" x14ac:dyDescent="0.25">
      <c r="A116" s="63">
        <v>113</v>
      </c>
      <c r="B116" s="27" t="s">
        <v>1026</v>
      </c>
      <c r="C116" s="33" t="s">
        <v>1027</v>
      </c>
      <c r="D116" s="33"/>
      <c r="E116" s="27"/>
      <c r="F116" s="27"/>
      <c r="G116" s="27">
        <v>810</v>
      </c>
      <c r="H116" s="27">
        <v>115000</v>
      </c>
      <c r="I116" s="69">
        <f t="shared" ref="I116:I118" si="11">H116/$J$1</f>
        <v>170370.37037037036</v>
      </c>
      <c r="J116" s="27"/>
      <c r="K116" s="27"/>
      <c r="L116" s="27"/>
      <c r="M116" s="27"/>
      <c r="N116" s="27"/>
    </row>
    <row r="117" spans="1:16" x14ac:dyDescent="0.25">
      <c r="A117" s="27">
        <v>114</v>
      </c>
      <c r="B117" s="27" t="s">
        <v>1026</v>
      </c>
      <c r="C117" s="33" t="s">
        <v>1028</v>
      </c>
      <c r="D117" s="33"/>
      <c r="E117" s="27"/>
      <c r="F117" s="27"/>
      <c r="G117" s="27">
        <v>1010</v>
      </c>
      <c r="H117" s="27">
        <v>125000</v>
      </c>
      <c r="I117" s="69">
        <f t="shared" si="11"/>
        <v>185185.18518518517</v>
      </c>
      <c r="J117" s="27"/>
      <c r="K117" s="27"/>
      <c r="L117" s="27"/>
      <c r="M117" s="27"/>
      <c r="N117" s="27"/>
    </row>
    <row r="118" spans="1:16" x14ac:dyDescent="0.25">
      <c r="A118" s="63">
        <v>115</v>
      </c>
      <c r="B118" s="27" t="s">
        <v>1026</v>
      </c>
      <c r="C118" s="33" t="s">
        <v>1029</v>
      </c>
      <c r="D118" s="33"/>
      <c r="E118" s="27"/>
      <c r="F118" s="27"/>
      <c r="G118" s="27">
        <v>1210</v>
      </c>
      <c r="H118" s="27">
        <v>137500</v>
      </c>
      <c r="I118" s="69">
        <f t="shared" si="11"/>
        <v>203703.70370370368</v>
      </c>
      <c r="J118" s="27"/>
      <c r="K118" s="27"/>
      <c r="L118" s="27"/>
      <c r="M118" s="27"/>
      <c r="N118" s="27"/>
    </row>
    <row r="119" spans="1:16" x14ac:dyDescent="0.25">
      <c r="A119" s="27">
        <v>116</v>
      </c>
      <c r="B119" s="27" t="s">
        <v>1030</v>
      </c>
      <c r="C119" s="231" t="s">
        <v>903</v>
      </c>
      <c r="D119" s="33"/>
      <c r="E119" s="27"/>
      <c r="F119" s="27"/>
      <c r="G119" s="27"/>
      <c r="H119" s="27">
        <v>9500</v>
      </c>
      <c r="I119" s="69">
        <f>H119</f>
        <v>9500</v>
      </c>
      <c r="J119" s="27"/>
      <c r="K119" s="27"/>
      <c r="L119" s="27"/>
      <c r="M119" s="27"/>
      <c r="N119" s="27"/>
    </row>
    <row r="120" spans="1:16" x14ac:dyDescent="0.25">
      <c r="A120" s="63">
        <v>117</v>
      </c>
      <c r="B120" s="27" t="s">
        <v>1030</v>
      </c>
      <c r="C120" s="231" t="s">
        <v>1031</v>
      </c>
      <c r="D120" s="33"/>
      <c r="E120" s="27"/>
      <c r="F120" s="27"/>
      <c r="G120" s="27"/>
      <c r="H120" s="69">
        <v>12500</v>
      </c>
      <c r="I120" s="69">
        <f t="shared" ref="I120:I123" si="12">H120</f>
        <v>12500</v>
      </c>
      <c r="J120" s="27"/>
      <c r="K120" s="27"/>
      <c r="L120" s="27"/>
      <c r="M120" s="27"/>
      <c r="N120" s="27"/>
    </row>
    <row r="121" spans="1:16" x14ac:dyDescent="0.25">
      <c r="A121" s="27">
        <v>118</v>
      </c>
      <c r="B121" s="27" t="s">
        <v>1030</v>
      </c>
      <c r="C121" s="231" t="s">
        <v>1032</v>
      </c>
      <c r="D121" s="33"/>
      <c r="E121" s="27"/>
      <c r="F121" s="27"/>
      <c r="G121" s="27"/>
      <c r="H121" s="27">
        <v>12000</v>
      </c>
      <c r="I121" s="69">
        <f t="shared" si="12"/>
        <v>12000</v>
      </c>
      <c r="J121" s="27"/>
      <c r="K121" s="27"/>
      <c r="L121" s="27"/>
      <c r="M121" s="27"/>
      <c r="N121" s="27"/>
    </row>
    <row r="122" spans="1:16" x14ac:dyDescent="0.25">
      <c r="A122" s="63">
        <v>119</v>
      </c>
      <c r="B122" s="27" t="s">
        <v>1030</v>
      </c>
      <c r="C122" s="231" t="s">
        <v>905</v>
      </c>
      <c r="D122" s="33"/>
      <c r="E122" s="27"/>
      <c r="F122" s="27"/>
      <c r="G122" s="27"/>
      <c r="H122" s="27">
        <v>30000</v>
      </c>
      <c r="I122" s="69">
        <f t="shared" si="12"/>
        <v>30000</v>
      </c>
      <c r="J122" s="27"/>
      <c r="K122" s="27"/>
      <c r="L122" s="27"/>
      <c r="M122" s="27"/>
      <c r="N122" s="27"/>
    </row>
    <row r="123" spans="1:16" x14ac:dyDescent="0.25">
      <c r="A123" s="27">
        <v>120</v>
      </c>
      <c r="B123" s="27" t="s">
        <v>1030</v>
      </c>
      <c r="C123" s="231" t="s">
        <v>901</v>
      </c>
      <c r="D123" s="33"/>
      <c r="E123" s="27"/>
      <c r="F123" s="27"/>
      <c r="G123" s="27"/>
      <c r="H123" s="27">
        <v>18750</v>
      </c>
      <c r="I123" s="69">
        <f t="shared" si="12"/>
        <v>18750</v>
      </c>
      <c r="J123" s="27"/>
      <c r="K123" s="27"/>
      <c r="L123" s="27"/>
      <c r="M123" s="27"/>
      <c r="N123" s="27"/>
    </row>
    <row r="124" spans="1:16" x14ac:dyDescent="0.25">
      <c r="A124" s="63">
        <v>121</v>
      </c>
      <c r="B124" s="234" t="s">
        <v>618</v>
      </c>
      <c r="C124" s="235" t="s">
        <v>1033</v>
      </c>
      <c r="D124" s="161"/>
      <c r="E124" s="234" t="s">
        <v>327</v>
      </c>
      <c r="F124" s="234"/>
      <c r="G124" s="234"/>
      <c r="H124" s="234"/>
      <c r="I124" s="236">
        <v>0</v>
      </c>
      <c r="J124" s="27"/>
      <c r="K124" s="27"/>
      <c r="L124" s="27"/>
      <c r="M124" s="27"/>
      <c r="N124" s="27"/>
    </row>
    <row r="125" spans="1:16" x14ac:dyDescent="0.25">
      <c r="A125" s="27">
        <v>122</v>
      </c>
      <c r="B125" s="234" t="s">
        <v>618</v>
      </c>
      <c r="C125" s="235" t="s">
        <v>1034</v>
      </c>
      <c r="D125" s="161"/>
      <c r="E125" s="234" t="s">
        <v>327</v>
      </c>
      <c r="F125" s="234"/>
      <c r="G125" s="234"/>
      <c r="H125" s="234"/>
      <c r="I125" s="236">
        <v>9000</v>
      </c>
      <c r="J125" s="27"/>
      <c r="K125" s="27"/>
      <c r="L125" s="27"/>
      <c r="M125" s="27"/>
      <c r="N125" s="27"/>
    </row>
    <row r="126" spans="1:16" x14ac:dyDescent="0.25">
      <c r="A126" s="63">
        <v>123</v>
      </c>
      <c r="B126" s="234" t="s">
        <v>618</v>
      </c>
      <c r="C126" s="235" t="s">
        <v>620</v>
      </c>
      <c r="D126" s="161"/>
      <c r="E126" s="234" t="s">
        <v>327</v>
      </c>
      <c r="F126" s="234"/>
      <c r="G126" s="234"/>
      <c r="H126" s="234"/>
      <c r="I126" s="236">
        <v>9000</v>
      </c>
      <c r="J126" s="27"/>
      <c r="K126" s="27"/>
      <c r="L126" s="27"/>
      <c r="M126" s="27"/>
      <c r="N126" s="27"/>
    </row>
    <row r="127" spans="1:16" x14ac:dyDescent="0.25">
      <c r="A127" s="27">
        <v>124</v>
      </c>
      <c r="B127" s="234" t="s">
        <v>618</v>
      </c>
      <c r="C127" s="235" t="s">
        <v>623</v>
      </c>
      <c r="D127" s="161"/>
      <c r="E127" s="234" t="s">
        <v>327</v>
      </c>
      <c r="F127" s="234"/>
      <c r="G127" s="234"/>
      <c r="H127" s="234"/>
      <c r="I127" s="236">
        <v>11000</v>
      </c>
      <c r="J127" s="27"/>
      <c r="K127" s="27"/>
      <c r="L127" s="27"/>
      <c r="M127" s="27"/>
      <c r="N127" s="27"/>
    </row>
    <row r="128" spans="1:16" x14ac:dyDescent="0.25">
      <c r="A128" s="63">
        <v>125</v>
      </c>
      <c r="B128" s="234" t="s">
        <v>618</v>
      </c>
      <c r="C128" s="235" t="s">
        <v>1035</v>
      </c>
      <c r="D128" s="161"/>
      <c r="E128" s="234" t="s">
        <v>327</v>
      </c>
      <c r="F128" s="234"/>
      <c r="G128" s="234"/>
      <c r="H128" s="234"/>
      <c r="I128" s="236">
        <v>11000</v>
      </c>
      <c r="J128" s="27"/>
      <c r="K128" s="27"/>
      <c r="L128" s="27"/>
      <c r="M128" s="27"/>
      <c r="N128" s="27"/>
    </row>
    <row r="129" spans="1:19" x14ac:dyDescent="0.25">
      <c r="A129" s="27">
        <v>126</v>
      </c>
      <c r="B129" s="234" t="s">
        <v>618</v>
      </c>
      <c r="C129" s="235" t="s">
        <v>1036</v>
      </c>
      <c r="D129" s="161"/>
      <c r="E129" s="234" t="s">
        <v>327</v>
      </c>
      <c r="F129" s="234"/>
      <c r="G129" s="234"/>
      <c r="H129" s="234"/>
      <c r="I129" s="236">
        <v>11000</v>
      </c>
      <c r="J129" s="27"/>
      <c r="K129" s="27"/>
      <c r="L129" s="27"/>
      <c r="M129" s="27"/>
      <c r="N129" s="27"/>
    </row>
    <row r="130" spans="1:19" x14ac:dyDescent="0.25">
      <c r="A130" s="63">
        <v>127</v>
      </c>
      <c r="B130" s="234" t="s">
        <v>618</v>
      </c>
      <c r="C130" s="235" t="s">
        <v>1037</v>
      </c>
      <c r="D130" s="161"/>
      <c r="E130" s="234" t="s">
        <v>327</v>
      </c>
      <c r="F130" s="234"/>
      <c r="G130" s="234"/>
      <c r="H130" s="234"/>
      <c r="I130" s="236">
        <v>9000</v>
      </c>
      <c r="J130" s="27"/>
      <c r="K130" s="27"/>
      <c r="L130" s="27"/>
      <c r="M130" s="27"/>
      <c r="N130" s="27"/>
    </row>
    <row r="131" spans="1:19" x14ac:dyDescent="0.25">
      <c r="A131" s="27">
        <v>128</v>
      </c>
      <c r="B131" s="234" t="s">
        <v>618</v>
      </c>
      <c r="C131" s="235" t="s">
        <v>1038</v>
      </c>
      <c r="D131" s="161"/>
      <c r="E131" s="234" t="s">
        <v>327</v>
      </c>
      <c r="F131" s="234"/>
      <c r="G131" s="234"/>
      <c r="H131" s="234"/>
      <c r="I131" s="236">
        <v>0</v>
      </c>
      <c r="J131" s="27"/>
      <c r="K131" s="27"/>
      <c r="L131" s="27"/>
      <c r="M131" s="27"/>
      <c r="N131" s="27"/>
    </row>
    <row r="132" spans="1:19" x14ac:dyDescent="0.25">
      <c r="A132" s="63">
        <v>129</v>
      </c>
      <c r="B132" s="243" t="s">
        <v>618</v>
      </c>
      <c r="C132" s="244" t="s">
        <v>1039</v>
      </c>
      <c r="D132" s="245"/>
      <c r="E132" s="243" t="s">
        <v>327</v>
      </c>
      <c r="F132" s="243"/>
      <c r="G132" s="243"/>
      <c r="H132" s="243"/>
      <c r="I132" s="246">
        <v>0</v>
      </c>
      <c r="J132" s="242"/>
      <c r="K132" s="242"/>
      <c r="L132" s="242"/>
      <c r="M132" s="242"/>
      <c r="N132" s="242"/>
    </row>
    <row r="133" spans="1:19" s="58" customFormat="1" x14ac:dyDescent="0.25">
      <c r="A133" s="27">
        <v>130</v>
      </c>
      <c r="B133" s="27" t="s">
        <v>1040</v>
      </c>
      <c r="C133" s="240" t="s">
        <v>613</v>
      </c>
      <c r="D133" s="33"/>
      <c r="E133" s="234" t="s">
        <v>327</v>
      </c>
      <c r="F133" s="27"/>
      <c r="G133" s="27"/>
      <c r="H133" s="239">
        <v>1050</v>
      </c>
      <c r="I133" s="69">
        <f>H133/$J$1</f>
        <v>1555.5555555555554</v>
      </c>
      <c r="J133" s="27"/>
      <c r="K133" s="27"/>
      <c r="L133" s="27"/>
      <c r="M133" s="27"/>
      <c r="N133" s="27"/>
      <c r="O133" s="27"/>
      <c r="P133" s="27"/>
      <c r="Q133" s="27"/>
      <c r="R133" s="27"/>
      <c r="S133" s="27"/>
    </row>
    <row r="134" spans="1:19" s="58" customFormat="1" x14ac:dyDescent="0.25">
      <c r="A134" s="63">
        <v>131</v>
      </c>
      <c r="B134" s="27" t="s">
        <v>1040</v>
      </c>
      <c r="C134" s="240" t="s">
        <v>614</v>
      </c>
      <c r="D134" s="33"/>
      <c r="E134" s="234" t="s">
        <v>327</v>
      </c>
      <c r="F134" s="27"/>
      <c r="G134" s="27"/>
      <c r="H134" s="239">
        <v>3808</v>
      </c>
      <c r="I134" s="69">
        <f t="shared" ref="I134:I135" si="13">H134/$J$1</f>
        <v>5641.4814814814808</v>
      </c>
      <c r="J134" s="27"/>
      <c r="K134" s="27"/>
      <c r="L134" s="27"/>
      <c r="M134" s="27"/>
      <c r="N134" s="27"/>
      <c r="O134" s="27"/>
      <c r="P134" s="27"/>
      <c r="Q134" s="27"/>
      <c r="R134" s="27"/>
      <c r="S134" s="27"/>
    </row>
    <row r="135" spans="1:19" s="58" customFormat="1" x14ac:dyDescent="0.25">
      <c r="A135" s="27">
        <v>132</v>
      </c>
      <c r="B135" s="27" t="s">
        <v>1040</v>
      </c>
      <c r="C135" s="240" t="s">
        <v>615</v>
      </c>
      <c r="D135" s="33"/>
      <c r="E135" s="234" t="s">
        <v>327</v>
      </c>
      <c r="F135" s="27"/>
      <c r="G135" s="27"/>
      <c r="H135" s="239">
        <v>2691</v>
      </c>
      <c r="I135" s="69">
        <f t="shared" si="13"/>
        <v>3986.6666666666665</v>
      </c>
      <c r="J135" s="27"/>
      <c r="K135" s="27"/>
      <c r="L135" s="27"/>
      <c r="M135" s="27"/>
      <c r="N135" s="27"/>
      <c r="O135" s="27"/>
      <c r="P135" s="27"/>
      <c r="Q135" s="27"/>
      <c r="R135" s="27"/>
      <c r="S135" s="27"/>
    </row>
    <row r="136" spans="1:19" x14ac:dyDescent="0.25">
      <c r="A136" s="63">
        <v>133</v>
      </c>
      <c r="B136" s="27" t="s">
        <v>1041</v>
      </c>
      <c r="C136" s="33"/>
      <c r="D136" s="33"/>
      <c r="E136" s="27" t="s">
        <v>327</v>
      </c>
      <c r="F136" s="27"/>
      <c r="G136" s="27"/>
      <c r="H136" s="27">
        <v>60000</v>
      </c>
      <c r="I136" s="90">
        <f>H136/J1</f>
        <v>88888.888888888876</v>
      </c>
    </row>
    <row r="137" spans="1:19" x14ac:dyDescent="0.25">
      <c r="A137" s="27">
        <v>134</v>
      </c>
      <c r="B137" s="27" t="s">
        <v>1042</v>
      </c>
      <c r="C137" s="33"/>
      <c r="D137" s="33"/>
      <c r="E137" s="27" t="s">
        <v>327</v>
      </c>
      <c r="F137" s="27"/>
      <c r="G137" s="27"/>
      <c r="H137" s="27"/>
      <c r="I137" s="69">
        <v>500000</v>
      </c>
    </row>
    <row r="138" spans="1:19" x14ac:dyDescent="0.25">
      <c r="B138" s="7" t="s">
        <v>1043</v>
      </c>
      <c r="E138" s="7" t="s">
        <v>327</v>
      </c>
      <c r="I138" s="317">
        <v>140000</v>
      </c>
    </row>
  </sheetData>
  <mergeCells count="5">
    <mergeCell ref="B23:B37"/>
    <mergeCell ref="B38:B43"/>
    <mergeCell ref="B12:B16"/>
    <mergeCell ref="B3:B11"/>
    <mergeCell ref="B17:B22"/>
  </mergeCells>
  <pageMargins left="0.7" right="0.7" top="0.75" bottom="0.75" header="0.3" footer="0.3"/>
  <pageSetup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31586-645B-4B3C-954A-8E7607D1415F}">
  <dimension ref="A1:M13"/>
  <sheetViews>
    <sheetView zoomScaleNormal="100" workbookViewId="0">
      <selection activeCell="H17" sqref="H17"/>
    </sheetView>
  </sheetViews>
  <sheetFormatPr defaultRowHeight="15" x14ac:dyDescent="0.25"/>
  <cols>
    <col min="1" max="1" width="5.7109375" bestFit="1" customWidth="1"/>
    <col min="2" max="2" width="13.28515625" bestFit="1" customWidth="1"/>
    <col min="3" max="3" width="16.85546875" bestFit="1" customWidth="1"/>
    <col min="4" max="4" width="24.28515625" bestFit="1" customWidth="1"/>
    <col min="5" max="5" width="16" bestFit="1" customWidth="1"/>
    <col min="6" max="6" width="12" bestFit="1" customWidth="1"/>
    <col min="7" max="7" width="11.28515625" bestFit="1" customWidth="1"/>
    <col min="8" max="8" width="9.140625" bestFit="1" customWidth="1"/>
    <col min="9" max="9" width="20.140625" bestFit="1" customWidth="1"/>
    <col min="10" max="10" width="20.42578125" bestFit="1" customWidth="1"/>
    <col min="11" max="11" width="13.85546875" bestFit="1" customWidth="1"/>
    <col min="12" max="12" width="12.140625" bestFit="1" customWidth="1"/>
  </cols>
  <sheetData>
    <row r="1" spans="1:13" ht="15.75" x14ac:dyDescent="0.25">
      <c r="A1" s="14" t="s">
        <v>435</v>
      </c>
      <c r="B1" s="14" t="s">
        <v>1044</v>
      </c>
      <c r="C1" s="14" t="s">
        <v>1045</v>
      </c>
      <c r="D1" s="14" t="s">
        <v>465</v>
      </c>
      <c r="E1" s="14" t="s">
        <v>1046</v>
      </c>
      <c r="F1" s="14" t="s">
        <v>1047</v>
      </c>
      <c r="G1" s="14" t="s">
        <v>1048</v>
      </c>
      <c r="H1" s="14" t="s">
        <v>1049</v>
      </c>
      <c r="I1" s="14" t="s">
        <v>1050</v>
      </c>
      <c r="J1" s="14" t="s">
        <v>1051</v>
      </c>
      <c r="K1" s="14" t="s">
        <v>1052</v>
      </c>
      <c r="L1" s="14" t="s">
        <v>478</v>
      </c>
    </row>
    <row r="2" spans="1:13" x14ac:dyDescent="0.25">
      <c r="A2" s="1">
        <v>1</v>
      </c>
      <c r="B2" s="1" t="s">
        <v>1053</v>
      </c>
      <c r="C2" s="1" t="s">
        <v>1054</v>
      </c>
      <c r="D2" s="1" t="s">
        <v>1055</v>
      </c>
      <c r="E2" s="1" t="s">
        <v>1056</v>
      </c>
      <c r="F2" s="1" t="s">
        <v>1057</v>
      </c>
      <c r="G2" s="1" t="s">
        <v>1058</v>
      </c>
      <c r="H2" s="140" t="s">
        <v>1059</v>
      </c>
      <c r="I2" s="1" t="s">
        <v>1060</v>
      </c>
      <c r="J2" s="1" t="s">
        <v>1061</v>
      </c>
      <c r="K2">
        <v>550000</v>
      </c>
      <c r="L2" s="155">
        <f>+K2/0.6</f>
        <v>916666.66666666674</v>
      </c>
    </row>
    <row r="3" spans="1:13" x14ac:dyDescent="0.25">
      <c r="A3" s="1">
        <v>2</v>
      </c>
      <c r="B3" s="1" t="s">
        <v>1053</v>
      </c>
      <c r="C3" s="1" t="s">
        <v>1062</v>
      </c>
      <c r="D3" s="1" t="s">
        <v>1063</v>
      </c>
      <c r="E3" s="1" t="s">
        <v>1064</v>
      </c>
      <c r="F3" s="1" t="s">
        <v>1065</v>
      </c>
      <c r="G3" s="1" t="s">
        <v>1066</v>
      </c>
      <c r="H3" s="140" t="s">
        <v>1067</v>
      </c>
      <c r="I3" s="1" t="s">
        <v>1068</v>
      </c>
      <c r="J3" s="1" t="s">
        <v>1069</v>
      </c>
      <c r="K3">
        <v>900000</v>
      </c>
      <c r="L3">
        <f>+K3/0.6</f>
        <v>1500000</v>
      </c>
      <c r="M3" t="s">
        <v>1070</v>
      </c>
    </row>
    <row r="4" spans="1:13" x14ac:dyDescent="0.25">
      <c r="A4" s="1">
        <v>3</v>
      </c>
      <c r="B4" s="1" t="s">
        <v>1071</v>
      </c>
      <c r="C4" s="1" t="s">
        <v>1072</v>
      </c>
      <c r="D4" s="1" t="s">
        <v>250</v>
      </c>
      <c r="E4" s="1" t="s">
        <v>1073</v>
      </c>
      <c r="F4" s="1" t="s">
        <v>1057</v>
      </c>
      <c r="G4" s="1" t="s">
        <v>1074</v>
      </c>
      <c r="H4" s="140" t="s">
        <v>1075</v>
      </c>
      <c r="I4" s="1" t="s">
        <v>1060</v>
      </c>
      <c r="J4" s="1" t="s">
        <v>1061</v>
      </c>
      <c r="K4">
        <v>500000</v>
      </c>
      <c r="L4" s="155">
        <f>+K4/0.6</f>
        <v>833333.33333333337</v>
      </c>
    </row>
    <row r="5" spans="1:13" x14ac:dyDescent="0.25">
      <c r="A5" s="1">
        <v>4</v>
      </c>
      <c r="B5" s="1"/>
      <c r="C5" s="1" t="s">
        <v>1076</v>
      </c>
      <c r="D5" s="1" t="s">
        <v>1076</v>
      </c>
      <c r="E5" s="1"/>
      <c r="F5" s="1"/>
      <c r="G5" s="1"/>
      <c r="H5" s="140"/>
      <c r="I5" s="1"/>
      <c r="J5" s="1"/>
      <c r="K5">
        <v>1400000</v>
      </c>
      <c r="L5" s="155">
        <f>+K5/0.6</f>
        <v>2333333.3333333335</v>
      </c>
    </row>
    <row r="6" spans="1:13" s="154" customFormat="1" x14ac:dyDescent="0.25">
      <c r="A6" s="126">
        <v>5</v>
      </c>
      <c r="B6" s="126" t="s">
        <v>1053</v>
      </c>
      <c r="C6" s="126" t="s">
        <v>1077</v>
      </c>
      <c r="D6" s="126" t="s">
        <v>1078</v>
      </c>
      <c r="E6" s="126" t="s">
        <v>1079</v>
      </c>
      <c r="F6" s="126" t="s">
        <v>1065</v>
      </c>
      <c r="G6" s="126" t="s">
        <v>1080</v>
      </c>
      <c r="H6" s="153" t="s">
        <v>1067</v>
      </c>
      <c r="I6" s="126" t="s">
        <v>1081</v>
      </c>
      <c r="J6" s="126" t="s">
        <v>1082</v>
      </c>
    </row>
    <row r="7" spans="1:13" s="154" customFormat="1" x14ac:dyDescent="0.25">
      <c r="A7" s="126">
        <v>6</v>
      </c>
      <c r="B7" s="126" t="s">
        <v>1053</v>
      </c>
      <c r="C7" s="126" t="s">
        <v>1083</v>
      </c>
      <c r="D7" s="126" t="s">
        <v>1084</v>
      </c>
      <c r="E7" s="126" t="s">
        <v>1079</v>
      </c>
      <c r="F7" s="126" t="s">
        <v>1057</v>
      </c>
      <c r="G7" s="126" t="s">
        <v>1085</v>
      </c>
      <c r="H7" s="153" t="s">
        <v>1059</v>
      </c>
      <c r="I7" s="126" t="s">
        <v>1081</v>
      </c>
      <c r="J7" s="126" t="s">
        <v>1082</v>
      </c>
    </row>
    <row r="8" spans="1:13" s="154" customFormat="1" x14ac:dyDescent="0.25">
      <c r="A8" s="126">
        <v>7</v>
      </c>
      <c r="B8" s="126" t="s">
        <v>1053</v>
      </c>
      <c r="C8" s="126" t="s">
        <v>1086</v>
      </c>
      <c r="D8" s="126" t="s">
        <v>1087</v>
      </c>
      <c r="E8" s="126" t="s">
        <v>1088</v>
      </c>
      <c r="F8" s="126" t="s">
        <v>1057</v>
      </c>
      <c r="G8" s="126" t="s">
        <v>1080</v>
      </c>
      <c r="H8" s="153" t="s">
        <v>1059</v>
      </c>
      <c r="I8" s="126" t="s">
        <v>1089</v>
      </c>
      <c r="J8" s="126" t="s">
        <v>1090</v>
      </c>
    </row>
    <row r="9" spans="1:13" x14ac:dyDescent="0.25">
      <c r="A9" s="1"/>
      <c r="B9" s="1"/>
      <c r="C9" s="1"/>
      <c r="D9" s="1"/>
      <c r="E9" s="1"/>
      <c r="F9" s="1"/>
      <c r="G9" s="1"/>
    </row>
    <row r="10" spans="1:13" x14ac:dyDescent="0.25">
      <c r="A10" s="1"/>
      <c r="B10" s="1"/>
      <c r="C10" s="1"/>
      <c r="D10" s="1"/>
      <c r="E10" s="1"/>
      <c r="F10" s="1"/>
      <c r="G10" s="1"/>
    </row>
    <row r="11" spans="1:13" x14ac:dyDescent="0.25">
      <c r="A11" s="1"/>
      <c r="B11" s="1"/>
      <c r="C11" s="1"/>
      <c r="D11" s="1"/>
      <c r="E11" s="1"/>
      <c r="F11" s="1"/>
      <c r="G11" s="1"/>
    </row>
    <row r="12" spans="1:13" x14ac:dyDescent="0.25">
      <c r="A12" s="1"/>
      <c r="B12" s="1"/>
      <c r="C12" s="1"/>
      <c r="D12" s="1"/>
      <c r="E12" s="1"/>
      <c r="F12" s="1"/>
      <c r="G12" s="1"/>
    </row>
    <row r="13" spans="1:13" x14ac:dyDescent="0.25">
      <c r="A13" s="1"/>
      <c r="B13" s="1"/>
      <c r="C13" s="1"/>
      <c r="D13" s="1"/>
      <c r="E13" s="1"/>
      <c r="F13" s="1"/>
      <c r="G13" s="1"/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0A57-40D6-4F50-A21C-3946D1CE5E6D}">
  <dimension ref="A1:D23"/>
  <sheetViews>
    <sheetView workbookViewId="0">
      <selection activeCell="B29" sqref="B29"/>
    </sheetView>
  </sheetViews>
  <sheetFormatPr defaultRowHeight="15" x14ac:dyDescent="0.25"/>
  <cols>
    <col min="1" max="1" width="13.85546875" bestFit="1" customWidth="1"/>
    <col min="2" max="2" width="106.28515625" bestFit="1" customWidth="1"/>
    <col min="3" max="3" width="27.5703125" bestFit="1" customWidth="1"/>
    <col min="4" max="4" width="16.7109375" bestFit="1" customWidth="1"/>
  </cols>
  <sheetData>
    <row r="1" spans="1:4" ht="15.75" thickBot="1" x14ac:dyDescent="0.3">
      <c r="A1" s="232" t="s">
        <v>1091</v>
      </c>
      <c r="B1" s="252" t="s">
        <v>1092</v>
      </c>
      <c r="C1" s="232" t="s">
        <v>1093</v>
      </c>
      <c r="D1" s="233" t="s">
        <v>1094</v>
      </c>
    </row>
    <row r="2" spans="1:4" x14ac:dyDescent="0.25">
      <c r="A2" s="636" t="s">
        <v>903</v>
      </c>
      <c r="B2" s="253" t="s">
        <v>1095</v>
      </c>
      <c r="C2" s="636" t="s">
        <v>1096</v>
      </c>
      <c r="D2" s="639" t="s">
        <v>1097</v>
      </c>
    </row>
    <row r="3" spans="1:4" x14ac:dyDescent="0.25">
      <c r="A3" s="637"/>
      <c r="B3" s="249" t="s">
        <v>1098</v>
      </c>
      <c r="C3" s="637"/>
      <c r="D3" s="640"/>
    </row>
    <row r="4" spans="1:4" x14ac:dyDescent="0.25">
      <c r="A4" s="637"/>
      <c r="B4" s="249" t="s">
        <v>1099</v>
      </c>
      <c r="C4" s="637"/>
      <c r="D4" s="640"/>
    </row>
    <row r="5" spans="1:4" x14ac:dyDescent="0.25">
      <c r="A5" s="637"/>
      <c r="B5" s="249" t="s">
        <v>1100</v>
      </c>
      <c r="C5" s="637"/>
      <c r="D5" s="640"/>
    </row>
    <row r="6" spans="1:4" x14ac:dyDescent="0.25">
      <c r="A6" s="637"/>
      <c r="B6" s="249" t="s">
        <v>1101</v>
      </c>
      <c r="C6" s="637"/>
      <c r="D6" s="640"/>
    </row>
    <row r="7" spans="1:4" ht="15.75" thickBot="1" x14ac:dyDescent="0.3">
      <c r="A7" s="638"/>
      <c r="B7" s="248" t="s">
        <v>1102</v>
      </c>
      <c r="C7" s="638"/>
      <c r="D7" s="641"/>
    </row>
    <row r="8" spans="1:4" x14ac:dyDescent="0.25">
      <c r="A8" s="642" t="s">
        <v>1031</v>
      </c>
      <c r="B8" s="253" t="s">
        <v>1103</v>
      </c>
      <c r="C8" s="642" t="s">
        <v>1104</v>
      </c>
      <c r="D8" s="645" t="s">
        <v>1105</v>
      </c>
    </row>
    <row r="9" spans="1:4" x14ac:dyDescent="0.25">
      <c r="A9" s="643"/>
      <c r="B9" s="249" t="s">
        <v>1098</v>
      </c>
      <c r="C9" s="643"/>
      <c r="D9" s="646"/>
    </row>
    <row r="10" spans="1:4" x14ac:dyDescent="0.25">
      <c r="A10" s="643"/>
      <c r="B10" s="249" t="s">
        <v>1099</v>
      </c>
      <c r="C10" s="643"/>
      <c r="D10" s="646"/>
    </row>
    <row r="11" spans="1:4" x14ac:dyDescent="0.25">
      <c r="A11" s="643"/>
      <c r="B11" s="249" t="s">
        <v>1106</v>
      </c>
      <c r="C11" s="643"/>
      <c r="D11" s="646"/>
    </row>
    <row r="12" spans="1:4" x14ac:dyDescent="0.25">
      <c r="A12" s="643"/>
      <c r="B12" s="249" t="s">
        <v>1101</v>
      </c>
      <c r="C12" s="643"/>
      <c r="D12" s="646"/>
    </row>
    <row r="13" spans="1:4" ht="15.75" thickBot="1" x14ac:dyDescent="0.3">
      <c r="A13" s="644"/>
      <c r="B13" s="248" t="s">
        <v>1102</v>
      </c>
      <c r="C13" s="644"/>
      <c r="D13" s="647"/>
    </row>
    <row r="14" spans="1:4" x14ac:dyDescent="0.25">
      <c r="A14" s="636" t="s">
        <v>1032</v>
      </c>
      <c r="B14" s="253" t="s">
        <v>1107</v>
      </c>
      <c r="C14" s="636" t="s">
        <v>1108</v>
      </c>
      <c r="D14" s="639" t="s">
        <v>1109</v>
      </c>
    </row>
    <row r="15" spans="1:4" x14ac:dyDescent="0.25">
      <c r="A15" s="637"/>
      <c r="B15" s="249" t="s">
        <v>1110</v>
      </c>
      <c r="C15" s="637"/>
      <c r="D15" s="640"/>
    </row>
    <row r="16" spans="1:4" ht="15.75" thickBot="1" x14ac:dyDescent="0.3">
      <c r="A16" s="638"/>
      <c r="B16" s="248" t="s">
        <v>1111</v>
      </c>
      <c r="C16" s="638"/>
      <c r="D16" s="641"/>
    </row>
    <row r="17" spans="1:4" x14ac:dyDescent="0.25">
      <c r="A17" s="636" t="s">
        <v>905</v>
      </c>
      <c r="B17" s="253" t="s">
        <v>1112</v>
      </c>
      <c r="C17" s="636" t="s">
        <v>1113</v>
      </c>
      <c r="D17" s="639" t="s">
        <v>1114</v>
      </c>
    </row>
    <row r="18" spans="1:4" ht="15.75" thickBot="1" x14ac:dyDescent="0.3">
      <c r="A18" s="638"/>
      <c r="B18" s="248" t="s">
        <v>1115</v>
      </c>
      <c r="C18" s="638"/>
      <c r="D18" s="641"/>
    </row>
    <row r="19" spans="1:4" x14ac:dyDescent="0.25">
      <c r="A19" s="636" t="s">
        <v>901</v>
      </c>
      <c r="B19" s="254" t="s">
        <v>1116</v>
      </c>
      <c r="C19" s="648" t="s">
        <v>1117</v>
      </c>
      <c r="D19" s="639" t="s">
        <v>1118</v>
      </c>
    </row>
    <row r="20" spans="1:4" x14ac:dyDescent="0.25">
      <c r="A20" s="637"/>
      <c r="B20" s="250" t="s">
        <v>1119</v>
      </c>
      <c r="C20" s="649"/>
      <c r="D20" s="640"/>
    </row>
    <row r="21" spans="1:4" x14ac:dyDescent="0.25">
      <c r="A21" s="637"/>
      <c r="B21" s="250" t="s">
        <v>1120</v>
      </c>
      <c r="C21" s="649"/>
      <c r="D21" s="640"/>
    </row>
    <row r="22" spans="1:4" x14ac:dyDescent="0.25">
      <c r="A22" s="637"/>
      <c r="B22" s="250" t="s">
        <v>1121</v>
      </c>
      <c r="C22" s="649"/>
      <c r="D22" s="640"/>
    </row>
    <row r="23" spans="1:4" ht="15.75" thickBot="1" x14ac:dyDescent="0.3">
      <c r="A23" s="638"/>
      <c r="B23" s="251" t="s">
        <v>1122</v>
      </c>
      <c r="C23" s="650"/>
      <c r="D23" s="641"/>
    </row>
  </sheetData>
  <mergeCells count="15">
    <mergeCell ref="A17:A18"/>
    <mergeCell ref="C17:C18"/>
    <mergeCell ref="D17:D18"/>
    <mergeCell ref="A19:A23"/>
    <mergeCell ref="C19:C23"/>
    <mergeCell ref="D19:D23"/>
    <mergeCell ref="A2:A7"/>
    <mergeCell ref="C2:C7"/>
    <mergeCell ref="D2:D7"/>
    <mergeCell ref="A14:A16"/>
    <mergeCell ref="C14:C16"/>
    <mergeCell ref="D14:D16"/>
    <mergeCell ref="C8:C13"/>
    <mergeCell ref="D8:D13"/>
    <mergeCell ref="A8:A1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2977-E425-47CC-80B8-7F682A4BBF39}">
  <dimension ref="C1:I4"/>
  <sheetViews>
    <sheetView workbookViewId="0">
      <selection activeCell="G14" sqref="G14"/>
    </sheetView>
  </sheetViews>
  <sheetFormatPr defaultRowHeight="15" x14ac:dyDescent="0.25"/>
  <cols>
    <col min="3" max="3" width="36.42578125" bestFit="1" customWidth="1"/>
    <col min="4" max="4" width="10.42578125" bestFit="1" customWidth="1"/>
    <col min="5" max="5" width="13.28515625" bestFit="1" customWidth="1"/>
    <col min="7" max="7" width="36.42578125" bestFit="1" customWidth="1"/>
    <col min="8" max="8" width="9.42578125" bestFit="1" customWidth="1"/>
    <col min="9" max="9" width="13.28515625" bestFit="1" customWidth="1"/>
  </cols>
  <sheetData>
    <row r="1" spans="3:9" x14ac:dyDescent="0.25">
      <c r="C1" s="651" t="s">
        <v>1123</v>
      </c>
      <c r="D1" s="651"/>
      <c r="G1" s="651" t="s">
        <v>1124</v>
      </c>
      <c r="H1" s="651"/>
    </row>
    <row r="2" spans="3:9" x14ac:dyDescent="0.25">
      <c r="C2" s="58" t="s">
        <v>1125</v>
      </c>
      <c r="D2" s="518">
        <v>2450</v>
      </c>
      <c r="G2" s="58" t="s">
        <v>1125</v>
      </c>
      <c r="H2" s="518">
        <v>2450</v>
      </c>
    </row>
    <row r="3" spans="3:9" x14ac:dyDescent="0.25">
      <c r="C3" s="58" t="s">
        <v>1126</v>
      </c>
      <c r="D3" s="530">
        <f>D2*1.2</f>
        <v>2940</v>
      </c>
      <c r="G3" s="58" t="s">
        <v>1127</v>
      </c>
      <c r="H3" s="530">
        <f>H2*0.8</f>
        <v>1960</v>
      </c>
    </row>
    <row r="4" spans="3:9" x14ac:dyDescent="0.25">
      <c r="C4" s="58" t="s">
        <v>1128</v>
      </c>
      <c r="D4" s="530">
        <f>D3/0.8</f>
        <v>3675</v>
      </c>
      <c r="E4" s="487">
        <f>D4*'Overall Costing'!M5</f>
        <v>345450</v>
      </c>
      <c r="G4" s="58" t="s">
        <v>1128</v>
      </c>
      <c r="H4" s="530">
        <f>H3/0.8</f>
        <v>2450</v>
      </c>
      <c r="I4" s="487">
        <f>H4*'Overall Costing'!M5</f>
        <v>230300</v>
      </c>
    </row>
  </sheetData>
  <mergeCells count="2">
    <mergeCell ref="C1:D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1</vt:i4>
      </vt:variant>
    </vt:vector>
  </HeadingPairs>
  <TitlesOfParts>
    <vt:vector size="41" baseType="lpstr">
      <vt:lpstr>Final </vt:lpstr>
      <vt:lpstr>Inpost Sheet</vt:lpstr>
      <vt:lpstr>Support Rampup</vt:lpstr>
      <vt:lpstr>I&amp;C Cost</vt:lpstr>
      <vt:lpstr>Local I&amp;C</vt:lpstr>
      <vt:lpstr>FAPL SAT</vt:lpstr>
      <vt:lpstr>FAPL I&amp;C</vt:lpstr>
      <vt:lpstr>Overall Costing</vt:lpstr>
      <vt:lpstr>Safety Cost Calc</vt:lpstr>
      <vt:lpstr>Data</vt:lpstr>
      <vt:lpstr>Section Identification</vt:lpstr>
      <vt:lpstr>Loop CBS</vt:lpstr>
      <vt:lpstr>Inducts</vt:lpstr>
      <vt:lpstr>Linear CBS</vt:lpstr>
      <vt:lpstr>Budgetary Costing</vt:lpstr>
      <vt:lpstr>NEO New rate data</vt:lpstr>
      <vt:lpstr>Linear</vt:lpstr>
      <vt:lpstr>Final Rate card</vt:lpstr>
      <vt:lpstr>Arm Sorter</vt:lpstr>
      <vt:lpstr>Swedi sorter</vt:lpstr>
      <vt:lpstr>Conveyors</vt:lpstr>
      <vt:lpstr>Conveyor Costing</vt:lpstr>
      <vt:lpstr>NormalConveyorLeg</vt:lpstr>
      <vt:lpstr>Loop</vt:lpstr>
      <vt:lpstr>Bag Sorter Induct</vt:lpstr>
      <vt:lpstr>Leg Guards</vt:lpstr>
      <vt:lpstr>EndJoints</vt:lpstr>
      <vt:lpstr>Sample Inducts</vt:lpstr>
      <vt:lpstr>Selection</vt:lpstr>
      <vt:lpstr>Induct line for Arm</vt:lpstr>
      <vt:lpstr>Induct Line for Swedi</vt:lpstr>
      <vt:lpstr>Destinations</vt:lpstr>
      <vt:lpstr>RECOMMEDED DESIGNS</vt:lpstr>
      <vt:lpstr>PTL</vt:lpstr>
      <vt:lpstr>Steelworks</vt:lpstr>
      <vt:lpstr>Software Packages</vt:lpstr>
      <vt:lpstr>Quote Master</vt:lpstr>
      <vt:lpstr>Weighing Conveyors</vt:lpstr>
      <vt:lpstr>Mezzanien Description</vt:lpstr>
      <vt:lpstr>Chute Costing </vt:lpstr>
      <vt:lpstr>'RECOMMEDED DESIGNS'!Print_Area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Naman Jain</dc:creator>
  <cp:keywords/>
  <dc:description/>
  <cp:lastModifiedBy>Arun Kumar</cp:lastModifiedBy>
  <cp:revision/>
  <dcterms:created xsi:type="dcterms:W3CDTF">2020-07-03T08:41:54Z</dcterms:created>
  <dcterms:modified xsi:type="dcterms:W3CDTF">2025-07-18T14:35:49Z</dcterms:modified>
  <cp:category/>
  <cp:contentStatus/>
</cp:coreProperties>
</file>