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220" yWindow="20" windowWidth="38400" windowHeight="21160" tabRatio="500"/>
  </bookViews>
  <sheets>
    <sheet name="Power Budget" sheetId="1" r:id="rId1"/>
    <sheet name="GPS" sheetId="4" r:id="rId2"/>
    <sheet name="MCU" sheetId="2" r:id="rId3"/>
    <sheet name="RADIO" sheetId="3" r:id="rId4"/>
    <sheet name="SOLAR" sheetId="5" r:id="rId5"/>
    <sheet name="STORAGE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1" l="1"/>
  <c r="C26" i="1"/>
  <c r="H8" i="1"/>
  <c r="C27" i="1"/>
  <c r="C28" i="1"/>
  <c r="C65" i="1"/>
  <c r="G5" i="1"/>
  <c r="G6" i="1"/>
  <c r="G7" i="1"/>
  <c r="C46" i="1"/>
  <c r="C45" i="1"/>
  <c r="C47" i="1"/>
  <c r="C66" i="1"/>
  <c r="C69" i="1"/>
  <c r="C79" i="1"/>
  <c r="C68" i="1"/>
  <c r="F4" i="4"/>
  <c r="F3" i="4"/>
  <c r="U4" i="6"/>
  <c r="Q4" i="6"/>
  <c r="R4" i="6"/>
  <c r="I5" i="1"/>
  <c r="I6" i="1"/>
  <c r="I7" i="1"/>
  <c r="C36" i="1"/>
  <c r="C60" i="1"/>
  <c r="H5" i="1"/>
  <c r="H6" i="1"/>
  <c r="H7" i="1"/>
  <c r="C41" i="1"/>
  <c r="C58" i="1"/>
  <c r="C57" i="1"/>
  <c r="C35" i="1"/>
  <c r="C37" i="1"/>
  <c r="C61" i="1"/>
  <c r="C40" i="1"/>
  <c r="C55" i="1"/>
  <c r="C52" i="1"/>
  <c r="Q9" i="1"/>
  <c r="C31" i="1"/>
  <c r="P9" i="1"/>
  <c r="C30" i="1"/>
  <c r="O9" i="1"/>
  <c r="Q3" i="6"/>
  <c r="R9" i="1"/>
  <c r="R3" i="6"/>
  <c r="S9" i="1"/>
  <c r="T9" i="1"/>
  <c r="U9" i="1"/>
  <c r="V9" i="1"/>
  <c r="C32" i="1"/>
  <c r="C77" i="1"/>
  <c r="C76" i="1"/>
  <c r="C75" i="1"/>
  <c r="C74" i="1"/>
  <c r="E5" i="1"/>
  <c r="E6" i="1"/>
  <c r="E7" i="1"/>
  <c r="E8" i="1"/>
  <c r="E9" i="1"/>
  <c r="C15" i="1"/>
  <c r="C42" i="1"/>
  <c r="M5" i="1"/>
  <c r="M6" i="1"/>
  <c r="M7" i="1"/>
  <c r="C22" i="1"/>
  <c r="L5" i="1"/>
  <c r="L6" i="1"/>
  <c r="L7" i="1"/>
  <c r="C21" i="1"/>
  <c r="C20" i="1"/>
  <c r="C19" i="1"/>
  <c r="C18" i="1"/>
  <c r="K5" i="1"/>
  <c r="K6" i="1"/>
  <c r="K7" i="1"/>
  <c r="K8" i="1"/>
  <c r="K9" i="1"/>
  <c r="C14" i="1"/>
  <c r="J5" i="1"/>
  <c r="J6" i="1"/>
  <c r="J7" i="1"/>
  <c r="J8" i="1"/>
  <c r="J9" i="1"/>
  <c r="C13" i="1"/>
  <c r="C9" i="1"/>
  <c r="D9" i="1"/>
  <c r="G9" i="1"/>
  <c r="H9" i="1"/>
  <c r="I9" i="1"/>
  <c r="L9" i="1"/>
  <c r="M9" i="1"/>
  <c r="B9" i="1"/>
  <c r="U3" i="6"/>
  <c r="C8" i="1"/>
  <c r="D8" i="1"/>
  <c r="G8" i="1"/>
  <c r="I8" i="1"/>
  <c r="L8" i="1"/>
  <c r="M8" i="1"/>
  <c r="B8" i="1"/>
  <c r="C7" i="1"/>
  <c r="D7" i="1"/>
  <c r="C6" i="1"/>
  <c r="D6" i="1"/>
  <c r="B7" i="1"/>
  <c r="B6" i="1"/>
  <c r="C5" i="1"/>
  <c r="D5" i="1"/>
  <c r="B5" i="1"/>
  <c r="H3" i="5"/>
  <c r="H3" i="3"/>
  <c r="G3" i="3"/>
  <c r="F3" i="3"/>
  <c r="H3" i="2"/>
  <c r="G3" i="2"/>
  <c r="F3" i="2"/>
  <c r="H4" i="4"/>
  <c r="H3" i="4"/>
  <c r="G4" i="4"/>
  <c r="G3" i="4"/>
</calcChain>
</file>

<file path=xl/sharedStrings.xml><?xml version="1.0" encoding="utf-8"?>
<sst xmlns="http://schemas.openxmlformats.org/spreadsheetml/2006/main" count="191" uniqueCount="105">
  <si>
    <t>GPS</t>
  </si>
  <si>
    <t>Device</t>
  </si>
  <si>
    <t>Model</t>
  </si>
  <si>
    <t>Mfg</t>
  </si>
  <si>
    <t>UBLOX</t>
  </si>
  <si>
    <t>Mass (g)</t>
  </si>
  <si>
    <t>MCU</t>
  </si>
  <si>
    <t>EVA-M8M</t>
  </si>
  <si>
    <t>ST</t>
  </si>
  <si>
    <t>STM32L011D4</t>
  </si>
  <si>
    <t>HABEXpico Mass and Power Budget</t>
  </si>
  <si>
    <t>RADIO</t>
  </si>
  <si>
    <t>PCB</t>
  </si>
  <si>
    <t>Min Temp ( C )</t>
  </si>
  <si>
    <t>Min Voltage (V)</t>
  </si>
  <si>
    <t>Capacitance ( F )</t>
  </si>
  <si>
    <t>ESR (ohms)</t>
  </si>
  <si>
    <t>Max Voltage (V)</t>
  </si>
  <si>
    <t>Max Temp ( C )</t>
  </si>
  <si>
    <t>Min Current (A)</t>
  </si>
  <si>
    <t>Operating Current (A)</t>
  </si>
  <si>
    <t>Max Current (A)</t>
  </si>
  <si>
    <t>Notes:</t>
  </si>
  <si>
    <t>Current values are based on a supply voltage of 3V.</t>
  </si>
  <si>
    <t>SI</t>
  </si>
  <si>
    <t>EVA-M8Q</t>
  </si>
  <si>
    <t>SOLAR</t>
  </si>
  <si>
    <t>KXOB22-04X3</t>
  </si>
  <si>
    <t>IXYS</t>
  </si>
  <si>
    <t>SOLAR (2x)</t>
  </si>
  <si>
    <t>Vmpp (V)</t>
  </si>
  <si>
    <t>Components</t>
  </si>
  <si>
    <t>Min Current Draw (A)</t>
  </si>
  <si>
    <t>Operating Current Draw (A)</t>
  </si>
  <si>
    <t>Max Current Draw (A)</t>
  </si>
  <si>
    <t>Min Temp ( C  )</t>
  </si>
  <si>
    <t>CE Characteristics</t>
  </si>
  <si>
    <t>Type</t>
  </si>
  <si>
    <t>CE</t>
  </si>
  <si>
    <t>STORAGE</t>
  </si>
  <si>
    <t>I_IN (A)</t>
  </si>
  <si>
    <t>V_IN (V)</t>
  </si>
  <si>
    <t>V_OUT (V)</t>
  </si>
  <si>
    <t>I_OUT (A)</t>
  </si>
  <si>
    <t>P_IN (W)</t>
  </si>
  <si>
    <t>P_OUT (W)</t>
  </si>
  <si>
    <t>TV1030-3R0106-R</t>
  </si>
  <si>
    <t>EATON</t>
  </si>
  <si>
    <t>Max Operating Voltage (V)</t>
  </si>
  <si>
    <t>Min Operating Voltage (V)</t>
  </si>
  <si>
    <t>Energy Capacity (J)</t>
  </si>
  <si>
    <t>Energy Stored (Wh)</t>
  </si>
  <si>
    <t>Leakage Current (A)</t>
  </si>
  <si>
    <t xml:space="preserve">Self Power Dissipation (W) </t>
  </si>
  <si>
    <t>Payload Characteristics</t>
  </si>
  <si>
    <t>Maximum power output from VSTORE (peak)</t>
  </si>
  <si>
    <t>Maximum power output from VSTORE (valley)</t>
  </si>
  <si>
    <t>Maximum current (valley)</t>
  </si>
  <si>
    <t>Maximum current (peak)</t>
  </si>
  <si>
    <t>Total Mass (g)</t>
  </si>
  <si>
    <t>CHASSIS</t>
  </si>
  <si>
    <t>Pioneer Circuits</t>
  </si>
  <si>
    <t>Flex PCB</t>
  </si>
  <si>
    <t>Power Characteristics</t>
  </si>
  <si>
    <t>VSTORE only</t>
  </si>
  <si>
    <t>Power Bus Voltage (V)</t>
  </si>
  <si>
    <t>W_STORAGE_TOTAL (J)</t>
  </si>
  <si>
    <t>Total energy available from VSTORE (from OV to UV)</t>
  </si>
  <si>
    <t>GPS (sec)</t>
  </si>
  <si>
    <t>Operating Time:</t>
  </si>
  <si>
    <t>MCU (sec)</t>
  </si>
  <si>
    <t>RADIO (sec)</t>
  </si>
  <si>
    <t>Valley Current Margin (A)</t>
  </si>
  <si>
    <t>Peak Current Margin (A)</t>
  </si>
  <si>
    <t>Maximum Storage Voltage</t>
  </si>
  <si>
    <t>Minimum Storage Voltage</t>
  </si>
  <si>
    <t>V_STORE_MIN (V)</t>
  </si>
  <si>
    <t>V_STORE_MAX (V)</t>
  </si>
  <si>
    <t>I_OUT_PEAK (A)</t>
  </si>
  <si>
    <t>P_OUT_PEAK (W)</t>
  </si>
  <si>
    <t>I_OUT_VALLEY (A)</t>
  </si>
  <si>
    <t>P_OUT_VALLEY (W)</t>
  </si>
  <si>
    <t>Peak Current Margin (%)</t>
  </si>
  <si>
    <t>Valley Current Margin (%)</t>
  </si>
  <si>
    <t>Assuming valley current to be operating current</t>
  </si>
  <si>
    <t>Assuming peak current to be max current draw</t>
  </si>
  <si>
    <t>Operating Mode</t>
  </si>
  <si>
    <t>Max Power Mode</t>
  </si>
  <si>
    <t>CE (GPS/MCU/RADIO)  (sec)</t>
  </si>
  <si>
    <t>SUPER CAP 10F</t>
  </si>
  <si>
    <t>SUPER CAP 6F</t>
  </si>
  <si>
    <t>TV1020-3R0605-R</t>
  </si>
  <si>
    <t>Low Power Mode</t>
  </si>
  <si>
    <t>Maximum Power from Solar Panels</t>
  </si>
  <si>
    <t>Solar Panels</t>
  </si>
  <si>
    <t>Max Solar Power (W)</t>
  </si>
  <si>
    <t>CE Low Power Mode (W)</t>
  </si>
  <si>
    <t xml:space="preserve">Power Analysis - STORAGE </t>
  </si>
  <si>
    <t>Power Analysis - SOLAR</t>
  </si>
  <si>
    <t>Solar Power Margin (%)</t>
  </si>
  <si>
    <t>Solar Power Margin (W)</t>
  </si>
  <si>
    <t>Operating Time Analysis</t>
  </si>
  <si>
    <t>VIN only, Solar</t>
  </si>
  <si>
    <t>CE - Low Power, GPS+MCU only (sec)</t>
  </si>
  <si>
    <t>GPS+MCU only, RADIO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</si>
</sst>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charset val="128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1" xfId="0" applyFont="1" applyFill="1" applyBorder="1"/>
    <xf numFmtId="0" fontId="6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1" xfId="0" applyFont="1" applyBorder="1"/>
    <xf numFmtId="1" fontId="0" fillId="0" borderId="0" xfId="0" applyNumberFormat="1"/>
    <xf numFmtId="48" fontId="0" fillId="0" borderId="0" xfId="0" applyNumberFormat="1"/>
    <xf numFmtId="48" fontId="4" fillId="0" borderId="0" xfId="0" applyNumberFormat="1" applyFon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"/>
  <sheetViews>
    <sheetView tabSelected="1" workbookViewId="0">
      <selection activeCell="E49" sqref="E49"/>
    </sheetView>
  </sheetViews>
  <sheetFormatPr baseColWidth="10" defaultRowHeight="15" x14ac:dyDescent="0"/>
  <cols>
    <col min="1" max="1" width="10.5" customWidth="1"/>
    <col min="2" max="2" width="31.6640625" customWidth="1"/>
    <col min="3" max="3" width="17.33203125" customWidth="1"/>
    <col min="4" max="4" width="18" customWidth="1"/>
    <col min="5" max="5" width="19.5" customWidth="1"/>
    <col min="6" max="6" width="18" customWidth="1"/>
    <col min="7" max="7" width="17" customWidth="1"/>
    <col min="8" max="8" width="20.6640625" customWidth="1"/>
    <col min="9" max="11" width="18" customWidth="1"/>
    <col min="12" max="13" width="18.83203125" customWidth="1"/>
    <col min="14" max="14" width="12" customWidth="1"/>
    <col min="15" max="15" width="16.5" customWidth="1"/>
    <col min="16" max="16" width="23.33203125" customWidth="1"/>
    <col min="17" max="17" width="24" customWidth="1"/>
    <col min="18" max="18" width="18.1640625" customWidth="1"/>
    <col min="19" max="19" width="17.6640625" customWidth="1"/>
    <col min="20" max="20" width="11.83203125" customWidth="1"/>
    <col min="21" max="21" width="18.5" customWidth="1"/>
    <col min="22" max="22" width="24.83203125" customWidth="1"/>
  </cols>
  <sheetData>
    <row r="1" spans="1:22" ht="20">
      <c r="A1" s="13" t="s">
        <v>10</v>
      </c>
      <c r="B1" s="13"/>
      <c r="C1" s="13"/>
    </row>
    <row r="2" spans="1:22" ht="20">
      <c r="B2" s="1"/>
    </row>
    <row r="3" spans="1:22" ht="30" customHeight="1">
      <c r="B3" s="6" t="s">
        <v>31</v>
      </c>
    </row>
    <row r="4" spans="1:22">
      <c r="A4" s="4" t="s">
        <v>37</v>
      </c>
      <c r="B4" s="3" t="s">
        <v>1</v>
      </c>
      <c r="C4" s="3" t="s">
        <v>2</v>
      </c>
      <c r="D4" s="3" t="s">
        <v>3</v>
      </c>
      <c r="E4" s="3" t="s">
        <v>5</v>
      </c>
      <c r="F4" s="3"/>
      <c r="G4" s="3" t="s">
        <v>19</v>
      </c>
      <c r="H4" s="3" t="s">
        <v>20</v>
      </c>
      <c r="I4" s="3" t="s">
        <v>21</v>
      </c>
      <c r="J4" s="3" t="s">
        <v>13</v>
      </c>
      <c r="K4" s="3" t="s">
        <v>18</v>
      </c>
      <c r="L4" s="3" t="s">
        <v>14</v>
      </c>
      <c r="M4" s="3" t="s">
        <v>17</v>
      </c>
      <c r="N4" s="5" t="s">
        <v>30</v>
      </c>
      <c r="O4" s="4" t="s">
        <v>15</v>
      </c>
      <c r="P4" s="4" t="s">
        <v>49</v>
      </c>
      <c r="Q4" s="4" t="s">
        <v>48</v>
      </c>
      <c r="R4" s="4" t="s">
        <v>50</v>
      </c>
      <c r="S4" s="4" t="s">
        <v>51</v>
      </c>
      <c r="T4" s="4" t="s">
        <v>16</v>
      </c>
      <c r="U4" s="4" t="s">
        <v>52</v>
      </c>
      <c r="V4" s="4" t="s">
        <v>53</v>
      </c>
    </row>
    <row r="5" spans="1:22">
      <c r="A5" t="s">
        <v>38</v>
      </c>
      <c r="B5" t="str">
        <f>GPS!A3</f>
        <v>GPS</v>
      </c>
      <c r="C5" t="str">
        <f>GPS!B3</f>
        <v>EVA-M8Q</v>
      </c>
      <c r="D5" t="str">
        <f>GPS!C3</f>
        <v>UBLOX</v>
      </c>
      <c r="E5">
        <f>GPS!D3</f>
        <v>0.5</v>
      </c>
      <c r="G5" s="11">
        <f>GPS!F3</f>
        <v>-2.0000000000000002E-5</v>
      </c>
      <c r="H5" s="11">
        <f>GPS!G3</f>
        <v>-2.5999999999999999E-2</v>
      </c>
      <c r="I5" s="11">
        <f>GPS!H3</f>
        <v>-6.7000000000000004E-2</v>
      </c>
      <c r="J5">
        <f>GPS!I3</f>
        <v>-40</v>
      </c>
      <c r="K5">
        <f>GPS!J3</f>
        <v>85</v>
      </c>
      <c r="L5">
        <f>GPS!K3</f>
        <v>2.7</v>
      </c>
      <c r="M5">
        <f>GPS!L3</f>
        <v>3.6</v>
      </c>
    </row>
    <row r="6" spans="1:22">
      <c r="A6" t="s">
        <v>38</v>
      </c>
      <c r="B6" t="str">
        <f>MCU!A3</f>
        <v>MCU</v>
      </c>
      <c r="C6" t="str">
        <f>MCU!B3</f>
        <v>STM32L011D4</v>
      </c>
      <c r="D6" t="str">
        <f>MCU!C3</f>
        <v>ST</v>
      </c>
      <c r="E6">
        <f>MCU!D3</f>
        <v>0.5</v>
      </c>
      <c r="G6" s="11">
        <f>MCU!F3</f>
        <v>-5.4000000000000002E-7</v>
      </c>
      <c r="H6" s="11">
        <f>MCU!G3</f>
        <v>-2.4320000000000001E-3</v>
      </c>
      <c r="I6" s="11">
        <f>MCU!H3</f>
        <v>-6.0000000000000001E-3</v>
      </c>
      <c r="J6">
        <f>MCU!I3</f>
        <v>-40</v>
      </c>
      <c r="K6">
        <f>MCU!J3</f>
        <v>125</v>
      </c>
      <c r="L6">
        <f>MCU!K3</f>
        <v>1.65</v>
      </c>
      <c r="M6">
        <f>MCU!L3</f>
        <v>3.6</v>
      </c>
    </row>
    <row r="7" spans="1:22">
      <c r="A7" t="s">
        <v>38</v>
      </c>
      <c r="B7" t="str">
        <f>RADIO!A3</f>
        <v>RADIO</v>
      </c>
      <c r="C7" s="8">
        <f>RADIO!B3</f>
        <v>4464</v>
      </c>
      <c r="D7" t="str">
        <f>RADIO!C3</f>
        <v>SI</v>
      </c>
      <c r="E7">
        <f>RADIO!D3</f>
        <v>0.5</v>
      </c>
      <c r="G7" s="11">
        <f>RADIO!F3</f>
        <v>-4.9999999999999998E-8</v>
      </c>
      <c r="H7" s="11">
        <f>RADIO!G3</f>
        <v>-1.7999999999999999E-2</v>
      </c>
      <c r="I7" s="11">
        <f>RADIO!H3</f>
        <v>-8.5000000000000006E-2</v>
      </c>
      <c r="J7">
        <f>RADIO!I3</f>
        <v>-40</v>
      </c>
      <c r="K7">
        <f>RADIO!J3</f>
        <v>85</v>
      </c>
      <c r="L7">
        <f>RADIO!K3</f>
        <v>1.8</v>
      </c>
      <c r="M7">
        <f>RADIO!L3</f>
        <v>3.6</v>
      </c>
    </row>
    <row r="8" spans="1:22">
      <c r="A8" t="s">
        <v>26</v>
      </c>
      <c r="B8" t="str">
        <f>SOLAR!A3</f>
        <v>SOLAR (2x)</v>
      </c>
      <c r="C8" t="str">
        <f>SOLAR!B3</f>
        <v>KXOB22-04X3</v>
      </c>
      <c r="D8" t="str">
        <f>SOLAR!C3</f>
        <v>IXYS</v>
      </c>
      <c r="E8">
        <f>SOLAR!D3</f>
        <v>1</v>
      </c>
      <c r="G8" s="11">
        <f>SOLAR!F3</f>
        <v>0</v>
      </c>
      <c r="H8" s="11">
        <f>SOLAR!G3</f>
        <v>0.02</v>
      </c>
      <c r="I8" s="11">
        <f>SOLAR!H3</f>
        <v>0.03</v>
      </c>
      <c r="J8">
        <f>SOLAR!I3</f>
        <v>-40</v>
      </c>
      <c r="K8">
        <f>SOLAR!J3</f>
        <v>85</v>
      </c>
      <c r="L8">
        <f>SOLAR!K3</f>
        <v>0</v>
      </c>
      <c r="M8">
        <f>SOLAR!L3</f>
        <v>1.89</v>
      </c>
      <c r="N8">
        <f>SOLAR!M3</f>
        <v>1.5</v>
      </c>
    </row>
    <row r="9" spans="1:22">
      <c r="A9" t="s">
        <v>39</v>
      </c>
      <c r="B9" t="str">
        <f>STORAGE!A3</f>
        <v>SUPER CAP 10F</v>
      </c>
      <c r="C9" t="str">
        <f>STORAGE!B3</f>
        <v>TV1030-3R0106-R</v>
      </c>
      <c r="D9" t="str">
        <f>STORAGE!C3</f>
        <v>EATON</v>
      </c>
      <c r="E9">
        <f>STORAGE!D3</f>
        <v>3.2</v>
      </c>
      <c r="G9" s="11">
        <f>STORAGE!F3</f>
        <v>0</v>
      </c>
      <c r="H9" s="11">
        <f>STORAGE!G3</f>
        <v>3.7</v>
      </c>
      <c r="I9" s="11">
        <f>STORAGE!H3</f>
        <v>115</v>
      </c>
      <c r="J9">
        <f>STORAGE!I3</f>
        <v>-40</v>
      </c>
      <c r="K9">
        <f>STORAGE!J3</f>
        <v>65</v>
      </c>
      <c r="L9">
        <f>STORAGE!K3</f>
        <v>0</v>
      </c>
      <c r="M9">
        <f>STORAGE!L3</f>
        <v>3</v>
      </c>
      <c r="O9">
        <f>STORAGE!N3</f>
        <v>10</v>
      </c>
      <c r="P9">
        <f>STORAGE!O3</f>
        <v>1.9</v>
      </c>
      <c r="Q9">
        <f>STORAGE!P3</f>
        <v>2.9</v>
      </c>
      <c r="R9">
        <f>STORAGE!Q3</f>
        <v>24.000000000000004</v>
      </c>
      <c r="S9" s="11">
        <f>STORAGE!R3</f>
        <v>6.666666666666668E-3</v>
      </c>
      <c r="T9">
        <f>STORAGE!S3</f>
        <v>2.5999999999999999E-2</v>
      </c>
      <c r="U9" s="11">
        <f>STORAGE!T3</f>
        <v>2.5000000000000001E-2</v>
      </c>
      <c r="V9" s="11">
        <f>STORAGE!U3</f>
        <v>1.6250000000000002E-5</v>
      </c>
    </row>
    <row r="10" spans="1:22">
      <c r="A10" t="s">
        <v>60</v>
      </c>
      <c r="B10" t="s">
        <v>12</v>
      </c>
      <c r="C10" t="s">
        <v>62</v>
      </c>
      <c r="D10" t="s">
        <v>61</v>
      </c>
      <c r="E10">
        <v>0.5</v>
      </c>
    </row>
    <row r="12" spans="1:22" ht="18">
      <c r="B12" s="9" t="s">
        <v>54</v>
      </c>
      <c r="C12" s="4"/>
    </row>
    <row r="13" spans="1:22">
      <c r="B13" t="s">
        <v>35</v>
      </c>
      <c r="C13">
        <f>MAX(J5:J9)</f>
        <v>-40</v>
      </c>
    </row>
    <row r="14" spans="1:22">
      <c r="B14" t="s">
        <v>18</v>
      </c>
      <c r="C14">
        <f>MIN(K5:K9)</f>
        <v>65</v>
      </c>
    </row>
    <row r="15" spans="1:22">
      <c r="B15" s="7" t="s">
        <v>59</v>
      </c>
      <c r="C15" s="7">
        <f>SUM(E5:E10)</f>
        <v>6.2</v>
      </c>
    </row>
    <row r="17" spans="2:5" ht="18">
      <c r="B17" s="9" t="s">
        <v>36</v>
      </c>
      <c r="C17" s="4"/>
    </row>
    <row r="18" spans="2:5">
      <c r="B18" t="s">
        <v>32</v>
      </c>
      <c r="C18" s="11">
        <f>SUM(G5:G7)</f>
        <v>-2.0590000000000004E-5</v>
      </c>
    </row>
    <row r="19" spans="2:5">
      <c r="B19" t="s">
        <v>33</v>
      </c>
      <c r="C19" s="11">
        <f>SUM(H5:H7)</f>
        <v>-4.6432000000000001E-2</v>
      </c>
    </row>
    <row r="20" spans="2:5">
      <c r="B20" t="s">
        <v>34</v>
      </c>
      <c r="C20" s="11">
        <f>SUM(I5:I7)</f>
        <v>-0.15800000000000003</v>
      </c>
    </row>
    <row r="21" spans="2:5">
      <c r="B21" t="s">
        <v>14</v>
      </c>
      <c r="C21">
        <f>MAX(L5:L7)</f>
        <v>2.7</v>
      </c>
    </row>
    <row r="22" spans="2:5">
      <c r="B22" t="s">
        <v>17</v>
      </c>
      <c r="C22">
        <f>MIN(M5:M7)</f>
        <v>3.6</v>
      </c>
    </row>
    <row r="23" spans="2:5">
      <c r="B23" t="s">
        <v>65</v>
      </c>
      <c r="C23">
        <v>3.3</v>
      </c>
    </row>
    <row r="25" spans="2:5" ht="18">
      <c r="B25" s="9" t="s">
        <v>63</v>
      </c>
      <c r="C25" s="4"/>
    </row>
    <row r="26" spans="2:5">
      <c r="B26" t="s">
        <v>41</v>
      </c>
      <c r="C26">
        <f>N8</f>
        <v>1.5</v>
      </c>
      <c r="E26" t="s">
        <v>94</v>
      </c>
    </row>
    <row r="27" spans="2:5">
      <c r="B27" t="s">
        <v>40</v>
      </c>
      <c r="C27" s="11">
        <f>H8</f>
        <v>0.02</v>
      </c>
    </row>
    <row r="28" spans="2:5">
      <c r="B28" t="s">
        <v>44</v>
      </c>
      <c r="C28" s="11">
        <f>C26*C27</f>
        <v>0.03</v>
      </c>
      <c r="E28" t="s">
        <v>93</v>
      </c>
    </row>
    <row r="30" spans="2:5">
      <c r="B30" t="s">
        <v>76</v>
      </c>
      <c r="C30">
        <f>P9</f>
        <v>1.9</v>
      </c>
      <c r="E30" t="s">
        <v>75</v>
      </c>
    </row>
    <row r="31" spans="2:5">
      <c r="B31" t="s">
        <v>77</v>
      </c>
      <c r="C31">
        <f>Q9</f>
        <v>2.9</v>
      </c>
      <c r="E31" t="s">
        <v>74</v>
      </c>
    </row>
    <row r="32" spans="2:5">
      <c r="B32" t="s">
        <v>66</v>
      </c>
      <c r="C32">
        <f>STORAGE!Q3</f>
        <v>24.000000000000004</v>
      </c>
      <c r="E32" t="s">
        <v>67</v>
      </c>
    </row>
    <row r="34" spans="2:5">
      <c r="B34" s="7" t="s">
        <v>87</v>
      </c>
    </row>
    <row r="35" spans="2:5">
      <c r="B35" t="s">
        <v>42</v>
      </c>
      <c r="C35">
        <f>C23</f>
        <v>3.3</v>
      </c>
    </row>
    <row r="36" spans="2:5">
      <c r="B36" t="s">
        <v>43</v>
      </c>
      <c r="C36" s="11">
        <f>SUM(I5:I7)</f>
        <v>-0.15800000000000003</v>
      </c>
    </row>
    <row r="37" spans="2:5">
      <c r="B37" t="s">
        <v>45</v>
      </c>
      <c r="C37" s="11">
        <f>C35*C36</f>
        <v>-0.52140000000000009</v>
      </c>
    </row>
    <row r="38" spans="2:5">
      <c r="C38" s="11"/>
    </row>
    <row r="39" spans="2:5">
      <c r="B39" s="7" t="s">
        <v>86</v>
      </c>
      <c r="C39" s="11"/>
    </row>
    <row r="40" spans="2:5">
      <c r="B40" t="s">
        <v>42</v>
      </c>
      <c r="C40">
        <f>C23</f>
        <v>3.3</v>
      </c>
    </row>
    <row r="41" spans="2:5">
      <c r="B41" t="s">
        <v>43</v>
      </c>
      <c r="C41" s="11">
        <f>SUM(H5:H7)</f>
        <v>-4.6432000000000001E-2</v>
      </c>
    </row>
    <row r="42" spans="2:5">
      <c r="B42" t="s">
        <v>45</v>
      </c>
      <c r="C42" s="11">
        <f>C40*C41</f>
        <v>-0.15322559999999999</v>
      </c>
    </row>
    <row r="43" spans="2:5">
      <c r="C43" s="11"/>
    </row>
    <row r="44" spans="2:5">
      <c r="B44" s="7" t="s">
        <v>92</v>
      </c>
      <c r="C44" s="11"/>
    </row>
    <row r="45" spans="2:5">
      <c r="B45" t="s">
        <v>42</v>
      </c>
      <c r="C45">
        <f>C23</f>
        <v>3.3</v>
      </c>
      <c r="E45" t="s">
        <v>104</v>
      </c>
    </row>
    <row r="46" spans="2:5">
      <c r="B46" t="s">
        <v>43</v>
      </c>
      <c r="C46" s="11">
        <f>SUM(G5:G7)</f>
        <v>-2.0590000000000004E-5</v>
      </c>
    </row>
    <row r="47" spans="2:5">
      <c r="B47" t="s">
        <v>45</v>
      </c>
      <c r="C47" s="11">
        <f>C45*C46</f>
        <v>-6.7947000000000005E-5</v>
      </c>
    </row>
    <row r="48" spans="2:5">
      <c r="C48" s="11"/>
    </row>
    <row r="49" spans="2:5">
      <c r="B49" s="7" t="s">
        <v>97</v>
      </c>
      <c r="C49" s="11"/>
    </row>
    <row r="51" spans="2:5">
      <c r="B51" t="s">
        <v>78</v>
      </c>
      <c r="C51" s="11">
        <v>0.2</v>
      </c>
      <c r="E51" t="s">
        <v>58</v>
      </c>
    </row>
    <row r="52" spans="2:5">
      <c r="B52" t="s">
        <v>79</v>
      </c>
      <c r="C52" s="11">
        <f>C40*C51</f>
        <v>0.66</v>
      </c>
      <c r="E52" t="s">
        <v>55</v>
      </c>
    </row>
    <row r="53" spans="2:5">
      <c r="C53" s="11"/>
    </row>
    <row r="54" spans="2:5">
      <c r="B54" t="s">
        <v>80</v>
      </c>
      <c r="C54" s="11">
        <v>7.0000000000000007E-2</v>
      </c>
      <c r="E54" t="s">
        <v>57</v>
      </c>
    </row>
    <row r="55" spans="2:5">
      <c r="B55" t="s">
        <v>81</v>
      </c>
      <c r="C55" s="11">
        <f>C40*C54</f>
        <v>0.23100000000000001</v>
      </c>
      <c r="E55" t="s">
        <v>56</v>
      </c>
    </row>
    <row r="57" spans="2:5">
      <c r="B57" t="s">
        <v>73</v>
      </c>
      <c r="C57" s="11">
        <f>C51+C36</f>
        <v>4.1999999999999982E-2</v>
      </c>
      <c r="D57" s="11"/>
      <c r="E57" t="s">
        <v>85</v>
      </c>
    </row>
    <row r="58" spans="2:5">
      <c r="B58" t="s">
        <v>72</v>
      </c>
      <c r="C58" s="11">
        <f>C54+C41</f>
        <v>2.3568000000000006E-2</v>
      </c>
      <c r="E58" t="s">
        <v>84</v>
      </c>
    </row>
    <row r="60" spans="2:5">
      <c r="B60" t="s">
        <v>82</v>
      </c>
      <c r="C60" s="10">
        <f>((C51-ABS(C36))/C51)*100</f>
        <v>20.999999999999989</v>
      </c>
    </row>
    <row r="61" spans="2:5">
      <c r="B61" t="s">
        <v>83</v>
      </c>
      <c r="C61" s="10">
        <f>((C54-ABS(C41))/C54)*100</f>
        <v>33.668571428571433</v>
      </c>
    </row>
    <row r="62" spans="2:5">
      <c r="C62" s="10"/>
    </row>
    <row r="63" spans="2:5">
      <c r="B63" s="7" t="s">
        <v>98</v>
      </c>
      <c r="C63" s="10"/>
    </row>
    <row r="64" spans="2:5">
      <c r="C64" s="10"/>
    </row>
    <row r="65" spans="2:5">
      <c r="B65" t="s">
        <v>95</v>
      </c>
      <c r="C65" s="11">
        <f>C28</f>
        <v>0.03</v>
      </c>
      <c r="E65" t="s">
        <v>92</v>
      </c>
    </row>
    <row r="66" spans="2:5">
      <c r="B66" t="s">
        <v>96</v>
      </c>
      <c r="C66" s="11">
        <f>C47</f>
        <v>-6.7947000000000005E-5</v>
      </c>
    </row>
    <row r="67" spans="2:5">
      <c r="C67" s="11"/>
    </row>
    <row r="68" spans="2:5">
      <c r="B68" t="s">
        <v>100</v>
      </c>
      <c r="C68" s="11">
        <f>C65+C66</f>
        <v>2.9932053E-2</v>
      </c>
    </row>
    <row r="69" spans="2:5">
      <c r="B69" t="s">
        <v>99</v>
      </c>
      <c r="C69" s="14">
        <f>((C65-ABS(C66))/C65)*100</f>
        <v>99.773510000000002</v>
      </c>
    </row>
    <row r="70" spans="2:5">
      <c r="C70" s="14"/>
    </row>
    <row r="71" spans="2:5">
      <c r="B71" s="7" t="s">
        <v>101</v>
      </c>
      <c r="C71" s="14"/>
    </row>
    <row r="73" spans="2:5">
      <c r="B73" t="s">
        <v>69</v>
      </c>
    </row>
    <row r="74" spans="2:5">
      <c r="B74" t="s">
        <v>68</v>
      </c>
      <c r="C74" s="10">
        <f>C32/ABS(C23*H5)</f>
        <v>279.72027972027979</v>
      </c>
      <c r="E74" t="s">
        <v>64</v>
      </c>
    </row>
    <row r="75" spans="2:5">
      <c r="B75" t="s">
        <v>70</v>
      </c>
      <c r="C75" s="10">
        <f>C32/ABS(C23*H6)</f>
        <v>2990.4306220095696</v>
      </c>
      <c r="E75" t="s">
        <v>64</v>
      </c>
    </row>
    <row r="76" spans="2:5">
      <c r="B76" t="s">
        <v>71</v>
      </c>
      <c r="C76" s="10">
        <f>C32/ABS(C23*H7)</f>
        <v>404.04040404040416</v>
      </c>
      <c r="E76" t="s">
        <v>64</v>
      </c>
    </row>
    <row r="77" spans="2:5">
      <c r="B77" t="s">
        <v>88</v>
      </c>
      <c r="C77" s="10">
        <f>C32/ABS(C23*C41)</f>
        <v>156.63178998809602</v>
      </c>
      <c r="E77" t="s">
        <v>64</v>
      </c>
    </row>
    <row r="79" spans="2:5">
      <c r="B79" t="s">
        <v>103</v>
      </c>
      <c r="C79" s="15" t="str">
        <f>IF(C69&gt;0, "INF", "POWER OVERRUN")</f>
        <v>INF</v>
      </c>
      <c r="E79" t="s">
        <v>102</v>
      </c>
    </row>
  </sheetData>
  <mergeCells count="1">
    <mergeCell ref="A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"/>
  <sheetViews>
    <sheetView workbookViewId="0">
      <selection activeCell="F5" sqref="F5"/>
    </sheetView>
  </sheetViews>
  <sheetFormatPr baseColWidth="10" defaultRowHeight="15" x14ac:dyDescent="0"/>
  <cols>
    <col min="2" max="2" width="14.5" customWidth="1"/>
    <col min="6" max="6" width="16.5" customWidth="1"/>
    <col min="7" max="7" width="20.83203125" customWidth="1"/>
    <col min="8" max="8" width="16.6640625" customWidth="1"/>
    <col min="9" max="9" width="15.1640625" customWidth="1"/>
    <col min="10" max="10" width="16.5" customWidth="1"/>
    <col min="11" max="11" width="17" customWidth="1"/>
    <col min="12" max="12" width="15.83203125" customWidth="1"/>
  </cols>
  <sheetData>
    <row r="2" spans="1:12">
      <c r="A2" s="3" t="s">
        <v>1</v>
      </c>
      <c r="B2" s="3" t="s">
        <v>2</v>
      </c>
      <c r="C2" s="3" t="s">
        <v>3</v>
      </c>
      <c r="D2" s="3" t="s">
        <v>5</v>
      </c>
      <c r="E2" s="3"/>
      <c r="F2" s="3" t="s">
        <v>19</v>
      </c>
      <c r="G2" s="3" t="s">
        <v>20</v>
      </c>
      <c r="H2" s="3" t="s">
        <v>21</v>
      </c>
      <c r="I2" s="3" t="s">
        <v>13</v>
      </c>
      <c r="J2" s="3" t="s">
        <v>18</v>
      </c>
      <c r="K2" s="3" t="s">
        <v>14</v>
      </c>
      <c r="L2" s="3" t="s">
        <v>17</v>
      </c>
    </row>
    <row r="3" spans="1:12">
      <c r="A3" s="2" t="s">
        <v>0</v>
      </c>
      <c r="B3" s="2" t="s">
        <v>25</v>
      </c>
      <c r="C3" s="2" t="s">
        <v>4</v>
      </c>
      <c r="D3" s="2">
        <v>0.5</v>
      </c>
      <c r="E3" s="2"/>
      <c r="F3" s="12">
        <f>-0.00002</f>
        <v>-2.0000000000000002E-5</v>
      </c>
      <c r="G3" s="12">
        <f>-0.026</f>
        <v>-2.5999999999999999E-2</v>
      </c>
      <c r="H3" s="12">
        <f>-0.067</f>
        <v>-6.7000000000000004E-2</v>
      </c>
      <c r="I3" s="2">
        <v>-40</v>
      </c>
      <c r="J3" s="2">
        <v>85</v>
      </c>
      <c r="K3" s="2">
        <v>2.7</v>
      </c>
      <c r="L3" s="2">
        <v>3.6</v>
      </c>
    </row>
    <row r="4" spans="1:12">
      <c r="A4" s="2" t="s">
        <v>0</v>
      </c>
      <c r="B4" s="2" t="s">
        <v>7</v>
      </c>
      <c r="C4" s="2" t="s">
        <v>4</v>
      </c>
      <c r="D4" s="2">
        <v>0.5</v>
      </c>
      <c r="E4" s="2"/>
      <c r="F4" s="12">
        <f>-0.00002</f>
        <v>-2.0000000000000002E-5</v>
      </c>
      <c r="G4" s="12">
        <f>-0.026</f>
        <v>-2.5999999999999999E-2</v>
      </c>
      <c r="H4" s="12">
        <f>-0.067</f>
        <v>-6.7000000000000004E-2</v>
      </c>
      <c r="I4" s="2">
        <v>-40</v>
      </c>
      <c r="J4" s="2">
        <v>85</v>
      </c>
      <c r="K4" s="2">
        <v>1.65</v>
      </c>
      <c r="L4" s="2">
        <v>3.6</v>
      </c>
    </row>
    <row r="7" spans="1:12">
      <c r="A7" s="2" t="s">
        <v>22</v>
      </c>
    </row>
    <row r="8" spans="1:12">
      <c r="A8" s="2" t="s">
        <v>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workbookViewId="0">
      <selection activeCell="F3" sqref="F3:H3"/>
    </sheetView>
  </sheetViews>
  <sheetFormatPr baseColWidth="10" defaultRowHeight="15" x14ac:dyDescent="0"/>
  <cols>
    <col min="2" max="2" width="17.33203125" customWidth="1"/>
    <col min="6" max="6" width="20.1640625" customWidth="1"/>
    <col min="7" max="7" width="23.5" customWidth="1"/>
    <col min="8" max="8" width="19" customWidth="1"/>
    <col min="9" max="15" width="17.1640625" customWidth="1"/>
  </cols>
  <sheetData>
    <row r="2" spans="1:12">
      <c r="A2" s="3" t="s">
        <v>1</v>
      </c>
      <c r="B2" s="3" t="s">
        <v>2</v>
      </c>
      <c r="C2" s="3" t="s">
        <v>3</v>
      </c>
      <c r="D2" s="3" t="s">
        <v>5</v>
      </c>
      <c r="E2" s="3"/>
      <c r="F2" s="3" t="s">
        <v>19</v>
      </c>
      <c r="G2" s="3" t="s">
        <v>20</v>
      </c>
      <c r="H2" s="3" t="s">
        <v>21</v>
      </c>
      <c r="I2" s="3" t="s">
        <v>13</v>
      </c>
      <c r="J2" s="3" t="s">
        <v>18</v>
      </c>
      <c r="K2" s="3" t="s">
        <v>14</v>
      </c>
      <c r="L2" s="3" t="s">
        <v>17</v>
      </c>
    </row>
    <row r="3" spans="1:12">
      <c r="A3" s="2" t="s">
        <v>6</v>
      </c>
      <c r="B3" s="2" t="s">
        <v>9</v>
      </c>
      <c r="C3" s="2" t="s">
        <v>8</v>
      </c>
      <c r="D3" s="2">
        <v>0.5</v>
      </c>
      <c r="E3" s="2"/>
      <c r="F3" s="12">
        <f>-0.00000054</f>
        <v>-5.4000000000000002E-7</v>
      </c>
      <c r="G3" s="12">
        <f>-(0.000076)*32</f>
        <v>-2.4320000000000001E-3</v>
      </c>
      <c r="H3" s="12">
        <f>-0.006</f>
        <v>-6.0000000000000001E-3</v>
      </c>
      <c r="I3" s="2">
        <v>-40</v>
      </c>
      <c r="J3" s="2">
        <v>125</v>
      </c>
      <c r="K3" s="2">
        <v>1.65</v>
      </c>
      <c r="L3" s="2">
        <v>3.6</v>
      </c>
    </row>
    <row r="6" spans="1:12">
      <c r="A6" t="s">
        <v>22</v>
      </c>
    </row>
    <row r="7" spans="1:12">
      <c r="A7" t="s">
        <v>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workbookViewId="0">
      <selection activeCell="A4" sqref="A4"/>
    </sheetView>
  </sheetViews>
  <sheetFormatPr baseColWidth="10" defaultRowHeight="15" x14ac:dyDescent="0"/>
  <cols>
    <col min="2" max="2" width="13.6640625" customWidth="1"/>
    <col min="6" max="6" width="16" customWidth="1"/>
    <col min="7" max="7" width="19.83203125" customWidth="1"/>
    <col min="8" max="8" width="16.33203125" customWidth="1"/>
    <col min="9" max="9" width="15" customWidth="1"/>
    <col min="10" max="10" width="14.83203125" customWidth="1"/>
    <col min="11" max="11" width="16.1640625" customWidth="1"/>
    <col min="12" max="12" width="16" customWidth="1"/>
  </cols>
  <sheetData>
    <row r="2" spans="1:12">
      <c r="A2" s="3" t="s">
        <v>1</v>
      </c>
      <c r="B2" s="3" t="s">
        <v>2</v>
      </c>
      <c r="C2" s="3" t="s">
        <v>3</v>
      </c>
      <c r="D2" s="3" t="s">
        <v>5</v>
      </c>
      <c r="E2" s="3"/>
      <c r="F2" s="3" t="s">
        <v>19</v>
      </c>
      <c r="G2" s="3" t="s">
        <v>20</v>
      </c>
      <c r="H2" s="3" t="s">
        <v>21</v>
      </c>
      <c r="I2" s="3" t="s">
        <v>13</v>
      </c>
      <c r="J2" s="3" t="s">
        <v>18</v>
      </c>
      <c r="K2" s="3" t="s">
        <v>14</v>
      </c>
      <c r="L2" s="3" t="s">
        <v>17</v>
      </c>
    </row>
    <row r="3" spans="1:12">
      <c r="A3" s="2" t="s">
        <v>11</v>
      </c>
      <c r="B3" s="2">
        <v>4464</v>
      </c>
      <c r="C3" s="2" t="s">
        <v>24</v>
      </c>
      <c r="D3" s="2">
        <v>0.5</v>
      </c>
      <c r="E3" s="2"/>
      <c r="F3" s="12">
        <f>-0.00000005</f>
        <v>-4.9999999999999998E-8</v>
      </c>
      <c r="G3" s="12">
        <f>-0.018</f>
        <v>-1.7999999999999999E-2</v>
      </c>
      <c r="H3" s="12">
        <f>-0.085</f>
        <v>-8.5000000000000006E-2</v>
      </c>
      <c r="I3" s="2">
        <v>-40</v>
      </c>
      <c r="J3" s="2">
        <v>85</v>
      </c>
      <c r="K3" s="2">
        <v>1.8</v>
      </c>
      <c r="L3" s="2">
        <v>3.6</v>
      </c>
    </row>
    <row r="6" spans="1:12">
      <c r="A6" s="2" t="s">
        <v>22</v>
      </c>
    </row>
    <row r="7" spans="1:12">
      <c r="A7" s="2" t="s">
        <v>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workbookViewId="0">
      <selection activeCell="H3" sqref="F3:H3"/>
    </sheetView>
  </sheetViews>
  <sheetFormatPr baseColWidth="10" defaultRowHeight="15" x14ac:dyDescent="0"/>
  <cols>
    <col min="2" max="2" width="14.33203125" customWidth="1"/>
    <col min="6" max="6" width="15.6640625" customWidth="1"/>
    <col min="7" max="7" width="19.83203125" customWidth="1"/>
    <col min="8" max="8" width="16.5" customWidth="1"/>
    <col min="9" max="9" width="15.1640625" customWidth="1"/>
    <col min="10" max="10" width="15.5" customWidth="1"/>
    <col min="11" max="11" width="15.33203125" customWidth="1"/>
    <col min="12" max="12" width="16" customWidth="1"/>
  </cols>
  <sheetData>
    <row r="2" spans="1:13">
      <c r="A2" s="3" t="s">
        <v>1</v>
      </c>
      <c r="B2" s="3" t="s">
        <v>2</v>
      </c>
      <c r="C2" s="3" t="s">
        <v>3</v>
      </c>
      <c r="D2" s="3" t="s">
        <v>5</v>
      </c>
      <c r="E2" s="3"/>
      <c r="F2" s="3" t="s">
        <v>19</v>
      </c>
      <c r="G2" s="3" t="s">
        <v>20</v>
      </c>
      <c r="H2" s="3" t="s">
        <v>21</v>
      </c>
      <c r="I2" s="3" t="s">
        <v>13</v>
      </c>
      <c r="J2" s="3" t="s">
        <v>18</v>
      </c>
      <c r="K2" s="3" t="s">
        <v>14</v>
      </c>
      <c r="L2" s="3" t="s">
        <v>17</v>
      </c>
      <c r="M2" s="5" t="s">
        <v>30</v>
      </c>
    </row>
    <row r="3" spans="1:13">
      <c r="A3" s="2" t="s">
        <v>29</v>
      </c>
      <c r="B3" s="2" t="s">
        <v>27</v>
      </c>
      <c r="C3" s="2" t="s">
        <v>28</v>
      </c>
      <c r="D3" s="2">
        <v>1</v>
      </c>
      <c r="E3" s="2"/>
      <c r="F3" s="12">
        <v>0</v>
      </c>
      <c r="G3" s="12">
        <v>0.02</v>
      </c>
      <c r="H3" s="12">
        <f>0.03</f>
        <v>0.03</v>
      </c>
      <c r="I3" s="2">
        <v>-40</v>
      </c>
      <c r="J3" s="2">
        <v>85</v>
      </c>
      <c r="K3" s="2">
        <v>0</v>
      </c>
      <c r="L3" s="2">
        <v>1.89</v>
      </c>
      <c r="M3" s="2">
        <v>1.5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"/>
  <sheetViews>
    <sheetView workbookViewId="0">
      <selection activeCell="A3" sqref="A3"/>
    </sheetView>
  </sheetViews>
  <sheetFormatPr baseColWidth="10" defaultRowHeight="15" x14ac:dyDescent="0"/>
  <cols>
    <col min="1" max="1" width="14" customWidth="1"/>
    <col min="2" max="2" width="17.83203125" customWidth="1"/>
    <col min="3" max="3" width="20.83203125" customWidth="1"/>
    <col min="4" max="4" width="24.6640625" customWidth="1"/>
    <col min="5" max="5" width="17.1640625" customWidth="1"/>
    <col min="6" max="6" width="21.33203125" customWidth="1"/>
    <col min="7" max="7" width="20.83203125" customWidth="1"/>
    <col min="8" max="8" width="18" customWidth="1"/>
    <col min="9" max="9" width="15.1640625" customWidth="1"/>
    <col min="10" max="10" width="16" customWidth="1"/>
    <col min="11" max="11" width="14.83203125" customWidth="1"/>
    <col min="12" max="12" width="16.33203125" customWidth="1"/>
    <col min="13" max="13" width="10.83203125" customWidth="1"/>
    <col min="14" max="14" width="15.6640625" customWidth="1"/>
    <col min="15" max="15" width="23.83203125" customWidth="1"/>
    <col min="16" max="16" width="23.6640625" customWidth="1"/>
    <col min="17" max="17" width="19.5" customWidth="1"/>
    <col min="18" max="18" width="19.83203125" customWidth="1"/>
    <col min="19" max="19" width="13" customWidth="1"/>
    <col min="20" max="20" width="19.6640625" customWidth="1"/>
    <col min="21" max="21" width="23.33203125" customWidth="1"/>
  </cols>
  <sheetData>
    <row r="2" spans="1:21">
      <c r="A2" s="3" t="s">
        <v>1</v>
      </c>
      <c r="B2" s="3" t="s">
        <v>2</v>
      </c>
      <c r="C2" s="3" t="s">
        <v>3</v>
      </c>
      <c r="D2" s="3" t="s">
        <v>5</v>
      </c>
      <c r="E2" s="3"/>
      <c r="F2" s="3" t="s">
        <v>19</v>
      </c>
      <c r="G2" s="3" t="s">
        <v>20</v>
      </c>
      <c r="H2" s="3" t="s">
        <v>21</v>
      </c>
      <c r="I2" s="3" t="s">
        <v>13</v>
      </c>
      <c r="J2" s="3" t="s">
        <v>18</v>
      </c>
      <c r="K2" s="3" t="s">
        <v>14</v>
      </c>
      <c r="L2" s="3" t="s">
        <v>17</v>
      </c>
      <c r="M2" s="3"/>
      <c r="N2" s="4" t="s">
        <v>15</v>
      </c>
      <c r="O2" s="4" t="s">
        <v>49</v>
      </c>
      <c r="P2" s="4" t="s">
        <v>48</v>
      </c>
      <c r="Q2" s="4" t="s">
        <v>50</v>
      </c>
      <c r="R2" s="4" t="s">
        <v>51</v>
      </c>
      <c r="S2" s="4" t="s">
        <v>16</v>
      </c>
      <c r="T2" s="4" t="s">
        <v>52</v>
      </c>
      <c r="U2" s="4" t="s">
        <v>53</v>
      </c>
    </row>
    <row r="3" spans="1:21">
      <c r="A3" s="2" t="s">
        <v>89</v>
      </c>
      <c r="B3" s="2" t="s">
        <v>46</v>
      </c>
      <c r="C3" s="2" t="s">
        <v>47</v>
      </c>
      <c r="D3" s="2">
        <v>3.2</v>
      </c>
      <c r="E3" s="2"/>
      <c r="F3" s="12">
        <v>0</v>
      </c>
      <c r="G3" s="12">
        <v>3.7</v>
      </c>
      <c r="H3" s="12">
        <v>115</v>
      </c>
      <c r="I3" s="2">
        <v>-40</v>
      </c>
      <c r="J3" s="2">
        <v>65</v>
      </c>
      <c r="K3" s="2">
        <v>0</v>
      </c>
      <c r="L3" s="2">
        <v>3</v>
      </c>
      <c r="M3" s="2"/>
      <c r="N3">
        <v>10</v>
      </c>
      <c r="O3" s="2">
        <v>1.9</v>
      </c>
      <c r="P3">
        <v>2.9</v>
      </c>
      <c r="Q3">
        <f>0.5*N3*((P3^2)-(O3^2))</f>
        <v>24.000000000000004</v>
      </c>
      <c r="R3" s="11">
        <f>(Q3/3600)</f>
        <v>6.666666666666668E-3</v>
      </c>
      <c r="S3">
        <v>2.5999999999999999E-2</v>
      </c>
      <c r="T3" s="11">
        <v>2.5000000000000001E-2</v>
      </c>
      <c r="U3" s="11">
        <f>(T3^2)*S3</f>
        <v>1.6250000000000002E-5</v>
      </c>
    </row>
    <row r="4" spans="1:21">
      <c r="A4" s="2" t="s">
        <v>90</v>
      </c>
      <c r="B4" s="2" t="s">
        <v>91</v>
      </c>
      <c r="C4" s="2" t="s">
        <v>47</v>
      </c>
      <c r="D4" s="2">
        <v>2.2999999999999998</v>
      </c>
      <c r="E4" s="2"/>
      <c r="F4" s="12">
        <v>0</v>
      </c>
      <c r="G4" s="12">
        <v>3.7</v>
      </c>
      <c r="H4" s="12">
        <v>115</v>
      </c>
      <c r="I4" s="2">
        <v>-40</v>
      </c>
      <c r="J4" s="2">
        <v>65</v>
      </c>
      <c r="K4" s="2">
        <v>0</v>
      </c>
      <c r="L4" s="2">
        <v>3</v>
      </c>
      <c r="M4" s="2"/>
      <c r="N4">
        <v>6</v>
      </c>
      <c r="O4" s="2">
        <v>1.9</v>
      </c>
      <c r="P4">
        <v>2.9</v>
      </c>
      <c r="Q4">
        <f>0.5*N4*((P4^2)-(O4^2))</f>
        <v>14.400000000000002</v>
      </c>
      <c r="R4" s="11">
        <f>(Q4/3600)</f>
        <v>4.000000000000001E-3</v>
      </c>
      <c r="S4">
        <v>3.5000000000000003E-2</v>
      </c>
      <c r="T4" s="11">
        <v>1.2999999999999999E-2</v>
      </c>
      <c r="U4" s="11">
        <f>(T4^2)*S4</f>
        <v>5.9150000000000001E-6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 Budget</vt:lpstr>
      <vt:lpstr>GPS</vt:lpstr>
      <vt:lpstr>MCU</vt:lpstr>
      <vt:lpstr>RADIO</vt:lpstr>
      <vt:lpstr>SOLAR</vt:lpstr>
      <vt:lpstr>STORAGE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 Kourchians</dc:creator>
  <cp:lastModifiedBy>Ara Kourchians</cp:lastModifiedBy>
  <dcterms:created xsi:type="dcterms:W3CDTF">2017-08-20T17:38:10Z</dcterms:created>
  <dcterms:modified xsi:type="dcterms:W3CDTF">2017-10-15T21:11:14Z</dcterms:modified>
</cp:coreProperties>
</file>