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ImpiantoPneumatico\"/>
    </mc:Choice>
  </mc:AlternateContent>
  <xr:revisionPtr revIDLastSave="0" documentId="13_ncr:1_{A4422352-822B-4757-B783-11D02B6603FC}" xr6:coauthVersionLast="46" xr6:coauthVersionMax="46" xr10:uidLastSave="{00000000-0000-0000-0000-000000000000}"/>
  <bookViews>
    <workbookView xWindow="-120" yWindow="-120" windowWidth="29040" windowHeight="15840" xr2:uid="{FAE0CB82-2983-476A-B252-1B601C3CAAB3}"/>
  </bookViews>
  <sheets>
    <sheet name="Desig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F39" i="1"/>
  <c r="E39" i="1"/>
  <c r="D39" i="1"/>
  <c r="F36" i="1"/>
  <c r="G33" i="1"/>
  <c r="H33" i="1"/>
  <c r="F33" i="1"/>
  <c r="F32" i="1"/>
  <c r="G31" i="1"/>
  <c r="H31" i="1"/>
  <c r="F31" i="1"/>
  <c r="F30" i="1"/>
  <c r="F29" i="1"/>
  <c r="G29" i="1"/>
  <c r="H29" i="1"/>
  <c r="D29" i="1"/>
  <c r="E29" i="1"/>
  <c r="E30" i="1" s="1"/>
  <c r="D30" i="1"/>
  <c r="D31" i="1"/>
  <c r="E31" i="1"/>
  <c r="D33" i="1"/>
  <c r="E33" i="1"/>
  <c r="D34" i="1"/>
  <c r="E34" i="1"/>
  <c r="D36" i="1"/>
  <c r="C36" i="1"/>
  <c r="C34" i="1"/>
  <c r="C33" i="1"/>
  <c r="C31" i="1"/>
  <c r="C30" i="1"/>
  <c r="C29" i="1"/>
  <c r="E14" i="1"/>
  <c r="E18" i="1" s="1"/>
  <c r="D14" i="1"/>
  <c r="D18" i="1" s="1"/>
  <c r="D7" i="1"/>
  <c r="D8" i="1"/>
  <c r="D9" i="1" s="1"/>
  <c r="AI15" i="1"/>
  <c r="AH15" i="1"/>
  <c r="AG15" i="1"/>
  <c r="F14" i="1"/>
  <c r="H32" i="1" s="1"/>
  <c r="AI12" i="1" s="1"/>
  <c r="D13" i="1"/>
  <c r="E36" i="1" l="1"/>
  <c r="G32" i="1"/>
  <c r="AH12" i="1" s="1"/>
  <c r="D15" i="1"/>
  <c r="F18" i="1"/>
  <c r="AG14" i="1"/>
  <c r="F15" i="1"/>
  <c r="AG11" i="1"/>
  <c r="AG12" i="1"/>
  <c r="AI11" i="1" l="1"/>
  <c r="AG6" i="1"/>
  <c r="AG13" i="1"/>
  <c r="AI6" i="1"/>
  <c r="AI14" i="1"/>
  <c r="AH14" i="1"/>
  <c r="AH11" i="1"/>
  <c r="AG10" i="1" l="1"/>
  <c r="AH6" i="1"/>
  <c r="AI13" i="1"/>
  <c r="AH13" i="1"/>
  <c r="H30" i="1"/>
  <c r="AI10" i="1" s="1"/>
  <c r="G30" i="1"/>
  <c r="G36" i="1" l="1"/>
  <c r="AG16" i="1"/>
  <c r="AH10" i="1"/>
  <c r="H36" i="1"/>
  <c r="AI16" i="1" s="1"/>
  <c r="AH16" i="1" l="1"/>
  <c r="D47" i="1"/>
  <c r="D48" i="1" s="1"/>
  <c r="E47" i="1"/>
  <c r="E48" i="1" s="1"/>
</calcChain>
</file>

<file path=xl/sharedStrings.xml><?xml version="1.0" encoding="utf-8"?>
<sst xmlns="http://schemas.openxmlformats.org/spreadsheetml/2006/main" count="100" uniqueCount="61">
  <si>
    <t>Dati</t>
  </si>
  <si>
    <t>rv</t>
  </si>
  <si>
    <t>zignoli</t>
  </si>
  <si>
    <t>fig 29.4</t>
  </si>
  <si>
    <t>costruttore</t>
  </si>
  <si>
    <t>m3/kg</t>
  </si>
  <si>
    <t>m/s</t>
  </si>
  <si>
    <t>m3/s</t>
  </si>
  <si>
    <t>m</t>
  </si>
  <si>
    <t>velocità effettiva</t>
  </si>
  <si>
    <t>v</t>
  </si>
  <si>
    <t>s</t>
  </si>
  <si>
    <t>Perdite</t>
  </si>
  <si>
    <t>aria</t>
  </si>
  <si>
    <t>materiale</t>
  </si>
  <si>
    <t>avviamento</t>
  </si>
  <si>
    <t>ingresso</t>
  </si>
  <si>
    <t>attrito</t>
  </si>
  <si>
    <t>dislivello</t>
  </si>
  <si>
    <t>ciclone</t>
  </si>
  <si>
    <t>filtro</t>
  </si>
  <si>
    <t>kg/h</t>
  </si>
  <si>
    <t>Pa</t>
  </si>
  <si>
    <t>accidentali</t>
  </si>
  <si>
    <t>j</t>
  </si>
  <si>
    <t>totale</t>
  </si>
  <si>
    <t>Potenza trasmessa</t>
  </si>
  <si>
    <t>eta v</t>
  </si>
  <si>
    <t>eta el</t>
  </si>
  <si>
    <t>eta m</t>
  </si>
  <si>
    <t>kW</t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</si>
  <si>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</si>
  <si>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γ</t>
    </r>
    <r>
      <rPr>
        <vertAlign val="subscript"/>
        <sz val="12.65"/>
        <color theme="1"/>
        <rFont val="Calibri"/>
        <family val="2"/>
      </rPr>
      <t>m</t>
    </r>
  </si>
  <si>
    <r>
      <t>γ</t>
    </r>
    <r>
      <rPr>
        <vertAlign val="subscript"/>
        <sz val="12.65"/>
        <color theme="1"/>
        <rFont val="Calibri"/>
        <family val="2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</si>
  <si>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min,a</t>
    </r>
  </si>
  <si>
    <r>
      <t>D</t>
    </r>
    <r>
      <rPr>
        <vertAlign val="subscript"/>
        <sz val="11"/>
        <color theme="1"/>
        <rFont val="Calibri"/>
        <family val="2"/>
        <scheme val="minor"/>
      </rPr>
      <t>est</t>
    </r>
  </si>
  <si>
    <r>
      <t>Q</t>
    </r>
    <r>
      <rPr>
        <vertAlign val="subscript"/>
        <sz val="11"/>
        <color theme="1"/>
        <rFont val="Calibri"/>
        <family val="2"/>
        <scheme val="minor"/>
      </rPr>
      <t>a</t>
    </r>
  </si>
  <si>
    <r>
      <t>D</t>
    </r>
    <r>
      <rPr>
        <vertAlign val="subscript"/>
        <sz val="11"/>
        <color theme="1"/>
        <rFont val="Calibri"/>
        <family val="2"/>
        <scheme val="minor"/>
      </rPr>
      <t>th</t>
    </r>
  </si>
  <si>
    <t>DH</t>
  </si>
  <si>
    <r>
      <t>P</t>
    </r>
    <r>
      <rPr>
        <vertAlign val="subscript"/>
        <sz val="11"/>
        <color theme="1"/>
        <rFont val="Calibri"/>
        <family val="2"/>
        <scheme val="minor"/>
      </rPr>
      <t>el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</si>
  <si>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</si>
  <si>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</si>
  <si>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perdite tot</t>
  </si>
  <si>
    <t>Potenze</t>
  </si>
  <si>
    <r>
      <t xml:space="preserve">tan </t>
    </r>
    <r>
      <rPr>
        <sz val="11"/>
        <color theme="1"/>
        <rFont val="Calibri"/>
        <family val="2"/>
      </rPr>
      <t>φ</t>
    </r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</si>
  <si>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</si>
  <si>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r>
      <t>L</t>
    </r>
    <r>
      <rPr>
        <vertAlign val="subscript"/>
        <sz val="11"/>
        <color theme="1"/>
        <rFont val="Calibri"/>
        <family val="2"/>
        <scheme val="minor"/>
      </rPr>
      <t>m</t>
    </r>
  </si>
  <si>
    <t>kg/min</t>
  </si>
  <si>
    <t>kg/s</t>
  </si>
  <si>
    <t>&lt;--- scelte da catalogo</t>
  </si>
  <si>
    <t>tab. 29.XI</t>
  </si>
  <si>
    <t>impianto in pressione</t>
  </si>
  <si>
    <t>conversione unità di misure pressione</t>
  </si>
  <si>
    <t>1 Pa = 1 N/m2</t>
  </si>
  <si>
    <t>1 bar = 100000 Pa</t>
  </si>
  <si>
    <t>1 mmH2O = 9,8 Pa</t>
  </si>
  <si>
    <t>1 kg/m2 = 1 mmH2O</t>
  </si>
  <si>
    <t>impianto in depressione</t>
  </si>
  <si>
    <r>
      <t>ingresso</t>
    </r>
    <r>
      <rPr>
        <b/>
        <sz val="11"/>
        <color rgb="FFFF0000"/>
        <rFont val="Calibri"/>
        <family val="2"/>
        <scheme val="minor"/>
      </rPr>
      <t>**</t>
    </r>
  </si>
  <si>
    <r>
      <t>nota</t>
    </r>
    <r>
      <rPr>
        <b/>
        <sz val="11"/>
        <color rgb="FFFF0000"/>
        <rFont val="Calibri"/>
        <family val="2"/>
        <scheme val="minor"/>
      </rPr>
      <t>**</t>
    </r>
    <r>
      <rPr>
        <b/>
        <sz val="1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coefficienti moltiplicativi perdite per ingresso nel circuito</t>
    </r>
  </si>
  <si>
    <t>valore tab. 29.X moltiplicato per il numero di gomiti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</si>
</sst>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2.65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" fontId="0" fillId="0" borderId="0" xfId="0" applyNumberFormat="1"/>
    <xf numFmtId="0" fontId="6" fillId="0" borderId="0" xfId="0" applyFont="1"/>
    <xf numFmtId="0" fontId="0" fillId="0" borderId="1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2" fontId="0" fillId="2" borderId="7" xfId="0" applyNumberFormat="1" applyFill="1" applyBorder="1"/>
    <xf numFmtId="0" fontId="0" fillId="2" borderId="8" xfId="0" applyFill="1" applyBorder="1"/>
    <xf numFmtId="1" fontId="0" fillId="0" borderId="0" xfId="0" applyNumberFormat="1" applyBorder="1"/>
    <xf numFmtId="0" fontId="0" fillId="0" borderId="6" xfId="0" applyBorder="1"/>
    <xf numFmtId="1" fontId="0" fillId="0" borderId="7" xfId="0" applyNumberFormat="1" applyBorder="1"/>
    <xf numFmtId="2" fontId="0" fillId="0" borderId="7" xfId="0" applyNumberFormat="1" applyBorder="1"/>
    <xf numFmtId="0" fontId="0" fillId="0" borderId="0" xfId="0" applyFont="1"/>
    <xf numFmtId="0" fontId="6" fillId="0" borderId="0" xfId="0" applyFont="1" applyBorder="1"/>
    <xf numFmtId="0" fontId="0" fillId="0" borderId="0" xfId="0" applyFill="1" applyBorder="1"/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Border="1"/>
    <xf numFmtId="2" fontId="0" fillId="3" borderId="0" xfId="0" applyNumberFormat="1" applyFill="1" applyBorder="1"/>
    <xf numFmtId="1" fontId="0" fillId="0" borderId="0" xfId="0" applyNumberFormat="1" applyFill="1" applyBorder="1"/>
    <xf numFmtId="9" fontId="0" fillId="3" borderId="0" xfId="1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Perdite</a:t>
            </a:r>
            <a:r>
              <a:rPr lang="en-US" baseline="0"/>
              <a:t> di carico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Design1!$AF$6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Design1!$AG$6:$AI$6</c:f>
              <c:numCache>
                <c:formatCode>0</c:formatCode>
                <c:ptCount val="3"/>
                <c:pt idx="0">
                  <c:v>620.04599769172125</c:v>
                </c:pt>
                <c:pt idx="1">
                  <c:v>917.34361018660206</c:v>
                </c:pt>
                <c:pt idx="2">
                  <c:v>4988.7818256361661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C-4535-98D5-2D2E36E11745}"/>
            </c:ext>
          </c:extLst>
        </c:ser>
        <c:ser>
          <c:idx val="1"/>
          <c:order val="1"/>
          <c:tx>
            <c:strRef>
              <c:f>Design1!$AF$10</c:f>
              <c:strCache>
                <c:ptCount val="1"/>
                <c:pt idx="0">
                  <c:v>ingresso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Design1!$AG$10:$AI$10</c:f>
              <c:numCache>
                <c:formatCode>0</c:formatCode>
                <c:ptCount val="3"/>
                <c:pt idx="0">
                  <c:v>2263.3846908746746</c:v>
                </c:pt>
                <c:pt idx="1">
                  <c:v>3431.2270860769895</c:v>
                </c:pt>
                <c:pt idx="2">
                  <c:v>15876.659492181549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C-4535-98D5-2D2E36E11745}"/>
            </c:ext>
          </c:extLst>
        </c:ser>
        <c:ser>
          <c:idx val="2"/>
          <c:order val="2"/>
          <c:tx>
            <c:strRef>
              <c:f>Design1!$AF$11</c:f>
              <c:strCache>
                <c:ptCount val="1"/>
                <c:pt idx="0">
                  <c:v>attrito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Design1!$AG$11:$AI$11</c:f>
              <c:numCache>
                <c:formatCode>0</c:formatCode>
                <c:ptCount val="3"/>
                <c:pt idx="0">
                  <c:v>339.12303686237613</c:v>
                </c:pt>
                <c:pt idx="1">
                  <c:v>510.04203329764027</c:v>
                </c:pt>
                <c:pt idx="2">
                  <c:v>3948.0399353004791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C-4535-98D5-2D2E36E11745}"/>
            </c:ext>
          </c:extLst>
        </c:ser>
        <c:ser>
          <c:idx val="3"/>
          <c:order val="3"/>
          <c:tx>
            <c:strRef>
              <c:f>Design1!$AF$12</c:f>
              <c:strCache>
                <c:ptCount val="1"/>
                <c:pt idx="0">
                  <c:v>dislivello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Design1!$AG$12:$AI$12</c:f>
              <c:numCache>
                <c:formatCode>0</c:formatCode>
                <c:ptCount val="3"/>
                <c:pt idx="0">
                  <c:v>26.16</c:v>
                </c:pt>
                <c:pt idx="1">
                  <c:v>17.060869565217391</c:v>
                </c:pt>
                <c:pt idx="2">
                  <c:v>217.99999999999997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C-4535-98D5-2D2E36E11745}"/>
            </c:ext>
          </c:extLst>
        </c:ser>
        <c:ser>
          <c:idx val="4"/>
          <c:order val="4"/>
          <c:tx>
            <c:strRef>
              <c:f>Design1!$AF$13</c:f>
              <c:strCache>
                <c:ptCount val="1"/>
                <c:pt idx="0">
                  <c:v>accidentali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Design1!$AG$13:$AI$13</c:f>
              <c:numCache>
                <c:formatCode>0</c:formatCode>
                <c:ptCount val="3"/>
                <c:pt idx="0">
                  <c:v>992.0735963067541</c:v>
                </c:pt>
                <c:pt idx="1">
                  <c:v>1467.7497762985636</c:v>
                </c:pt>
                <c:pt idx="2">
                  <c:v>7982.050921017867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C-4535-98D5-2D2E36E11745}"/>
            </c:ext>
          </c:extLst>
        </c:ser>
        <c:ser>
          <c:idx val="5"/>
          <c:order val="5"/>
          <c:tx>
            <c:strRef>
              <c:f>Design1!$AF$14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Design1!$AG$14:$AI$14</c:f>
              <c:numCache>
                <c:formatCode>0</c:formatCode>
                <c:ptCount val="3"/>
                <c:pt idx="0">
                  <c:v>4032.4669779951105</c:v>
                </c:pt>
                <c:pt idx="1">
                  <c:v>6791.9625551718309</c:v>
                </c:pt>
                <c:pt idx="2">
                  <c:v>9103.1401527304824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C-4535-98D5-2D2E36E11745}"/>
            </c:ext>
          </c:extLst>
        </c:ser>
        <c:ser>
          <c:idx val="6"/>
          <c:order val="6"/>
          <c:tx>
            <c:strRef>
              <c:f>Design1!$AF$15</c:f>
              <c:strCache>
                <c:ptCount val="1"/>
                <c:pt idx="0">
                  <c:v>filtro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Design1!$AG$15:$AI$15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C-4535-98D5-2D2E36E1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5984"/>
        <c:axId val="62098912"/>
        <c:axId val="0"/>
      </c:bar3DChart>
      <c:catAx>
        <c:axId val="621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098912"/>
        <c:crosses val="autoZero"/>
        <c:auto val="1"/>
        <c:lblAlgn val="ctr"/>
        <c:lblOffset val="100"/>
        <c:noMultiLvlLbl val="0"/>
      </c:catAx>
      <c:valAx>
        <c:axId val="620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54664</xdr:colOff>
      <xdr:row>19</xdr:row>
      <xdr:rowOff>182218</xdr:rowOff>
    </xdr:from>
    <xdr:to>
      <xdr:col>16</xdr:col>
      <xdr:colOff>571499</xdr:colOff>
      <xdr:row>35</xdr:row>
      <xdr:rowOff>101254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F06A9B-E7E1-4E18-A0AD-CEA88E8E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BF7C-F85F-4D3F-BF5C-441A2CA8C12E}">
  <dimension ref="B2:AI54"/>
  <sheetViews>
    <sheetView tabSelected="1" zoomScale="90" zoomScaleNormal="90" workbookViewId="0">
      <selection activeCell="H45" sqref="H45"/>
    </sheetView>
  </sheetViews>
  <sheetFormatPr defaultRowHeight="15" x14ac:dyDescent="0.25"/>
  <cols>
    <col min="1" max="1" width="3" customWidth="1"/>
    <col min="2" max="2" width="17.7109375" bestFit="1" customWidth="1"/>
    <col min="3" max="3" width="10.5703125" bestFit="1" customWidth="1"/>
    <col min="4" max="4" width="10.7109375" customWidth="1"/>
    <col min="5" max="5" width="12.28515625" customWidth="1"/>
    <col min="6" max="6" width="10.7109375" customWidth="1"/>
    <col min="7" max="7" width="10.85546875" customWidth="1"/>
    <col min="8" max="8" width="12.140625" customWidth="1"/>
    <col min="9" max="9" width="12.42578125" customWidth="1"/>
    <col min="13" max="13" width="9.5703125" bestFit="1" customWidth="1"/>
    <col min="14" max="14" width="23" bestFit="1" customWidth="1"/>
    <col min="15" max="15" width="3.140625" customWidth="1"/>
  </cols>
  <sheetData>
    <row r="2" spans="3:35" ht="15.75" thickBot="1" x14ac:dyDescent="0.3"/>
    <row r="3" spans="3:35" x14ac:dyDescent="0.25">
      <c r="C3" s="48" t="s">
        <v>0</v>
      </c>
      <c r="D3" s="49"/>
      <c r="E3" s="50"/>
      <c r="J3" s="40" t="s">
        <v>52</v>
      </c>
      <c r="K3" s="41"/>
      <c r="M3" s="31" t="s">
        <v>59</v>
      </c>
      <c r="N3" s="32"/>
      <c r="O3" s="33"/>
    </row>
    <row r="4" spans="3:35" ht="18.75" x14ac:dyDescent="0.35">
      <c r="C4" s="5" t="s">
        <v>32</v>
      </c>
      <c r="D4" s="60">
        <v>650</v>
      </c>
      <c r="E4" s="7" t="s">
        <v>40</v>
      </c>
      <c r="J4" s="42"/>
      <c r="K4" s="43"/>
      <c r="M4" s="34"/>
      <c r="N4" s="35"/>
      <c r="O4" s="36"/>
    </row>
    <row r="5" spans="3:35" ht="18.75" x14ac:dyDescent="0.35">
      <c r="C5" s="5" t="s">
        <v>33</v>
      </c>
      <c r="D5" s="60">
        <v>1.24</v>
      </c>
      <c r="E5" s="7" t="s">
        <v>40</v>
      </c>
      <c r="J5" s="44" t="s">
        <v>53</v>
      </c>
      <c r="K5" s="45"/>
      <c r="M5" s="37" t="s">
        <v>13</v>
      </c>
      <c r="N5" s="6" t="s">
        <v>57</v>
      </c>
      <c r="O5" s="29">
        <v>3</v>
      </c>
      <c r="AG5" t="s">
        <v>2</v>
      </c>
      <c r="AH5" t="s">
        <v>3</v>
      </c>
      <c r="AI5" t="s">
        <v>4</v>
      </c>
    </row>
    <row r="6" spans="3:35" ht="15" customHeight="1" x14ac:dyDescent="0.25">
      <c r="C6" s="57" t="s">
        <v>31</v>
      </c>
      <c r="D6" s="60">
        <v>2543</v>
      </c>
      <c r="E6" s="7" t="s">
        <v>21</v>
      </c>
      <c r="J6" s="44" t="s">
        <v>54</v>
      </c>
      <c r="K6" s="45"/>
      <c r="M6" s="37"/>
      <c r="N6" s="6" t="s">
        <v>51</v>
      </c>
      <c r="O6" s="29">
        <v>4</v>
      </c>
      <c r="AF6" t="s">
        <v>19</v>
      </c>
      <c r="AG6" s="1">
        <f>C29+F29</f>
        <v>620.04599769172125</v>
      </c>
      <c r="AH6" s="1">
        <f>D29+G29</f>
        <v>917.34361018660206</v>
      </c>
      <c r="AI6" s="1">
        <f>E29+H29</f>
        <v>4988.7818256361661</v>
      </c>
    </row>
    <row r="7" spans="3:35" x14ac:dyDescent="0.25">
      <c r="C7" s="57"/>
      <c r="D7" s="6">
        <f>D6/60</f>
        <v>42.383333333333333</v>
      </c>
      <c r="E7" s="7" t="s">
        <v>47</v>
      </c>
      <c r="G7" s="2"/>
      <c r="J7" s="44" t="s">
        <v>55</v>
      </c>
      <c r="K7" s="45"/>
      <c r="M7" s="37" t="s">
        <v>14</v>
      </c>
      <c r="N7" s="6" t="s">
        <v>57</v>
      </c>
      <c r="O7" s="29">
        <v>3</v>
      </c>
      <c r="AG7" s="1"/>
      <c r="AH7" s="1"/>
      <c r="AI7" s="1"/>
    </row>
    <row r="8" spans="3:35" ht="15.75" thickBot="1" x14ac:dyDescent="0.3">
      <c r="C8" s="57"/>
      <c r="D8" s="6">
        <f>D6/3600</f>
        <v>0.70638888888888884</v>
      </c>
      <c r="E8" s="7" t="s">
        <v>48</v>
      </c>
      <c r="J8" s="46" t="s">
        <v>56</v>
      </c>
      <c r="K8" s="47"/>
      <c r="M8" s="38"/>
      <c r="N8" s="8" t="s">
        <v>51</v>
      </c>
      <c r="O8" s="30">
        <v>2</v>
      </c>
      <c r="AG8" s="1"/>
      <c r="AH8" s="1"/>
      <c r="AI8" s="1"/>
    </row>
    <row r="9" spans="3:35" ht="18" thickBot="1" x14ac:dyDescent="0.3">
      <c r="C9" s="58"/>
      <c r="D9" s="8">
        <f>D8/D4</f>
        <v>1.0867521367521366E-3</v>
      </c>
      <c r="E9" s="9" t="s">
        <v>41</v>
      </c>
      <c r="AG9" s="1"/>
      <c r="AH9" s="1"/>
      <c r="AI9" s="1"/>
    </row>
    <row r="10" spans="3:35" ht="15.75" thickBot="1" x14ac:dyDescent="0.3">
      <c r="AF10" t="s">
        <v>16</v>
      </c>
      <c r="AG10" s="1">
        <f t="shared" ref="AG10:AI16" si="0">C30+F30</f>
        <v>2263.3846908746746</v>
      </c>
      <c r="AH10" s="1">
        <f t="shared" si="0"/>
        <v>3431.2270860769895</v>
      </c>
      <c r="AI10" s="1">
        <f t="shared" si="0"/>
        <v>15876.659492181549</v>
      </c>
    </row>
    <row r="11" spans="3:35" x14ac:dyDescent="0.25">
      <c r="C11" s="3"/>
      <c r="D11" s="10" t="s">
        <v>2</v>
      </c>
      <c r="E11" s="10" t="s">
        <v>3</v>
      </c>
      <c r="F11" s="10" t="s">
        <v>4</v>
      </c>
      <c r="G11" s="4"/>
      <c r="AF11" t="s">
        <v>17</v>
      </c>
      <c r="AG11" s="1">
        <f t="shared" si="0"/>
        <v>339.12303686237613</v>
      </c>
      <c r="AH11" s="1">
        <f t="shared" si="0"/>
        <v>510.04203329764027</v>
      </c>
      <c r="AI11" s="1">
        <f t="shared" si="0"/>
        <v>3948.0399353004791</v>
      </c>
    </row>
    <row r="12" spans="3:35" x14ac:dyDescent="0.25">
      <c r="C12" s="11" t="s">
        <v>1</v>
      </c>
      <c r="D12" s="61">
        <v>1.5</v>
      </c>
      <c r="E12" s="61">
        <v>2.2999999999999998</v>
      </c>
      <c r="F12" s="61">
        <v>0.18</v>
      </c>
      <c r="G12" s="7" t="s">
        <v>5</v>
      </c>
      <c r="AF12" t="s">
        <v>18</v>
      </c>
      <c r="AG12" s="1">
        <f t="shared" si="0"/>
        <v>26.16</v>
      </c>
      <c r="AH12" s="1">
        <f t="shared" si="0"/>
        <v>17.060869565217391</v>
      </c>
      <c r="AI12" s="1">
        <f t="shared" si="0"/>
        <v>217.99999999999997</v>
      </c>
    </row>
    <row r="13" spans="3:35" ht="18" x14ac:dyDescent="0.35">
      <c r="C13" s="11" t="s">
        <v>34</v>
      </c>
      <c r="D13" s="12">
        <f>0.9*D4^0.5</f>
        <v>22.945587811167531</v>
      </c>
      <c r="E13" s="12">
        <v>29.7</v>
      </c>
      <c r="F13" s="12">
        <v>28</v>
      </c>
      <c r="G13" s="7" t="s">
        <v>6</v>
      </c>
      <c r="AF13" t="s">
        <v>23</v>
      </c>
      <c r="AG13" s="1">
        <f t="shared" si="0"/>
        <v>992.0735963067541</v>
      </c>
      <c r="AH13" s="1">
        <f t="shared" si="0"/>
        <v>1467.7497762985636</v>
      </c>
      <c r="AI13" s="1">
        <f t="shared" si="0"/>
        <v>7982.050921017867</v>
      </c>
    </row>
    <row r="14" spans="3:35" ht="18" x14ac:dyDescent="0.35">
      <c r="C14" s="11" t="s">
        <v>36</v>
      </c>
      <c r="D14" s="12">
        <f>D12*$D$6/3600</f>
        <v>1.0595833333333333</v>
      </c>
      <c r="E14" s="12">
        <f>E12*$D$6/3600</f>
        <v>1.6246944444444444</v>
      </c>
      <c r="F14" s="12">
        <f>F12*$D$6/3600</f>
        <v>0.12715000000000001</v>
      </c>
      <c r="G14" s="7" t="s">
        <v>7</v>
      </c>
      <c r="AF14" t="s">
        <v>19</v>
      </c>
      <c r="AG14" s="1">
        <f t="shared" si="0"/>
        <v>4032.4669779951105</v>
      </c>
      <c r="AH14" s="1">
        <f t="shared" si="0"/>
        <v>6791.9625551718309</v>
      </c>
      <c r="AI14" s="1">
        <f t="shared" si="0"/>
        <v>9103.1401527304824</v>
      </c>
    </row>
    <row r="15" spans="3:35" ht="18" x14ac:dyDescent="0.35">
      <c r="C15" s="11" t="s">
        <v>37</v>
      </c>
      <c r="D15" s="13">
        <f>(4*D14/(PI()*D13))^0.5</f>
        <v>0.24247838157685256</v>
      </c>
      <c r="E15" s="13">
        <v>0.26</v>
      </c>
      <c r="F15" s="13">
        <f t="shared" ref="F15" si="1">(4*F14/(PI()*F13))^0.5</f>
        <v>7.6038619913331815E-2</v>
      </c>
      <c r="G15" s="7" t="s">
        <v>8</v>
      </c>
      <c r="AF15" t="s">
        <v>20</v>
      </c>
      <c r="AG15" s="1">
        <f t="shared" si="0"/>
        <v>2000</v>
      </c>
      <c r="AH15" s="1">
        <f t="shared" si="0"/>
        <v>2001</v>
      </c>
      <c r="AI15" s="1">
        <f t="shared" si="0"/>
        <v>2002</v>
      </c>
    </row>
    <row r="16" spans="3:35" ht="18" x14ac:dyDescent="0.35">
      <c r="C16" s="14" t="s">
        <v>35</v>
      </c>
      <c r="D16" s="60">
        <v>0.24</v>
      </c>
      <c r="E16" s="60">
        <v>0.26</v>
      </c>
      <c r="F16" s="60">
        <v>7.4999999999999997E-2</v>
      </c>
      <c r="G16" s="15" t="s">
        <v>8</v>
      </c>
      <c r="H16" s="37" t="s">
        <v>49</v>
      </c>
      <c r="I16" s="59"/>
      <c r="AF16" t="s">
        <v>25</v>
      </c>
      <c r="AG16" s="1">
        <f t="shared" si="0"/>
        <v>10273.254299730637</v>
      </c>
      <c r="AH16" s="1">
        <f t="shared" si="0"/>
        <v>15136.385930596844</v>
      </c>
      <c r="AI16" s="1">
        <f t="shared" si="0"/>
        <v>44118.672326866545</v>
      </c>
    </row>
    <row r="17" spans="2:9" x14ac:dyDescent="0.25">
      <c r="C17" s="14" t="s">
        <v>11</v>
      </c>
      <c r="D17" s="60">
        <v>5.0000000000000001E-3</v>
      </c>
      <c r="E17" s="60">
        <v>5.0000000000000001E-3</v>
      </c>
      <c r="F17" s="60">
        <v>5.0000000000000001E-3</v>
      </c>
      <c r="G17" s="15" t="s">
        <v>8</v>
      </c>
      <c r="H17" s="37"/>
      <c r="I17" s="59"/>
    </row>
    <row r="18" spans="2:9" ht="15.75" thickBot="1" x14ac:dyDescent="0.3">
      <c r="C18" s="16" t="s">
        <v>10</v>
      </c>
      <c r="D18" s="17">
        <f>4*D14/(PI()*(D16-2*D17)^2)</f>
        <v>25.502899828776936</v>
      </c>
      <c r="E18" s="17">
        <f t="shared" ref="E18:F18" si="2">4*E14/(PI()*(E16-2*E17)^2)</f>
        <v>33.09800343645108</v>
      </c>
      <c r="F18" s="17">
        <f t="shared" si="2"/>
        <v>38.317729730905548</v>
      </c>
      <c r="G18" s="18" t="s">
        <v>6</v>
      </c>
      <c r="H18" s="56" t="s">
        <v>9</v>
      </c>
      <c r="I18" s="56"/>
    </row>
    <row r="19" spans="2:9" ht="15.75" thickBot="1" x14ac:dyDescent="0.3"/>
    <row r="20" spans="2:9" x14ac:dyDescent="0.25">
      <c r="B20" s="51" t="s">
        <v>12</v>
      </c>
      <c r="C20" s="52"/>
      <c r="D20" s="52"/>
      <c r="E20" s="52"/>
      <c r="F20" s="52"/>
      <c r="G20" s="52"/>
      <c r="H20" s="52"/>
      <c r="I20" s="53"/>
    </row>
    <row r="21" spans="2:9" ht="18" x14ac:dyDescent="0.35">
      <c r="B21" s="11"/>
      <c r="C21" s="6" t="s">
        <v>45</v>
      </c>
      <c r="D21" s="60">
        <v>8</v>
      </c>
      <c r="E21" s="6" t="s">
        <v>13</v>
      </c>
      <c r="F21" s="6"/>
      <c r="G21" s="6"/>
      <c r="H21" s="6"/>
      <c r="I21" s="7"/>
    </row>
    <row r="22" spans="2:9" ht="18" x14ac:dyDescent="0.35">
      <c r="B22" s="11"/>
      <c r="C22" s="6" t="s">
        <v>46</v>
      </c>
      <c r="D22" s="60">
        <v>4</v>
      </c>
      <c r="E22" s="6" t="s">
        <v>14</v>
      </c>
      <c r="F22" s="24"/>
      <c r="G22" s="6"/>
      <c r="H22" s="6"/>
      <c r="I22" s="7"/>
    </row>
    <row r="23" spans="2:9" x14ac:dyDescent="0.25">
      <c r="B23" s="11"/>
      <c r="C23" s="6" t="s">
        <v>38</v>
      </c>
      <c r="D23" s="60">
        <v>4</v>
      </c>
      <c r="E23" s="6" t="s">
        <v>18</v>
      </c>
      <c r="F23" s="6"/>
      <c r="G23" s="6"/>
      <c r="H23" s="6"/>
      <c r="I23" s="7"/>
    </row>
    <row r="24" spans="2:9" x14ac:dyDescent="0.25">
      <c r="B24" s="11"/>
      <c r="C24" s="6" t="s">
        <v>44</v>
      </c>
      <c r="D24" s="60">
        <v>0.55000000000000004</v>
      </c>
      <c r="E24" s="25" t="s">
        <v>50</v>
      </c>
      <c r="F24" s="6"/>
      <c r="G24" s="6"/>
      <c r="H24" s="6"/>
      <c r="I24" s="7"/>
    </row>
    <row r="25" spans="2:9" x14ac:dyDescent="0.25">
      <c r="B25" s="11"/>
      <c r="C25" s="6" t="s">
        <v>24</v>
      </c>
      <c r="D25" s="60">
        <v>1.6</v>
      </c>
      <c r="E25" s="39" t="s">
        <v>60</v>
      </c>
      <c r="F25" s="39"/>
      <c r="G25" s="39"/>
      <c r="H25" s="39"/>
      <c r="I25" s="7"/>
    </row>
    <row r="26" spans="2:9" x14ac:dyDescent="0.25">
      <c r="B26" s="11"/>
      <c r="C26" s="6"/>
      <c r="D26" s="6"/>
      <c r="E26" s="6"/>
      <c r="F26" s="6"/>
      <c r="G26" s="6"/>
      <c r="H26" s="6"/>
      <c r="I26" s="7"/>
    </row>
    <row r="27" spans="2:9" x14ac:dyDescent="0.25">
      <c r="B27" s="11"/>
      <c r="C27" s="39" t="s">
        <v>13</v>
      </c>
      <c r="D27" s="39"/>
      <c r="E27" s="39"/>
      <c r="F27" s="54" t="s">
        <v>14</v>
      </c>
      <c r="G27" s="55"/>
      <c r="H27" s="55"/>
      <c r="I27" s="7"/>
    </row>
    <row r="28" spans="2:9" x14ac:dyDescent="0.25">
      <c r="B28" s="11"/>
      <c r="C28" s="6" t="s">
        <v>2</v>
      </c>
      <c r="D28" s="6" t="s">
        <v>3</v>
      </c>
      <c r="E28" s="6" t="s">
        <v>4</v>
      </c>
      <c r="F28" s="26" t="s">
        <v>2</v>
      </c>
      <c r="G28" s="6" t="s">
        <v>3</v>
      </c>
      <c r="H28" s="6" t="s">
        <v>4</v>
      </c>
      <c r="I28" s="7"/>
    </row>
    <row r="29" spans="2:9" x14ac:dyDescent="0.25">
      <c r="B29" s="11" t="s">
        <v>15</v>
      </c>
      <c r="C29" s="19">
        <f>$D$5*D18^2/2</f>
        <v>403.24669779951103</v>
      </c>
      <c r="D29" s="19">
        <f t="shared" ref="D29:E29" si="3">$D$5*E18^2/2</f>
        <v>679.19625551718309</v>
      </c>
      <c r="E29" s="19">
        <f t="shared" si="3"/>
        <v>910.3140152730482</v>
      </c>
      <c r="F29" s="27">
        <f>$D$6/3600/D14*D18^2/2</f>
        <v>216.79929989221023</v>
      </c>
      <c r="G29" s="19">
        <f t="shared" ref="G29:H29" si="4">$D$6/3600/E14*E18^2/2</f>
        <v>238.14735466941903</v>
      </c>
      <c r="H29" s="19">
        <f t="shared" si="4"/>
        <v>4078.4678103631181</v>
      </c>
      <c r="I29" s="7" t="s">
        <v>22</v>
      </c>
    </row>
    <row r="30" spans="2:9" x14ac:dyDescent="0.25">
      <c r="B30" s="11" t="s">
        <v>58</v>
      </c>
      <c r="C30" s="19">
        <f>4*C29</f>
        <v>1612.9867911980441</v>
      </c>
      <c r="D30" s="19">
        <f t="shared" ref="D30:E30" si="5">4*D29</f>
        <v>2716.7850220687324</v>
      </c>
      <c r="E30" s="19">
        <f t="shared" si="5"/>
        <v>3641.2560610921928</v>
      </c>
      <c r="F30" s="27">
        <f>3*F29</f>
        <v>650.39789967663069</v>
      </c>
      <c r="G30" s="19">
        <f t="shared" ref="G30:H30" si="6">3*G29</f>
        <v>714.44206400825715</v>
      </c>
      <c r="H30" s="19">
        <f t="shared" si="6"/>
        <v>12235.403431089355</v>
      </c>
      <c r="I30" s="7" t="s">
        <v>22</v>
      </c>
    </row>
    <row r="31" spans="2:9" x14ac:dyDescent="0.25">
      <c r="B31" s="11" t="s">
        <v>17</v>
      </c>
      <c r="C31" s="19">
        <f>0.000812*$D$5^0.85*D18^2/(D16-2*D17)^1.3*$D$21*9.81</f>
        <v>336.24543686237615</v>
      </c>
      <c r="D31" s="19">
        <f t="shared" ref="D31:E31" si="7">0.000812*$D$5^0.85*E18^2/(E16-2*E17)^1.3*$D$21*9.81</f>
        <v>508.16533764546637</v>
      </c>
      <c r="E31" s="19">
        <f t="shared" si="7"/>
        <v>3924.0599353004791</v>
      </c>
      <c r="F31" s="27">
        <f>0.2*$D$24*$D$6/3600/D14*$D$22*9.81</f>
        <v>2.8776000000000006</v>
      </c>
      <c r="G31" s="19">
        <f t="shared" ref="G31:H31" si="8">0.2*$D$24*$D$6/3600/E14*$D$22*9.81</f>
        <v>1.8766956521739135</v>
      </c>
      <c r="H31" s="19">
        <f t="shared" si="8"/>
        <v>23.980000000000004</v>
      </c>
      <c r="I31" s="7" t="s">
        <v>22</v>
      </c>
    </row>
    <row r="32" spans="2:9" x14ac:dyDescent="0.25">
      <c r="B32" s="11" t="s">
        <v>18</v>
      </c>
      <c r="C32" s="62">
        <v>0</v>
      </c>
      <c r="D32" s="19">
        <v>0</v>
      </c>
      <c r="E32" s="19">
        <v>0</v>
      </c>
      <c r="F32" s="27">
        <f>$D$6/3600/D14*$D$23*9.81</f>
        <v>26.16</v>
      </c>
      <c r="G32" s="19">
        <f>$D$6/3600/E14*$D$23*9.81</f>
        <v>17.060869565217391</v>
      </c>
      <c r="H32" s="19">
        <f>$D$6/3600/F14*$D$23*9.81</f>
        <v>217.99999999999997</v>
      </c>
      <c r="I32" s="7" t="s">
        <v>22</v>
      </c>
    </row>
    <row r="33" spans="2:9" x14ac:dyDescent="0.25">
      <c r="B33" s="11" t="s">
        <v>23</v>
      </c>
      <c r="C33" s="19">
        <f>$D$25*$D$5*D18^2/2</f>
        <v>645.19471647921762</v>
      </c>
      <c r="D33" s="19">
        <f t="shared" ref="D33:E33" si="9">$D$25*$D$5*E18^2/2</f>
        <v>1086.714008827493</v>
      </c>
      <c r="E33" s="19">
        <f t="shared" si="9"/>
        <v>1456.5024244368772</v>
      </c>
      <c r="F33" s="27">
        <f>C33*$D$6/(3600*$D$5*D14)</f>
        <v>346.87887982753642</v>
      </c>
      <c r="G33" s="19">
        <f t="shared" ref="G33:H33" si="10">D33*$D$6/(3600*$D$5*E14)</f>
        <v>381.03576747107047</v>
      </c>
      <c r="H33" s="19">
        <f t="shared" si="10"/>
        <v>6525.5484965809901</v>
      </c>
      <c r="I33" s="7" t="s">
        <v>22</v>
      </c>
    </row>
    <row r="34" spans="2:9" x14ac:dyDescent="0.25">
      <c r="B34" s="11" t="s">
        <v>19</v>
      </c>
      <c r="C34" s="19">
        <f>10*$D$5*D18^2/2</f>
        <v>4032.4669779951105</v>
      </c>
      <c r="D34" s="19">
        <f t="shared" ref="D34:E34" si="11">10*$D$5*E18^2/2</f>
        <v>6791.9625551718309</v>
      </c>
      <c r="E34" s="19">
        <f t="shared" si="11"/>
        <v>9103.1401527304824</v>
      </c>
      <c r="F34" s="27">
        <v>0</v>
      </c>
      <c r="G34" s="19">
        <v>0</v>
      </c>
      <c r="H34" s="19">
        <v>0</v>
      </c>
      <c r="I34" s="7" t="s">
        <v>22</v>
      </c>
    </row>
    <row r="35" spans="2:9" x14ac:dyDescent="0.25">
      <c r="B35" s="11" t="s">
        <v>20</v>
      </c>
      <c r="C35" s="6">
        <v>2000</v>
      </c>
      <c r="D35" s="6">
        <v>2001</v>
      </c>
      <c r="E35" s="6">
        <v>2002</v>
      </c>
      <c r="F35" s="26">
        <v>0</v>
      </c>
      <c r="G35" s="6">
        <v>0</v>
      </c>
      <c r="H35" s="6">
        <v>0</v>
      </c>
      <c r="I35" s="7" t="s">
        <v>22</v>
      </c>
    </row>
    <row r="36" spans="2:9" ht="15.75" thickBot="1" x14ac:dyDescent="0.3">
      <c r="B36" s="20" t="s">
        <v>25</v>
      </c>
      <c r="C36" s="21">
        <f>SUM(C29:C35)</f>
        <v>9030.1406203342594</v>
      </c>
      <c r="D36" s="21">
        <f t="shared" ref="D36:E36" si="12">SUM(D29:D35)</f>
        <v>13783.823179230705</v>
      </c>
      <c r="E36" s="21">
        <f t="shared" si="12"/>
        <v>21037.272588833082</v>
      </c>
      <c r="F36" s="28">
        <f>SUM(F29:F35)</f>
        <v>1243.1136793963774</v>
      </c>
      <c r="G36" s="21">
        <f t="shared" ref="G36:H36" si="13">SUM(G29:G35)</f>
        <v>1352.5627513661379</v>
      </c>
      <c r="H36" s="21">
        <f t="shared" si="13"/>
        <v>23081.399738033462</v>
      </c>
      <c r="I36" s="9" t="s">
        <v>22</v>
      </c>
    </row>
    <row r="37" spans="2:9" ht="15.75" thickBot="1" x14ac:dyDescent="0.3"/>
    <row r="38" spans="2:9" x14ac:dyDescent="0.25">
      <c r="C38" s="3"/>
      <c r="D38" s="10" t="s">
        <v>2</v>
      </c>
      <c r="E38" s="10" t="s">
        <v>3</v>
      </c>
      <c r="F38" s="10" t="s">
        <v>4</v>
      </c>
      <c r="G38" s="4"/>
    </row>
    <row r="39" spans="2:9" ht="15.75" thickBot="1" x14ac:dyDescent="0.3">
      <c r="C39" s="20" t="s">
        <v>42</v>
      </c>
      <c r="D39" s="21">
        <f>C36+F36</f>
        <v>10273.254299730637</v>
      </c>
      <c r="E39" s="21">
        <f>D36+G36</f>
        <v>15136.385930596844</v>
      </c>
      <c r="F39" s="21">
        <f>E36+H36</f>
        <v>44118.672326866545</v>
      </c>
      <c r="G39" s="9" t="s">
        <v>22</v>
      </c>
    </row>
    <row r="42" spans="2:9" ht="15.75" thickBot="1" x14ac:dyDescent="0.3">
      <c r="H42" s="23"/>
    </row>
    <row r="43" spans="2:9" x14ac:dyDescent="0.25">
      <c r="B43" s="48" t="s">
        <v>43</v>
      </c>
      <c r="C43" s="49"/>
      <c r="D43" s="49"/>
      <c r="E43" s="49"/>
      <c r="F43" s="50"/>
    </row>
    <row r="44" spans="2:9" x14ac:dyDescent="0.25">
      <c r="B44" s="11" t="s">
        <v>27</v>
      </c>
      <c r="C44" s="63">
        <v>0.76</v>
      </c>
      <c r="D44" s="6"/>
      <c r="E44" s="6"/>
      <c r="F44" s="7"/>
    </row>
    <row r="45" spans="2:9" x14ac:dyDescent="0.25">
      <c r="B45" s="11" t="s">
        <v>28</v>
      </c>
      <c r="C45" s="63">
        <v>0.9</v>
      </c>
      <c r="D45" s="6"/>
      <c r="E45" s="6"/>
      <c r="F45" s="7"/>
    </row>
    <row r="46" spans="2:9" x14ac:dyDescent="0.25">
      <c r="B46" s="11" t="s">
        <v>29</v>
      </c>
      <c r="C46" s="63">
        <v>0.8</v>
      </c>
      <c r="D46" s="6"/>
      <c r="E46" s="6"/>
      <c r="F46" s="7"/>
    </row>
    <row r="47" spans="2:9" x14ac:dyDescent="0.25">
      <c r="B47" s="11" t="s">
        <v>26</v>
      </c>
      <c r="C47" s="12">
        <f>D39*D14*0.001</f>
        <v>10.885369035089587</v>
      </c>
      <c r="D47" s="12">
        <f>E39*E14*0.001</f>
        <v>24.592002130407746</v>
      </c>
      <c r="E47" s="12">
        <f>F39*F14*0.001</f>
        <v>5.6096891863610816</v>
      </c>
      <c r="F47" s="7" t="s">
        <v>30</v>
      </c>
    </row>
    <row r="48" spans="2:9" ht="18.75" thickBot="1" x14ac:dyDescent="0.4">
      <c r="B48" s="20" t="s">
        <v>39</v>
      </c>
      <c r="C48" s="22">
        <f>C47/($C$44*$C$45*$C$46)</f>
        <v>19.892852768804069</v>
      </c>
      <c r="D48" s="22">
        <f t="shared" ref="D48:E48" si="14">D47/($C$44*$C$45*$C$46)</f>
        <v>44.941524361125268</v>
      </c>
      <c r="E48" s="22">
        <f t="shared" si="14"/>
        <v>10.251624975075076</v>
      </c>
      <c r="F48" s="9" t="s">
        <v>30</v>
      </c>
    </row>
    <row r="54" spans="3:5" x14ac:dyDescent="0.25">
      <c r="C54" s="1"/>
      <c r="D54" s="1"/>
      <c r="E54" s="1"/>
    </row>
  </sheetData>
  <mergeCells count="17">
    <mergeCell ref="B43:F43"/>
    <mergeCell ref="C27:E27"/>
    <mergeCell ref="F27:H27"/>
    <mergeCell ref="H18:I18"/>
    <mergeCell ref="C6:C9"/>
    <mergeCell ref="H16:I17"/>
    <mergeCell ref="M3:O4"/>
    <mergeCell ref="M5:M6"/>
    <mergeCell ref="M7:M8"/>
    <mergeCell ref="E25:H25"/>
    <mergeCell ref="J3:K4"/>
    <mergeCell ref="J5:K5"/>
    <mergeCell ref="J6:K6"/>
    <mergeCell ref="J7:K7"/>
    <mergeCell ref="J8:K8"/>
    <mergeCell ref="C3:E3"/>
    <mergeCell ref="B20:I20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Design1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2021-02-11T07:59:42Z</dcterms:created>
  <dcterms:modified xsi:type="dcterms:W3CDTF">2021-02-14T09:46:30Z</dcterms:modified>
</cp:coreProperties>
</file>