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na\Desktop\git\ImpiantiMeccanici\FogliCalcolo\AntiIncendio\"/>
    </mc:Choice>
  </mc:AlternateContent>
  <xr:revisionPtr revIDLastSave="0" documentId="13_ncr:1_{BC81D753-5605-4AB9-B1DE-46FD2DB70841}" xr6:coauthVersionLast="46" xr6:coauthVersionMax="46" xr10:uidLastSave="{00000000-0000-0000-0000-000000000000}"/>
  <bookViews>
    <workbookView xWindow="-120" yWindow="-120" windowWidth="29040" windowHeight="15840" xr2:uid="{814501E0-9C7E-4A9C-BA68-550DD9DF652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" l="1"/>
  <c r="M15" i="1"/>
  <c r="I33" i="1"/>
  <c r="I29" i="1"/>
  <c r="I26" i="1"/>
  <c r="I21" i="1"/>
  <c r="I17" i="1"/>
  <c r="I14" i="1"/>
  <c r="I15" i="1"/>
  <c r="I13" i="1"/>
  <c r="F13" i="1"/>
  <c r="E13" i="1"/>
  <c r="D13" i="1"/>
  <c r="C9" i="1"/>
  <c r="C5" i="1"/>
  <c r="G5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C6" i="1"/>
  <c r="C40" i="1" l="1"/>
  <c r="D40" i="1" s="1"/>
  <c r="C14" i="1"/>
  <c r="D14" i="1" s="1"/>
  <c r="E14" i="1" s="1"/>
  <c r="F14" i="1" s="1"/>
  <c r="C37" i="1"/>
  <c r="D37" i="1" s="1"/>
  <c r="C21" i="1"/>
  <c r="D21" i="1" s="1"/>
  <c r="C20" i="1"/>
  <c r="D20" i="1" s="1"/>
  <c r="C36" i="1"/>
  <c r="D36" i="1" s="1"/>
  <c r="C35" i="1"/>
  <c r="D35" i="1" s="1"/>
  <c r="C19" i="1"/>
  <c r="D19" i="1" s="1"/>
  <c r="C34" i="1"/>
  <c r="D34" i="1" s="1"/>
  <c r="E34" i="1" s="1"/>
  <c r="F34" i="1" s="1"/>
  <c r="C29" i="1"/>
  <c r="D29" i="1" s="1"/>
  <c r="C28" i="1"/>
  <c r="D28" i="1" s="1"/>
  <c r="C27" i="1"/>
  <c r="D27" i="1" s="1"/>
  <c r="C26" i="1"/>
  <c r="D26" i="1" s="1"/>
  <c r="C18" i="1"/>
  <c r="D18" i="1" s="1"/>
  <c r="C10" i="1"/>
  <c r="C33" i="1"/>
  <c r="D33" i="1" s="1"/>
  <c r="C25" i="1"/>
  <c r="D25" i="1" s="1"/>
  <c r="C17" i="1"/>
  <c r="D17" i="1" s="1"/>
  <c r="C13" i="1"/>
  <c r="C32" i="1"/>
  <c r="D32" i="1" s="1"/>
  <c r="C24" i="1"/>
  <c r="D24" i="1" s="1"/>
  <c r="C16" i="1"/>
  <c r="D16" i="1" s="1"/>
  <c r="C39" i="1"/>
  <c r="D39" i="1" s="1"/>
  <c r="C31" i="1"/>
  <c r="D31" i="1" s="1"/>
  <c r="C23" i="1"/>
  <c r="D23" i="1" s="1"/>
  <c r="C15" i="1"/>
  <c r="D15" i="1" s="1"/>
  <c r="C38" i="1"/>
  <c r="D38" i="1" s="1"/>
  <c r="C30" i="1"/>
  <c r="D30" i="1" s="1"/>
  <c r="C22" i="1"/>
  <c r="D22" i="1" s="1"/>
  <c r="E40" i="1" l="1"/>
  <c r="F40" i="1" s="1"/>
  <c r="E39" i="1"/>
  <c r="F39" i="1" s="1"/>
  <c r="E16" i="1"/>
  <c r="F16" i="1" s="1"/>
  <c r="E18" i="1"/>
  <c r="F18" i="1" s="1"/>
  <c r="E36" i="1"/>
  <c r="F36" i="1" s="1"/>
  <c r="E22" i="1"/>
  <c r="F22" i="1" s="1"/>
  <c r="E24" i="1"/>
  <c r="F24" i="1" s="1"/>
  <c r="E26" i="1"/>
  <c r="F26" i="1" s="1"/>
  <c r="E20" i="1"/>
  <c r="F20" i="1" s="1"/>
  <c r="E30" i="1"/>
  <c r="F30" i="1" s="1"/>
  <c r="E32" i="1"/>
  <c r="F32" i="1" s="1"/>
  <c r="E38" i="1"/>
  <c r="F38" i="1" s="1"/>
  <c r="E28" i="1"/>
  <c r="F28" i="1" s="1"/>
  <c r="E37" i="1"/>
  <c r="F37" i="1" s="1"/>
  <c r="E27" i="1"/>
  <c r="F27" i="1" s="1"/>
  <c r="E15" i="1"/>
  <c r="F15" i="1" s="1"/>
  <c r="E17" i="1"/>
  <c r="F17" i="1" s="1"/>
  <c r="E29" i="1"/>
  <c r="F29" i="1" s="1"/>
  <c r="E35" i="1"/>
  <c r="F35" i="1" s="1"/>
  <c r="E21" i="1"/>
  <c r="F21" i="1" s="1"/>
  <c r="E23" i="1"/>
  <c r="F23" i="1" s="1"/>
  <c r="E25" i="1"/>
  <c r="F25" i="1" s="1"/>
  <c r="E31" i="1"/>
  <c r="F31" i="1" s="1"/>
  <c r="E33" i="1"/>
  <c r="F33" i="1" s="1"/>
  <c r="E19" i="1"/>
  <c r="F19" i="1" s="1"/>
</calcChain>
</file>

<file path=xl/sharedStrings.xml><?xml version="1.0" encoding="utf-8"?>
<sst xmlns="http://schemas.openxmlformats.org/spreadsheetml/2006/main" count="108" uniqueCount="74">
  <si>
    <t>Dati sprinkler</t>
  </si>
  <si>
    <t>R</t>
  </si>
  <si>
    <t>r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</si>
  <si>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</si>
  <si>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r>
      <t>L</t>
    </r>
    <r>
      <rPr>
        <vertAlign val="subscript"/>
        <sz val="11"/>
        <color theme="1"/>
        <rFont val="Calibri"/>
        <family val="2"/>
        <scheme val="minor"/>
      </rPr>
      <t>L</t>
    </r>
  </si>
  <si>
    <t>aspect ratio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</si>
  <si>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</si>
  <si>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m</t>
  </si>
  <si>
    <r>
      <t>Area totale coperta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</si>
  <si>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scelta</t>
  </si>
  <si>
    <t>Dati fabbricato</t>
  </si>
  <si>
    <t>As/At %</t>
  </si>
  <si>
    <r>
      <t>N</t>
    </r>
    <r>
      <rPr>
        <vertAlign val="subscript"/>
        <sz val="11"/>
        <color theme="1"/>
        <rFont val="Calibri"/>
        <family val="2"/>
        <scheme val="minor"/>
      </rPr>
      <t>min</t>
    </r>
  </si>
  <si>
    <r>
      <t>A</t>
    </r>
    <r>
      <rPr>
        <vertAlign val="subscript"/>
        <sz val="11"/>
        <color theme="1"/>
        <rFont val="Calibri"/>
        <family val="2"/>
        <scheme val="minor"/>
      </rPr>
      <t>i</t>
    </r>
  </si>
  <si>
    <r>
      <t>A</t>
    </r>
    <r>
      <rPr>
        <vertAlign val="subscript"/>
        <sz val="11"/>
        <color theme="1"/>
        <rFont val="Calibri"/>
        <family val="2"/>
        <scheme val="minor"/>
      </rPr>
      <t>s</t>
    </r>
  </si>
  <si>
    <t>Lunghezza lato lungo</t>
  </si>
  <si>
    <t>Lunghezza lato corto</t>
  </si>
  <si>
    <t>Aspect ratio pianta</t>
  </si>
  <si>
    <t>Area impianto</t>
  </si>
  <si>
    <t>Area coperta dallo sprinkler</t>
  </si>
  <si>
    <t>p</t>
  </si>
  <si>
    <t>psi</t>
  </si>
  <si>
    <t>bar</t>
  </si>
  <si>
    <t>K</t>
  </si>
  <si>
    <t>l/min</t>
  </si>
  <si>
    <t>f</t>
  </si>
  <si>
    <t>Fattore di contemporaneità</t>
  </si>
  <si>
    <t>m3/s</t>
  </si>
  <si>
    <t>v</t>
  </si>
  <si>
    <t>m/s</t>
  </si>
  <si>
    <t>s</t>
  </si>
  <si>
    <r>
      <t>D</t>
    </r>
    <r>
      <rPr>
        <vertAlign val="subscript"/>
        <sz val="11"/>
        <color theme="1"/>
        <rFont val="Calibri"/>
        <family val="2"/>
        <scheme val="minor"/>
      </rPr>
      <t>th</t>
    </r>
  </si>
  <si>
    <r>
      <t>D</t>
    </r>
    <r>
      <rPr>
        <vertAlign val="subscript"/>
        <sz val="11"/>
        <color theme="1"/>
        <rFont val="Calibri"/>
        <family val="2"/>
        <scheme val="minor"/>
      </rPr>
      <t>est</t>
    </r>
  </si>
  <si>
    <t>veff</t>
  </si>
  <si>
    <t>J</t>
  </si>
  <si>
    <t>L</t>
  </si>
  <si>
    <t>m/km</t>
  </si>
  <si>
    <t>Le</t>
  </si>
  <si>
    <t>Hp</t>
  </si>
  <si>
    <t>Pompa</t>
  </si>
  <si>
    <t>H</t>
  </si>
  <si>
    <t>eta v</t>
  </si>
  <si>
    <t>eta m</t>
  </si>
  <si>
    <t>eta el</t>
  </si>
  <si>
    <t>P</t>
  </si>
  <si>
    <t>Serbatoio di accumulo</t>
  </si>
  <si>
    <t>t</t>
  </si>
  <si>
    <t>ks</t>
  </si>
  <si>
    <t>min</t>
  </si>
  <si>
    <t>Coefficiente di sicurezza</t>
  </si>
  <si>
    <t>Durata servizio sprinkler</t>
  </si>
  <si>
    <t>Massimo dislivello impianto</t>
  </si>
  <si>
    <t>Coefficiente di erogazione</t>
  </si>
  <si>
    <t>Cadente piezometrica</t>
  </si>
  <si>
    <t>kW</t>
  </si>
  <si>
    <t>NPSHr</t>
  </si>
  <si>
    <t>Perdite all'aspirazione</t>
  </si>
  <si>
    <r>
      <t>H</t>
    </r>
    <r>
      <rPr>
        <vertAlign val="subscript"/>
        <sz val="11"/>
        <color theme="1"/>
        <rFont val="Calibri"/>
        <family val="2"/>
        <scheme val="minor"/>
      </rPr>
      <t>pa</t>
    </r>
  </si>
  <si>
    <r>
      <t>H</t>
    </r>
    <r>
      <rPr>
        <vertAlign val="subscript"/>
        <sz val="11"/>
        <color theme="1"/>
        <rFont val="Calibri"/>
        <family val="2"/>
        <scheme val="minor"/>
      </rPr>
      <t>v</t>
    </r>
  </si>
  <si>
    <r>
      <t>H</t>
    </r>
    <r>
      <rPr>
        <vertAlign val="subscript"/>
        <sz val="11"/>
        <color theme="1"/>
        <rFont val="Calibri"/>
        <family val="2"/>
        <scheme val="minor"/>
      </rPr>
      <t>g,max</t>
    </r>
  </si>
  <si>
    <t>*L'altezza massima di installazione è di 3.2 m dal livello dell'acqua Fonte: side 100 UniPi</t>
  </si>
  <si>
    <r>
      <t>Q</t>
    </r>
    <r>
      <rPr>
        <vertAlign val="subscript"/>
        <sz val="11"/>
        <color theme="1"/>
        <rFont val="Calibri"/>
        <family val="2"/>
        <scheme val="minor"/>
      </rPr>
      <t>s</t>
    </r>
  </si>
  <si>
    <r>
      <t>Q</t>
    </r>
    <r>
      <rPr>
        <vertAlign val="subscript"/>
        <sz val="11"/>
        <color theme="1"/>
        <rFont val="Calibri"/>
        <family val="2"/>
        <scheme val="minor"/>
      </rPr>
      <t>tot</t>
    </r>
  </si>
  <si>
    <t>Altezza massima di installazione</t>
  </si>
  <si>
    <t>Portata sprinkler</t>
  </si>
  <si>
    <t>Tenzione di vapore in mca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</si>
  <si>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</si>
  <si>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V</t>
    </r>
  </si>
  <si>
    <t>ΔH</t>
  </si>
  <si>
    <t>l/(min bar^1/2)</t>
  </si>
  <si>
    <t>Legenda</t>
  </si>
  <si>
    <t>Impianto</t>
  </si>
  <si>
    <t>Lunghezza equivalente (perdite localizzate)</t>
  </si>
  <si>
    <t>N° tot sprinkler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</si>
</sst>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10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0" fontId="0" fillId="0" borderId="8" xfId="0" applyNumberFormat="1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0" fillId="0" borderId="8" xfId="0" applyBorder="1"/>
    <xf numFmtId="2" fontId="0" fillId="0" borderId="0" xfId="0" applyNumberFormat="1" applyBorder="1"/>
    <xf numFmtId="0" fontId="0" fillId="0" borderId="0" xfId="0" applyBorder="1" applyAlignment="1">
      <alignment horizontal="center" vertical="top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10" fontId="0" fillId="0" borderId="11" xfId="0" applyNumberFormat="1" applyBorder="1" applyAlignment="1">
      <alignment horizontal="right" vertical="center"/>
    </xf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/>
    <xf numFmtId="1" fontId="0" fillId="0" borderId="0" xfId="0" applyNumberFormat="1" applyBorder="1"/>
    <xf numFmtId="0" fontId="5" fillId="0" borderId="0" xfId="0" applyFont="1" applyAlignment="1">
      <alignment vertical="center" wrapText="1"/>
    </xf>
    <xf numFmtId="0" fontId="6" fillId="0" borderId="4" xfId="0" applyFont="1" applyBorder="1"/>
    <xf numFmtId="2" fontId="0" fillId="0" borderId="5" xfId="0" applyNumberFormat="1" applyBorder="1"/>
    <xf numFmtId="165" fontId="0" fillId="0" borderId="0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Font="1" applyBorder="1"/>
  </cellXfs>
  <cellStyles count="1">
    <cellStyle name="Normale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DB0D8-C548-4966-8C5B-96C53EE50420}">
  <dimension ref="A1:R40"/>
  <sheetViews>
    <sheetView tabSelected="1" topLeftCell="A7" zoomScale="115" zoomScaleNormal="130" workbookViewId="0">
      <selection activeCell="I39" sqref="I39"/>
    </sheetView>
  </sheetViews>
  <sheetFormatPr defaultRowHeight="15" x14ac:dyDescent="0.25"/>
  <cols>
    <col min="4" max="4" width="14.5703125" bestFit="1" customWidth="1"/>
    <col min="5" max="5" width="18.140625" customWidth="1"/>
    <col min="8" max="8" width="14.140625" customWidth="1"/>
    <col min="11" max="11" width="6.28515625" customWidth="1"/>
    <col min="17" max="17" width="39.7109375" customWidth="1"/>
  </cols>
  <sheetData>
    <row r="1" spans="1:17" ht="15.75" thickBot="1" x14ac:dyDescent="0.3">
      <c r="A1" s="2"/>
      <c r="B1" s="2"/>
      <c r="C1" s="2"/>
      <c r="D1" s="2"/>
      <c r="E1" s="2"/>
      <c r="F1" s="2"/>
      <c r="G1" s="2"/>
      <c r="H1" s="2"/>
      <c r="I1" s="2"/>
    </row>
    <row r="2" spans="1:17" x14ac:dyDescent="0.25">
      <c r="A2" s="2"/>
      <c r="B2" s="26" t="s">
        <v>10</v>
      </c>
      <c r="C2" s="27"/>
      <c r="D2" s="28"/>
      <c r="E2" s="2"/>
      <c r="F2" s="26" t="s">
        <v>0</v>
      </c>
      <c r="G2" s="27"/>
      <c r="H2" s="28"/>
      <c r="I2" s="2"/>
      <c r="P2" s="26" t="s">
        <v>70</v>
      </c>
      <c r="Q2" s="28"/>
    </row>
    <row r="3" spans="1:17" ht="18.75" x14ac:dyDescent="0.35">
      <c r="A3" s="2"/>
      <c r="B3" s="1" t="s">
        <v>4</v>
      </c>
      <c r="C3" s="2">
        <v>60</v>
      </c>
      <c r="D3" s="10" t="s">
        <v>7</v>
      </c>
      <c r="E3" s="2"/>
      <c r="F3" s="1" t="s">
        <v>1</v>
      </c>
      <c r="G3" s="2">
        <v>2.75</v>
      </c>
      <c r="H3" s="10" t="s">
        <v>6</v>
      </c>
      <c r="I3" s="2"/>
      <c r="P3" s="1" t="s">
        <v>13</v>
      </c>
      <c r="Q3" s="10" t="s">
        <v>18</v>
      </c>
    </row>
    <row r="4" spans="1:17" ht="18" x14ac:dyDescent="0.35">
      <c r="A4" s="2"/>
      <c r="B4" s="1" t="s">
        <v>3</v>
      </c>
      <c r="C4" s="2">
        <v>30</v>
      </c>
      <c r="D4" s="10" t="s">
        <v>7</v>
      </c>
      <c r="E4" s="2"/>
      <c r="F4" s="35" t="s">
        <v>20</v>
      </c>
      <c r="G4" s="2">
        <v>50</v>
      </c>
      <c r="H4" s="10" t="s">
        <v>21</v>
      </c>
      <c r="I4" s="2"/>
      <c r="P4" s="1" t="s">
        <v>14</v>
      </c>
      <c r="Q4" s="10" t="s">
        <v>19</v>
      </c>
    </row>
    <row r="5" spans="1:17" x14ac:dyDescent="0.25">
      <c r="A5" s="2"/>
      <c r="B5" s="1" t="s">
        <v>2</v>
      </c>
      <c r="C5" s="2">
        <f>C3/C4</f>
        <v>2</v>
      </c>
      <c r="D5" s="46" t="s">
        <v>5</v>
      </c>
      <c r="E5" s="2"/>
      <c r="F5" s="35"/>
      <c r="G5" s="12">
        <f>G4*0.0689475729</f>
        <v>3.4473786450000001</v>
      </c>
      <c r="H5" s="10" t="s">
        <v>22</v>
      </c>
      <c r="I5" s="2"/>
      <c r="P5" s="1" t="s">
        <v>25</v>
      </c>
      <c r="Q5" s="19" t="s">
        <v>26</v>
      </c>
    </row>
    <row r="6" spans="1:17" ht="19.5" thickBot="1" x14ac:dyDescent="0.4">
      <c r="A6" s="2"/>
      <c r="B6" s="1" t="s">
        <v>13</v>
      </c>
      <c r="C6" s="2">
        <f>C3*C4</f>
        <v>1800</v>
      </c>
      <c r="D6" s="10" t="s">
        <v>6</v>
      </c>
      <c r="E6" s="2"/>
      <c r="F6" s="5" t="s">
        <v>23</v>
      </c>
      <c r="G6" s="6">
        <v>80</v>
      </c>
      <c r="H6" s="11" t="s">
        <v>69</v>
      </c>
      <c r="I6" s="2"/>
      <c r="P6" s="1" t="s">
        <v>59</v>
      </c>
      <c r="Q6" s="10" t="s">
        <v>63</v>
      </c>
    </row>
    <row r="7" spans="1:17" ht="18" x14ac:dyDescent="0.35">
      <c r="A7" s="2"/>
      <c r="B7" s="20" t="s">
        <v>25</v>
      </c>
      <c r="C7" s="2">
        <v>0.5</v>
      </c>
      <c r="D7" s="10"/>
      <c r="E7" s="2"/>
      <c r="F7" s="2"/>
      <c r="G7" s="2"/>
      <c r="H7" s="2"/>
      <c r="I7" s="2"/>
      <c r="P7" s="1" t="s">
        <v>57</v>
      </c>
      <c r="Q7" s="19" t="s">
        <v>56</v>
      </c>
    </row>
    <row r="8" spans="1:17" ht="18" x14ac:dyDescent="0.35">
      <c r="A8" s="2"/>
      <c r="B8" s="23" t="s">
        <v>68</v>
      </c>
      <c r="C8" s="18">
        <v>7</v>
      </c>
      <c r="D8" s="10"/>
      <c r="E8" s="2"/>
      <c r="F8" s="2"/>
      <c r="G8" s="2"/>
      <c r="H8" s="2"/>
      <c r="I8" s="2"/>
      <c r="P8" s="1" t="s">
        <v>58</v>
      </c>
      <c r="Q8" s="19" t="s">
        <v>65</v>
      </c>
    </row>
    <row r="9" spans="1:17" ht="18.75" x14ac:dyDescent="0.35">
      <c r="A9" s="2"/>
      <c r="B9" s="1" t="s">
        <v>14</v>
      </c>
      <c r="C9" s="12">
        <f>PI()*G3^2</f>
        <v>23.758294442772812</v>
      </c>
      <c r="D9" s="24" t="s">
        <v>6</v>
      </c>
      <c r="E9" s="2"/>
      <c r="F9" s="2"/>
      <c r="G9" s="2"/>
      <c r="H9" s="2"/>
      <c r="I9" s="2"/>
      <c r="P9" s="20" t="s">
        <v>34</v>
      </c>
      <c r="Q9" s="19" t="s">
        <v>53</v>
      </c>
    </row>
    <row r="10" spans="1:17" ht="18.75" thickBot="1" x14ac:dyDescent="0.4">
      <c r="A10" s="2"/>
      <c r="B10" s="5" t="s">
        <v>12</v>
      </c>
      <c r="C10" s="6">
        <f>_xlfn.CEILING.MATH($C$6/C9)</f>
        <v>76</v>
      </c>
      <c r="D10" s="11"/>
      <c r="E10" s="2"/>
      <c r="F10" s="2"/>
      <c r="G10" s="2"/>
      <c r="H10" s="2"/>
      <c r="I10" s="2"/>
      <c r="P10" s="20" t="s">
        <v>23</v>
      </c>
      <c r="Q10" s="19" t="s">
        <v>52</v>
      </c>
    </row>
    <row r="11" spans="1:17" ht="15.75" thickBot="1" x14ac:dyDescent="0.3">
      <c r="G11" s="2"/>
      <c r="H11" s="2"/>
      <c r="I11" s="2"/>
      <c r="P11" s="20" t="s">
        <v>47</v>
      </c>
      <c r="Q11" s="10" t="s">
        <v>49</v>
      </c>
    </row>
    <row r="12" spans="1:17" ht="33" customHeight="1" x14ac:dyDescent="0.25">
      <c r="B12" s="42" t="s">
        <v>4</v>
      </c>
      <c r="C12" s="43" t="s">
        <v>3</v>
      </c>
      <c r="D12" s="43" t="s">
        <v>73</v>
      </c>
      <c r="E12" s="44" t="s">
        <v>8</v>
      </c>
      <c r="F12" s="45" t="s">
        <v>11</v>
      </c>
      <c r="G12" s="13"/>
      <c r="H12" s="29" t="s">
        <v>71</v>
      </c>
      <c r="I12" s="30"/>
      <c r="J12" s="31"/>
      <c r="L12" s="32" t="s">
        <v>45</v>
      </c>
      <c r="M12" s="33"/>
      <c r="N12" s="34"/>
      <c r="P12" s="40" t="s">
        <v>3</v>
      </c>
      <c r="Q12" s="41" t="s">
        <v>16</v>
      </c>
    </row>
    <row r="13" spans="1:17" ht="18" x14ac:dyDescent="0.35">
      <c r="B13" s="1">
        <v>3</v>
      </c>
      <c r="C13" s="2">
        <f>_xlfn.CEILING.MATH(B13/$C$5)</f>
        <v>2</v>
      </c>
      <c r="D13" s="2">
        <f>B13*C13</f>
        <v>6</v>
      </c>
      <c r="E13" s="3">
        <f>D13*$C$9</f>
        <v>142.54976665663688</v>
      </c>
      <c r="F13" s="4">
        <f>E13/$C$6</f>
        <v>7.9194314809242702E-2</v>
      </c>
      <c r="G13" s="2"/>
      <c r="H13" s="1" t="s">
        <v>61</v>
      </c>
      <c r="I13" s="21">
        <f>G5^0.5*G6</f>
        <v>148.53694263717696</v>
      </c>
      <c r="J13" s="10" t="s">
        <v>24</v>
      </c>
      <c r="L13" s="1" t="s">
        <v>46</v>
      </c>
      <c r="M13" s="2">
        <v>60</v>
      </c>
      <c r="N13" s="10" t="s">
        <v>48</v>
      </c>
      <c r="P13" s="1" t="s">
        <v>37</v>
      </c>
      <c r="Q13" s="10" t="s">
        <v>72</v>
      </c>
    </row>
    <row r="14" spans="1:17" ht="18" x14ac:dyDescent="0.35">
      <c r="B14" s="1">
        <f>B13+1</f>
        <v>4</v>
      </c>
      <c r="C14" s="2">
        <f t="shared" ref="C14:C40" si="0">_xlfn.CEILING.MATH(B14/$C$5)</f>
        <v>2</v>
      </c>
      <c r="D14" s="2">
        <f t="shared" ref="D14:D39" si="1">B14*C14</f>
        <v>8</v>
      </c>
      <c r="E14" s="3">
        <f t="shared" ref="E14:E40" si="2">D14*$C$9</f>
        <v>190.06635554218249</v>
      </c>
      <c r="F14" s="4">
        <f t="shared" ref="F14:F40" si="3">E14/$C$6</f>
        <v>0.10559241974565695</v>
      </c>
      <c r="G14" s="2"/>
      <c r="H14" s="35" t="s">
        <v>62</v>
      </c>
      <c r="I14" s="21">
        <f>I13*D40*C7</f>
        <v>6758.4308899915522</v>
      </c>
      <c r="J14" s="10" t="s">
        <v>24</v>
      </c>
      <c r="L14" s="1" t="s">
        <v>47</v>
      </c>
      <c r="M14" s="2">
        <v>1.2</v>
      </c>
      <c r="N14" s="10"/>
      <c r="P14" s="1" t="s">
        <v>4</v>
      </c>
      <c r="Q14" s="10" t="s">
        <v>15</v>
      </c>
    </row>
    <row r="15" spans="1:17" ht="19.5" thickBot="1" x14ac:dyDescent="0.4">
      <c r="B15" s="1">
        <f t="shared" ref="B15:B39" si="4">B14+1</f>
        <v>5</v>
      </c>
      <c r="C15" s="2">
        <f t="shared" si="0"/>
        <v>3</v>
      </c>
      <c r="D15" s="2">
        <f t="shared" si="1"/>
        <v>15</v>
      </c>
      <c r="E15" s="3">
        <f t="shared" si="2"/>
        <v>356.37441664159218</v>
      </c>
      <c r="F15" s="4">
        <f t="shared" si="3"/>
        <v>0.19798578702310676</v>
      </c>
      <c r="H15" s="35"/>
      <c r="I15" s="25">
        <f>I14*0.001/60</f>
        <v>0.11264051483319254</v>
      </c>
      <c r="J15" s="10" t="s">
        <v>27</v>
      </c>
      <c r="L15" s="5" t="s">
        <v>67</v>
      </c>
      <c r="M15" s="6">
        <f>_xlfn.CEILING.MATH(I15*M13*60*M14)</f>
        <v>487</v>
      </c>
      <c r="N15" s="11" t="s">
        <v>66</v>
      </c>
      <c r="P15" s="1" t="s">
        <v>61</v>
      </c>
      <c r="Q15" s="10" t="s">
        <v>64</v>
      </c>
    </row>
    <row r="16" spans="1:17" x14ac:dyDescent="0.25">
      <c r="B16" s="1">
        <f t="shared" si="4"/>
        <v>6</v>
      </c>
      <c r="C16" s="2">
        <f t="shared" si="0"/>
        <v>3</v>
      </c>
      <c r="D16" s="2">
        <f t="shared" si="1"/>
        <v>18</v>
      </c>
      <c r="E16" s="3">
        <f t="shared" si="2"/>
        <v>427.6492999699106</v>
      </c>
      <c r="F16" s="4">
        <f t="shared" si="3"/>
        <v>0.23758294442772812</v>
      </c>
      <c r="H16" s="1" t="s">
        <v>28</v>
      </c>
      <c r="I16" s="2">
        <v>3</v>
      </c>
      <c r="J16" s="10" t="s">
        <v>29</v>
      </c>
      <c r="P16" s="1" t="s">
        <v>2</v>
      </c>
      <c r="Q16" s="10" t="s">
        <v>17</v>
      </c>
    </row>
    <row r="17" spans="2:18" ht="18" x14ac:dyDescent="0.35">
      <c r="B17" s="1">
        <f t="shared" si="4"/>
        <v>7</v>
      </c>
      <c r="C17" s="2">
        <f t="shared" si="0"/>
        <v>4</v>
      </c>
      <c r="D17" s="2">
        <f t="shared" si="1"/>
        <v>28</v>
      </c>
      <c r="E17" s="3">
        <f t="shared" si="2"/>
        <v>665.23224439763874</v>
      </c>
      <c r="F17" s="4">
        <f t="shared" si="3"/>
        <v>0.36957346910979932</v>
      </c>
      <c r="H17" s="1" t="s">
        <v>31</v>
      </c>
      <c r="I17" s="25">
        <f>(4*I15/(PI()*I16))^0.5</f>
        <v>0.21864610509904539</v>
      </c>
      <c r="J17" s="10" t="s">
        <v>7</v>
      </c>
      <c r="P17" s="20" t="s">
        <v>46</v>
      </c>
      <c r="Q17" s="10" t="s">
        <v>50</v>
      </c>
    </row>
    <row r="18" spans="2:18" x14ac:dyDescent="0.25">
      <c r="B18" s="1">
        <f t="shared" si="4"/>
        <v>8</v>
      </c>
      <c r="C18" s="2">
        <f t="shared" si="0"/>
        <v>4</v>
      </c>
      <c r="D18" s="2">
        <f t="shared" si="1"/>
        <v>32</v>
      </c>
      <c r="E18" s="3">
        <f t="shared" si="2"/>
        <v>760.26542216872997</v>
      </c>
      <c r="F18" s="4">
        <f t="shared" si="3"/>
        <v>0.42236967898262778</v>
      </c>
      <c r="H18" s="1"/>
      <c r="I18" s="2"/>
      <c r="J18" s="10"/>
      <c r="P18" s="23" t="s">
        <v>68</v>
      </c>
      <c r="Q18" s="10" t="s">
        <v>51</v>
      </c>
    </row>
    <row r="19" spans="2:18" ht="18" x14ac:dyDescent="0.35">
      <c r="B19" s="1">
        <f t="shared" si="4"/>
        <v>9</v>
      </c>
      <c r="C19" s="2">
        <f t="shared" si="0"/>
        <v>5</v>
      </c>
      <c r="D19" s="2">
        <f t="shared" si="1"/>
        <v>45</v>
      </c>
      <c r="E19" s="3">
        <f t="shared" si="2"/>
        <v>1069.1232499247765</v>
      </c>
      <c r="F19" s="4">
        <f t="shared" si="3"/>
        <v>0.59395736106932029</v>
      </c>
      <c r="H19" s="1" t="s">
        <v>32</v>
      </c>
      <c r="I19" s="2">
        <v>0.21909999999999999</v>
      </c>
      <c r="J19" s="10" t="s">
        <v>7</v>
      </c>
      <c r="P19" s="36" t="s">
        <v>60</v>
      </c>
      <c r="Q19" s="37"/>
    </row>
    <row r="20" spans="2:18" ht="15.75" thickBot="1" x14ac:dyDescent="0.3">
      <c r="B20" s="1">
        <f t="shared" si="4"/>
        <v>10</v>
      </c>
      <c r="C20" s="2">
        <f t="shared" si="0"/>
        <v>5</v>
      </c>
      <c r="D20" s="2">
        <f t="shared" si="1"/>
        <v>50</v>
      </c>
      <c r="E20" s="3">
        <f t="shared" si="2"/>
        <v>1187.9147221386406</v>
      </c>
      <c r="F20" s="4">
        <f t="shared" si="3"/>
        <v>0.65995262341035588</v>
      </c>
      <c r="H20" s="1" t="s">
        <v>30</v>
      </c>
      <c r="I20" s="2">
        <v>2.3E-3</v>
      </c>
      <c r="J20" s="10" t="s">
        <v>7</v>
      </c>
      <c r="P20" s="38"/>
      <c r="Q20" s="39"/>
    </row>
    <row r="21" spans="2:18" x14ac:dyDescent="0.25">
      <c r="B21" s="1">
        <f t="shared" si="4"/>
        <v>11</v>
      </c>
      <c r="C21" s="2">
        <f t="shared" si="0"/>
        <v>6</v>
      </c>
      <c r="D21" s="2">
        <f t="shared" si="1"/>
        <v>66</v>
      </c>
      <c r="E21" s="3">
        <f t="shared" si="2"/>
        <v>1568.0474332230056</v>
      </c>
      <c r="F21" s="4">
        <f t="shared" si="3"/>
        <v>0.87113746290166971</v>
      </c>
      <c r="H21" s="1" t="s">
        <v>33</v>
      </c>
      <c r="I21" s="12">
        <f>4*I15/(PI()*(I19-2*I20)^2)</f>
        <v>3.1170958172352559</v>
      </c>
      <c r="J21" s="10" t="s">
        <v>29</v>
      </c>
    </row>
    <row r="22" spans="2:18" x14ac:dyDescent="0.25">
      <c r="B22" s="1">
        <f t="shared" si="4"/>
        <v>12</v>
      </c>
      <c r="C22" s="2">
        <f t="shared" si="0"/>
        <v>6</v>
      </c>
      <c r="D22" s="2">
        <f t="shared" si="1"/>
        <v>72</v>
      </c>
      <c r="E22" s="3">
        <f t="shared" si="2"/>
        <v>1710.5971998796424</v>
      </c>
      <c r="F22" s="4">
        <f t="shared" si="3"/>
        <v>0.95033177771091248</v>
      </c>
      <c r="H22" s="1"/>
      <c r="I22" s="2"/>
      <c r="J22" s="10"/>
    </row>
    <row r="23" spans="2:18" ht="15" customHeight="1" x14ac:dyDescent="0.25">
      <c r="B23" s="1">
        <f t="shared" si="4"/>
        <v>13</v>
      </c>
      <c r="C23" s="2">
        <f t="shared" si="0"/>
        <v>7</v>
      </c>
      <c r="D23" s="2">
        <f t="shared" si="1"/>
        <v>91</v>
      </c>
      <c r="E23" s="3">
        <f t="shared" si="2"/>
        <v>2162.0047942923256</v>
      </c>
      <c r="F23" s="4">
        <f t="shared" si="3"/>
        <v>1.2011137746068477</v>
      </c>
      <c r="H23" s="1" t="s">
        <v>34</v>
      </c>
      <c r="I23" s="2">
        <v>12</v>
      </c>
      <c r="J23" s="10" t="s">
        <v>36</v>
      </c>
      <c r="R23" s="22"/>
    </row>
    <row r="24" spans="2:18" x14ac:dyDescent="0.25">
      <c r="B24" s="1">
        <f t="shared" si="4"/>
        <v>14</v>
      </c>
      <c r="C24" s="2">
        <f t="shared" si="0"/>
        <v>7</v>
      </c>
      <c r="D24" s="2">
        <f t="shared" si="1"/>
        <v>98</v>
      </c>
      <c r="E24" s="3">
        <f t="shared" si="2"/>
        <v>2328.3128553917354</v>
      </c>
      <c r="F24" s="4">
        <f t="shared" si="3"/>
        <v>1.2935071418842974</v>
      </c>
      <c r="H24" s="1" t="s">
        <v>35</v>
      </c>
      <c r="I24" s="2">
        <v>200</v>
      </c>
      <c r="J24" s="10" t="s">
        <v>7</v>
      </c>
      <c r="R24" s="22"/>
    </row>
    <row r="25" spans="2:18" x14ac:dyDescent="0.25">
      <c r="B25" s="1">
        <f t="shared" si="4"/>
        <v>15</v>
      </c>
      <c r="C25" s="2">
        <f t="shared" si="0"/>
        <v>8</v>
      </c>
      <c r="D25" s="2">
        <f t="shared" si="1"/>
        <v>120</v>
      </c>
      <c r="E25" s="3">
        <f t="shared" si="2"/>
        <v>2850.9953331327374</v>
      </c>
      <c r="F25" s="4">
        <f t="shared" si="3"/>
        <v>1.5838862961848541</v>
      </c>
      <c r="H25" s="1" t="s">
        <v>37</v>
      </c>
      <c r="I25" s="2">
        <v>20</v>
      </c>
      <c r="J25" s="10" t="s">
        <v>7</v>
      </c>
      <c r="P25" s="22"/>
      <c r="Q25" s="22"/>
      <c r="R25" s="22"/>
    </row>
    <row r="26" spans="2:18" ht="15.75" thickBot="1" x14ac:dyDescent="0.3">
      <c r="B26" s="1">
        <f t="shared" si="4"/>
        <v>16</v>
      </c>
      <c r="C26" s="2">
        <f t="shared" si="0"/>
        <v>8</v>
      </c>
      <c r="D26" s="2">
        <f t="shared" si="1"/>
        <v>128</v>
      </c>
      <c r="E26" s="3">
        <f t="shared" si="2"/>
        <v>3041.0616886749199</v>
      </c>
      <c r="F26" s="4">
        <f t="shared" si="3"/>
        <v>1.6894787159305111</v>
      </c>
      <c r="H26" s="5" t="s">
        <v>38</v>
      </c>
      <c r="I26" s="6">
        <f>I23/1000*(I24+I25)</f>
        <v>2.64</v>
      </c>
      <c r="J26" s="11" t="s">
        <v>7</v>
      </c>
    </row>
    <row r="27" spans="2:18" ht="15.75" thickBot="1" x14ac:dyDescent="0.3">
      <c r="B27" s="1">
        <f t="shared" si="4"/>
        <v>17</v>
      </c>
      <c r="C27" s="2">
        <f t="shared" si="0"/>
        <v>9</v>
      </c>
      <c r="D27" s="2">
        <f t="shared" si="1"/>
        <v>153</v>
      </c>
      <c r="E27" s="3">
        <f t="shared" si="2"/>
        <v>3635.01904974424</v>
      </c>
      <c r="F27" s="4">
        <f t="shared" si="3"/>
        <v>2.0194550276356891</v>
      </c>
    </row>
    <row r="28" spans="2:18" x14ac:dyDescent="0.25">
      <c r="B28" s="1">
        <f t="shared" si="4"/>
        <v>18</v>
      </c>
      <c r="C28" s="2">
        <f t="shared" si="0"/>
        <v>9</v>
      </c>
      <c r="D28" s="2">
        <f t="shared" si="1"/>
        <v>162</v>
      </c>
      <c r="E28" s="3">
        <f t="shared" si="2"/>
        <v>3848.8436997291956</v>
      </c>
      <c r="F28" s="4">
        <f t="shared" si="3"/>
        <v>2.138246499849553</v>
      </c>
      <c r="H28" s="26" t="s">
        <v>39</v>
      </c>
      <c r="I28" s="27"/>
      <c r="J28" s="28"/>
    </row>
    <row r="29" spans="2:18" x14ac:dyDescent="0.25">
      <c r="B29" s="1">
        <f t="shared" si="4"/>
        <v>19</v>
      </c>
      <c r="C29" s="2">
        <f t="shared" si="0"/>
        <v>10</v>
      </c>
      <c r="D29" s="2">
        <f t="shared" si="1"/>
        <v>190</v>
      </c>
      <c r="E29" s="3">
        <f t="shared" si="2"/>
        <v>4514.0759441268337</v>
      </c>
      <c r="F29" s="4">
        <f t="shared" si="3"/>
        <v>2.5078199689593519</v>
      </c>
      <c r="H29" s="1" t="s">
        <v>40</v>
      </c>
      <c r="I29" s="12">
        <f>(G5-1)/(1000*9.81)+I26+C8</f>
        <v>9.6402494779454635</v>
      </c>
      <c r="J29" s="10" t="s">
        <v>7</v>
      </c>
    </row>
    <row r="30" spans="2:18" x14ac:dyDescent="0.25">
      <c r="B30" s="1">
        <f t="shared" si="4"/>
        <v>20</v>
      </c>
      <c r="C30" s="2">
        <f t="shared" si="0"/>
        <v>10</v>
      </c>
      <c r="D30" s="2">
        <f t="shared" si="1"/>
        <v>200</v>
      </c>
      <c r="E30" s="3">
        <f t="shared" si="2"/>
        <v>4751.6588885545625</v>
      </c>
      <c r="F30" s="4">
        <f t="shared" si="3"/>
        <v>2.6398104936414235</v>
      </c>
      <c r="H30" s="1" t="s">
        <v>41</v>
      </c>
      <c r="I30" s="2">
        <v>0.95</v>
      </c>
      <c r="J30" s="10"/>
    </row>
    <row r="31" spans="2:18" x14ac:dyDescent="0.25">
      <c r="B31" s="1">
        <f t="shared" si="4"/>
        <v>21</v>
      </c>
      <c r="C31" s="2">
        <f t="shared" si="0"/>
        <v>11</v>
      </c>
      <c r="D31" s="2">
        <f t="shared" si="1"/>
        <v>231</v>
      </c>
      <c r="E31" s="3">
        <f t="shared" si="2"/>
        <v>5488.1660162805192</v>
      </c>
      <c r="F31" s="4">
        <f t="shared" si="3"/>
        <v>3.0489811201558439</v>
      </c>
      <c r="H31" s="1" t="s">
        <v>42</v>
      </c>
      <c r="I31" s="2">
        <v>0.85</v>
      </c>
      <c r="J31" s="10"/>
    </row>
    <row r="32" spans="2:18" x14ac:dyDescent="0.25">
      <c r="B32" s="1">
        <f t="shared" si="4"/>
        <v>22</v>
      </c>
      <c r="C32" s="2">
        <f t="shared" si="0"/>
        <v>11</v>
      </c>
      <c r="D32" s="2">
        <f t="shared" si="1"/>
        <v>242</v>
      </c>
      <c r="E32" s="3">
        <f t="shared" si="2"/>
        <v>5749.5072551510202</v>
      </c>
      <c r="F32" s="4">
        <f t="shared" si="3"/>
        <v>3.1941706973061224</v>
      </c>
      <c r="H32" s="1" t="s">
        <v>43</v>
      </c>
      <c r="I32" s="2">
        <v>0.9</v>
      </c>
      <c r="J32" s="10"/>
    </row>
    <row r="33" spans="2:10" x14ac:dyDescent="0.25">
      <c r="B33" s="1">
        <f t="shared" si="4"/>
        <v>23</v>
      </c>
      <c r="C33" s="2">
        <f t="shared" si="0"/>
        <v>12</v>
      </c>
      <c r="D33" s="2">
        <f t="shared" si="1"/>
        <v>276</v>
      </c>
      <c r="E33" s="3">
        <f t="shared" si="2"/>
        <v>6557.2892662052964</v>
      </c>
      <c r="F33" s="4">
        <f t="shared" si="3"/>
        <v>3.6429384812251646</v>
      </c>
      <c r="H33" s="1" t="s">
        <v>44</v>
      </c>
      <c r="I33" s="12">
        <f>9.81*I29*I15/(I30*I31*I32)</f>
        <v>14.657735035351703</v>
      </c>
      <c r="J33" s="10" t="s">
        <v>54</v>
      </c>
    </row>
    <row r="34" spans="2:10" x14ac:dyDescent="0.25">
      <c r="B34" s="1">
        <f t="shared" si="4"/>
        <v>24</v>
      </c>
      <c r="C34" s="2">
        <f t="shared" si="0"/>
        <v>12</v>
      </c>
      <c r="D34" s="2">
        <f t="shared" si="1"/>
        <v>288</v>
      </c>
      <c r="E34" s="3">
        <f t="shared" si="2"/>
        <v>6842.3887995185696</v>
      </c>
      <c r="F34" s="4">
        <f t="shared" si="3"/>
        <v>3.8013271108436499</v>
      </c>
      <c r="H34" s="1"/>
      <c r="I34" s="2"/>
      <c r="J34" s="10"/>
    </row>
    <row r="35" spans="2:10" x14ac:dyDescent="0.25">
      <c r="B35" s="1">
        <f t="shared" si="4"/>
        <v>25</v>
      </c>
      <c r="C35" s="2">
        <f t="shared" si="0"/>
        <v>13</v>
      </c>
      <c r="D35" s="2">
        <f t="shared" si="1"/>
        <v>325</v>
      </c>
      <c r="E35" s="3">
        <f t="shared" si="2"/>
        <v>7721.4456939011634</v>
      </c>
      <c r="F35" s="4">
        <f t="shared" si="3"/>
        <v>4.2896920521673128</v>
      </c>
      <c r="H35" s="1" t="s">
        <v>55</v>
      </c>
      <c r="I35" s="2">
        <v>4</v>
      </c>
      <c r="J35" s="10" t="s">
        <v>7</v>
      </c>
    </row>
    <row r="36" spans="2:10" ht="18" x14ac:dyDescent="0.35">
      <c r="B36" s="1">
        <f t="shared" si="4"/>
        <v>26</v>
      </c>
      <c r="C36" s="2">
        <f t="shared" si="0"/>
        <v>13</v>
      </c>
      <c r="D36" s="2">
        <f t="shared" si="1"/>
        <v>338</v>
      </c>
      <c r="E36" s="3">
        <f t="shared" si="2"/>
        <v>8030.3035216572107</v>
      </c>
      <c r="F36" s="4">
        <f t="shared" si="3"/>
        <v>4.4612797342540063</v>
      </c>
      <c r="H36" s="1" t="s">
        <v>58</v>
      </c>
      <c r="I36" s="2">
        <v>0.15</v>
      </c>
      <c r="J36" s="10" t="s">
        <v>7</v>
      </c>
    </row>
    <row r="37" spans="2:10" ht="18" x14ac:dyDescent="0.35">
      <c r="B37" s="1">
        <f t="shared" si="4"/>
        <v>27</v>
      </c>
      <c r="C37" s="2">
        <f t="shared" si="0"/>
        <v>14</v>
      </c>
      <c r="D37" s="2">
        <f t="shared" si="1"/>
        <v>378</v>
      </c>
      <c r="E37" s="3">
        <f t="shared" si="2"/>
        <v>8980.635299368123</v>
      </c>
      <c r="F37" s="4">
        <f t="shared" si="3"/>
        <v>4.989241832982291</v>
      </c>
      <c r="H37" s="1" t="s">
        <v>57</v>
      </c>
      <c r="I37" s="2">
        <v>2</v>
      </c>
      <c r="J37" s="10" t="s">
        <v>7</v>
      </c>
    </row>
    <row r="38" spans="2:10" ht="18.75" thickBot="1" x14ac:dyDescent="0.4">
      <c r="B38" s="1">
        <f t="shared" si="4"/>
        <v>28</v>
      </c>
      <c r="C38" s="2">
        <f t="shared" si="0"/>
        <v>14</v>
      </c>
      <c r="D38" s="2">
        <f t="shared" si="1"/>
        <v>392</v>
      </c>
      <c r="E38" s="3">
        <f t="shared" si="2"/>
        <v>9313.2514215669416</v>
      </c>
      <c r="F38" s="4">
        <f t="shared" si="3"/>
        <v>5.1740285675371895</v>
      </c>
      <c r="H38" s="5" t="s">
        <v>59</v>
      </c>
      <c r="I38" s="6">
        <f>IF(10-I37-I36-I35&gt;3.2,3.2,10-I37-I36-I35)</f>
        <v>3.2</v>
      </c>
      <c r="J38" s="11" t="s">
        <v>7</v>
      </c>
    </row>
    <row r="39" spans="2:10" ht="15.75" thickBot="1" x14ac:dyDescent="0.3">
      <c r="B39" s="5">
        <f t="shared" si="4"/>
        <v>29</v>
      </c>
      <c r="C39" s="6">
        <f t="shared" si="0"/>
        <v>15</v>
      </c>
      <c r="D39" s="6">
        <f t="shared" si="1"/>
        <v>435</v>
      </c>
      <c r="E39" s="7">
        <f t="shared" si="2"/>
        <v>10334.858082606173</v>
      </c>
      <c r="F39" s="8">
        <f t="shared" si="3"/>
        <v>5.7415878236700966</v>
      </c>
    </row>
    <row r="40" spans="2:10" ht="15" customHeight="1" thickBot="1" x14ac:dyDescent="0.3">
      <c r="B40" s="14">
        <v>13</v>
      </c>
      <c r="C40" s="15">
        <f t="shared" si="0"/>
        <v>7</v>
      </c>
      <c r="D40" s="15">
        <f t="shared" ref="D40" si="5">B40*C40</f>
        <v>91</v>
      </c>
      <c r="E40" s="16">
        <f t="shared" si="2"/>
        <v>2162.0047942923256</v>
      </c>
      <c r="F40" s="17">
        <f t="shared" si="3"/>
        <v>1.2011137746068477</v>
      </c>
      <c r="G40" s="9" t="s">
        <v>9</v>
      </c>
    </row>
  </sheetData>
  <sortState xmlns:xlrd2="http://schemas.microsoft.com/office/spreadsheetml/2017/richdata2" ref="P3:Q18">
    <sortCondition ref="P3:P18"/>
  </sortState>
  <mergeCells count="9">
    <mergeCell ref="P19:Q20"/>
    <mergeCell ref="P2:Q2"/>
    <mergeCell ref="F4:F5"/>
    <mergeCell ref="H28:J28"/>
    <mergeCell ref="H12:J12"/>
    <mergeCell ref="L12:N12"/>
    <mergeCell ref="F2:H2"/>
    <mergeCell ref="B2:D2"/>
    <mergeCell ref="H14:H15"/>
  </mergeCells>
  <conditionalFormatting sqref="D13:D39">
    <cfRule type="expression" priority="8">
      <formula>"&gt;$C$14"</formula>
    </cfRule>
  </conditionalFormatting>
  <conditionalFormatting sqref="F13:F39">
    <cfRule type="cellIs" dxfId="1" priority="5" operator="greaterThan">
      <formula>1</formula>
    </cfRule>
  </conditionalFormatting>
  <conditionalFormatting sqref="D40">
    <cfRule type="expression" priority="2">
      <formula>"&gt;$C$14"</formula>
    </cfRule>
  </conditionalFormatting>
  <conditionalFormatting sqref="F40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Giona Canever</cp:lastModifiedBy>
  <dcterms:created xsi:type="dcterms:W3CDTF">2021-02-12T09:28:31Z</dcterms:created>
  <dcterms:modified xsi:type="dcterms:W3CDTF">2021-02-12T15:44:23Z</dcterms:modified>
</cp:coreProperties>
</file>