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ElevatoreTazze\"/>
    </mc:Choice>
  </mc:AlternateContent>
  <xr:revisionPtr revIDLastSave="0" documentId="13_ncr:1_{1D8F7F4B-31B2-4DBF-AFF3-68F590D948DC}" xr6:coauthVersionLast="46" xr6:coauthVersionMax="46" xr10:uidLastSave="{00000000-0000-0000-0000-000000000000}"/>
  <bookViews>
    <workbookView xWindow="-11670" yWindow="7185" windowWidth="21600" windowHeight="11385" xr2:uid="{2B46271C-1738-49D0-9144-B24F73B3C7E6}"/>
  </bookViews>
  <sheets>
    <sheet name="Foglio1" sheetId="1" r:id="rId1"/>
  </sheets>
  <definedNames>
    <definedName name="_xlnm.Print_Area" localSheetId="0">Foglio1!$A$1:$Q$53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42" i="1"/>
  <c r="E39" i="1"/>
  <c r="F39" i="1"/>
  <c r="E42" i="1"/>
  <c r="F42" i="1"/>
  <c r="D39" i="1"/>
  <c r="D42" i="1"/>
  <c r="D14" i="1"/>
  <c r="E13" i="1"/>
  <c r="E21" i="1" s="1"/>
  <c r="F13" i="1"/>
  <c r="F21" i="1" s="1"/>
  <c r="G13" i="1"/>
  <c r="G16" i="1" s="1"/>
  <c r="G18" i="1" s="1"/>
  <c r="E14" i="1"/>
  <c r="F14" i="1"/>
  <c r="G14" i="1"/>
  <c r="D13" i="1"/>
  <c r="D21" i="1" s="1"/>
  <c r="C8" i="1"/>
  <c r="E27" i="1" l="1"/>
  <c r="E29" i="1" s="1"/>
  <c r="D16" i="1"/>
  <c r="D18" i="1" s="1"/>
  <c r="D23" i="1" s="1"/>
  <c r="D27" i="1"/>
  <c r="F16" i="1"/>
  <c r="F18" i="1" s="1"/>
  <c r="F22" i="1" s="1"/>
  <c r="F24" i="1" s="1"/>
  <c r="E16" i="1"/>
  <c r="E18" i="1" s="1"/>
  <c r="E23" i="1" s="1"/>
  <c r="G21" i="1"/>
  <c r="G27" i="1"/>
  <c r="G36" i="1" s="1"/>
  <c r="F27" i="1"/>
  <c r="F36" i="1" s="1"/>
  <c r="E30" i="1" l="1"/>
  <c r="E22" i="1"/>
  <c r="E24" i="1" s="1"/>
  <c r="E28" i="1"/>
  <c r="E36" i="1"/>
  <c r="D29" i="1"/>
  <c r="D36" i="1"/>
  <c r="D30" i="1"/>
  <c r="D22" i="1"/>
  <c r="D24" i="1" s="1"/>
  <c r="F23" i="1"/>
  <c r="G22" i="1"/>
  <c r="G24" i="1" s="1"/>
  <c r="G23" i="1"/>
  <c r="D28" i="1"/>
  <c r="F28" i="1"/>
  <c r="F30" i="1"/>
  <c r="F29" i="1"/>
  <c r="G28" i="1"/>
  <c r="G29" i="1"/>
  <c r="G30" i="1"/>
  <c r="F38" i="1" l="1"/>
  <c r="F37" i="1"/>
  <c r="E37" i="1"/>
  <c r="E41" i="1" s="1"/>
  <c r="E38" i="1"/>
  <c r="E44" i="1" s="1"/>
  <c r="E48" i="1" s="1"/>
  <c r="G37" i="1"/>
  <c r="G41" i="1" s="1"/>
  <c r="G43" i="1" s="1"/>
  <c r="G52" i="1" s="1"/>
  <c r="G55" i="1" s="1"/>
  <c r="G38" i="1"/>
  <c r="D38" i="1"/>
  <c r="D37" i="1"/>
  <c r="D41" i="1" s="1"/>
  <c r="E43" i="1" l="1"/>
  <c r="E52" i="1" s="1"/>
  <c r="E55" i="1" s="1"/>
  <c r="D43" i="1"/>
  <c r="D52" i="1" s="1"/>
  <c r="D55" i="1" s="1"/>
  <c r="F41" i="1"/>
  <c r="F43" i="1"/>
  <c r="F52" i="1" s="1"/>
  <c r="F55" i="1" s="1"/>
  <c r="F44" i="1"/>
  <c r="F48" i="1" s="1"/>
  <c r="G44" i="1"/>
  <c r="G48" i="1" s="1"/>
  <c r="D44" i="1"/>
  <c r="D48" i="1" s="1"/>
</calcChain>
</file>

<file path=xl/sharedStrings.xml><?xml version="1.0" encoding="utf-8"?>
<sst xmlns="http://schemas.openxmlformats.org/spreadsheetml/2006/main" count="106" uniqueCount="85">
  <si>
    <t>pc</t>
  </si>
  <si>
    <t xml:space="preserve">Passo catena </t>
  </si>
  <si>
    <t>d minima tazze</t>
  </si>
  <si>
    <t>H</t>
  </si>
  <si>
    <t>Q</t>
  </si>
  <si>
    <t>gamma</t>
  </si>
  <si>
    <t xml:space="preserve">Delta H </t>
  </si>
  <si>
    <t>H tot</t>
  </si>
  <si>
    <t>Coeff riempimento</t>
  </si>
  <si>
    <t>f</t>
  </si>
  <si>
    <t>C</t>
  </si>
  <si>
    <t>velocità</t>
  </si>
  <si>
    <t>Capacità tazza</t>
  </si>
  <si>
    <t>Passo tazze</t>
  </si>
  <si>
    <t>pt</t>
  </si>
  <si>
    <t>Design1</t>
  </si>
  <si>
    <t>Design2</t>
  </si>
  <si>
    <t>Design3</t>
  </si>
  <si>
    <t>Design4</t>
  </si>
  <si>
    <t>z</t>
  </si>
  <si>
    <t>verifica</t>
  </si>
  <si>
    <t>r</t>
  </si>
  <si>
    <t>Dimensioni</t>
  </si>
  <si>
    <t xml:space="preserve">N° tazze </t>
  </si>
  <si>
    <t>Il n delle tazze deve essere divisibile per il numero di catene per tazza</t>
  </si>
  <si>
    <t>Surplus anelli</t>
  </si>
  <si>
    <t>N</t>
  </si>
  <si>
    <t>N° catene/tazza</t>
  </si>
  <si>
    <r>
      <t>N</t>
    </r>
    <r>
      <rPr>
        <vertAlign val="subscript"/>
        <sz val="11"/>
        <color theme="1"/>
        <rFont val="Calibri"/>
        <family val="2"/>
        <scheme val="minor"/>
      </rPr>
      <t>ct</t>
    </r>
  </si>
  <si>
    <t>Lunghezza effettiva cat.</t>
  </si>
  <si>
    <t>m</t>
  </si>
  <si>
    <t>m/s</t>
  </si>
  <si>
    <t>l</t>
  </si>
  <si>
    <t>Sforzi</t>
  </si>
  <si>
    <t>kg</t>
  </si>
  <si>
    <t>massa anello</t>
  </si>
  <si>
    <t>massa tazza</t>
  </si>
  <si>
    <t>peso tazze</t>
  </si>
  <si>
    <t>attriti</t>
  </si>
  <si>
    <t>forza tensionamento</t>
  </si>
  <si>
    <t xml:space="preserve">sforzo di carico </t>
  </si>
  <si>
    <t>peso materiale</t>
  </si>
  <si>
    <t>massa puleggia</t>
  </si>
  <si>
    <t>Delta H effettivo</t>
  </si>
  <si>
    <t>t/h</t>
  </si>
  <si>
    <t>Tot. agente sulla catena</t>
  </si>
  <si>
    <t>kN</t>
  </si>
  <si>
    <t>Tot. gravante sul motore</t>
  </si>
  <si>
    <t>P</t>
  </si>
  <si>
    <t>kW</t>
  </si>
  <si>
    <t>Dati</t>
  </si>
  <si>
    <r>
      <t>d</t>
    </r>
    <r>
      <rPr>
        <vertAlign val="subscript"/>
        <sz val="11"/>
        <color theme="1"/>
        <rFont val="Calibri"/>
        <family val="2"/>
        <scheme val="minor"/>
      </rPr>
      <t>min</t>
    </r>
  </si>
  <si>
    <r>
      <t>kg/m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</si>
  <si>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a</t>
    </r>
  </si>
  <si>
    <r>
      <t>N</t>
    </r>
    <r>
      <rPr>
        <vertAlign val="subscript"/>
        <sz val="11"/>
        <color theme="1"/>
        <rFont val="Calibri"/>
        <family val="2"/>
        <scheme val="minor"/>
      </rPr>
      <t>t</t>
    </r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</si>
  <si>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</si>
  <si>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r>
      <t>m</t>
    </r>
    <r>
      <rPr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</si>
  <si>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vertAlign val="subscript"/>
        <sz val="11"/>
        <color theme="1"/>
        <rFont val="Calibri"/>
        <family val="2"/>
        <scheme val="minor"/>
      </rPr>
      <t>t</t>
    </r>
  </si>
  <si>
    <r>
      <t>m</t>
    </r>
    <r>
      <rPr>
        <vertAlign val="subscript"/>
        <sz val="11"/>
        <color theme="1"/>
        <rFont val="Calibri"/>
        <family val="2"/>
        <scheme val="minor"/>
      </rPr>
      <t>p</t>
    </r>
  </si>
  <si>
    <r>
      <t>R</t>
    </r>
    <r>
      <rPr>
        <vertAlign val="subscript"/>
        <sz val="11"/>
        <color theme="1"/>
        <rFont val="Calibri"/>
        <family val="2"/>
        <scheme val="minor"/>
      </rPr>
      <t>c</t>
    </r>
  </si>
  <si>
    <r>
      <t>R</t>
    </r>
    <r>
      <rPr>
        <vertAlign val="subscript"/>
        <sz val="11"/>
        <color theme="1"/>
        <rFont val="Calibri"/>
        <family val="2"/>
        <scheme val="minor"/>
      </rPr>
      <t>t</t>
    </r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</si>
  <si>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</si>
  <si>
    <r>
      <t>R</t>
    </r>
    <r>
      <rPr>
        <vertAlign val="subscript"/>
        <sz val="11"/>
        <color theme="1"/>
        <rFont val="Calibri"/>
        <family val="2"/>
        <scheme val="minor"/>
      </rPr>
      <t>p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</si>
  <si>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</si>
  <si>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ten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</si>
  <si>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</si>
  <si>
    <r>
      <t>R</t>
    </r>
    <r>
      <rPr>
        <vertAlign val="subscript"/>
        <sz val="11"/>
        <color theme="1"/>
        <rFont val="Calibri"/>
        <family val="2"/>
        <scheme val="minor"/>
      </rPr>
      <t>tot,c</t>
    </r>
  </si>
  <si>
    <r>
      <t>R</t>
    </r>
    <r>
      <rPr>
        <vertAlign val="subscript"/>
        <sz val="11"/>
        <color theme="1"/>
        <rFont val="Calibri"/>
        <family val="2"/>
        <scheme val="minor"/>
      </rPr>
      <t>tot,m</t>
    </r>
  </si>
  <si>
    <r>
      <t>η</t>
    </r>
    <r>
      <rPr>
        <vertAlign val="subscript"/>
        <sz val="11"/>
        <color theme="1"/>
        <rFont val="Calibri"/>
        <family val="2"/>
        <scheme val="minor"/>
      </rPr>
      <t>el</t>
    </r>
  </si>
  <si>
    <r>
      <t>η</t>
    </r>
    <r>
      <rPr>
        <vertAlign val="subscript"/>
        <sz val="11"/>
        <color theme="1"/>
        <rFont val="Calibri"/>
        <family val="2"/>
        <scheme val="minor"/>
      </rPr>
      <t>m</t>
    </r>
  </si>
  <si>
    <t>Catena DIN 764</t>
  </si>
  <si>
    <t xml:space="preserve">scarto </t>
  </si>
  <si>
    <t>N° denti ruota da catalogo (verificare compatibilità puleggia - catena)</t>
  </si>
  <si>
    <t>OM nel grafico pag. 412 Monte</t>
  </si>
  <si>
    <t>N° anelli totale</t>
  </si>
  <si>
    <t>peso puleggia inf.</t>
  </si>
  <si>
    <t>peso catena</t>
  </si>
  <si>
    <t>scelgo affinchè N° tazze sia intero, pari</t>
  </si>
  <si>
    <r>
      <t>ΔN</t>
    </r>
    <r>
      <rPr>
        <vertAlign val="subscript"/>
        <sz val="11"/>
        <color theme="1"/>
        <rFont val="Calibri"/>
        <family val="2"/>
      </rPr>
      <t>a</t>
    </r>
  </si>
  <si>
    <t xml:space="preserve">Verifica </t>
  </si>
  <si>
    <t>Carico rottura catena</t>
  </si>
  <si>
    <t>Coefficiente di sicurezza</t>
  </si>
  <si>
    <t>ks</t>
  </si>
  <si>
    <r>
      <t>C</t>
    </r>
    <r>
      <rPr>
        <vertAlign val="subscript"/>
        <sz val="11"/>
        <color theme="1"/>
        <rFont val="Calibri"/>
        <family val="2"/>
        <scheme val="minor"/>
      </rPr>
      <t>R</t>
    </r>
  </si>
  <si>
    <r>
      <t>Verifica: 10  R</t>
    </r>
    <r>
      <rPr>
        <vertAlign val="subscript"/>
        <sz val="11"/>
        <color theme="1"/>
        <rFont val="Calibri"/>
        <family val="2"/>
        <scheme val="minor"/>
      </rPr>
      <t>tot,c</t>
    </r>
    <r>
      <rPr>
        <sz val="11"/>
        <color theme="1"/>
        <rFont val="Calibri"/>
        <family val="2"/>
        <scheme val="minor"/>
      </rPr>
      <t xml:space="preserve"> &lt; C</t>
    </r>
    <r>
      <rPr>
        <vertAlign val="subscript"/>
        <sz val="11"/>
        <color theme="1"/>
        <rFont val="Calibri"/>
        <family val="2"/>
        <scheme val="minor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</si>
</sst>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2" fontId="0" fillId="0" borderId="0" xfId="0" applyNumberFormat="1" applyBorder="1"/>
    <xf numFmtId="2" fontId="0" fillId="0" borderId="7" xfId="0" applyNumberFormat="1" applyBorder="1"/>
    <xf numFmtId="0" fontId="0" fillId="2" borderId="0" xfId="0" applyFill="1" applyBorder="1"/>
    <xf numFmtId="49" fontId="0" fillId="0" borderId="4" xfId="0" applyNumberFormat="1" applyBorder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/>
    <xf numFmtId="0" fontId="0" fillId="0" borderId="0" xfId="0" applyFill="1" applyBorder="1"/>
    <xf numFmtId="0" fontId="5" fillId="3" borderId="0" xfId="0" applyFont="1" applyFill="1" applyBorder="1"/>
    <xf numFmtId="0" fontId="0" fillId="0" borderId="4" xfId="0" applyBorder="1" applyAlignment="1"/>
    <xf numFmtId="0" fontId="0" fillId="0" borderId="0" xfId="0" applyAlignment="1"/>
    <xf numFmtId="0" fontId="6" fillId="0" borderId="4" xfId="0" applyFont="1" applyBorder="1"/>
    <xf numFmtId="0" fontId="7" fillId="0" borderId="0" xfId="0" applyFont="1"/>
    <xf numFmtId="0" fontId="0" fillId="0" borderId="5" xfId="0" applyFont="1" applyBorder="1"/>
    <xf numFmtId="9" fontId="0" fillId="0" borderId="9" xfId="1" applyFont="1" applyFill="1" applyBorder="1"/>
    <xf numFmtId="0" fontId="0" fillId="4" borderId="10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Border="1"/>
    <xf numFmtId="2" fontId="0" fillId="0" borderId="7" xfId="0" applyNumberFormat="1" applyFont="1" applyBorder="1"/>
    <xf numFmtId="1" fontId="0" fillId="0" borderId="0" xfId="0" applyNumberFormat="1" applyBorder="1"/>
    <xf numFmtId="0" fontId="0" fillId="0" borderId="6" xfId="0" applyFill="1" applyBorder="1"/>
    <xf numFmtId="1" fontId="0" fillId="0" borderId="7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Normale" xfId="0" builtinId="0"/>
    <cellStyle name="Percentuale" xfId="1" builtinId="5"/>
  </cellStyles>
  <dxfs count="5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E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Coppia motore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2"/>
          <c:tx>
            <c:strRef>
              <c:f>Foglio1!$B$38</c:f>
              <c:strCache>
                <c:ptCount val="1"/>
                <c:pt idx="0">
                  <c:v>peso materiale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Foglio1!$D$38:$G$38</c:f>
              <c:numCache>
                <c:formatCode>0</c:formatCode>
                <c:ptCount val="4"/>
                <c:pt idx="0">
                  <c:v>2383.83</c:v>
                </c:pt>
                <c:pt idx="1">
                  <c:v>1525.6511999999998</c:v>
                </c:pt>
                <c:pt idx="2">
                  <c:v>635.68799999999999</c:v>
                </c:pt>
                <c:pt idx="3">
                  <c:v>1342.0080000000003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4-471B-9F7A-0DC11BBA5154}"/>
            </c:ext>
          </c:extLst>
        </c:ser>
        <c:ser>
          <c:idx val="3"/>
          <c:order val="4"/>
          <c:tx>
            <c:strRef>
              <c:f>Foglio1!$B$41</c:f>
              <c:strCache>
                <c:ptCount val="1"/>
                <c:pt idx="0">
                  <c:v>attriti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Foglio1!$D$41:$G$41</c:f>
              <c:numCache>
                <c:formatCode>0</c:formatCode>
                <c:ptCount val="4"/>
                <c:pt idx="0">
                  <c:v>370.29650000000004</c:v>
                </c:pt>
                <c:pt idx="1">
                  <c:v>321.50155999999998</c:v>
                </c:pt>
                <c:pt idx="2">
                  <c:v>251.9879</c:v>
                </c:pt>
                <c:pt idx="3">
                  <c:v>332.67515000000003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4-471B-9F7A-0DC11BBA5154}"/>
            </c:ext>
          </c:extLst>
        </c:ser>
        <c:ser>
          <c:idx val="5"/>
          <c:order val="6"/>
          <c:tx>
            <c:strRef>
              <c:f>Foglio1!$B$42</c:f>
              <c:strCache>
                <c:ptCount val="1"/>
                <c:pt idx="0">
                  <c:v>sforzo di carico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Foglio1!$D$42:$G$42</c:f>
              <c:numCache>
                <c:formatCode>0</c:formatCode>
                <c:ptCount val="4"/>
                <c:pt idx="0">
                  <c:v>824.04000000000008</c:v>
                </c:pt>
                <c:pt idx="1">
                  <c:v>824.04000000000008</c:v>
                </c:pt>
                <c:pt idx="2">
                  <c:v>824.04000000000008</c:v>
                </c:pt>
                <c:pt idx="3">
                  <c:v>824.04000000000008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C4-471B-9F7A-0DC11BBA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4944976"/>
        <c:axId val="704943728"/>
        <c:axId val="0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Foglio1!$B$36</c15:sqref>
                        </c15:formulaRef>
                      </c:ext>
                    </c:extLst>
                    <c:strCache>
                      <c:ptCount val="1"/>
                      <c:pt idx="0">
                        <c:v>peso catena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Foglio1!$D$36:$G$36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2207.25</c:v>
                      </c:pt>
                      <c:pt idx="1">
                        <c:v>2354.4</c:v>
                      </c:pt>
                      <c:pt idx="2">
                        <c:v>2207.25</c:v>
                      </c:pt>
                      <c:pt idx="3">
                        <c:v>2329.875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2C4-471B-9F7A-0DC11BBA5154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Foglio1!$B$37</c15:sqref>
                        </c15:formulaRef>
                      </c:ext>
                    </c:extLst>
                    <c:strCache>
                      <c:ptCount val="1"/>
                      <c:pt idx="0">
                        <c:v>peso tazze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Foglio1!$D$37:$G$37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1324.3500000000001</c:v>
                      </c:pt>
                      <c:pt idx="1">
                        <c:v>1059.48</c:v>
                      </c:pt>
                      <c:pt idx="2">
                        <c:v>706.32</c:v>
                      </c:pt>
                      <c:pt idx="3">
                        <c:v>1491.1200000000001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2C4-471B-9F7A-0DC11BBA5154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Foglio1!$B$39</c15:sqref>
                        </c15:formulaRef>
                      </c:ext>
                    </c:extLst>
                    <c:strCache>
                      <c:ptCount val="1"/>
                      <c:pt idx="0">
                        <c:v>peso puleggia inf.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Foglio1!$D$39:$G$39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490.5</c:v>
                      </c:pt>
                      <c:pt idx="1">
                        <c:v>490.5</c:v>
                      </c:pt>
                      <c:pt idx="2">
                        <c:v>490.5</c:v>
                      </c:pt>
                      <c:pt idx="3">
                        <c:v>490.5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C4-471B-9F7A-0DC11BBA5154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Foglio1!$B$40</c15:sqref>
                        </c15:formulaRef>
                      </c:ext>
                    </c:extLst>
                    <c:strCache>
                      <c:ptCount val="1"/>
                      <c:pt idx="0">
                        <c:v>forza tensionamento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Foglio1!$D$40:$G$40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C4-471B-9F7A-0DC11BBA5154}"/>
                  </c:ext>
                </c:extLst>
              </c15:ser>
            </c15:filteredBarSeries>
          </c:ext>
        </c:extLst>
      </c:bar3DChart>
      <c:catAx>
        <c:axId val="704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43728"/>
        <c:crosses val="autoZero"/>
        <c:auto val="1"/>
        <c:lblAlgn val="ctr"/>
        <c:lblOffset val="100"/>
        <c:noMultiLvlLbl val="0"/>
      </c:catAx>
      <c:valAx>
        <c:axId val="7049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Resistenza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29</xdr:row>
      <xdr:rowOff>9524</xdr:rowOff>
    </xdr:from>
    <xdr:to>
      <xdr:col>16</xdr:col>
      <xdr:colOff>295274</xdr:colOff>
      <xdr:row>52</xdr:row>
      <xdr:rowOff>19049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BF71AC-C5E2-407E-B67D-C2FC8FB9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1D44-E619-4003-BE77-2BCEF7DD284F}">
  <sheetPr>
    <pageSetUpPr fitToPage="1"/>
  </sheetPr>
  <dimension ref="B1:M55"/>
  <sheetViews>
    <sheetView tabSelected="1" topLeftCell="A4" zoomScaleNormal="100" workbookViewId="0">
      <selection activeCell="D52" sqref="D52"/>
    </sheetView>
  </sheetViews>
  <sheetFormatPr defaultRowHeight="15" x14ac:dyDescent="0.25"/>
  <cols>
    <col min="1" max="1" width="3.7109375" customWidth="1"/>
    <col min="2" max="2" width="23.5703125" customWidth="1"/>
    <col min="3" max="3" width="14.140625" customWidth="1"/>
    <col min="4" max="7" width="14.7109375" customWidth="1"/>
    <col min="9" max="9" width="37.5703125" customWidth="1"/>
  </cols>
  <sheetData>
    <row r="1" spans="2:9" ht="15.75" thickBot="1" x14ac:dyDescent="0.3"/>
    <row r="2" spans="2:9" x14ac:dyDescent="0.25">
      <c r="B2" s="11" t="s">
        <v>50</v>
      </c>
      <c r="C2" s="12"/>
      <c r="D2" s="13"/>
      <c r="F2" s="6"/>
      <c r="G2" s="6"/>
    </row>
    <row r="3" spans="2:9" x14ac:dyDescent="0.25">
      <c r="B3" s="5" t="s">
        <v>3</v>
      </c>
      <c r="C3" s="6">
        <v>8</v>
      </c>
      <c r="D3" s="7" t="s">
        <v>30</v>
      </c>
      <c r="F3" s="6"/>
      <c r="G3" s="6"/>
    </row>
    <row r="4" spans="2:9" x14ac:dyDescent="0.25">
      <c r="B4" s="5" t="s">
        <v>4</v>
      </c>
      <c r="C4" s="6">
        <v>60</v>
      </c>
      <c r="D4" s="7" t="s">
        <v>44</v>
      </c>
      <c r="F4" s="6"/>
      <c r="G4" s="6"/>
    </row>
    <row r="5" spans="2:9" ht="18" x14ac:dyDescent="0.35">
      <c r="B5" s="5" t="s">
        <v>5</v>
      </c>
      <c r="C5" s="6">
        <v>1800</v>
      </c>
      <c r="D5" s="7" t="s">
        <v>52</v>
      </c>
      <c r="F5" s="6"/>
      <c r="G5" s="6"/>
    </row>
    <row r="6" spans="2:9" x14ac:dyDescent="0.25">
      <c r="B6" s="5"/>
      <c r="C6" s="6"/>
      <c r="D6" s="7"/>
      <c r="F6" s="6"/>
      <c r="G6" s="6"/>
    </row>
    <row r="7" spans="2:9" x14ac:dyDescent="0.25">
      <c r="B7" s="5" t="s">
        <v>6</v>
      </c>
      <c r="C7" s="6">
        <v>0.5</v>
      </c>
      <c r="D7" s="7" t="s">
        <v>30</v>
      </c>
      <c r="F7" s="6"/>
      <c r="G7" s="6"/>
    </row>
    <row r="8" spans="2:9" ht="15.75" thickBot="1" x14ac:dyDescent="0.3">
      <c r="B8" s="8" t="s">
        <v>7</v>
      </c>
      <c r="C8" s="9">
        <f>C3+C7</f>
        <v>8.5</v>
      </c>
      <c r="D8" s="10" t="s">
        <v>30</v>
      </c>
      <c r="E8" s="23"/>
      <c r="F8" s="24"/>
      <c r="G8" s="24"/>
      <c r="H8" s="24"/>
      <c r="I8" s="26"/>
    </row>
    <row r="9" spans="2:9" x14ac:dyDescent="0.25">
      <c r="C9" s="6"/>
      <c r="D9" s="6"/>
      <c r="E9" s="6"/>
      <c r="F9" s="6"/>
      <c r="G9" s="6"/>
    </row>
    <row r="10" spans="2:9" ht="15.75" thickBot="1" x14ac:dyDescent="0.3"/>
    <row r="11" spans="2:9" x14ac:dyDescent="0.25">
      <c r="B11" s="2"/>
      <c r="C11" s="3"/>
      <c r="D11" s="3" t="s">
        <v>15</v>
      </c>
      <c r="E11" s="3" t="s">
        <v>16</v>
      </c>
      <c r="F11" s="3" t="s">
        <v>17</v>
      </c>
      <c r="G11" s="3" t="s">
        <v>18</v>
      </c>
      <c r="H11" s="4"/>
    </row>
    <row r="12" spans="2:9" x14ac:dyDescent="0.25">
      <c r="B12" s="5" t="s">
        <v>12</v>
      </c>
      <c r="C12" s="6" t="s">
        <v>10</v>
      </c>
      <c r="D12" s="20">
        <v>9</v>
      </c>
      <c r="E12" s="20">
        <v>7.2</v>
      </c>
      <c r="F12" s="20">
        <v>4</v>
      </c>
      <c r="G12" s="20">
        <v>4</v>
      </c>
      <c r="H12" s="7" t="s">
        <v>32</v>
      </c>
    </row>
    <row r="13" spans="2:9" x14ac:dyDescent="0.25">
      <c r="B13" s="5" t="s">
        <v>1</v>
      </c>
      <c r="C13" s="6" t="s">
        <v>0</v>
      </c>
      <c r="D13" s="20">
        <f>105*0.001</f>
        <v>0.105</v>
      </c>
      <c r="E13" s="20">
        <f t="shared" ref="E13:G13" si="0">105*0.001</f>
        <v>0.105</v>
      </c>
      <c r="F13" s="20">
        <f t="shared" si="0"/>
        <v>0.105</v>
      </c>
      <c r="G13" s="20">
        <f t="shared" si="0"/>
        <v>0.105</v>
      </c>
      <c r="H13" s="7" t="s">
        <v>30</v>
      </c>
      <c r="I13" t="s">
        <v>70</v>
      </c>
    </row>
    <row r="14" spans="2:9" ht="18" x14ac:dyDescent="0.35">
      <c r="B14" s="5" t="s">
        <v>2</v>
      </c>
      <c r="C14" s="6" t="s">
        <v>51</v>
      </c>
      <c r="D14" s="20">
        <f>308*0.001</f>
        <v>0.308</v>
      </c>
      <c r="E14" s="20">
        <f t="shared" ref="E14:G14" si="1">308*0.001</f>
        <v>0.308</v>
      </c>
      <c r="F14" s="20">
        <f t="shared" si="1"/>
        <v>0.308</v>
      </c>
      <c r="G14" s="20">
        <f t="shared" si="1"/>
        <v>0.308</v>
      </c>
      <c r="H14" s="7" t="s">
        <v>30</v>
      </c>
    </row>
    <row r="15" spans="2:9" ht="18" x14ac:dyDescent="0.35">
      <c r="B15" s="5" t="s">
        <v>27</v>
      </c>
      <c r="C15" s="6" t="s">
        <v>28</v>
      </c>
      <c r="D15" s="16">
        <v>6</v>
      </c>
      <c r="E15" s="16">
        <v>8</v>
      </c>
      <c r="F15" s="16">
        <v>10</v>
      </c>
      <c r="G15" s="16">
        <v>5</v>
      </c>
      <c r="H15" s="7"/>
    </row>
    <row r="16" spans="2:9" x14ac:dyDescent="0.25">
      <c r="B16" s="5" t="s">
        <v>13</v>
      </c>
      <c r="C16" s="6" t="s">
        <v>14</v>
      </c>
      <c r="D16" s="21">
        <f>D13*D15</f>
        <v>0.63</v>
      </c>
      <c r="E16" s="21">
        <f t="shared" ref="E16:G16" si="2">E13*E15</f>
        <v>0.84</v>
      </c>
      <c r="F16" s="21">
        <f t="shared" si="2"/>
        <v>1.05</v>
      </c>
      <c r="G16" s="21">
        <f t="shared" si="2"/>
        <v>0.52500000000000002</v>
      </c>
      <c r="H16" s="7" t="s">
        <v>30</v>
      </c>
    </row>
    <row r="17" spans="2:13" x14ac:dyDescent="0.25">
      <c r="B17" s="5" t="s">
        <v>8</v>
      </c>
      <c r="C17" s="6" t="s">
        <v>9</v>
      </c>
      <c r="D17" s="6">
        <v>0.7</v>
      </c>
      <c r="E17" s="6">
        <v>0.7</v>
      </c>
      <c r="F17" s="6">
        <v>0.7</v>
      </c>
      <c r="G17" s="6">
        <v>0.7</v>
      </c>
      <c r="H17" s="7"/>
    </row>
    <row r="18" spans="2:13" x14ac:dyDescent="0.25">
      <c r="B18" s="5" t="s">
        <v>11</v>
      </c>
      <c r="C18" s="6"/>
      <c r="D18" s="14">
        <f>D16*$C$4/(3.6*D17*D12/1000*$C$5)</f>
        <v>0.92592592592592593</v>
      </c>
      <c r="E18" s="14">
        <f>E16*$C$4/(3.6*E17*E12/1000*$C$5)</f>
        <v>1.5432098765432098</v>
      </c>
      <c r="F18" s="14">
        <f>F16*$C$4/(3.6*F17*F12/1000*$C$5)</f>
        <v>3.4722222222222219</v>
      </c>
      <c r="G18" s="14">
        <f>G16*$C$4/(3.6*G17*G12/1000*$C$5)</f>
        <v>1.7361111111111109</v>
      </c>
      <c r="H18" s="7" t="s">
        <v>31</v>
      </c>
    </row>
    <row r="19" spans="2:13" x14ac:dyDescent="0.25">
      <c r="B19" s="5"/>
      <c r="C19" s="6"/>
      <c r="D19" s="6"/>
      <c r="E19" s="6"/>
      <c r="F19" s="6"/>
      <c r="G19" s="6"/>
      <c r="H19" s="7"/>
    </row>
    <row r="20" spans="2:13" x14ac:dyDescent="0.25">
      <c r="B20" s="5"/>
      <c r="C20" s="6" t="s">
        <v>19</v>
      </c>
      <c r="D20" s="6">
        <v>12</v>
      </c>
      <c r="E20" s="6">
        <v>15</v>
      </c>
      <c r="F20" s="6">
        <v>18</v>
      </c>
      <c r="G20" s="6">
        <v>25</v>
      </c>
      <c r="H20" s="7"/>
      <c r="I20" s="36" t="s">
        <v>72</v>
      </c>
      <c r="J20" s="37"/>
      <c r="K20" s="37"/>
      <c r="L20" s="37"/>
    </row>
    <row r="21" spans="2:13" x14ac:dyDescent="0.25">
      <c r="B21" s="5"/>
      <c r="C21" s="6" t="s">
        <v>21</v>
      </c>
      <c r="D21" s="14">
        <f>D13/(2*PI()/D20)</f>
        <v>0.20053522829578813</v>
      </c>
      <c r="E21" s="14">
        <f>E13/(2*PI()/E20)</f>
        <v>0.25066903536973517</v>
      </c>
      <c r="F21" s="14">
        <f>F13/(2*PI()/F20)</f>
        <v>0.30080284244368222</v>
      </c>
      <c r="G21" s="14">
        <f>G13/(2*PI()/G20)</f>
        <v>0.41778172561622523</v>
      </c>
      <c r="H21" s="7" t="s">
        <v>30</v>
      </c>
    </row>
    <row r="22" spans="2:13" ht="15" customHeight="1" x14ac:dyDescent="0.25">
      <c r="B22" s="5" t="s">
        <v>71</v>
      </c>
      <c r="C22" s="33" t="s">
        <v>20</v>
      </c>
      <c r="D22" s="28">
        <f>(9.81*(D21/D18)^2-D21)/D21</f>
        <v>1.2946010876880731</v>
      </c>
      <c r="E22" s="28">
        <f>(9.81*(E21/E18)^2-E21)/E21</f>
        <v>3.2570489459633242E-2</v>
      </c>
      <c r="F22" s="28">
        <f>(9.81*(F21/F18)^2-F21)/F21</f>
        <v>-0.7552425506466055</v>
      </c>
      <c r="G22" s="28">
        <f>(9.81*(G21/G18)^2-G21)/G21</f>
        <v>0.3597636075188585</v>
      </c>
      <c r="H22" s="7"/>
      <c r="I22" s="1"/>
      <c r="M22" s="26"/>
    </row>
    <row r="23" spans="2:13" x14ac:dyDescent="0.25">
      <c r="B23" s="5"/>
      <c r="C23" s="34"/>
      <c r="D23" s="14">
        <f>9.81*(D21/D18)^2</f>
        <v>0.46014835296729151</v>
      </c>
      <c r="E23" s="14">
        <f>9.81*(E21/E18)^2</f>
        <v>0.25883344854410156</v>
      </c>
      <c r="F23" s="14">
        <f>9.81*(F21/F18)^2</f>
        <v>7.3623736474766666E-2</v>
      </c>
      <c r="G23" s="14">
        <f>9.81*(G21/G18)^2</f>
        <v>0.56808438637937231</v>
      </c>
      <c r="H23" s="7"/>
      <c r="I23" t="s">
        <v>73</v>
      </c>
    </row>
    <row r="24" spans="2:13" x14ac:dyDescent="0.25">
      <c r="B24" s="5"/>
      <c r="C24" s="35"/>
      <c r="D24" s="29" t="str">
        <f>IF(D22&lt;0,"centrifugo","gravitazionale")</f>
        <v>gravitazionale</v>
      </c>
      <c r="E24" s="29" t="str">
        <f t="shared" ref="E24:G24" si="3">IF(E22&lt;0,"centrifugo","gravitazionale")</f>
        <v>gravitazionale</v>
      </c>
      <c r="F24" s="29" t="str">
        <f t="shared" si="3"/>
        <v>centrifugo</v>
      </c>
      <c r="G24" s="29" t="str">
        <f t="shared" si="3"/>
        <v>gravitazionale</v>
      </c>
      <c r="H24" s="7"/>
    </row>
    <row r="25" spans="2:13" x14ac:dyDescent="0.25">
      <c r="B25" s="5" t="s">
        <v>22</v>
      </c>
      <c r="C25" s="6"/>
      <c r="D25" s="6"/>
      <c r="E25" s="6"/>
      <c r="F25" s="6"/>
      <c r="G25" s="6"/>
      <c r="H25" s="7"/>
    </row>
    <row r="26" spans="2:13" ht="18" x14ac:dyDescent="0.35">
      <c r="B26" s="17" t="s">
        <v>25</v>
      </c>
      <c r="C26" s="38" t="s">
        <v>78</v>
      </c>
      <c r="D26" s="16">
        <v>6</v>
      </c>
      <c r="E26" s="16">
        <v>15</v>
      </c>
      <c r="F26" s="16">
        <v>0</v>
      </c>
      <c r="G26" s="16">
        <v>3</v>
      </c>
      <c r="H26" s="7"/>
      <c r="I26" t="s">
        <v>77</v>
      </c>
    </row>
    <row r="27" spans="2:13" ht="18" x14ac:dyDescent="0.35">
      <c r="B27" s="5" t="s">
        <v>74</v>
      </c>
      <c r="C27" s="6" t="s">
        <v>53</v>
      </c>
      <c r="D27" s="6">
        <f>_xlfn.CEILING.MATH((2*$C$8)/D13)+D20+D26</f>
        <v>180</v>
      </c>
      <c r="E27" s="6">
        <f>_xlfn.CEILING.MATH((2*$C$8)/E13)+E20+E26</f>
        <v>192</v>
      </c>
      <c r="F27" s="6">
        <f>_xlfn.CEILING.MATH((2*$C$8)/F13)+F20+F26</f>
        <v>180</v>
      </c>
      <c r="G27" s="6">
        <f>_xlfn.CEILING.MATH((2*$C$8)/G13)+G20+G26</f>
        <v>190</v>
      </c>
      <c r="H27" s="7"/>
    </row>
    <row r="28" spans="2:13" ht="32.25" customHeight="1" x14ac:dyDescent="0.25">
      <c r="B28" s="18" t="s">
        <v>23</v>
      </c>
      <c r="C28" s="19" t="s">
        <v>54</v>
      </c>
      <c r="D28" s="19">
        <f>D27/D15</f>
        <v>30</v>
      </c>
      <c r="E28" s="19">
        <f>E27/E15</f>
        <v>24</v>
      </c>
      <c r="F28" s="19">
        <f>F27/F15</f>
        <v>18</v>
      </c>
      <c r="G28" s="19">
        <f>G27/G15</f>
        <v>38</v>
      </c>
      <c r="H28" s="7"/>
      <c r="I28" s="1" t="s">
        <v>24</v>
      </c>
    </row>
    <row r="29" spans="2:13" ht="18" x14ac:dyDescent="0.35">
      <c r="B29" s="5" t="s">
        <v>29</v>
      </c>
      <c r="C29" s="6" t="s">
        <v>55</v>
      </c>
      <c r="D29" s="14">
        <f>D27*D13</f>
        <v>18.899999999999999</v>
      </c>
      <c r="E29" s="14">
        <f>E27*E13</f>
        <v>20.16</v>
      </c>
      <c r="F29" s="14">
        <f>F27*F13</f>
        <v>18.899999999999999</v>
      </c>
      <c r="G29" s="14">
        <f>G27*G13</f>
        <v>19.95</v>
      </c>
      <c r="H29" s="7" t="s">
        <v>30</v>
      </c>
    </row>
    <row r="30" spans="2:13" ht="15.75" thickBot="1" x14ac:dyDescent="0.3">
      <c r="B30" s="8" t="s">
        <v>43</v>
      </c>
      <c r="C30" s="9"/>
      <c r="D30" s="15">
        <f>(D27-D20)*D13/2</f>
        <v>8.82</v>
      </c>
      <c r="E30" s="15">
        <f>(E27-E20)*E13/2</f>
        <v>9.2925000000000004</v>
      </c>
      <c r="F30" s="15">
        <f>(F27-F20)*F13/2</f>
        <v>8.504999999999999</v>
      </c>
      <c r="G30" s="15">
        <f>(G27-G20)*G13/2</f>
        <v>8.6624999999999996</v>
      </c>
      <c r="H30" s="10" t="s">
        <v>30</v>
      </c>
    </row>
    <row r="31" spans="2:13" ht="15.75" thickBot="1" x14ac:dyDescent="0.3"/>
    <row r="32" spans="2:13" ht="19.5" customHeight="1" x14ac:dyDescent="0.25">
      <c r="B32" s="30" t="s">
        <v>33</v>
      </c>
      <c r="C32" s="31"/>
      <c r="D32" s="31"/>
      <c r="E32" s="31"/>
      <c r="F32" s="31"/>
      <c r="G32" s="31"/>
      <c r="H32" s="32"/>
    </row>
    <row r="33" spans="2:8" ht="18" x14ac:dyDescent="0.35">
      <c r="B33" s="5" t="s">
        <v>35</v>
      </c>
      <c r="C33" s="6" t="s">
        <v>56</v>
      </c>
      <c r="D33" s="22">
        <v>2.5</v>
      </c>
      <c r="E33" s="22">
        <v>2.5</v>
      </c>
      <c r="F33" s="22">
        <v>2.5</v>
      </c>
      <c r="G33" s="22">
        <v>2.5</v>
      </c>
      <c r="H33" s="7" t="s">
        <v>34</v>
      </c>
    </row>
    <row r="34" spans="2:8" ht="18" x14ac:dyDescent="0.35">
      <c r="B34" s="5" t="s">
        <v>36</v>
      </c>
      <c r="C34" s="6" t="s">
        <v>57</v>
      </c>
      <c r="D34" s="22">
        <v>9</v>
      </c>
      <c r="E34" s="22">
        <v>9</v>
      </c>
      <c r="F34" s="22">
        <v>8</v>
      </c>
      <c r="G34" s="22">
        <v>8</v>
      </c>
      <c r="H34" s="7" t="s">
        <v>34</v>
      </c>
    </row>
    <row r="35" spans="2:8" ht="18" x14ac:dyDescent="0.35">
      <c r="B35" s="5" t="s">
        <v>42</v>
      </c>
      <c r="C35" s="6" t="s">
        <v>58</v>
      </c>
      <c r="D35" s="22">
        <v>50</v>
      </c>
      <c r="E35" s="22">
        <v>50</v>
      </c>
      <c r="F35" s="22">
        <v>50</v>
      </c>
      <c r="G35" s="22">
        <v>50</v>
      </c>
      <c r="H35" s="7" t="s">
        <v>34</v>
      </c>
    </row>
    <row r="36" spans="2:8" ht="18" x14ac:dyDescent="0.35">
      <c r="B36" s="5" t="s">
        <v>76</v>
      </c>
      <c r="C36" s="21" t="s">
        <v>59</v>
      </c>
      <c r="D36" s="40">
        <f>D33*D27/2*9.81</f>
        <v>2207.25</v>
      </c>
      <c r="E36" s="40">
        <f t="shared" ref="E36:F36" si="4">E33*E27/2*9.81</f>
        <v>2354.4</v>
      </c>
      <c r="F36" s="40">
        <f t="shared" si="4"/>
        <v>2207.25</v>
      </c>
      <c r="G36" s="40">
        <f>G33*G27/2*9.81</f>
        <v>2329.875</v>
      </c>
      <c r="H36" s="7" t="s">
        <v>26</v>
      </c>
    </row>
    <row r="37" spans="2:8" ht="18" x14ac:dyDescent="0.35">
      <c r="B37" s="5" t="s">
        <v>37</v>
      </c>
      <c r="C37" s="21" t="s">
        <v>60</v>
      </c>
      <c r="D37" s="40">
        <f>D34/2*D28*9.81</f>
        <v>1324.3500000000001</v>
      </c>
      <c r="E37" s="40">
        <f t="shared" ref="E37:F37" si="5">E34/2*E28*9.81</f>
        <v>1059.48</v>
      </c>
      <c r="F37" s="40">
        <f t="shared" si="5"/>
        <v>706.32</v>
      </c>
      <c r="G37" s="40">
        <f>G34/2*G28*9.81</f>
        <v>1491.1200000000001</v>
      </c>
      <c r="H37" s="7" t="s">
        <v>26</v>
      </c>
    </row>
    <row r="38" spans="2:8" ht="18" x14ac:dyDescent="0.35">
      <c r="B38" s="5" t="s">
        <v>41</v>
      </c>
      <c r="C38" s="21" t="s">
        <v>61</v>
      </c>
      <c r="D38" s="40">
        <f>D12/1000*$C$5*D28/2*9.81</f>
        <v>2383.83</v>
      </c>
      <c r="E38" s="40">
        <f t="shared" ref="E38:F38" si="6">E12/1000*$C$5*E28/2*9.81</f>
        <v>1525.6511999999998</v>
      </c>
      <c r="F38" s="40">
        <f t="shared" si="6"/>
        <v>635.68799999999999</v>
      </c>
      <c r="G38" s="40">
        <f>G12/1000*$C$5*G28/2*9.81</f>
        <v>1342.0080000000003</v>
      </c>
      <c r="H38" s="7" t="s">
        <v>26</v>
      </c>
    </row>
    <row r="39" spans="2:8" ht="18" x14ac:dyDescent="0.35">
      <c r="B39" s="5" t="s">
        <v>75</v>
      </c>
      <c r="C39" s="21" t="s">
        <v>62</v>
      </c>
      <c r="D39" s="40">
        <f>D35*9.81</f>
        <v>490.5</v>
      </c>
      <c r="E39" s="40">
        <f t="shared" ref="E39:F39" si="7">E35*9.81</f>
        <v>490.5</v>
      </c>
      <c r="F39" s="40">
        <f t="shared" si="7"/>
        <v>490.5</v>
      </c>
      <c r="G39" s="40">
        <f>G35*9.81</f>
        <v>490.5</v>
      </c>
      <c r="H39" s="7" t="s">
        <v>26</v>
      </c>
    </row>
    <row r="40" spans="2:8" ht="18" x14ac:dyDescent="0.35">
      <c r="B40" s="5" t="s">
        <v>39</v>
      </c>
      <c r="C40" s="21" t="s">
        <v>64</v>
      </c>
      <c r="D40" s="40">
        <v>1000</v>
      </c>
      <c r="E40" s="40">
        <v>1000</v>
      </c>
      <c r="F40" s="40">
        <v>1000</v>
      </c>
      <c r="G40" s="40">
        <v>1000</v>
      </c>
      <c r="H40" s="7" t="s">
        <v>26</v>
      </c>
    </row>
    <row r="41" spans="2:8" ht="18" x14ac:dyDescent="0.35">
      <c r="B41" s="5" t="s">
        <v>38</v>
      </c>
      <c r="C41" s="21" t="s">
        <v>63</v>
      </c>
      <c r="D41" s="40">
        <f>0.05*SUM(D36:D40)</f>
        <v>370.29650000000004</v>
      </c>
      <c r="E41" s="40">
        <f t="shared" ref="E41:F41" si="8">0.05*SUM(E36:E40)</f>
        <v>321.50155999999998</v>
      </c>
      <c r="F41" s="40">
        <f t="shared" si="8"/>
        <v>251.9879</v>
      </c>
      <c r="G41" s="40">
        <f>0.05*SUM(G36:G40)</f>
        <v>332.67515000000003</v>
      </c>
      <c r="H41" s="7" t="s">
        <v>26</v>
      </c>
    </row>
    <row r="42" spans="2:8" ht="18" x14ac:dyDescent="0.35">
      <c r="B42" s="5" t="s">
        <v>40</v>
      </c>
      <c r="C42" s="21" t="s">
        <v>65</v>
      </c>
      <c r="D42" s="40">
        <f>1.4*$C$4*9.81</f>
        <v>824.04000000000008</v>
      </c>
      <c r="E42" s="40">
        <f t="shared" ref="E42:F42" si="9">1.4*$C$4*9.81</f>
        <v>824.04000000000008</v>
      </c>
      <c r="F42" s="40">
        <f t="shared" si="9"/>
        <v>824.04000000000008</v>
      </c>
      <c r="G42" s="40">
        <f>1.4*$C$4*9.81</f>
        <v>824.04000000000008</v>
      </c>
      <c r="H42" s="27" t="s">
        <v>26</v>
      </c>
    </row>
    <row r="43" spans="2:8" ht="18" x14ac:dyDescent="0.35">
      <c r="B43" s="5" t="s">
        <v>45</v>
      </c>
      <c r="C43" s="21" t="s">
        <v>66</v>
      </c>
      <c r="D43" s="14">
        <f>(D36+D37/2+D38/2+D39+D40/2+D41/2+D42/2)*0.001</f>
        <v>5.6490082500000005</v>
      </c>
      <c r="E43" s="14">
        <f t="shared" ref="E43:F43" si="10">(E36+E37/2+E38/2+E39+E40/2+E41/2+E42/2)*0.001</f>
        <v>5.2102363800000013</v>
      </c>
      <c r="F43" s="14">
        <f t="shared" si="10"/>
        <v>4.4067679500000008</v>
      </c>
      <c r="G43" s="14">
        <f>(G36+G37/2+G38/2+G39+G40/2+G41/2+G42/2)*0.001</f>
        <v>5.3152965750000005</v>
      </c>
      <c r="H43" s="7" t="s">
        <v>46</v>
      </c>
    </row>
    <row r="44" spans="2:8" ht="18" x14ac:dyDescent="0.35">
      <c r="B44" s="5" t="s">
        <v>47</v>
      </c>
      <c r="C44" s="21" t="s">
        <v>67</v>
      </c>
      <c r="D44" s="14">
        <f>(D38+D41+D42)*0.001</f>
        <v>3.5781665</v>
      </c>
      <c r="E44" s="14">
        <f>(E38+E41+E42)*0.001</f>
        <v>2.6711927599999998</v>
      </c>
      <c r="F44" s="14">
        <f>(F38+F41+F42)*0.001</f>
        <v>1.7117159000000002</v>
      </c>
      <c r="G44" s="14">
        <f>(G38+G41+G42)*0.001</f>
        <v>2.4987231500000004</v>
      </c>
      <c r="H44" s="7" t="s">
        <v>46</v>
      </c>
    </row>
    <row r="45" spans="2:8" x14ac:dyDescent="0.25">
      <c r="B45" s="5"/>
      <c r="C45" s="6"/>
      <c r="D45" s="6"/>
      <c r="E45" s="6"/>
      <c r="F45" s="6"/>
      <c r="G45" s="6"/>
      <c r="H45" s="7"/>
    </row>
    <row r="46" spans="2:8" ht="18" x14ac:dyDescent="0.35">
      <c r="B46" s="25"/>
      <c r="C46" s="6" t="s">
        <v>68</v>
      </c>
      <c r="D46" s="20">
        <v>0.9</v>
      </c>
      <c r="E46" s="20">
        <v>0.9</v>
      </c>
      <c r="F46" s="20">
        <v>0.9</v>
      </c>
      <c r="G46" s="20">
        <v>0.9</v>
      </c>
      <c r="H46" s="7"/>
    </row>
    <row r="47" spans="2:8" ht="18" x14ac:dyDescent="0.35">
      <c r="B47" s="25"/>
      <c r="C47" s="6" t="s">
        <v>69</v>
      </c>
      <c r="D47" s="20">
        <v>0.8</v>
      </c>
      <c r="E47" s="20">
        <v>0.8</v>
      </c>
      <c r="F47" s="20">
        <v>0.8</v>
      </c>
      <c r="G47" s="20">
        <v>0.8</v>
      </c>
      <c r="H47" s="7"/>
    </row>
    <row r="48" spans="2:8" ht="15.75" thickBot="1" x14ac:dyDescent="0.3">
      <c r="B48" s="8"/>
      <c r="C48" s="9" t="s">
        <v>48</v>
      </c>
      <c r="D48" s="15">
        <f>D44*D18/(D46*D47)</f>
        <v>4.6015515689300406</v>
      </c>
      <c r="E48" s="15">
        <f>E44*E18/(E46*E47)</f>
        <v>5.7252931241426603</v>
      </c>
      <c r="F48" s="39">
        <f>F44*F18/(F46*F47)</f>
        <v>8.2548027584876547</v>
      </c>
      <c r="G48" s="15">
        <f>G44*G18/(G46*G47)</f>
        <v>6.0250847559799379</v>
      </c>
      <c r="H48" s="10" t="s">
        <v>49</v>
      </c>
    </row>
    <row r="49" spans="2:8" ht="15.75" thickBot="1" x14ac:dyDescent="0.3"/>
    <row r="50" spans="2:8" ht="21" customHeight="1" x14ac:dyDescent="0.3">
      <c r="B50" s="43" t="s">
        <v>79</v>
      </c>
      <c r="C50" s="44"/>
      <c r="D50" s="44"/>
      <c r="E50" s="44"/>
      <c r="F50" s="44"/>
      <c r="G50" s="44"/>
      <c r="H50" s="45"/>
    </row>
    <row r="51" spans="2:8" ht="18" x14ac:dyDescent="0.35">
      <c r="B51" s="5" t="s">
        <v>80</v>
      </c>
      <c r="C51" s="6" t="s">
        <v>83</v>
      </c>
      <c r="D51" s="6">
        <v>350</v>
      </c>
      <c r="E51" s="6">
        <v>350</v>
      </c>
      <c r="F51" s="6">
        <v>350</v>
      </c>
      <c r="G51" s="6">
        <v>350</v>
      </c>
      <c r="H51" s="7" t="s">
        <v>46</v>
      </c>
    </row>
    <row r="52" spans="2:8" ht="18" x14ac:dyDescent="0.35">
      <c r="B52" s="5" t="s">
        <v>45</v>
      </c>
      <c r="C52" s="21" t="s">
        <v>66</v>
      </c>
      <c r="D52" s="14">
        <f>D43</f>
        <v>5.6490082500000005</v>
      </c>
      <c r="E52" s="14">
        <f>E43</f>
        <v>5.2102363800000013</v>
      </c>
      <c r="F52" s="14">
        <f>F43</f>
        <v>4.4067679500000008</v>
      </c>
      <c r="G52" s="14">
        <f>G43</f>
        <v>5.3152965750000005</v>
      </c>
      <c r="H52" s="7" t="s">
        <v>46</v>
      </c>
    </row>
    <row r="53" spans="2:8" x14ac:dyDescent="0.25">
      <c r="B53" s="5" t="s">
        <v>81</v>
      </c>
      <c r="C53" s="6" t="s">
        <v>82</v>
      </c>
      <c r="D53" s="6">
        <v>10</v>
      </c>
      <c r="E53" s="6">
        <v>10</v>
      </c>
      <c r="F53" s="6">
        <v>10</v>
      </c>
      <c r="G53" s="6">
        <v>10</v>
      </c>
      <c r="H53" s="7"/>
    </row>
    <row r="54" spans="2:8" x14ac:dyDescent="0.25">
      <c r="B54" s="5"/>
      <c r="C54" s="6"/>
      <c r="D54" s="6"/>
      <c r="E54" s="6"/>
      <c r="F54" s="6"/>
      <c r="G54" s="6"/>
      <c r="H54" s="7"/>
    </row>
    <row r="55" spans="2:8" ht="18.75" thickBot="1" x14ac:dyDescent="0.4">
      <c r="B55" s="41" t="s">
        <v>84</v>
      </c>
      <c r="C55" s="9"/>
      <c r="D55" s="42">
        <f>D52*D53</f>
        <v>56.490082500000007</v>
      </c>
      <c r="E55" s="42">
        <f>E52*E53</f>
        <v>52.102363800000013</v>
      </c>
      <c r="F55" s="42">
        <f>F52*F53</f>
        <v>44.067679500000011</v>
      </c>
      <c r="G55" s="42">
        <f>G52*G53</f>
        <v>53.152965750000007</v>
      </c>
      <c r="H55" s="10"/>
    </row>
  </sheetData>
  <mergeCells count="4">
    <mergeCell ref="B32:H32"/>
    <mergeCell ref="C22:C24"/>
    <mergeCell ref="I20:L20"/>
    <mergeCell ref="B50:H50"/>
  </mergeCells>
  <conditionalFormatting sqref="D55:G55">
    <cfRule type="expression" dxfId="1" priority="2">
      <formula>D55&lt;D51</formula>
    </cfRule>
  </conditionalFormatting>
  <conditionalFormatting sqref="D55:G55">
    <cfRule type="expression" dxfId="0" priority="1">
      <formula>D55&gt;D51</formula>
    </cfRule>
  </conditionalFormatting>
  <pageMargins left="0.7" right="0.7" top="0.75" bottom="0.75" header="0.3" footer="0.3"/>
  <pageSetup paperSize="9" scale="6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cp:lastPrinted>2021-02-09T09:22:15Z</cp:lastPrinted>
  <dcterms:created xsi:type="dcterms:W3CDTF">2021-02-08T16:02:24Z</dcterms:created>
  <dcterms:modified xsi:type="dcterms:W3CDTF">2021-02-13T16:42:59Z</dcterms:modified>
</cp:coreProperties>
</file>