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NastroTrasportatore\"/>
    </mc:Choice>
  </mc:AlternateContent>
  <xr:revisionPtr revIDLastSave="0" documentId="13_ncr:1_{CB152389-F559-4B85-982A-2BEB4C81A60F}" xr6:coauthVersionLast="46" xr6:coauthVersionMax="46" xr10:uidLastSave="{00000000-0000-0000-0000-000000000000}"/>
  <bookViews>
    <workbookView xWindow="-120" yWindow="-120" windowWidth="29040" windowHeight="15840" activeTab="1" xr2:uid="{38F28402-0782-459F-A055-4B2B36D37780}"/>
  </bookViews>
  <sheets>
    <sheet name="Tabelle" sheetId="2" r:id="rId1"/>
    <sheet name="Design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3" l="1"/>
  <c r="D66" i="3"/>
  <c r="C66" i="3"/>
  <c r="C55" i="3"/>
  <c r="C52" i="3"/>
  <c r="C45" i="3"/>
  <c r="C44" i="3"/>
  <c r="C40" i="3"/>
  <c r="C38" i="3"/>
  <c r="C37" i="3"/>
  <c r="C32" i="3"/>
  <c r="C30" i="3"/>
  <c r="C29" i="3"/>
  <c r="C28" i="3"/>
  <c r="C25" i="3"/>
  <c r="C11" i="3"/>
  <c r="C7" i="3"/>
  <c r="C24" i="3"/>
  <c r="F22" i="2"/>
  <c r="F23" i="2"/>
  <c r="F24" i="2"/>
  <c r="F25" i="2"/>
  <c r="F26" i="2"/>
  <c r="F27" i="2"/>
  <c r="F21" i="2"/>
  <c r="E22" i="2"/>
  <c r="E23" i="2"/>
  <c r="E24" i="2"/>
  <c r="E25" i="2"/>
  <c r="E26" i="2"/>
  <c r="E27" i="2"/>
  <c r="E21" i="2"/>
  <c r="C19" i="3"/>
  <c r="C15" i="3"/>
  <c r="C16" i="3"/>
  <c r="C17" i="3"/>
  <c r="C18" i="3"/>
  <c r="C14" i="3"/>
  <c r="D62" i="3"/>
  <c r="C62" i="3"/>
  <c r="C31" i="3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D19" i="3" l="1"/>
  <c r="C56" i="3" s="1"/>
  <c r="D64" i="3" s="1"/>
  <c r="C26" i="3"/>
  <c r="C27" i="3"/>
  <c r="D16" i="3"/>
  <c r="D17" i="3"/>
  <c r="D14" i="3"/>
  <c r="D18" i="3"/>
  <c r="D15" i="3"/>
  <c r="C47" i="3" l="1"/>
</calcChain>
</file>

<file path=xl/sharedStrings.xml><?xml version="1.0" encoding="utf-8"?>
<sst xmlns="http://schemas.openxmlformats.org/spreadsheetml/2006/main" count="104" uniqueCount="84">
  <si>
    <t>Q</t>
  </si>
  <si>
    <t>L</t>
  </si>
  <si>
    <t>DH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</si>
  <si>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v</t>
    </r>
  </si>
  <si>
    <t>v</t>
  </si>
  <si>
    <t>f</t>
  </si>
  <si>
    <t>r1</t>
  </si>
  <si>
    <t>qs</t>
  </si>
  <si>
    <t>N</t>
  </si>
  <si>
    <t>r1'</t>
  </si>
  <si>
    <t>r1''</t>
  </si>
  <si>
    <t>r2</t>
  </si>
  <si>
    <t>r3</t>
  </si>
  <si>
    <t>r4</t>
  </si>
  <si>
    <t>r5</t>
  </si>
  <si>
    <t>P</t>
  </si>
  <si>
    <r>
      <t>η</t>
    </r>
    <r>
      <rPr>
        <vertAlign val="subscript"/>
        <sz val="11"/>
        <color theme="1"/>
        <rFont val="Calibri"/>
        <family val="2"/>
      </rPr>
      <t>el</t>
    </r>
  </si>
  <si>
    <r>
      <t>η</t>
    </r>
    <r>
      <rPr>
        <vertAlign val="subscript"/>
        <sz val="11"/>
        <color theme="1"/>
        <rFont val="Calibri"/>
        <family val="2"/>
      </rPr>
      <t>m</t>
    </r>
  </si>
  <si>
    <t>rad/s</t>
  </si>
  <si>
    <t>rpm</t>
  </si>
  <si>
    <t>I</t>
  </si>
  <si>
    <t>A</t>
  </si>
  <si>
    <t>T</t>
  </si>
  <si>
    <t>alpha</t>
  </si>
  <si>
    <t>mu</t>
  </si>
  <si>
    <t>t</t>
  </si>
  <si>
    <t>°</t>
  </si>
  <si>
    <t>W</t>
  </si>
  <si>
    <t>Tele</t>
  </si>
  <si>
    <t xml:space="preserve">n </t>
  </si>
  <si>
    <r>
      <t>γ</t>
    </r>
    <r>
      <rPr>
        <vertAlign val="subscript"/>
        <sz val="11"/>
        <color theme="1"/>
        <rFont val="Times New Roman"/>
        <family val="1"/>
      </rPr>
      <t>m</t>
    </r>
  </si>
  <si>
    <t>t/h</t>
  </si>
  <si>
    <t>m</t>
  </si>
  <si>
    <t>Dati</t>
  </si>
  <si>
    <t>kg/m3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</si>
  <si>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[m2]</t>
    </r>
  </si>
  <si>
    <t>B [mm]</t>
  </si>
  <si>
    <t>kg/m</t>
  </si>
  <si>
    <t>n. piano</t>
  </si>
  <si>
    <t>n. a conca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</si>
  <si>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</si>
  <si>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Q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/h]</t>
    </r>
  </si>
  <si>
    <t>Q [t/h]</t>
  </si>
  <si>
    <t>ρ</t>
  </si>
  <si>
    <t>m/s</t>
  </si>
  <si>
    <t>Tabella 22.VI pag 213 pdf Monte</t>
  </si>
  <si>
    <t xml:space="preserve">Densità </t>
  </si>
  <si>
    <t>Velocità</t>
  </si>
  <si>
    <t>B [m]</t>
  </si>
  <si>
    <t>Resistenze</t>
  </si>
  <si>
    <t>Sezione - Velocità</t>
  </si>
  <si>
    <t>Tensioni</t>
  </si>
  <si>
    <t>kg</t>
  </si>
  <si>
    <t>Verifiche</t>
  </si>
  <si>
    <t>Tensione minima</t>
  </si>
  <si>
    <r>
      <t>t</t>
    </r>
    <r>
      <rPr>
        <vertAlign val="subscript"/>
        <sz val="11"/>
        <color theme="1"/>
        <rFont val="Calibri"/>
        <family val="2"/>
        <scheme val="minor"/>
      </rPr>
      <t>min</t>
    </r>
  </si>
  <si>
    <t>K</t>
  </si>
  <si>
    <t>N/mm</t>
  </si>
  <si>
    <t>Da tab 22.XIII</t>
  </si>
  <si>
    <t>Da Monte pag 217</t>
  </si>
  <si>
    <t>v [m/s]</t>
  </si>
  <si>
    <t>p</t>
  </si>
  <si>
    <t>pendenza</t>
  </si>
  <si>
    <t>Potenza</t>
  </si>
  <si>
    <t>kW</t>
  </si>
  <si>
    <t>coppie polari</t>
  </si>
  <si>
    <t>rpm th</t>
  </si>
  <si>
    <t xml:space="preserve">rpm </t>
  </si>
  <si>
    <t>V</t>
  </si>
  <si>
    <t>Scelta motore elettrico</t>
  </si>
  <si>
    <t>ω</t>
  </si>
  <si>
    <t>s</t>
  </si>
  <si>
    <t>scorrimento</t>
  </si>
  <si>
    <t>Rapporto di riduzione</t>
  </si>
  <si>
    <r>
      <t>D</t>
    </r>
    <r>
      <rPr>
        <vertAlign val="subscript"/>
        <sz val="11"/>
        <color theme="1"/>
        <rFont val="Calibri"/>
        <family val="2"/>
        <scheme val="minor"/>
      </rPr>
      <t>p</t>
    </r>
  </si>
  <si>
    <r>
      <t xml:space="preserve">cos </t>
    </r>
    <r>
      <rPr>
        <sz val="11"/>
        <color theme="1"/>
        <rFont val="Calibri"/>
        <family val="2"/>
      </rPr>
      <t>φ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</si>
  <si>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</si>
  <si>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Tipo</t>
  </si>
  <si>
    <t>1 - piano, 2 - conca</t>
  </si>
  <si>
    <t>Vmax [m/s]</t>
  </si>
  <si>
    <t>V [m/s]</t>
  </si>
  <si>
    <t>non abrasivo</t>
  </si>
  <si>
    <t>abrasivo</t>
  </si>
  <si>
    <t>Tabella 22.X Velocità massime e velocità consigliate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</si>
</sst>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10" fontId="0" fillId="0" borderId="0" xfId="1" applyNumberFormat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10" fontId="0" fillId="0" borderId="7" xfId="1" applyNumberFormat="1" applyFont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/>
    <xf numFmtId="0" fontId="5" fillId="0" borderId="4" xfId="0" applyFont="1" applyBorder="1"/>
    <xf numFmtId="0" fontId="10" fillId="0" borderId="4" xfId="0" applyFont="1" applyBorder="1"/>
    <xf numFmtId="0" fontId="3" fillId="0" borderId="4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1" applyNumberFormat="1" applyFont="1" applyBorder="1"/>
    <xf numFmtId="2" fontId="0" fillId="0" borderId="7" xfId="0" applyNumberFormat="1" applyBorder="1"/>
    <xf numFmtId="0" fontId="0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6" fillId="2" borderId="4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7" xfId="0" applyBorder="1" applyAlignment="1">
      <alignment horizontal="center"/>
    </xf>
    <xf numFmtId="0" fontId="11" fillId="0" borderId="0" xfId="0" applyFont="1"/>
    <xf numFmtId="0" fontId="3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Design1!$B$25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Design1!$C$25</c:f>
              <c:numCache>
                <c:formatCode>General</c:formatCode>
                <c:ptCount val="1"/>
                <c:pt idx="0">
                  <c:v>6474.5999999999995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F-4783-9BBC-3E964D4138C8}"/>
            </c:ext>
          </c:extLst>
        </c:ser>
        <c:ser>
          <c:idx val="1"/>
          <c:order val="1"/>
          <c:tx>
            <c:strRef>
              <c:f>Design1!$B$28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Design1!$C$28</c:f>
              <c:numCache>
                <c:formatCode>General</c:formatCode>
                <c:ptCount val="1"/>
                <c:pt idx="0">
                  <c:v>6371.3274545454551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F-4783-9BBC-3E964D4138C8}"/>
            </c:ext>
          </c:extLst>
        </c:ser>
        <c:ser>
          <c:idx val="2"/>
          <c:order val="2"/>
          <c:tx>
            <c:strRef>
              <c:f>Design1!$B$29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Design1!$C$29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F-4783-9BBC-3E964D4138C8}"/>
            </c:ext>
          </c:extLst>
        </c:ser>
        <c:ser>
          <c:idx val="3"/>
          <c:order val="3"/>
          <c:tx>
            <c:strRef>
              <c:f>Design1!$B$30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Design1!$C$30</c:f>
              <c:numCache>
                <c:formatCode>General</c:formatCode>
                <c:ptCount val="1"/>
                <c:pt idx="0">
                  <c:v>6.1058554772727289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8F-4783-9BBC-3E964D4138C8}"/>
            </c:ext>
          </c:extLst>
        </c:ser>
        <c:ser>
          <c:idx val="4"/>
          <c:order val="4"/>
          <c:tx>
            <c:strRef>
              <c:f>Design1!$B$31</c:f>
              <c:strCache>
                <c:ptCount val="1"/>
                <c:pt idx="0">
                  <c:v>r5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Design1!$C$31</c:f>
              <c:numCache>
                <c:formatCode>General</c:formatCode>
                <c:ptCount val="1"/>
                <c:pt idx="0">
                  <c:v>735.75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8F-4783-9BBC-3E964D41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910191"/>
        <c:axId val="816908111"/>
        <c:axId val="0"/>
      </c:bar3DChart>
      <c:catAx>
        <c:axId val="8169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908111"/>
        <c:crosses val="autoZero"/>
        <c:auto val="1"/>
        <c:lblAlgn val="ctr"/>
        <c:lblOffset val="100"/>
        <c:noMultiLvlLbl val="0"/>
      </c:catAx>
      <c:valAx>
        <c:axId val="8169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Rtot</a:t>
                </a:r>
                <a:r>
                  <a:rPr lang="en-US" baseline="0"/>
                  <a:t>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9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1269066</xdr:colOff>
      <xdr:row>13</xdr:row>
      <xdr:rowOff>11768</xdr:rowOff>
    </xdr:from>
    <xdr:to>
      <xdr:col>10</xdr:col>
      <xdr:colOff>87966</xdr:colOff>
      <xdr:row>32</xdr:row>
      <xdr:rowOff>35579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2D3307-F5FA-4AAF-AAB9-659126086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A19D-7EF9-4769-A59A-7611C17DFC04}">
  <dimension ref="B1:J27"/>
  <sheetViews>
    <sheetView workbookViewId="0">
      <selection activeCell="J17" sqref="J17"/>
    </sheetView>
  </sheetViews>
  <sheetFormatPr defaultRowHeight="15" x14ac:dyDescent="0.25"/>
  <cols>
    <col min="2" max="6" width="12.7109375" customWidth="1"/>
  </cols>
  <sheetData>
    <row r="1" spans="2:6" ht="15.75" thickBot="1" x14ac:dyDescent="0.3"/>
    <row r="2" spans="2:6" ht="19.5" thickBot="1" x14ac:dyDescent="0.35">
      <c r="B2" s="41" t="s">
        <v>45</v>
      </c>
      <c r="C2" s="42"/>
      <c r="D2" s="42"/>
      <c r="E2" s="42"/>
      <c r="F2" s="43"/>
    </row>
    <row r="3" spans="2:6" x14ac:dyDescent="0.25">
      <c r="B3" s="2"/>
      <c r="C3" s="3"/>
      <c r="D3" s="3"/>
      <c r="E3" s="3"/>
      <c r="F3" s="4"/>
    </row>
    <row r="4" spans="2:6" ht="17.25" x14ac:dyDescent="0.25">
      <c r="B4" s="2" t="s">
        <v>46</v>
      </c>
      <c r="C4" s="38" t="s">
        <v>43</v>
      </c>
      <c r="D4" s="3">
        <v>1800</v>
      </c>
      <c r="E4" s="3" t="s">
        <v>40</v>
      </c>
      <c r="F4" s="4"/>
    </row>
    <row r="5" spans="2:6" x14ac:dyDescent="0.25">
      <c r="B5" s="2" t="s">
        <v>47</v>
      </c>
      <c r="C5" s="3" t="s">
        <v>4</v>
      </c>
      <c r="D5" s="3">
        <v>1</v>
      </c>
      <c r="E5" s="3" t="s">
        <v>44</v>
      </c>
      <c r="F5" s="4"/>
    </row>
    <row r="6" spans="2:6" ht="15.75" thickBot="1" x14ac:dyDescent="0.3">
      <c r="B6" s="2"/>
      <c r="C6" s="3"/>
      <c r="D6" s="3"/>
      <c r="E6" s="3"/>
      <c r="F6" s="4"/>
    </row>
    <row r="7" spans="2:6" ht="17.25" x14ac:dyDescent="0.25">
      <c r="B7" s="8"/>
      <c r="C7" s="39" t="s">
        <v>41</v>
      </c>
      <c r="D7" s="39"/>
      <c r="E7" s="39" t="s">
        <v>42</v>
      </c>
      <c r="F7" s="40"/>
    </row>
    <row r="8" spans="2:6" x14ac:dyDescent="0.25">
      <c r="B8" s="21" t="s">
        <v>48</v>
      </c>
      <c r="C8" s="22" t="s">
        <v>38</v>
      </c>
      <c r="D8" s="22" t="s">
        <v>39</v>
      </c>
      <c r="E8" s="22" t="s">
        <v>38</v>
      </c>
      <c r="F8" s="23" t="s">
        <v>39</v>
      </c>
    </row>
    <row r="9" spans="2:6" x14ac:dyDescent="0.25">
      <c r="B9" s="2">
        <v>0.3</v>
      </c>
      <c r="C9" s="3">
        <f>$D$5*12</f>
        <v>12</v>
      </c>
      <c r="D9" s="3">
        <f>$D$5*20</f>
        <v>20</v>
      </c>
      <c r="E9" s="3">
        <f>C9*$D$4*0.001</f>
        <v>21.6</v>
      </c>
      <c r="F9" s="4">
        <f>D9*$D$4*0.001</f>
        <v>36</v>
      </c>
    </row>
    <row r="10" spans="2:6" x14ac:dyDescent="0.25">
      <c r="B10" s="2">
        <v>0.4</v>
      </c>
      <c r="C10" s="3">
        <f>$D$5*23</f>
        <v>23</v>
      </c>
      <c r="D10" s="3">
        <f>$D$5*42</f>
        <v>42</v>
      </c>
      <c r="E10" s="3">
        <f t="shared" ref="E10:E15" si="0">C10*$D$4*0.001</f>
        <v>41.4</v>
      </c>
      <c r="F10" s="4">
        <f t="shared" ref="F10:F15" si="1">D10*$D$4*0.001</f>
        <v>75.600000000000009</v>
      </c>
    </row>
    <row r="11" spans="2:6" x14ac:dyDescent="0.25">
      <c r="B11" s="2">
        <v>0.5</v>
      </c>
      <c r="C11" s="3">
        <f>$D$5*38</f>
        <v>38</v>
      </c>
      <c r="D11" s="3">
        <f>$D$5*70</f>
        <v>70</v>
      </c>
      <c r="E11" s="3">
        <f t="shared" si="0"/>
        <v>68.400000000000006</v>
      </c>
      <c r="F11" s="4">
        <f t="shared" si="1"/>
        <v>126</v>
      </c>
    </row>
    <row r="12" spans="2:6" x14ac:dyDescent="0.25">
      <c r="B12" s="2">
        <v>0.65</v>
      </c>
      <c r="C12" s="3">
        <f>$D$5*69</f>
        <v>69</v>
      </c>
      <c r="D12" s="3">
        <f>$D$5*126</f>
        <v>126</v>
      </c>
      <c r="E12" s="3">
        <f t="shared" si="0"/>
        <v>124.2</v>
      </c>
      <c r="F12" s="4">
        <f t="shared" si="1"/>
        <v>226.8</v>
      </c>
    </row>
    <row r="13" spans="2:6" x14ac:dyDescent="0.25">
      <c r="B13" s="2">
        <v>0.8</v>
      </c>
      <c r="C13" s="3">
        <f>$D$5*108</f>
        <v>108</v>
      </c>
      <c r="D13" s="3">
        <f>$D$5*197</f>
        <v>197</v>
      </c>
      <c r="E13" s="3">
        <f t="shared" si="0"/>
        <v>194.4</v>
      </c>
      <c r="F13" s="4">
        <f t="shared" si="1"/>
        <v>354.6</v>
      </c>
    </row>
    <row r="14" spans="2:6" x14ac:dyDescent="0.25">
      <c r="B14" s="2">
        <v>1</v>
      </c>
      <c r="C14" s="3">
        <f>$D$5*173</f>
        <v>173</v>
      </c>
      <c r="D14" s="3">
        <f>$D$5*318</f>
        <v>318</v>
      </c>
      <c r="E14" s="3">
        <f t="shared" si="0"/>
        <v>311.40000000000003</v>
      </c>
      <c r="F14" s="4">
        <f t="shared" si="1"/>
        <v>572.4</v>
      </c>
    </row>
    <row r="15" spans="2:6" ht="15.75" thickBot="1" x14ac:dyDescent="0.3">
      <c r="B15" s="5">
        <v>1.2</v>
      </c>
      <c r="C15" s="6">
        <f>$D$5*255</f>
        <v>255</v>
      </c>
      <c r="D15" s="6">
        <f>$D$5*467</f>
        <v>467</v>
      </c>
      <c r="E15" s="6">
        <f t="shared" si="0"/>
        <v>459</v>
      </c>
      <c r="F15" s="7">
        <f t="shared" si="1"/>
        <v>840.6</v>
      </c>
    </row>
    <row r="17" spans="2:10" ht="15.75" thickBot="1" x14ac:dyDescent="0.3">
      <c r="J17" s="37"/>
    </row>
    <row r="18" spans="2:10" ht="20.100000000000001" customHeight="1" thickBot="1" x14ac:dyDescent="0.35">
      <c r="B18" s="41" t="s">
        <v>83</v>
      </c>
      <c r="C18" s="42"/>
      <c r="D18" s="42"/>
      <c r="E18" s="42"/>
      <c r="F18" s="43"/>
    </row>
    <row r="19" spans="2:10" x14ac:dyDescent="0.25">
      <c r="B19" s="14" t="s">
        <v>48</v>
      </c>
      <c r="C19" s="44" t="s">
        <v>79</v>
      </c>
      <c r="D19" s="44"/>
      <c r="E19" s="44" t="s">
        <v>80</v>
      </c>
      <c r="F19" s="45"/>
    </row>
    <row r="20" spans="2:10" x14ac:dyDescent="0.25">
      <c r="B20" s="14"/>
      <c r="C20" s="15" t="s">
        <v>82</v>
      </c>
      <c r="D20" s="15" t="s">
        <v>81</v>
      </c>
      <c r="E20" s="15" t="s">
        <v>82</v>
      </c>
      <c r="F20" s="16" t="s">
        <v>81</v>
      </c>
    </row>
    <row r="21" spans="2:10" x14ac:dyDescent="0.25">
      <c r="B21" s="2">
        <v>0.3</v>
      </c>
      <c r="C21" s="3">
        <v>1.5</v>
      </c>
      <c r="D21" s="3">
        <v>2</v>
      </c>
      <c r="E21" s="3">
        <f>C21*0.7</f>
        <v>1.0499999999999998</v>
      </c>
      <c r="F21" s="4">
        <f>D21*0.7</f>
        <v>1.4</v>
      </c>
    </row>
    <row r="22" spans="2:10" x14ac:dyDescent="0.25">
      <c r="B22" s="2">
        <v>0.4</v>
      </c>
      <c r="C22" s="3">
        <v>1.5</v>
      </c>
      <c r="D22" s="3">
        <v>2.25</v>
      </c>
      <c r="E22" s="3">
        <f t="shared" ref="E22:E27" si="2">C22*0.7</f>
        <v>1.0499999999999998</v>
      </c>
      <c r="F22" s="4">
        <f t="shared" ref="F22:F27" si="3">D22*0.7</f>
        <v>1.575</v>
      </c>
    </row>
    <row r="23" spans="2:10" x14ac:dyDescent="0.25">
      <c r="B23" s="2">
        <v>0.5</v>
      </c>
      <c r="C23" s="3">
        <v>2</v>
      </c>
      <c r="D23" s="3">
        <v>2.25</v>
      </c>
      <c r="E23" s="3">
        <f t="shared" si="2"/>
        <v>1.4</v>
      </c>
      <c r="F23" s="4">
        <f t="shared" si="3"/>
        <v>1.575</v>
      </c>
      <c r="J23" s="37"/>
    </row>
    <row r="24" spans="2:10" x14ac:dyDescent="0.25">
      <c r="B24" s="2">
        <v>0.65</v>
      </c>
      <c r="C24" s="3">
        <v>2.5</v>
      </c>
      <c r="D24" s="3">
        <v>3</v>
      </c>
      <c r="E24" s="3">
        <f t="shared" si="2"/>
        <v>1.75</v>
      </c>
      <c r="F24" s="4">
        <f t="shared" si="3"/>
        <v>2.0999999999999996</v>
      </c>
    </row>
    <row r="25" spans="2:10" x14ac:dyDescent="0.25">
      <c r="B25" s="2">
        <v>0.8</v>
      </c>
      <c r="C25" s="3">
        <v>2.8</v>
      </c>
      <c r="D25" s="3">
        <v>3.5</v>
      </c>
      <c r="E25" s="3">
        <f t="shared" si="2"/>
        <v>1.9599999999999997</v>
      </c>
      <c r="F25" s="4">
        <f t="shared" si="3"/>
        <v>2.4499999999999997</v>
      </c>
    </row>
    <row r="26" spans="2:10" x14ac:dyDescent="0.25">
      <c r="B26" s="2">
        <v>1</v>
      </c>
      <c r="C26" s="3">
        <v>3.5</v>
      </c>
      <c r="D26" s="3">
        <v>4.5</v>
      </c>
      <c r="E26" s="3">
        <f t="shared" si="2"/>
        <v>2.4499999999999997</v>
      </c>
      <c r="F26" s="4">
        <f t="shared" si="3"/>
        <v>3.15</v>
      </c>
    </row>
    <row r="27" spans="2:10" ht="15.75" thickBot="1" x14ac:dyDescent="0.3">
      <c r="B27" s="5">
        <v>1.2</v>
      </c>
      <c r="C27" s="6">
        <v>4</v>
      </c>
      <c r="D27" s="6">
        <v>5</v>
      </c>
      <c r="E27" s="6">
        <f t="shared" si="2"/>
        <v>2.8</v>
      </c>
      <c r="F27" s="7">
        <f t="shared" si="3"/>
        <v>3.5</v>
      </c>
    </row>
  </sheetData>
  <mergeCells count="6">
    <mergeCell ref="C7:D7"/>
    <mergeCell ref="E7:F7"/>
    <mergeCell ref="B2:F2"/>
    <mergeCell ref="C19:D19"/>
    <mergeCell ref="E19:F19"/>
    <mergeCell ref="B18:F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5A8A-22CA-4B30-8DE0-588C3CA3CAF1}">
  <dimension ref="B1:H66"/>
  <sheetViews>
    <sheetView tabSelected="1" zoomScaleNormal="100" workbookViewId="0">
      <selection activeCell="G57" sqref="G57"/>
    </sheetView>
  </sheetViews>
  <sheetFormatPr defaultRowHeight="15" x14ac:dyDescent="0.25"/>
  <cols>
    <col min="2" max="2" width="16.7109375" customWidth="1"/>
    <col min="5" max="6" width="20.5703125" customWidth="1"/>
  </cols>
  <sheetData>
    <row r="1" spans="2:8" ht="15.75" thickBot="1" x14ac:dyDescent="0.3"/>
    <row r="2" spans="2:8" x14ac:dyDescent="0.25">
      <c r="B2" s="10" t="s">
        <v>33</v>
      </c>
      <c r="C2" s="11"/>
      <c r="D2" s="12"/>
    </row>
    <row r="3" spans="2:8" x14ac:dyDescent="0.25">
      <c r="B3" s="29" t="s">
        <v>0</v>
      </c>
      <c r="C3" s="27">
        <v>400</v>
      </c>
      <c r="D3" s="28" t="s">
        <v>31</v>
      </c>
    </row>
    <row r="4" spans="2:8" x14ac:dyDescent="0.25">
      <c r="B4" s="29" t="s">
        <v>1</v>
      </c>
      <c r="C4" s="27">
        <v>400</v>
      </c>
      <c r="D4" s="28" t="s">
        <v>32</v>
      </c>
    </row>
    <row r="5" spans="2:8" x14ac:dyDescent="0.25">
      <c r="B5" s="29" t="s">
        <v>2</v>
      </c>
      <c r="C5" s="27">
        <v>0</v>
      </c>
      <c r="D5" s="28" t="s">
        <v>32</v>
      </c>
      <c r="H5" s="37"/>
    </row>
    <row r="6" spans="2:8" ht="16.5" x14ac:dyDescent="0.3">
      <c r="B6" s="30" t="s">
        <v>30</v>
      </c>
      <c r="C6" s="27">
        <v>750</v>
      </c>
      <c r="D6" s="28" t="s">
        <v>34</v>
      </c>
    </row>
    <row r="7" spans="2:8" ht="15.75" thickBot="1" x14ac:dyDescent="0.3">
      <c r="B7" s="5" t="s">
        <v>62</v>
      </c>
      <c r="C7" s="13">
        <f>C5/C4</f>
        <v>0</v>
      </c>
      <c r="D7" s="7"/>
    </row>
    <row r="8" spans="2:8" ht="15.75" thickBot="1" x14ac:dyDescent="0.3">
      <c r="C8" s="1"/>
    </row>
    <row r="9" spans="2:8" x14ac:dyDescent="0.25">
      <c r="B9" s="10" t="s">
        <v>50</v>
      </c>
      <c r="C9" s="11"/>
      <c r="D9" s="12"/>
    </row>
    <row r="10" spans="2:8" x14ac:dyDescent="0.25">
      <c r="B10" s="26" t="s">
        <v>61</v>
      </c>
      <c r="C10" s="27">
        <v>1</v>
      </c>
      <c r="D10" s="28"/>
      <c r="G10" s="37"/>
    </row>
    <row r="11" spans="2:8" ht="18" x14ac:dyDescent="0.35">
      <c r="B11" s="2" t="s">
        <v>3</v>
      </c>
      <c r="C11" s="3">
        <f>C3/(C10*C6*3.6)</f>
        <v>0.14814814814814814</v>
      </c>
      <c r="D11" s="4"/>
    </row>
    <row r="12" spans="2:8" x14ac:dyDescent="0.25">
      <c r="B12" s="2" t="s">
        <v>77</v>
      </c>
      <c r="C12" s="3">
        <v>2</v>
      </c>
      <c r="D12" s="4"/>
      <c r="E12" t="s">
        <v>78</v>
      </c>
      <c r="G12" s="37"/>
    </row>
    <row r="13" spans="2:8" ht="30" customHeight="1" x14ac:dyDescent="0.25">
      <c r="B13" s="14" t="s">
        <v>36</v>
      </c>
      <c r="C13" s="15" t="s">
        <v>35</v>
      </c>
      <c r="D13" s="16" t="s">
        <v>60</v>
      </c>
    </row>
    <row r="14" spans="2:8" x14ac:dyDescent="0.25">
      <c r="B14" s="2">
        <v>600</v>
      </c>
      <c r="C14" s="3">
        <f>IF($C$12=1,1/110*(B14/1000+4)*(B14/1000)^2,1/55*(B14/1000+4)*(B14/1000)^2)</f>
        <v>3.0109090909090901E-2</v>
      </c>
      <c r="D14" s="4">
        <f t="shared" ref="D14:D19" si="0">$C$11/C14</f>
        <v>4.920379316514583</v>
      </c>
      <c r="G14" s="1"/>
    </row>
    <row r="15" spans="2:8" x14ac:dyDescent="0.25">
      <c r="B15" s="2">
        <v>700</v>
      </c>
      <c r="C15" s="3">
        <f t="shared" ref="C15:C19" si="1">IF($C$12=1,1/110*(B15/1000+4)*(B15/1000)^2,1/55*(B15/1000+4)*(B15/1000)^2)</f>
        <v>4.1872727272727263E-2</v>
      </c>
      <c r="D15" s="4">
        <f t="shared" si="0"/>
        <v>3.5380582493044503</v>
      </c>
    </row>
    <row r="16" spans="2:8" x14ac:dyDescent="0.25">
      <c r="B16" s="32">
        <v>800</v>
      </c>
      <c r="C16" s="3">
        <f t="shared" si="1"/>
        <v>5.5854545454545462E-2</v>
      </c>
      <c r="D16" s="31">
        <f t="shared" si="0"/>
        <v>2.6523919753086416</v>
      </c>
    </row>
    <row r="17" spans="2:4" x14ac:dyDescent="0.25">
      <c r="B17" s="2">
        <v>900</v>
      </c>
      <c r="C17" s="3">
        <f t="shared" si="1"/>
        <v>7.2163636363636374E-2</v>
      </c>
      <c r="D17" s="4">
        <f t="shared" si="0"/>
        <v>2.0529473792260382</v>
      </c>
    </row>
    <row r="18" spans="2:4" ht="15.75" thickBot="1" x14ac:dyDescent="0.3">
      <c r="B18" s="2">
        <v>1000</v>
      </c>
      <c r="C18" s="3">
        <f t="shared" si="1"/>
        <v>9.0909090909090912E-2</v>
      </c>
      <c r="D18" s="4">
        <f t="shared" si="0"/>
        <v>1.6296296296296295</v>
      </c>
    </row>
    <row r="19" spans="2:4" ht="15.75" thickBot="1" x14ac:dyDescent="0.3">
      <c r="B19" s="33">
        <v>900</v>
      </c>
      <c r="C19" s="34">
        <f t="shared" si="1"/>
        <v>7.2163636363636374E-2</v>
      </c>
      <c r="D19" s="35">
        <f t="shared" si="0"/>
        <v>2.0529473792260382</v>
      </c>
    </row>
    <row r="20" spans="2:4" ht="15.75" thickBot="1" x14ac:dyDescent="0.3"/>
    <row r="21" spans="2:4" x14ac:dyDescent="0.25">
      <c r="B21" s="10" t="s">
        <v>49</v>
      </c>
      <c r="C21" s="11"/>
      <c r="D21" s="12"/>
    </row>
    <row r="22" spans="2:4" x14ac:dyDescent="0.25">
      <c r="B22" s="2" t="s">
        <v>7</v>
      </c>
      <c r="C22" s="3">
        <v>55</v>
      </c>
      <c r="D22" s="4" t="s">
        <v>37</v>
      </c>
    </row>
    <row r="23" spans="2:4" x14ac:dyDescent="0.25">
      <c r="B23" s="2" t="s">
        <v>5</v>
      </c>
      <c r="C23" s="3">
        <v>0.03</v>
      </c>
      <c r="D23" s="4"/>
    </row>
    <row r="24" spans="2:4" ht="18" x14ac:dyDescent="0.35">
      <c r="B24" s="2" t="s">
        <v>76</v>
      </c>
      <c r="C24" s="3">
        <f>IF(60-0.2*C4&lt;0,0,60-0.2*C4)</f>
        <v>0</v>
      </c>
      <c r="D24" s="4" t="s">
        <v>32</v>
      </c>
    </row>
    <row r="25" spans="2:4" x14ac:dyDescent="0.25">
      <c r="B25" s="2" t="s">
        <v>6</v>
      </c>
      <c r="C25" s="3">
        <f>9.81*C23*C22*(C4+C24)</f>
        <v>6474.5999999999995</v>
      </c>
      <c r="D25" s="4" t="s">
        <v>8</v>
      </c>
    </row>
    <row r="26" spans="2:4" x14ac:dyDescent="0.25">
      <c r="B26" s="9" t="s">
        <v>9</v>
      </c>
      <c r="C26" s="3">
        <f>2/3*C25</f>
        <v>4316.3999999999996</v>
      </c>
      <c r="D26" s="4" t="s">
        <v>8</v>
      </c>
    </row>
    <row r="27" spans="2:4" x14ac:dyDescent="0.25">
      <c r="B27" s="9" t="s">
        <v>10</v>
      </c>
      <c r="C27" s="3">
        <f>1/3*C25</f>
        <v>2158.1999999999998</v>
      </c>
      <c r="D27" s="4" t="s">
        <v>8</v>
      </c>
    </row>
    <row r="28" spans="2:4" x14ac:dyDescent="0.25">
      <c r="B28" s="2" t="s">
        <v>11</v>
      </c>
      <c r="C28" s="3">
        <f>C23*C19*C6*(C4+C24)*9.81*C10</f>
        <v>6371.3274545454551</v>
      </c>
      <c r="D28" s="4" t="s">
        <v>8</v>
      </c>
    </row>
    <row r="29" spans="2:4" x14ac:dyDescent="0.25">
      <c r="B29" s="2" t="s">
        <v>12</v>
      </c>
      <c r="C29" s="3">
        <f>C19*C6*C5*9.81</f>
        <v>0</v>
      </c>
      <c r="D29" s="4" t="s">
        <v>8</v>
      </c>
    </row>
    <row r="30" spans="2:4" x14ac:dyDescent="0.25">
      <c r="B30" s="2" t="s">
        <v>13</v>
      </c>
      <c r="C30" s="3">
        <f>0.0115*C6*C19*9.81</f>
        <v>6.1058554772727289</v>
      </c>
      <c r="D30" s="4" t="s">
        <v>8</v>
      </c>
    </row>
    <row r="31" spans="2:4" x14ac:dyDescent="0.25">
      <c r="B31" s="2" t="s">
        <v>14</v>
      </c>
      <c r="C31" s="3">
        <f>75*9.81</f>
        <v>735.75</v>
      </c>
      <c r="D31" s="4" t="s">
        <v>8</v>
      </c>
    </row>
    <row r="32" spans="2:4" ht="15.75" thickBot="1" x14ac:dyDescent="0.3">
      <c r="B32" s="5"/>
      <c r="C32" s="6">
        <f>SUM(C25,C28,C29,C30,C31)</f>
        <v>13587.783310022727</v>
      </c>
      <c r="D32" s="7" t="s">
        <v>8</v>
      </c>
    </row>
    <row r="33" spans="2:5" ht="15.75" thickBot="1" x14ac:dyDescent="0.3"/>
    <row r="34" spans="2:5" x14ac:dyDescent="0.25">
      <c r="B34" s="10" t="s">
        <v>51</v>
      </c>
      <c r="C34" s="11"/>
      <c r="D34" s="11"/>
      <c r="E34" s="12"/>
    </row>
    <row r="35" spans="2:5" x14ac:dyDescent="0.25">
      <c r="B35" s="2" t="s">
        <v>24</v>
      </c>
      <c r="C35" s="3">
        <v>0.3</v>
      </c>
      <c r="D35" s="3"/>
      <c r="E35" s="4" t="s">
        <v>58</v>
      </c>
    </row>
    <row r="36" spans="2:5" x14ac:dyDescent="0.25">
      <c r="B36" s="2" t="s">
        <v>23</v>
      </c>
      <c r="C36" s="3">
        <v>180</v>
      </c>
      <c r="D36" s="3" t="s">
        <v>26</v>
      </c>
      <c r="E36" s="4"/>
    </row>
    <row r="37" spans="2:5" x14ac:dyDescent="0.25">
      <c r="B37" s="2" t="s">
        <v>25</v>
      </c>
      <c r="C37" s="17">
        <f>C32/(EXP(C35*RADIANS(C36))-1)</f>
        <v>8674.9040954472348</v>
      </c>
      <c r="D37" s="3" t="s">
        <v>8</v>
      </c>
      <c r="E37" s="4"/>
    </row>
    <row r="38" spans="2:5" x14ac:dyDescent="0.25">
      <c r="B38" s="2" t="s">
        <v>22</v>
      </c>
      <c r="C38" s="17">
        <f>C37+C32</f>
        <v>22262.687405469962</v>
      </c>
      <c r="D38" s="3" t="s">
        <v>8</v>
      </c>
      <c r="E38" s="4"/>
    </row>
    <row r="39" spans="2:5" x14ac:dyDescent="0.25">
      <c r="B39" s="2"/>
      <c r="C39" s="3"/>
      <c r="D39" s="3"/>
      <c r="E39" s="4"/>
    </row>
    <row r="40" spans="2:5" x14ac:dyDescent="0.25">
      <c r="B40" s="2" t="s">
        <v>27</v>
      </c>
      <c r="C40" s="17">
        <f>2*(C26+C37)/9.81</f>
        <v>2648.5839134448997</v>
      </c>
      <c r="D40" s="3" t="s">
        <v>52</v>
      </c>
      <c r="E40" s="4"/>
    </row>
    <row r="41" spans="2:5" x14ac:dyDescent="0.25">
      <c r="B41" s="2"/>
      <c r="C41" s="3"/>
      <c r="D41" s="3"/>
      <c r="E41" s="4"/>
    </row>
    <row r="42" spans="2:5" x14ac:dyDescent="0.25">
      <c r="B42" s="18" t="s">
        <v>28</v>
      </c>
      <c r="C42" s="3"/>
      <c r="D42" s="3"/>
      <c r="E42" s="4"/>
    </row>
    <row r="43" spans="2:5" x14ac:dyDescent="0.25">
      <c r="B43" s="2" t="s">
        <v>56</v>
      </c>
      <c r="C43" s="3">
        <v>5</v>
      </c>
      <c r="D43" s="3" t="s">
        <v>57</v>
      </c>
      <c r="E43" s="4" t="s">
        <v>59</v>
      </c>
    </row>
    <row r="44" spans="2:5" x14ac:dyDescent="0.25">
      <c r="B44" s="2" t="s">
        <v>29</v>
      </c>
      <c r="C44" s="3">
        <f>_xlfn.CEILING.MATH(C38/(C43*B19))</f>
        <v>5</v>
      </c>
      <c r="D44" s="3"/>
      <c r="E44" s="4"/>
    </row>
    <row r="45" spans="2:5" ht="18" x14ac:dyDescent="0.35">
      <c r="B45" s="2" t="s">
        <v>55</v>
      </c>
      <c r="C45" s="3">
        <f>50*C44*B16/1000*9.81</f>
        <v>1962</v>
      </c>
      <c r="D45" s="3" t="s">
        <v>8</v>
      </c>
      <c r="E45" s="4"/>
    </row>
    <row r="46" spans="2:5" x14ac:dyDescent="0.25">
      <c r="B46" s="19" t="s">
        <v>53</v>
      </c>
      <c r="C46" s="3"/>
      <c r="D46" s="3"/>
      <c r="E46" s="4"/>
    </row>
    <row r="47" spans="2:5" ht="15.75" thickBot="1" x14ac:dyDescent="0.3">
      <c r="B47" s="5" t="s">
        <v>54</v>
      </c>
      <c r="C47" s="36" t="str">
        <f>IF(C45&lt;C37,"OK","NO")</f>
        <v>OK</v>
      </c>
      <c r="D47" s="6"/>
      <c r="E47" s="7"/>
    </row>
    <row r="48" spans="2:5" ht="15.75" thickBot="1" x14ac:dyDescent="0.3"/>
    <row r="49" spans="2:5" x14ac:dyDescent="0.25">
      <c r="B49" s="46" t="s">
        <v>63</v>
      </c>
      <c r="C49" s="47"/>
      <c r="D49" s="47"/>
      <c r="E49" s="48"/>
    </row>
    <row r="50" spans="2:5" ht="18" x14ac:dyDescent="0.35">
      <c r="B50" s="20" t="s">
        <v>16</v>
      </c>
      <c r="C50" s="3">
        <v>0.9</v>
      </c>
      <c r="D50" s="3"/>
      <c r="E50" s="4"/>
    </row>
    <row r="51" spans="2:5" ht="18" x14ac:dyDescent="0.35">
      <c r="B51" s="20" t="s">
        <v>17</v>
      </c>
      <c r="C51" s="3">
        <v>0.8</v>
      </c>
      <c r="D51" s="3"/>
      <c r="E51" s="4"/>
    </row>
    <row r="52" spans="2:5" x14ac:dyDescent="0.25">
      <c r="B52" s="20" t="s">
        <v>15</v>
      </c>
      <c r="C52" s="17">
        <f>0.001*C32*D19/(C50*C51)</f>
        <v>38.743061299725632</v>
      </c>
      <c r="D52" s="3" t="s">
        <v>64</v>
      </c>
      <c r="E52" s="4"/>
    </row>
    <row r="53" spans="2:5" x14ac:dyDescent="0.25">
      <c r="B53" s="2"/>
      <c r="C53" s="3"/>
      <c r="D53" s="3"/>
      <c r="E53" s="4"/>
    </row>
    <row r="54" spans="2:5" ht="18" x14ac:dyDescent="0.35">
      <c r="B54" s="2" t="s">
        <v>74</v>
      </c>
      <c r="C54" s="3">
        <v>0.45</v>
      </c>
      <c r="D54" s="3" t="s">
        <v>32</v>
      </c>
      <c r="E54" s="4"/>
    </row>
    <row r="55" spans="2:5" x14ac:dyDescent="0.25">
      <c r="B55" s="49" t="s">
        <v>70</v>
      </c>
      <c r="C55" s="17">
        <f>2*D19/C54</f>
        <v>9.1242105743379476</v>
      </c>
      <c r="D55" s="3" t="s">
        <v>18</v>
      </c>
      <c r="E55" s="4"/>
    </row>
    <row r="56" spans="2:5" x14ac:dyDescent="0.25">
      <c r="B56" s="49"/>
      <c r="C56" s="17">
        <f>60*C55/(2*PI())</f>
        <v>87.129792883033545</v>
      </c>
      <c r="D56" s="3" t="s">
        <v>19</v>
      </c>
      <c r="E56" s="4"/>
    </row>
    <row r="57" spans="2:5" x14ac:dyDescent="0.25">
      <c r="B57" s="50" t="s">
        <v>69</v>
      </c>
      <c r="C57" s="51"/>
      <c r="D57" s="51"/>
      <c r="E57" s="52"/>
    </row>
    <row r="58" spans="2:5" x14ac:dyDescent="0.25">
      <c r="B58" s="2" t="s">
        <v>68</v>
      </c>
      <c r="C58" s="3">
        <v>400</v>
      </c>
      <c r="D58" s="3" t="s">
        <v>68</v>
      </c>
      <c r="E58" s="4"/>
    </row>
    <row r="59" spans="2:5" x14ac:dyDescent="0.25">
      <c r="B59" s="2" t="s">
        <v>61</v>
      </c>
      <c r="C59" s="3">
        <v>1</v>
      </c>
      <c r="D59" s="3">
        <v>2</v>
      </c>
      <c r="E59" s="4" t="s">
        <v>65</v>
      </c>
    </row>
    <row r="60" spans="2:5" x14ac:dyDescent="0.25">
      <c r="B60" s="2" t="s">
        <v>66</v>
      </c>
      <c r="C60" s="3">
        <v>3000</v>
      </c>
      <c r="D60" s="3">
        <v>1500</v>
      </c>
      <c r="E60" s="4"/>
    </row>
    <row r="61" spans="2:5" x14ac:dyDescent="0.25">
      <c r="B61" s="2" t="s">
        <v>67</v>
      </c>
      <c r="C61" s="3">
        <v>2970</v>
      </c>
      <c r="D61" s="3">
        <v>1480</v>
      </c>
      <c r="E61" s="4"/>
    </row>
    <row r="62" spans="2:5" x14ac:dyDescent="0.25">
      <c r="B62" s="2" t="s">
        <v>71</v>
      </c>
      <c r="C62" s="24">
        <f>(C60-C61)/C60</f>
        <v>0.01</v>
      </c>
      <c r="D62" s="24">
        <f>(D60-D61)/D60</f>
        <v>1.3333333333333334E-2</v>
      </c>
      <c r="E62" s="4" t="s">
        <v>72</v>
      </c>
    </row>
    <row r="63" spans="2:5" x14ac:dyDescent="0.25">
      <c r="B63" s="2" t="s">
        <v>75</v>
      </c>
      <c r="C63" s="3">
        <v>0.92</v>
      </c>
      <c r="D63" s="3">
        <v>0.93</v>
      </c>
      <c r="E63" s="4"/>
    </row>
    <row r="64" spans="2:5" x14ac:dyDescent="0.25">
      <c r="B64" s="2"/>
      <c r="C64" s="17">
        <f>C61/C56</f>
        <v>34.087077470585115</v>
      </c>
      <c r="D64" s="17">
        <f>D61/C56</f>
        <v>16.986153082985176</v>
      </c>
      <c r="E64" s="4" t="s">
        <v>73</v>
      </c>
    </row>
    <row r="65" spans="2:5" x14ac:dyDescent="0.25">
      <c r="B65" s="2"/>
      <c r="C65" s="3"/>
      <c r="D65" s="3"/>
      <c r="E65" s="4"/>
    </row>
    <row r="66" spans="2:5" ht="15.75" thickBot="1" x14ac:dyDescent="0.3">
      <c r="B66" s="5" t="s">
        <v>20</v>
      </c>
      <c r="C66" s="25">
        <f>3^0.5/3*$C$52*1000/($C$58*C63)</f>
        <v>60.783469757137944</v>
      </c>
      <c r="D66" s="25">
        <f>3^0.5/3*$C$52*1000/($C$58*D63)</f>
        <v>60.129884060824637</v>
      </c>
      <c r="E66" s="7" t="s">
        <v>21</v>
      </c>
    </row>
  </sheetData>
  <mergeCells count="3">
    <mergeCell ref="B49:E49"/>
    <mergeCell ref="B55:B56"/>
    <mergeCell ref="B57:E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Tabelle</vt:lpstr>
      <vt:lpstr>Design1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dcterms:created xsi:type="dcterms:W3CDTF">2021-02-07T20:41:08Z</dcterms:created>
  <dcterms:modified xsi:type="dcterms:W3CDTF">2021-02-12T10:09:26Z</dcterms:modified>
</cp:coreProperties>
</file>