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Uni\Impianti meccanici\MaterialeEsame\FogliCalcolo\Piping\"/>
    </mc:Choice>
  </mc:AlternateContent>
  <xr:revisionPtr revIDLastSave="0" documentId="8_{9A75C09C-2E78-4DF3-9A30-8C75571A1E4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ntistillicidio" sheetId="1" r:id="rId1"/>
    <sheet name="coibente" sheetId="6" r:id="rId2"/>
    <sheet name="Antigelo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7" l="1"/>
  <c r="J6" i="7"/>
  <c r="J8" i="7"/>
  <c r="B20" i="7"/>
  <c r="C20" i="7" s="1"/>
  <c r="C7" i="7"/>
  <c r="C10" i="7" s="1"/>
  <c r="C19" i="7"/>
  <c r="E7" i="6"/>
  <c r="E6" i="6" s="1"/>
  <c r="E13" i="6"/>
  <c r="E5" i="1"/>
  <c r="E4" i="1" s="1"/>
  <c r="E11" i="1"/>
  <c r="C25" i="1" l="1"/>
  <c r="C30" i="1"/>
  <c r="C29" i="1"/>
  <c r="C38" i="1"/>
  <c r="C37" i="1"/>
  <c r="C34" i="1"/>
  <c r="C24" i="1"/>
  <c r="C18" i="1"/>
  <c r="C19" i="1"/>
  <c r="C26" i="1"/>
  <c r="C33" i="1"/>
  <c r="C23" i="1"/>
  <c r="C32" i="1"/>
  <c r="D32" i="1" s="1"/>
  <c r="E32" i="1" s="1"/>
  <c r="C22" i="1"/>
  <c r="C31" i="1"/>
  <c r="C21" i="1"/>
  <c r="C36" i="1"/>
  <c r="D36" i="1" s="1"/>
  <c r="E36" i="1" s="1"/>
  <c r="C28" i="1"/>
  <c r="C20" i="1"/>
  <c r="C35" i="1"/>
  <c r="C27" i="1"/>
  <c r="D38" i="1"/>
  <c r="E38" i="1" s="1"/>
  <c r="D19" i="7"/>
  <c r="B21" i="7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D20" i="7"/>
  <c r="E21" i="6"/>
  <c r="E15" i="6"/>
  <c r="E16" i="6" s="1"/>
  <c r="E13" i="1"/>
  <c r="D24" i="1" l="1"/>
  <c r="E24" i="1" s="1"/>
  <c r="D35" i="1"/>
  <c r="E35" i="1" s="1"/>
  <c r="D23" i="1"/>
  <c r="E23" i="1" s="1"/>
  <c r="D22" i="1"/>
  <c r="E22" i="1" s="1"/>
  <c r="D31" i="1"/>
  <c r="E31" i="1" s="1"/>
  <c r="D33" i="1"/>
  <c r="E33" i="1" s="1"/>
  <c r="D27" i="1"/>
  <c r="E27" i="1" s="1"/>
  <c r="D26" i="1"/>
  <c r="E26" i="1" s="1"/>
  <c r="D20" i="1"/>
  <c r="E20" i="1" s="1"/>
  <c r="D21" i="1"/>
  <c r="E21" i="1" s="1"/>
  <c r="D29" i="1"/>
  <c r="E29" i="1" s="1"/>
  <c r="E14" i="1"/>
  <c r="D37" i="1"/>
  <c r="E37" i="1" s="1"/>
  <c r="D18" i="1"/>
  <c r="E18" i="1" s="1"/>
  <c r="D25" i="1"/>
  <c r="E25" i="1" s="1"/>
  <c r="D19" i="1"/>
  <c r="E19" i="1" s="1"/>
  <c r="D30" i="1"/>
  <c r="E30" i="1" s="1"/>
  <c r="D28" i="1"/>
  <c r="E28" i="1" s="1"/>
  <c r="D34" i="1"/>
  <c r="E34" i="1" s="1"/>
  <c r="B34" i="7"/>
  <c r="B35" i="7" s="1"/>
  <c r="B36" i="7" s="1"/>
  <c r="J14" i="7"/>
  <c r="C21" i="7"/>
  <c r="D21" i="7" s="1"/>
  <c r="C22" i="7"/>
  <c r="D22" i="7" s="1"/>
  <c r="E22" i="6"/>
  <c r="E18" i="6"/>
  <c r="E19" i="6" s="1"/>
  <c r="E23" i="6" s="1"/>
  <c r="C23" i="7" l="1"/>
  <c r="D23" i="7" s="1"/>
  <c r="C46" i="6"/>
  <c r="D46" i="6" s="1"/>
  <c r="C48" i="6"/>
  <c r="D48" i="6" s="1"/>
  <c r="C60" i="6"/>
  <c r="D60" i="6" s="1"/>
  <c r="C47" i="6"/>
  <c r="D47" i="6" s="1"/>
  <c r="C52" i="6"/>
  <c r="D52" i="6" s="1"/>
  <c r="C65" i="6"/>
  <c r="D65" i="6" s="1"/>
  <c r="C49" i="6"/>
  <c r="D49" i="6" s="1"/>
  <c r="C44" i="6"/>
  <c r="D44" i="6" s="1"/>
  <c r="C59" i="6"/>
  <c r="D59" i="6" s="1"/>
  <c r="C53" i="6"/>
  <c r="D53" i="6" s="1"/>
  <c r="C37" i="6"/>
  <c r="D37" i="6" s="1"/>
  <c r="C55" i="6"/>
  <c r="D55" i="6" s="1"/>
  <c r="C38" i="6"/>
  <c r="D38" i="6" s="1"/>
  <c r="C58" i="6"/>
  <c r="D58" i="6" s="1"/>
  <c r="C50" i="6"/>
  <c r="D50" i="6" s="1"/>
  <c r="C54" i="6"/>
  <c r="D54" i="6" s="1"/>
  <c r="C61" i="6"/>
  <c r="D61" i="6" s="1"/>
  <c r="C41" i="6"/>
  <c r="D41" i="6" s="1"/>
  <c r="C43" i="6"/>
  <c r="D43" i="6" s="1"/>
  <c r="C63" i="6"/>
  <c r="D63" i="6" s="1"/>
  <c r="C62" i="6"/>
  <c r="D62" i="6" s="1"/>
  <c r="C35" i="6"/>
  <c r="D35" i="6" s="1"/>
  <c r="C64" i="6"/>
  <c r="D64" i="6" s="1"/>
  <c r="C45" i="6"/>
  <c r="D45" i="6" s="1"/>
  <c r="C36" i="6"/>
  <c r="D36" i="6" s="1"/>
  <c r="C42" i="6"/>
  <c r="D42" i="6" s="1"/>
  <c r="C56" i="6"/>
  <c r="D56" i="6" s="1"/>
  <c r="C39" i="6"/>
  <c r="D39" i="6" s="1"/>
  <c r="C51" i="6"/>
  <c r="D51" i="6" s="1"/>
  <c r="C57" i="6"/>
  <c r="D57" i="6" s="1"/>
  <c r="C40" i="6"/>
  <c r="D40" i="6" s="1"/>
  <c r="E27" i="6"/>
  <c r="E28" i="6" s="1"/>
  <c r="E29" i="6" s="1"/>
  <c r="E30" i="6" s="1"/>
  <c r="C24" i="7" l="1"/>
  <c r="D24" i="7" s="1"/>
  <c r="C25" i="7" l="1"/>
  <c r="D25" i="7" s="1"/>
  <c r="C26" i="7" l="1"/>
  <c r="D26" i="7" s="1"/>
  <c r="C27" i="7" l="1"/>
  <c r="D27" i="7" s="1"/>
  <c r="C28" i="7" l="1"/>
  <c r="D28" i="7" s="1"/>
  <c r="C29" i="7" l="1"/>
  <c r="D29" i="7" s="1"/>
  <c r="C30" i="7" l="1"/>
  <c r="D30" i="7" s="1"/>
  <c r="C31" i="7" l="1"/>
  <c r="D31" i="7" s="1"/>
  <c r="C32" i="7" l="1"/>
  <c r="D32" i="7" s="1"/>
  <c r="C33" i="7" l="1"/>
  <c r="D33" i="7" s="1"/>
  <c r="J15" i="7" s="1"/>
  <c r="J16" i="7" l="1"/>
  <c r="J17" i="7"/>
  <c r="C34" i="7"/>
  <c r="D34" i="7" s="1"/>
  <c r="C35" i="7" l="1"/>
  <c r="D35" i="7" s="1"/>
  <c r="C36" i="7"/>
  <c r="D36" i="7" s="1"/>
</calcChain>
</file>

<file path=xl/sharedStrings.xml><?xml version="1.0" encoding="utf-8"?>
<sst xmlns="http://schemas.openxmlformats.org/spreadsheetml/2006/main" count="140" uniqueCount="73">
  <si>
    <t>Fluido</t>
  </si>
  <si>
    <t>acqua refrigerata</t>
  </si>
  <si>
    <t>Temperatura</t>
  </si>
  <si>
    <t>°C</t>
  </si>
  <si>
    <t>Tipo isolante</t>
  </si>
  <si>
    <t>Elastomero espanso in gomma sintetica</t>
  </si>
  <si>
    <t>Coduttività</t>
  </si>
  <si>
    <t>W/m°C</t>
  </si>
  <si>
    <t>Coefficiente di adduzione</t>
  </si>
  <si>
    <t>Temperatura ambiente</t>
  </si>
  <si>
    <t>Temperatura del bulbo umido</t>
  </si>
  <si>
    <t>Umidità relativa</t>
  </si>
  <si>
    <r>
      <t>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°C</t>
    </r>
  </si>
  <si>
    <t>Spessore isolante</t>
  </si>
  <si>
    <t>Temperatura mantello</t>
  </si>
  <si>
    <t>m</t>
  </si>
  <si>
    <t>Raggio mantello</t>
  </si>
  <si>
    <t>Raggio interno tubo</t>
  </si>
  <si>
    <t>Raggio esterno tubo</t>
  </si>
  <si>
    <t>acqua calda</t>
  </si>
  <si>
    <t>W</t>
  </si>
  <si>
    <t>Potenza termica in transito</t>
  </si>
  <si>
    <t>Resistenza termica</t>
  </si>
  <si>
    <t>m°C/W</t>
  </si>
  <si>
    <t>Coppelle in fibra di vetro</t>
  </si>
  <si>
    <t>Temperatura mandata</t>
  </si>
  <si>
    <t>Temperatura di ritorno</t>
  </si>
  <si>
    <t>Lunghezza tubazione mandata</t>
  </si>
  <si>
    <t>Potenza termica dispersa in mandata</t>
  </si>
  <si>
    <t>Determinare la potenza termica dispersa lungo la linea di collegamento tra il generatore di calore e gli aerotermi a servizio di un capannone industriale assumendo che la rete di tubazioni sia a diametro costante, con una velocità di 1,5 m/s</t>
  </si>
  <si>
    <t>Portata massica</t>
  </si>
  <si>
    <t>kg/s</t>
  </si>
  <si>
    <t>Velocità nei tubi</t>
  </si>
  <si>
    <t>m/s</t>
  </si>
  <si>
    <t xml:space="preserve">Potenza dispersa </t>
  </si>
  <si>
    <t>s</t>
  </si>
  <si>
    <t>re</t>
  </si>
  <si>
    <t>cp</t>
  </si>
  <si>
    <t>tout</t>
  </si>
  <si>
    <t>Calcolo corretto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</si>
  <si>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t in - out</t>
    </r>
  </si>
  <si>
    <t>K</t>
  </si>
  <si>
    <t>Differenza tra I due metodi</t>
  </si>
  <si>
    <t>L</t>
  </si>
  <si>
    <t>te</t>
  </si>
  <si>
    <t>ti</t>
  </si>
  <si>
    <t>Temperatura mantello in funzione della lunghezza</t>
  </si>
  <si>
    <t>G</t>
  </si>
  <si>
    <t>ri</t>
  </si>
  <si>
    <t>v</t>
  </si>
  <si>
    <t>tin</t>
  </si>
  <si>
    <t>ta</t>
  </si>
  <si>
    <t>R</t>
  </si>
  <si>
    <t>s [m]</t>
  </si>
  <si>
    <t>s               [m]</t>
  </si>
  <si>
    <t>R               [m °C/W]</t>
  </si>
  <si>
    <t>tout           [°C]</t>
  </si>
  <si>
    <t>he</t>
  </si>
  <si>
    <t>Come si vede la differenza di temperatura tra entrata e uscita nell'attraversamento della condotta è trascurabile.</t>
  </si>
  <si>
    <t>Determinazione spessore isolante/temperatura minima di uscita.</t>
  </si>
  <si>
    <t>Determinazione della portata minima per evitare il congelamento</t>
  </si>
  <si>
    <t>l/min</t>
  </si>
  <si>
    <t xml:space="preserve">v </t>
  </si>
  <si>
    <t>st</t>
  </si>
  <si>
    <t>λis</t>
  </si>
  <si>
    <t>W/(m °C)</t>
  </si>
  <si>
    <r>
      <t>W/(m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°C)</t>
    </r>
  </si>
  <si>
    <t>J/(kg K)</t>
  </si>
  <si>
    <t>m °C/W</t>
  </si>
  <si>
    <t>W/(m^2 °C)</t>
  </si>
  <si>
    <t>&lt;---- scegliere</t>
  </si>
  <si>
    <t>re [m]</t>
  </si>
  <si>
    <t>Te 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</si>
</sst>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9" formatCode="0.000"/>
  </numFmts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5" xfId="0" applyBorder="1"/>
    <xf numFmtId="2" fontId="0" fillId="0" borderId="5" xfId="0" applyNumberFormat="1" applyBorder="1"/>
    <xf numFmtId="0" fontId="0" fillId="0" borderId="7" xfId="0" applyBorder="1"/>
    <xf numFmtId="0" fontId="0" fillId="0" borderId="7" xfId="0" applyBorder="1" applyAlignment="1">
      <alignment horizontal="right"/>
    </xf>
    <xf numFmtId="10" fontId="0" fillId="0" borderId="8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0" fillId="0" borderId="0" xfId="0" applyAlignment="1">
      <alignment horizontal="center" vertical="top" wrapText="1"/>
    </xf>
    <xf numFmtId="0" fontId="0" fillId="0" borderId="8" xfId="0" applyBorder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4" xfId="0" applyFill="1" applyBorder="1"/>
    <xf numFmtId="169" fontId="0" fillId="0" borderId="4" xfId="0" applyNumberFormat="1" applyBorder="1"/>
    <xf numFmtId="0" fontId="4" fillId="0" borderId="4" xfId="0" applyFont="1" applyBorder="1"/>
    <xf numFmtId="0" fontId="0" fillId="0" borderId="6" xfId="0" applyFill="1" applyBorder="1"/>
    <xf numFmtId="0" fontId="0" fillId="2" borderId="4" xfId="0" applyFill="1" applyBorder="1" applyAlignment="1">
      <alignment horizontal="center" vertical="center"/>
    </xf>
    <xf numFmtId="2" fontId="0" fillId="2" borderId="0" xfId="0" applyNumberFormat="1" applyFill="1" applyBorder="1"/>
    <xf numFmtId="169" fontId="0" fillId="0" borderId="6" xfId="0" applyNumberFormat="1" applyBorder="1"/>
    <xf numFmtId="0" fontId="0" fillId="2" borderId="0" xfId="0" applyFill="1" applyBorder="1"/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0" fillId="3" borderId="4" xfId="0" applyFill="1" applyBorder="1"/>
    <xf numFmtId="2" fontId="0" fillId="3" borderId="0" xfId="0" applyNumberFormat="1" applyFill="1" applyBorder="1"/>
    <xf numFmtId="0" fontId="0" fillId="3" borderId="0" xfId="0" applyFill="1" applyBorder="1"/>
    <xf numFmtId="169" fontId="0" fillId="3" borderId="0" xfId="0" applyNumberFormat="1" applyFill="1" applyBorder="1"/>
    <xf numFmtId="0" fontId="0" fillId="3" borderId="5" xfId="0" applyFill="1" applyBorder="1"/>
    <xf numFmtId="0" fontId="0" fillId="0" borderId="1" xfId="0" applyBorder="1" applyAlignment="1">
      <alignment horizontal="justify" vertical="top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3" fillId="0" borderId="5" xfId="0" applyFont="1" applyBorder="1"/>
    <xf numFmtId="165" fontId="0" fillId="0" borderId="5" xfId="0" applyNumberFormat="1" applyBorder="1"/>
    <xf numFmtId="9" fontId="0" fillId="0" borderId="5" xfId="0" applyNumberFormat="1" applyBorder="1" applyAlignment="1">
      <alignment horizontal="right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166" fontId="0" fillId="0" borderId="5" xfId="0" applyNumberFormat="1" applyBorder="1" applyAlignment="1">
      <alignment vertical="center"/>
    </xf>
    <xf numFmtId="0" fontId="3" fillId="0" borderId="4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165" fontId="3" fillId="0" borderId="5" xfId="0" applyNumberFormat="1" applyFont="1" applyBorder="1"/>
    <xf numFmtId="164" fontId="0" fillId="0" borderId="5" xfId="1" applyNumberFormat="1" applyFont="1" applyBorder="1"/>
    <xf numFmtId="2" fontId="0" fillId="0" borderId="5" xfId="0" applyNumberFormat="1" applyBorder="1" applyAlignment="1">
      <alignment vertical="center"/>
    </xf>
    <xf numFmtId="10" fontId="0" fillId="0" borderId="8" xfId="2" applyNumberFormat="1" applyFont="1" applyBorder="1"/>
    <xf numFmtId="169" fontId="0" fillId="0" borderId="0" xfId="0" applyNumberFormat="1" applyBorder="1" applyAlignment="1">
      <alignment horizontal="right"/>
    </xf>
    <xf numFmtId="169" fontId="0" fillId="0" borderId="7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166" fontId="0" fillId="0" borderId="8" xfId="0" applyNumberFormat="1" applyBorder="1" applyAlignment="1">
      <alignment vertical="center"/>
    </xf>
    <xf numFmtId="0" fontId="5" fillId="0" borderId="0" xfId="0" applyFont="1"/>
  </cellXfs>
  <cellStyles count="3">
    <cellStyle name="Migliaia" xfId="1" builtinId="3"/>
    <cellStyle name="Normale" xfId="0" builtinId="0"/>
    <cellStyle name="Percentuale" xfId="2" builtinId="5"/>
  </cellStyles>
  <dxfs count="2">
    <dxf>
      <font>
        <strike val="0"/>
      </font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coibente!$B$35:$B$65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coibente!$C$35:$C$65</c:f>
              <c:numCache>
                <c:formatCode>0.00</c:formatCode>
                <c:ptCount val="31"/>
                <c:pt idx="0">
                  <c:v>90</c:v>
                </c:pt>
                <c:pt idx="1">
                  <c:v>89.994947375382452</c:v>
                </c:pt>
                <c:pt idx="2">
                  <c:v>89.989895105334568</c:v>
                </c:pt>
                <c:pt idx="3">
                  <c:v>89.98484318983148</c:v>
                </c:pt>
                <c:pt idx="4">
                  <c:v>89.979791628848275</c:v>
                </c:pt>
                <c:pt idx="5">
                  <c:v>89.974740422360085</c:v>
                </c:pt>
                <c:pt idx="6">
                  <c:v>89.969689570342041</c:v>
                </c:pt>
                <c:pt idx="7">
                  <c:v>89.964639072769259</c:v>
                </c:pt>
                <c:pt idx="8">
                  <c:v>89.959588929616871</c:v>
                </c:pt>
                <c:pt idx="9">
                  <c:v>89.954539140860021</c:v>
                </c:pt>
                <c:pt idx="10">
                  <c:v>89.949489706473813</c:v>
                </c:pt>
                <c:pt idx="11">
                  <c:v>89.944440626433391</c:v>
                </c:pt>
                <c:pt idx="12">
                  <c:v>89.939391900713886</c:v>
                </c:pt>
                <c:pt idx="13">
                  <c:v>89.93434352929043</c:v>
                </c:pt>
                <c:pt idx="14">
                  <c:v>89.929295512138168</c:v>
                </c:pt>
                <c:pt idx="15">
                  <c:v>89.924247849232245</c:v>
                </c:pt>
                <c:pt idx="16">
                  <c:v>89.919200540547791</c:v>
                </c:pt>
                <c:pt idx="17">
                  <c:v>89.914153586059939</c:v>
                </c:pt>
                <c:pt idx="18">
                  <c:v>89.909106985743847</c:v>
                </c:pt>
                <c:pt idx="19">
                  <c:v>89.90406073957466</c:v>
                </c:pt>
                <c:pt idx="20">
                  <c:v>89.899014847527511</c:v>
                </c:pt>
                <c:pt idx="21">
                  <c:v>89.893969309577585</c:v>
                </c:pt>
                <c:pt idx="22">
                  <c:v>89.888924125700001</c:v>
                </c:pt>
                <c:pt idx="23">
                  <c:v>89.883879295869917</c:v>
                </c:pt>
                <c:pt idx="24">
                  <c:v>89.878834820062494</c:v>
                </c:pt>
                <c:pt idx="25">
                  <c:v>89.873790698252861</c:v>
                </c:pt>
                <c:pt idx="26">
                  <c:v>89.868746930416222</c:v>
                </c:pt>
                <c:pt idx="27">
                  <c:v>89.863703516527721</c:v>
                </c:pt>
                <c:pt idx="28">
                  <c:v>89.858660456562518</c:v>
                </c:pt>
                <c:pt idx="29">
                  <c:v>89.853617750495758</c:v>
                </c:pt>
                <c:pt idx="30">
                  <c:v>89.848575398302629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9-4B78-B158-BF9D16CE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39999"/>
        <c:axId val="287040415"/>
      </c:scatterChart>
      <c:valAx>
        <c:axId val="28703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40415"/>
        <c:crosses val="autoZero"/>
        <c:crossBetween val="midCat"/>
      </c:valAx>
      <c:valAx>
        <c:axId val="287040415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3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314325</xdr:colOff>
          <xdr:row>10</xdr:row>
          <xdr:rowOff>85725</xdr:rowOff>
        </xdr:from>
        <xdr:to>
          <xdr:col>3</xdr:col>
          <xdr:colOff>2932</xdr:colOff>
          <xdr:row>10</xdr:row>
          <xdr:rowOff>371475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DD5CEFD-163A-481A-A510-280C0C615F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13</xdr:row>
          <xdr:rowOff>95250</xdr:rowOff>
        </xdr:from>
        <xdr:to>
          <xdr:col>2</xdr:col>
          <xdr:colOff>2819400</xdr:colOff>
          <xdr:row>13</xdr:row>
          <xdr:rowOff>819150</xdr:rowOff>
        </xdr:to>
        <xdr:sp macro="" textlink="">
          <xdr:nvSpPr>
            <xdr:cNvPr id="1026" name="Object 3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1E0A3A7-E24C-48EE-A8F4-50AC6A39EB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488260</xdr:colOff>
          <xdr:row>12</xdr:row>
          <xdr:rowOff>13252</xdr:rowOff>
        </xdr:from>
        <xdr:to>
          <xdr:col>2</xdr:col>
          <xdr:colOff>1964635</xdr:colOff>
          <xdr:row>12</xdr:row>
          <xdr:rowOff>299002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D5DE3B9F-2BE6-4BE8-B343-2C01A87FBD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15</xdr:row>
          <xdr:rowOff>95250</xdr:rowOff>
        </xdr:from>
        <xdr:to>
          <xdr:col>2</xdr:col>
          <xdr:colOff>2819400</xdr:colOff>
          <xdr:row>15</xdr:row>
          <xdr:rowOff>819150</xdr:rowOff>
        </xdr:to>
        <xdr:sp macro="" textlink="">
          <xdr:nvSpPr>
            <xdr:cNvPr id="6146" name="Object 3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7E37C34C-E4F2-4680-9394-D31BA442CD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18</xdr:row>
          <xdr:rowOff>66675</xdr:rowOff>
        </xdr:from>
        <xdr:to>
          <xdr:col>2</xdr:col>
          <xdr:colOff>2809875</xdr:colOff>
          <xdr:row>18</xdr:row>
          <xdr:rowOff>819150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65033A4B-2C20-4EC7-9189-868F2DD069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152400</xdr:colOff>
          <xdr:row>17</xdr:row>
          <xdr:rowOff>57150</xdr:rowOff>
        </xdr:from>
        <xdr:to>
          <xdr:col>2</xdr:col>
          <xdr:colOff>2695575</xdr:colOff>
          <xdr:row>18</xdr:row>
          <xdr:rowOff>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A1D89B3C-EA59-4D15-B337-0F33A45D7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361950</xdr:colOff>
          <xdr:row>21</xdr:row>
          <xdr:rowOff>38100</xdr:rowOff>
        </xdr:from>
        <xdr:to>
          <xdr:col>2</xdr:col>
          <xdr:colOff>2657475</xdr:colOff>
          <xdr:row>22</xdr:row>
          <xdr:rowOff>19050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97EE736B-BF78-47E0-B6B1-C0D96E257A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314325</xdr:colOff>
      <xdr:row>20</xdr:row>
      <xdr:rowOff>47625</xdr:rowOff>
    </xdr:from>
    <xdr:to>
      <xdr:col>2</xdr:col>
      <xdr:colOff>1524785</xdr:colOff>
      <xdr:row>21</xdr:row>
      <xdr:rowOff>154179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Object 6">
              <a:extLst>
                <a:ext uri="{FF2B5EF4-FFF2-40B4-BE49-F238E27FC236}">
                  <a16:creationId xmlns:a16="http://schemas.microsoft.com/office/drawing/2014/main" id="{CA511243-7B1B-4C39-97F5-6BE5FF3BAE78}"/>
                </a:ext>
              </a:extLst>
            </xdr:cNvPr>
            <xdr:cNvSpPr txBox="1"/>
          </xdr:nvSpPr>
          <xdr:spPr>
            <a:xfrm>
              <a:off x="2533650" y="5410200"/>
              <a:ext cx="1210460" cy="43992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en-US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acc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𝜋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𝑣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m:rPr>
                        <m:sty m:val="p"/>
                      </m:rP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ρ</m:t>
                    </m:r>
                  </m:oMath>
                </m:oMathPara>
              </a14:m>
              <a:endParaRPr lang="en-US" b="0">
                <a:solidFill>
                  <a:srgbClr val="000000"/>
                </a:solidFill>
              </a:endParaRPr>
            </a:p>
            <a:p>
              <a:pPr/>
              <a:endParaRPr lang="en-US"/>
            </a:p>
          </xdr:txBody>
        </xdr:sp>
      </mc:Choice>
      <mc:Fallback>
        <xdr:sp macro="" textlink="">
          <xdr:nvSpPr>
            <xdr:cNvPr id="2" name="Object 6">
              <a:extLst>
                <a:ext uri="{FF2B5EF4-FFF2-40B4-BE49-F238E27FC236}">
                  <a16:creationId xmlns:a16="http://schemas.microsoft.com/office/drawing/2014/main" id="{CA511243-7B1B-4C39-97F5-6BE5FF3BAE78}"/>
                </a:ext>
              </a:extLst>
            </xdr:cNvPr>
            <xdr:cNvSpPr txBox="1"/>
          </xdr:nvSpPr>
          <xdr:spPr>
            <a:xfrm>
              <a:off x="2533650" y="5410200"/>
              <a:ext cx="1210460" cy="43992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𝑚 ̇=𝜋⋅𝑟^2⋅𝑣⋅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ρ</a:t>
              </a:r>
              <a:endParaRPr lang="en-US" b="0">
                <a:solidFill>
                  <a:srgbClr val="000000"/>
                </a:solidFill>
              </a:endParaRPr>
            </a:p>
            <a:p>
              <a:pPr/>
              <a:endParaRPr lang="en-US"/>
            </a:p>
          </xdr:txBody>
        </xdr:sp>
      </mc:Fallback>
    </mc:AlternateContent>
    <xdr:clientData/>
  </xdr:twoCellAnchor>
  <xdr:twoCellAnchor>
    <xdr:from>
      <xdr:col>4</xdr:col>
      <xdr:colOff>304800</xdr:colOff>
      <xdr:row>41</xdr:row>
      <xdr:rowOff>119062</xdr:rowOff>
    </xdr:from>
    <xdr:to>
      <xdr:col>11</xdr:col>
      <xdr:colOff>476250</xdr:colOff>
      <xdr:row>56</xdr:row>
      <xdr:rowOff>4762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C199133-6025-44A4-AEF7-8FD607A46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7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3.bin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9"/>
  <sheetViews>
    <sheetView tabSelected="1" zoomScale="115" zoomScaleNormal="115" workbookViewId="0">
      <selection activeCell="H13" sqref="H13"/>
    </sheetView>
  </sheetViews>
  <sheetFormatPr defaultRowHeight="15" x14ac:dyDescent="0.25"/>
  <cols>
    <col min="1" max="1" width="3" customWidth="1"/>
    <col min="2" max="2" width="27.140625" customWidth="1"/>
    <col min="3" max="3" width="29.7109375" customWidth="1"/>
    <col min="4" max="4" width="8.85546875" style="1"/>
  </cols>
  <sheetData>
    <row r="1" spans="2:8" ht="15.75" thickBot="1" x14ac:dyDescent="0.3"/>
    <row r="2" spans="2:8" x14ac:dyDescent="0.25">
      <c r="B2" s="3" t="s">
        <v>0</v>
      </c>
      <c r="C2" s="13"/>
      <c r="D2" s="4"/>
      <c r="E2" s="5" t="s">
        <v>1</v>
      </c>
    </row>
    <row r="3" spans="2:8" x14ac:dyDescent="0.25">
      <c r="B3" s="7" t="s">
        <v>2</v>
      </c>
      <c r="C3" s="15"/>
      <c r="D3" s="16" t="s">
        <v>3</v>
      </c>
      <c r="E3" s="17">
        <v>5</v>
      </c>
    </row>
    <row r="4" spans="2:8" x14ac:dyDescent="0.25">
      <c r="B4" s="7" t="s">
        <v>17</v>
      </c>
      <c r="C4" s="15"/>
      <c r="D4" s="16" t="s">
        <v>15</v>
      </c>
      <c r="E4" s="58">
        <f>+E5-0.0036</f>
        <v>5.04E-2</v>
      </c>
    </row>
    <row r="5" spans="2:8" x14ac:dyDescent="0.25">
      <c r="B5" s="7" t="s">
        <v>18</v>
      </c>
      <c r="C5" s="15"/>
      <c r="D5" s="16" t="s">
        <v>15</v>
      </c>
      <c r="E5" s="58">
        <f>0.108/2</f>
        <v>5.3999999999999999E-2</v>
      </c>
    </row>
    <row r="6" spans="2:8" x14ac:dyDescent="0.25">
      <c r="B6" s="7" t="s">
        <v>4</v>
      </c>
      <c r="C6" s="15"/>
      <c r="D6" s="16"/>
      <c r="E6" s="6" t="s">
        <v>5</v>
      </c>
    </row>
    <row r="7" spans="2:8" x14ac:dyDescent="0.25">
      <c r="B7" s="7" t="s">
        <v>6</v>
      </c>
      <c r="C7" s="15"/>
      <c r="D7" s="16" t="s">
        <v>7</v>
      </c>
      <c r="E7" s="17">
        <v>3.5999999999999997E-2</v>
      </c>
    </row>
    <row r="8" spans="2:8" x14ac:dyDescent="0.25">
      <c r="B8" s="7" t="s">
        <v>9</v>
      </c>
      <c r="C8" s="15"/>
      <c r="D8" s="16" t="s">
        <v>3</v>
      </c>
      <c r="E8" s="17">
        <v>35</v>
      </c>
    </row>
    <row r="9" spans="2:8" x14ac:dyDescent="0.25">
      <c r="B9" s="7" t="s">
        <v>11</v>
      </c>
      <c r="C9" s="15"/>
      <c r="D9" s="16"/>
      <c r="E9" s="59">
        <v>0.8</v>
      </c>
    </row>
    <row r="10" spans="2:8" x14ac:dyDescent="0.25">
      <c r="B10" s="7" t="s">
        <v>10</v>
      </c>
      <c r="C10" s="15"/>
      <c r="D10" s="16"/>
      <c r="E10" s="17">
        <v>31</v>
      </c>
    </row>
    <row r="11" spans="2:8" ht="29.45" customHeight="1" x14ac:dyDescent="0.25">
      <c r="B11" s="60" t="s">
        <v>8</v>
      </c>
      <c r="C11" s="61"/>
      <c r="D11" s="62" t="s">
        <v>12</v>
      </c>
      <c r="E11" s="63">
        <f>9.5+0.0085*E8^(4/3)</f>
        <v>10.473142227281105</v>
      </c>
    </row>
    <row r="12" spans="2:8" x14ac:dyDescent="0.25">
      <c r="B12" s="7" t="s">
        <v>13</v>
      </c>
      <c r="C12" s="15"/>
      <c r="D12" s="16" t="s">
        <v>15</v>
      </c>
      <c r="E12" s="58">
        <v>0.02</v>
      </c>
    </row>
    <row r="13" spans="2:8" x14ac:dyDescent="0.25">
      <c r="B13" s="7" t="s">
        <v>16</v>
      </c>
      <c r="C13" s="15"/>
      <c r="D13" s="16" t="s">
        <v>15</v>
      </c>
      <c r="E13" s="58">
        <f>+E5+E12</f>
        <v>7.3999999999999996E-2</v>
      </c>
      <c r="H13" s="79"/>
    </row>
    <row r="14" spans="2:8" ht="50.1" customHeight="1" thickBot="1" x14ac:dyDescent="0.3">
      <c r="B14" s="75" t="s">
        <v>14</v>
      </c>
      <c r="C14" s="76"/>
      <c r="D14" s="77" t="s">
        <v>3</v>
      </c>
      <c r="E14" s="78">
        <f>+E8+-(E8-E3)/(E11*E13/E7*LN(E13/E5)+1)</f>
        <v>31.145496892137551</v>
      </c>
    </row>
    <row r="16" spans="2:8" ht="15.75" thickBot="1" x14ac:dyDescent="0.3"/>
    <row r="17" spans="2:5" x14ac:dyDescent="0.25">
      <c r="B17" s="9" t="s">
        <v>53</v>
      </c>
      <c r="C17" s="10" t="s">
        <v>71</v>
      </c>
      <c r="D17" s="10" t="s">
        <v>72</v>
      </c>
      <c r="E17" s="14"/>
    </row>
    <row r="18" spans="2:5" x14ac:dyDescent="0.25">
      <c r="B18" s="39">
        <v>0.01</v>
      </c>
      <c r="C18" s="71">
        <f>+$E$5+B18</f>
        <v>6.4000000000000001E-2</v>
      </c>
      <c r="D18" s="73">
        <f>+$E$8+-+($E$8-$E$3)/($E$11*C18/$E$7*LN($E$13/$E$5)+1)</f>
        <v>30.630941967802464</v>
      </c>
      <c r="E18" s="17" t="str">
        <f>IF(D18&gt;$E$10,"OK","NO")</f>
        <v>NO</v>
      </c>
    </row>
    <row r="19" spans="2:5" x14ac:dyDescent="0.25">
      <c r="B19" s="39">
        <v>1.2E-2</v>
      </c>
      <c r="C19" s="71">
        <f>+$E$5+B19</f>
        <v>6.6000000000000003E-2</v>
      </c>
      <c r="D19" s="73">
        <f>+$E$8+-+($E$8-$E$3)/($E$11*C19/$E$7*LN($E$13/$E$5)+1)</f>
        <v>30.744557590150563</v>
      </c>
      <c r="E19" s="17" t="str">
        <f t="shared" ref="E19:E38" si="0">IF(D19&gt;$E$10,"OK","NO")</f>
        <v>NO</v>
      </c>
    </row>
    <row r="20" spans="2:5" x14ac:dyDescent="0.25">
      <c r="B20" s="39">
        <v>1.4E-2</v>
      </c>
      <c r="C20" s="71">
        <f>+$E$5+B20</f>
        <v>6.8000000000000005E-2</v>
      </c>
      <c r="D20" s="73">
        <f>+$E$8+-+($E$8-$E$3)/($E$11*C20/$E$7*LN($E$13/$E$5)+1)</f>
        <v>30.852413922112468</v>
      </c>
      <c r="E20" s="17" t="str">
        <f t="shared" si="0"/>
        <v>NO</v>
      </c>
    </row>
    <row r="21" spans="2:5" x14ac:dyDescent="0.25">
      <c r="B21" s="39">
        <v>1.6E-2</v>
      </c>
      <c r="C21" s="71">
        <f>+$E$5+B21</f>
        <v>7.0000000000000007E-2</v>
      </c>
      <c r="D21" s="73">
        <f>+$E$8+-+($E$8-$E$3)/($E$11*C21/$E$7*LN($E$13/$E$5)+1)</f>
        <v>30.954938055188784</v>
      </c>
      <c r="E21" s="17" t="str">
        <f t="shared" si="0"/>
        <v>NO</v>
      </c>
    </row>
    <row r="22" spans="2:5" x14ac:dyDescent="0.25">
      <c r="B22" s="39">
        <v>1.7999999999999999E-2</v>
      </c>
      <c r="C22" s="71">
        <f>+$E$5+B22</f>
        <v>7.1999999999999995E-2</v>
      </c>
      <c r="D22" s="73">
        <f>+$E$8+-+($E$8-$E$3)/($E$11*C22/$E$7*LN($E$13/$E$5)+1)</f>
        <v>31.052515870479773</v>
      </c>
      <c r="E22" s="17" t="str">
        <f t="shared" si="0"/>
        <v>OK</v>
      </c>
    </row>
    <row r="23" spans="2:5" x14ac:dyDescent="0.25">
      <c r="B23" s="39">
        <v>0.02</v>
      </c>
      <c r="C23" s="71">
        <f>+$E$5+B23</f>
        <v>7.3999999999999996E-2</v>
      </c>
      <c r="D23" s="73">
        <f>+$E$8+-+($E$8-$E$3)/($E$11*C23/$E$7*LN($E$13/$E$5)+1)</f>
        <v>31.145496892137551</v>
      </c>
      <c r="E23" s="17" t="str">
        <f t="shared" si="0"/>
        <v>OK</v>
      </c>
    </row>
    <row r="24" spans="2:5" x14ac:dyDescent="0.25">
      <c r="B24" s="39">
        <v>2.1999999999999999E-2</v>
      </c>
      <c r="C24" s="71">
        <f>+$E$5+B24</f>
        <v>7.5999999999999998E-2</v>
      </c>
      <c r="D24" s="73">
        <f>+$E$8+-+($E$8-$E$3)/($E$11*C24/$E$7*LN($E$13/$E$5)+1)</f>
        <v>31.234198470679228</v>
      </c>
      <c r="E24" s="17" t="str">
        <f t="shared" si="0"/>
        <v>OK</v>
      </c>
    </row>
    <row r="25" spans="2:5" x14ac:dyDescent="0.25">
      <c r="B25" s="39">
        <v>2.4E-2</v>
      </c>
      <c r="C25" s="71">
        <f>+$E$5+B25</f>
        <v>7.8E-2</v>
      </c>
      <c r="D25" s="73">
        <f>+$E$8+-+($E$8-$E$3)/($E$11*C25/$E$7*LN($E$13/$E$5)+1)</f>
        <v>31.318909401683428</v>
      </c>
      <c r="E25" s="17" t="str">
        <f t="shared" si="0"/>
        <v>OK</v>
      </c>
    </row>
    <row r="26" spans="2:5" x14ac:dyDescent="0.25">
      <c r="B26" s="39">
        <v>2.5999999999999999E-2</v>
      </c>
      <c r="C26" s="71">
        <f>+$E$5+B26</f>
        <v>0.08</v>
      </c>
      <c r="D26" s="73">
        <f>+$E$8+-+($E$8-$E$3)/($E$11*C26/$E$7*LN($E$13/$E$5)+1)</f>
        <v>31.399893066820795</v>
      </c>
      <c r="E26" s="17" t="str">
        <f t="shared" si="0"/>
        <v>OK</v>
      </c>
    </row>
    <row r="27" spans="2:5" x14ac:dyDescent="0.25">
      <c r="B27" s="39">
        <v>2.8000000000000001E-2</v>
      </c>
      <c r="C27" s="71">
        <f>+$E$5+B27</f>
        <v>8.2000000000000003E-2</v>
      </c>
      <c r="D27" s="73">
        <f>+$E$8+-+($E$8-$E$3)/($E$11*C27/$E$7*LN($E$13/$E$5)+1)</f>
        <v>31.477390169195274</v>
      </c>
      <c r="E27" s="17" t="str">
        <f t="shared" si="0"/>
        <v>OK</v>
      </c>
    </row>
    <row r="28" spans="2:5" x14ac:dyDescent="0.25">
      <c r="B28" s="39">
        <v>0.03</v>
      </c>
      <c r="C28" s="71">
        <f>+$E$5+B28</f>
        <v>8.3999999999999991E-2</v>
      </c>
      <c r="D28" s="73">
        <f>+$E$8+-+($E$8-$E$3)/($E$11*C28/$E$7*LN($E$13/$E$5)+1)</f>
        <v>31.551621122839016</v>
      </c>
      <c r="E28" s="17" t="str">
        <f t="shared" si="0"/>
        <v>OK</v>
      </c>
    </row>
    <row r="29" spans="2:5" x14ac:dyDescent="0.25">
      <c r="B29" s="39">
        <v>3.2000000000000001E-2</v>
      </c>
      <c r="C29" s="71">
        <f>+$E$5+B29</f>
        <v>8.5999999999999993E-2</v>
      </c>
      <c r="D29" s="73">
        <f>+$E$8+-+($E$8-$E$3)/($E$11*C29/$E$7*LN($E$13/$E$5)+1)</f>
        <v>31.622788146323444</v>
      </c>
      <c r="E29" s="17" t="str">
        <f t="shared" si="0"/>
        <v>OK</v>
      </c>
    </row>
    <row r="30" spans="2:5" x14ac:dyDescent="0.25">
      <c r="B30" s="39">
        <v>3.4000000000000002E-2</v>
      </c>
      <c r="C30" s="71">
        <f>+$E$5+B30</f>
        <v>8.7999999999999995E-2</v>
      </c>
      <c r="D30" s="73">
        <f>+$E$8+-+($E$8-$E$3)/($E$11*C30/$E$7*LN($E$13/$E$5)+1)</f>
        <v>31.691077102367011</v>
      </c>
      <c r="E30" s="17" t="str">
        <f t="shared" si="0"/>
        <v>OK</v>
      </c>
    </row>
    <row r="31" spans="2:5" x14ac:dyDescent="0.25">
      <c r="B31" s="39">
        <v>3.5999999999999997E-2</v>
      </c>
      <c r="C31" s="71">
        <f>+$E$5+B31</f>
        <v>0.09</v>
      </c>
      <c r="D31" s="73">
        <f>+$E$8+-+($E$8-$E$3)/($E$11*C31/$E$7*LN($E$13/$E$5)+1)</f>
        <v>31.756659118679575</v>
      </c>
      <c r="E31" s="17" t="str">
        <f t="shared" si="0"/>
        <v>OK</v>
      </c>
    </row>
    <row r="32" spans="2:5" x14ac:dyDescent="0.25">
      <c r="B32" s="39">
        <v>3.7999999999999999E-2</v>
      </c>
      <c r="C32" s="71">
        <f>+$E$5+B32</f>
        <v>9.1999999999999998E-2</v>
      </c>
      <c r="D32" s="73">
        <f>+$E$8+-+($E$8-$E$3)/($E$11*C32/$E$7*LN($E$13/$E$5)+1)</f>
        <v>31.819692019804396</v>
      </c>
      <c r="E32" s="17" t="str">
        <f t="shared" si="0"/>
        <v>OK</v>
      </c>
    </row>
    <row r="33" spans="2:6" x14ac:dyDescent="0.25">
      <c r="B33" s="39">
        <v>0.04</v>
      </c>
      <c r="C33" s="71">
        <f>+$E$5+B33</f>
        <v>9.4E-2</v>
      </c>
      <c r="D33" s="73">
        <f>+$E$8+-+($E$8-$E$3)/($E$11*C33/$E$7*LN($E$13/$E$5)+1)</f>
        <v>31.88032159517984</v>
      </c>
      <c r="E33" s="17" t="str">
        <f t="shared" si="0"/>
        <v>OK</v>
      </c>
    </row>
    <row r="34" spans="2:6" x14ac:dyDescent="0.25">
      <c r="B34" s="39">
        <v>4.2000000000000003E-2</v>
      </c>
      <c r="C34" s="71">
        <f>+$E$5+B34</f>
        <v>9.6000000000000002E-2</v>
      </c>
      <c r="D34" s="73">
        <f>+$E$8+-+($E$8-$E$3)/($E$11*C34/$E$7*LN($E$13/$E$5)+1)</f>
        <v>31.938682724868087</v>
      </c>
      <c r="E34" s="17" t="str">
        <f t="shared" si="0"/>
        <v>OK</v>
      </c>
    </row>
    <row r="35" spans="2:6" x14ac:dyDescent="0.25">
      <c r="B35" s="39">
        <v>4.3999999999999997E-2</v>
      </c>
      <c r="C35" s="71">
        <f>+$E$5+B35</f>
        <v>9.8000000000000004E-2</v>
      </c>
      <c r="D35" s="73">
        <f>+$E$8+-+($E$8-$E$3)/($E$11*C35/$E$7*LN($E$13/$E$5)+1)</f>
        <v>31.99490038124739</v>
      </c>
      <c r="E35" s="17" t="str">
        <f t="shared" si="0"/>
        <v>OK</v>
      </c>
    </row>
    <row r="36" spans="2:6" x14ac:dyDescent="0.25">
      <c r="B36" s="39">
        <v>4.5999999999999999E-2</v>
      </c>
      <c r="C36" s="71">
        <f>+$E$5+B36</f>
        <v>0.1</v>
      </c>
      <c r="D36" s="73">
        <f>+$E$8+-+($E$8-$E$3)/($E$11*C36/$E$7*LN($E$13/$E$5)+1)</f>
        <v>32.049090522324889</v>
      </c>
      <c r="E36" s="17" t="str">
        <f t="shared" si="0"/>
        <v>OK</v>
      </c>
    </row>
    <row r="37" spans="2:6" x14ac:dyDescent="0.25">
      <c r="B37" s="39">
        <v>4.8000000000000001E-2</v>
      </c>
      <c r="C37" s="71">
        <f>+$E$5+B37</f>
        <v>0.10200000000000001</v>
      </c>
      <c r="D37" s="73">
        <f>+$E$8+-+($E$8-$E$3)/($E$11*C37/$E$7*LN($E$13/$E$5)+1)</f>
        <v>32.101360890108225</v>
      </c>
      <c r="E37" s="17" t="str">
        <f t="shared" si="0"/>
        <v>OK</v>
      </c>
    </row>
    <row r="38" spans="2:6" ht="15.75" thickBot="1" x14ac:dyDescent="0.3">
      <c r="B38" s="44">
        <v>0.05</v>
      </c>
      <c r="C38" s="72">
        <f>+$E$5+B38</f>
        <v>0.10400000000000001</v>
      </c>
      <c r="D38" s="74">
        <f>+$E$8+-+($E$8-$E$3)/($E$11*C38/$E$7*LN($E$13/$E$5)+1)</f>
        <v>32.15181172560326</v>
      </c>
      <c r="E38" s="35" t="str">
        <f t="shared" si="0"/>
        <v>OK</v>
      </c>
    </row>
    <row r="39" spans="2:6" x14ac:dyDescent="0.25">
      <c r="C39" s="15"/>
      <c r="D39" s="16"/>
      <c r="E39" s="15"/>
      <c r="F39" s="15"/>
    </row>
  </sheetData>
  <conditionalFormatting sqref="D18:D38">
    <cfRule type="cellIs" dxfId="1" priority="1" operator="greaterThan">
      <formula>$E$10</formula>
    </cfRule>
  </conditionalFormatting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>
              <from>
                <xdr:col>2</xdr:col>
                <xdr:colOff>314325</xdr:colOff>
                <xdr:row>10</xdr:row>
                <xdr:rowOff>85725</xdr:rowOff>
              </from>
              <to>
                <xdr:col>3</xdr:col>
                <xdr:colOff>0</xdr:colOff>
                <xdr:row>11</xdr:row>
                <xdr:rowOff>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2</xdr:col>
                <xdr:colOff>19050</xdr:colOff>
                <xdr:row>13</xdr:row>
                <xdr:rowOff>95250</xdr:rowOff>
              </from>
              <to>
                <xdr:col>2</xdr:col>
                <xdr:colOff>2819400</xdr:colOff>
                <xdr:row>13</xdr:row>
                <xdr:rowOff>819150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ACF0-4054-40A1-8772-F30D66E85C7E}">
  <dimension ref="B1:H65"/>
  <sheetViews>
    <sheetView zoomScaleNormal="100" workbookViewId="0">
      <selection activeCell="K38" sqref="K38"/>
    </sheetView>
  </sheetViews>
  <sheetFormatPr defaultRowHeight="15" x14ac:dyDescent="0.25"/>
  <cols>
    <col min="1" max="1" width="3.42578125" customWidth="1"/>
    <col min="2" max="2" width="33.28515625" customWidth="1"/>
    <col min="3" max="3" width="29.7109375" customWidth="1"/>
    <col min="4" max="4" width="9.140625" style="1"/>
    <col min="5" max="5" width="11.140625" bestFit="1" customWidth="1"/>
  </cols>
  <sheetData>
    <row r="1" spans="2:5" ht="15.75" thickBot="1" x14ac:dyDescent="0.3"/>
    <row r="2" spans="2:5" ht="49.5" customHeight="1" x14ac:dyDescent="0.25">
      <c r="B2" s="54" t="s">
        <v>29</v>
      </c>
      <c r="C2" s="55"/>
      <c r="D2" s="55"/>
      <c r="E2" s="56"/>
    </row>
    <row r="3" spans="2:5" x14ac:dyDescent="0.25">
      <c r="B3" s="7" t="s">
        <v>0</v>
      </c>
      <c r="C3" s="15"/>
      <c r="D3" s="16"/>
      <c r="E3" s="17" t="s">
        <v>19</v>
      </c>
    </row>
    <row r="4" spans="2:5" x14ac:dyDescent="0.25">
      <c r="B4" s="7" t="s">
        <v>25</v>
      </c>
      <c r="C4" s="15"/>
      <c r="D4" s="16" t="s">
        <v>3</v>
      </c>
      <c r="E4" s="57">
        <v>90</v>
      </c>
    </row>
    <row r="5" spans="2:5" x14ac:dyDescent="0.25">
      <c r="B5" s="7" t="s">
        <v>26</v>
      </c>
      <c r="C5" s="15"/>
      <c r="D5" s="16" t="s">
        <v>3</v>
      </c>
      <c r="E5" s="57">
        <v>80</v>
      </c>
    </row>
    <row r="6" spans="2:5" x14ac:dyDescent="0.25">
      <c r="B6" s="7" t="s">
        <v>17</v>
      </c>
      <c r="C6" s="15"/>
      <c r="D6" s="16" t="s">
        <v>15</v>
      </c>
      <c r="E6" s="58">
        <f>+E7-0.0036</f>
        <v>5.04E-2</v>
      </c>
    </row>
    <row r="7" spans="2:5" x14ac:dyDescent="0.25">
      <c r="B7" s="7" t="s">
        <v>18</v>
      </c>
      <c r="C7" s="15"/>
      <c r="D7" s="16" t="s">
        <v>15</v>
      </c>
      <c r="E7" s="58">
        <f>0.108/2</f>
        <v>5.3999999999999999E-2</v>
      </c>
    </row>
    <row r="8" spans="2:5" x14ac:dyDescent="0.25">
      <c r="B8" s="7" t="s">
        <v>4</v>
      </c>
      <c r="C8" s="15"/>
      <c r="D8" s="16"/>
      <c r="E8" s="6" t="s">
        <v>24</v>
      </c>
    </row>
    <row r="9" spans="2:5" x14ac:dyDescent="0.25">
      <c r="B9" s="7" t="s">
        <v>6</v>
      </c>
      <c r="C9" s="15"/>
      <c r="D9" s="16" t="s">
        <v>7</v>
      </c>
      <c r="E9" s="17">
        <v>4.3999999999999997E-2</v>
      </c>
    </row>
    <row r="10" spans="2:5" x14ac:dyDescent="0.25">
      <c r="B10" s="7" t="s">
        <v>9</v>
      </c>
      <c r="C10" s="15"/>
      <c r="D10" s="16" t="s">
        <v>3</v>
      </c>
      <c r="E10" s="57">
        <v>18</v>
      </c>
    </row>
    <row r="11" spans="2:5" x14ac:dyDescent="0.25">
      <c r="B11" s="7" t="s">
        <v>11</v>
      </c>
      <c r="C11" s="15"/>
      <c r="D11" s="16"/>
      <c r="E11" s="59">
        <v>0.5</v>
      </c>
    </row>
    <row r="12" spans="2:5" x14ac:dyDescent="0.25">
      <c r="B12" s="7" t="s">
        <v>10</v>
      </c>
      <c r="C12" s="15"/>
      <c r="D12" s="16"/>
      <c r="E12" s="17">
        <v>13</v>
      </c>
    </row>
    <row r="13" spans="2:5" s="2" customFormat="1" ht="25.9" customHeight="1" x14ac:dyDescent="0.25">
      <c r="B13" s="60" t="s">
        <v>8</v>
      </c>
      <c r="C13" s="61"/>
      <c r="D13" s="62" t="s">
        <v>12</v>
      </c>
      <c r="E13" s="63">
        <f>9.5+0.0085*E10^(4/3)</f>
        <v>9.9009734333139612</v>
      </c>
    </row>
    <row r="14" spans="2:5" x14ac:dyDescent="0.25">
      <c r="B14" s="64" t="s">
        <v>13</v>
      </c>
      <c r="C14" s="65"/>
      <c r="D14" s="66" t="s">
        <v>15</v>
      </c>
      <c r="E14" s="67">
        <v>0.06</v>
      </c>
    </row>
    <row r="15" spans="2:5" x14ac:dyDescent="0.25">
      <c r="B15" s="7" t="s">
        <v>16</v>
      </c>
      <c r="C15" s="15"/>
      <c r="D15" s="16" t="s">
        <v>15</v>
      </c>
      <c r="E15" s="58">
        <f>+E7+E14</f>
        <v>0.11399999999999999</v>
      </c>
    </row>
    <row r="16" spans="2:5" s="2" customFormat="1" ht="50.1" customHeight="1" x14ac:dyDescent="0.25">
      <c r="B16" s="60" t="s">
        <v>14</v>
      </c>
      <c r="C16" s="61"/>
      <c r="D16" s="62" t="s">
        <v>3</v>
      </c>
      <c r="E16" s="63">
        <f>+E10-(E10-E4)/(E13*E15/E9*LN(E15/E7)+1)</f>
        <v>21.570023593713483</v>
      </c>
    </row>
    <row r="17" spans="2:5" x14ac:dyDescent="0.25">
      <c r="B17" s="7" t="s">
        <v>27</v>
      </c>
      <c r="C17" s="15"/>
      <c r="D17" s="16" t="s">
        <v>15</v>
      </c>
      <c r="E17" s="17">
        <v>300</v>
      </c>
    </row>
    <row r="18" spans="2:5" s="2" customFormat="1" ht="38.65" customHeight="1" x14ac:dyDescent="0.25">
      <c r="B18" s="60" t="s">
        <v>22</v>
      </c>
      <c r="C18" s="61"/>
      <c r="D18" s="62" t="s">
        <v>23</v>
      </c>
      <c r="E18" s="63">
        <f>1/2/PI()*(1/E9*LN(E15/E7)+1/E13/E15)</f>
        <v>2.8437983325582827</v>
      </c>
    </row>
    <row r="19" spans="2:5" s="2" customFormat="1" ht="50.1" customHeight="1" x14ac:dyDescent="0.25">
      <c r="B19" s="60" t="s">
        <v>28</v>
      </c>
      <c r="C19" s="61"/>
      <c r="D19" s="62" t="s">
        <v>20</v>
      </c>
      <c r="E19" s="63">
        <f>(E4-E10)*E17/E18</f>
        <v>7595.4753024166193</v>
      </c>
    </row>
    <row r="20" spans="2:5" x14ac:dyDescent="0.25">
      <c r="B20" s="7" t="s">
        <v>32</v>
      </c>
      <c r="C20" s="15"/>
      <c r="D20" s="16" t="s">
        <v>33</v>
      </c>
      <c r="E20" s="68">
        <v>1.5</v>
      </c>
    </row>
    <row r="21" spans="2:5" s="2" customFormat="1" ht="26.45" customHeight="1" x14ac:dyDescent="0.25">
      <c r="B21" s="60" t="s">
        <v>30</v>
      </c>
      <c r="C21" s="61"/>
      <c r="D21" s="62" t="s">
        <v>31</v>
      </c>
      <c r="E21" s="69">
        <f>+PI()*E6^2*E20*1000</f>
        <v>11.970221992413974</v>
      </c>
    </row>
    <row r="22" spans="2:5" s="2" customFormat="1" ht="17.25" customHeight="1" x14ac:dyDescent="0.25">
      <c r="B22" s="60" t="s">
        <v>21</v>
      </c>
      <c r="C22" s="61"/>
      <c r="D22" s="62" t="s">
        <v>20</v>
      </c>
      <c r="E22" s="63">
        <f>+E21*4180*(E4-E5)</f>
        <v>500355.27928290411</v>
      </c>
    </row>
    <row r="23" spans="2:5" ht="15.75" thickBot="1" x14ac:dyDescent="0.3">
      <c r="B23" s="8" t="s">
        <v>34</v>
      </c>
      <c r="C23" s="19"/>
      <c r="D23" s="20"/>
      <c r="E23" s="70">
        <f>E19/E22</f>
        <v>1.518016420912407E-2</v>
      </c>
    </row>
    <row r="24" spans="2:5" ht="15.75" thickBot="1" x14ac:dyDescent="0.3"/>
    <row r="25" spans="2:5" x14ac:dyDescent="0.25">
      <c r="B25" s="12" t="s">
        <v>39</v>
      </c>
      <c r="C25" s="13"/>
      <c r="D25" s="4"/>
      <c r="E25" s="14"/>
    </row>
    <row r="26" spans="2:5" x14ac:dyDescent="0.25">
      <c r="B26" s="7" t="s">
        <v>37</v>
      </c>
      <c r="C26" s="15"/>
      <c r="D26" s="16" t="s">
        <v>67</v>
      </c>
      <c r="E26" s="17">
        <v>4186</v>
      </c>
    </row>
    <row r="27" spans="2:5" x14ac:dyDescent="0.25">
      <c r="B27" s="7" t="s">
        <v>38</v>
      </c>
      <c r="C27" s="15"/>
      <c r="D27" s="16" t="s">
        <v>3</v>
      </c>
      <c r="E27" s="18">
        <f>E10+(E4-E10)/EXP(E17/(E26*E21*E18))</f>
        <v>89.848575398302629</v>
      </c>
    </row>
    <row r="28" spans="2:5" x14ac:dyDescent="0.25">
      <c r="B28" s="7" t="s">
        <v>40</v>
      </c>
      <c r="C28" s="15"/>
      <c r="D28" s="16" t="s">
        <v>41</v>
      </c>
      <c r="E28" s="18">
        <f>E4-E27</f>
        <v>0.15142460169737149</v>
      </c>
    </row>
    <row r="29" spans="2:5" x14ac:dyDescent="0.25">
      <c r="B29" s="7" t="s">
        <v>28</v>
      </c>
      <c r="C29" s="15"/>
      <c r="D29" s="16" t="s">
        <v>20</v>
      </c>
      <c r="E29" s="18">
        <f>E26*E28*E21</f>
        <v>7587.4854038436652</v>
      </c>
    </row>
    <row r="30" spans="2:5" ht="15.75" thickBot="1" x14ac:dyDescent="0.3">
      <c r="B30" s="8" t="s">
        <v>42</v>
      </c>
      <c r="C30" s="19"/>
      <c r="D30" s="20"/>
      <c r="E30" s="21">
        <f>ABS(E29-E19)/E29</f>
        <v>1.0530364340347422E-3</v>
      </c>
    </row>
    <row r="32" spans="2:5" ht="15.75" thickBot="1" x14ac:dyDescent="0.3"/>
    <row r="33" spans="2:8" x14ac:dyDescent="0.25">
      <c r="B33" s="28" t="s">
        <v>46</v>
      </c>
      <c r="C33" s="29"/>
      <c r="D33" s="30"/>
      <c r="F33" s="34" t="s">
        <v>58</v>
      </c>
      <c r="G33" s="34"/>
      <c r="H33" s="34"/>
    </row>
    <row r="34" spans="2:8" x14ac:dyDescent="0.25">
      <c r="B34" s="31" t="s">
        <v>43</v>
      </c>
      <c r="C34" s="16" t="s">
        <v>45</v>
      </c>
      <c r="D34" s="6" t="s">
        <v>44</v>
      </c>
      <c r="F34" s="34"/>
      <c r="G34" s="34"/>
      <c r="H34" s="34"/>
    </row>
    <row r="35" spans="2:8" x14ac:dyDescent="0.25">
      <c r="B35" s="7">
        <v>0</v>
      </c>
      <c r="C35" s="22">
        <f>$E$10+($E$4-$E$10)/EXP(B35/($E$26*$E$21*$E$18))</f>
        <v>90</v>
      </c>
      <c r="D35" s="32">
        <f>+$E$10-($E$10-C35)/($E$13*$E$15/$E$9*LN($E$15/$E$7)+1)</f>
        <v>21.570023593713483</v>
      </c>
      <c r="F35" s="34"/>
      <c r="G35" s="34"/>
      <c r="H35" s="34"/>
    </row>
    <row r="36" spans="2:8" x14ac:dyDescent="0.25">
      <c r="B36" s="7">
        <v>10</v>
      </c>
      <c r="C36" s="22">
        <f t="shared" ref="C36:C65" si="0">$E$10+($E$4-$E$10)/EXP(B36/($E$26*$E$21*$E$18))</f>
        <v>89.994947375382452</v>
      </c>
      <c r="D36" s="32">
        <f t="shared" ref="D36:D65" si="1">+$E$10-($E$10-C36)/($E$13*$E$15/$E$9*LN($E$15/$E$7)+1)</f>
        <v>21.569773066087166</v>
      </c>
      <c r="F36" s="34"/>
      <c r="G36" s="34"/>
      <c r="H36" s="34"/>
    </row>
    <row r="37" spans="2:8" x14ac:dyDescent="0.25">
      <c r="B37" s="7">
        <v>20</v>
      </c>
      <c r="C37" s="22">
        <f t="shared" si="0"/>
        <v>89.989895105334568</v>
      </c>
      <c r="D37" s="32">
        <f t="shared" si="1"/>
        <v>21.569522556041711</v>
      </c>
      <c r="F37" s="34"/>
      <c r="G37" s="34"/>
      <c r="H37" s="34"/>
    </row>
    <row r="38" spans="2:8" x14ac:dyDescent="0.25">
      <c r="B38" s="7">
        <v>30</v>
      </c>
      <c r="C38" s="22">
        <f t="shared" si="0"/>
        <v>89.98484318983148</v>
      </c>
      <c r="D38" s="32">
        <f t="shared" si="1"/>
        <v>21.569272063575884</v>
      </c>
      <c r="F38" s="34"/>
      <c r="G38" s="34"/>
      <c r="H38" s="34"/>
    </row>
    <row r="39" spans="2:8" x14ac:dyDescent="0.25">
      <c r="B39" s="7">
        <v>40</v>
      </c>
      <c r="C39" s="22">
        <f t="shared" si="0"/>
        <v>89.979791628848275</v>
      </c>
      <c r="D39" s="32">
        <f t="shared" si="1"/>
        <v>21.56902158868845</v>
      </c>
    </row>
    <row r="40" spans="2:8" x14ac:dyDescent="0.25">
      <c r="B40" s="7">
        <v>50</v>
      </c>
      <c r="C40" s="22">
        <f t="shared" si="0"/>
        <v>89.974740422360085</v>
      </c>
      <c r="D40" s="32">
        <f t="shared" si="1"/>
        <v>21.568771131378181</v>
      </c>
    </row>
    <row r="41" spans="2:8" x14ac:dyDescent="0.25">
      <c r="B41" s="7">
        <v>60</v>
      </c>
      <c r="C41" s="22">
        <f t="shared" si="0"/>
        <v>89.969689570342041</v>
      </c>
      <c r="D41" s="32">
        <f t="shared" si="1"/>
        <v>21.568520691643837</v>
      </c>
    </row>
    <row r="42" spans="2:8" x14ac:dyDescent="0.25">
      <c r="B42" s="7">
        <v>70</v>
      </c>
      <c r="C42" s="22">
        <f t="shared" si="0"/>
        <v>89.964639072769259</v>
      </c>
      <c r="D42" s="32">
        <f t="shared" si="1"/>
        <v>21.568270269484184</v>
      </c>
    </row>
    <row r="43" spans="2:8" x14ac:dyDescent="0.25">
      <c r="B43" s="7">
        <v>80</v>
      </c>
      <c r="C43" s="22">
        <f t="shared" si="0"/>
        <v>89.959588929616871</v>
      </c>
      <c r="D43" s="32">
        <f t="shared" si="1"/>
        <v>21.568019864897995</v>
      </c>
    </row>
    <row r="44" spans="2:8" x14ac:dyDescent="0.25">
      <c r="B44" s="7">
        <v>90</v>
      </c>
      <c r="C44" s="22">
        <f t="shared" si="0"/>
        <v>89.954539140860021</v>
      </c>
      <c r="D44" s="32">
        <f t="shared" si="1"/>
        <v>21.567769477884035</v>
      </c>
    </row>
    <row r="45" spans="2:8" x14ac:dyDescent="0.25">
      <c r="B45" s="7">
        <v>100</v>
      </c>
      <c r="C45" s="22">
        <f t="shared" si="0"/>
        <v>89.949489706473813</v>
      </c>
      <c r="D45" s="32">
        <f t="shared" si="1"/>
        <v>21.567519108441068</v>
      </c>
    </row>
    <row r="46" spans="2:8" x14ac:dyDescent="0.25">
      <c r="B46" s="7">
        <v>110</v>
      </c>
      <c r="C46" s="22">
        <f t="shared" si="0"/>
        <v>89.944440626433391</v>
      </c>
      <c r="D46" s="32">
        <f t="shared" si="1"/>
        <v>21.567268756567859</v>
      </c>
    </row>
    <row r="47" spans="2:8" x14ac:dyDescent="0.25">
      <c r="B47" s="7">
        <v>120</v>
      </c>
      <c r="C47" s="22">
        <f t="shared" si="0"/>
        <v>89.939391900713886</v>
      </c>
      <c r="D47" s="32">
        <f t="shared" si="1"/>
        <v>21.567018422263182</v>
      </c>
    </row>
    <row r="48" spans="2:8" x14ac:dyDescent="0.25">
      <c r="B48" s="7">
        <v>130</v>
      </c>
      <c r="C48" s="22">
        <f t="shared" si="0"/>
        <v>89.93434352929043</v>
      </c>
      <c r="D48" s="32">
        <f t="shared" si="1"/>
        <v>21.566768105525799</v>
      </c>
    </row>
    <row r="49" spans="2:4" x14ac:dyDescent="0.25">
      <c r="B49" s="7">
        <v>140</v>
      </c>
      <c r="C49" s="22">
        <f t="shared" si="0"/>
        <v>89.929295512138168</v>
      </c>
      <c r="D49" s="32">
        <f t="shared" si="1"/>
        <v>21.566517806354479</v>
      </c>
    </row>
    <row r="50" spans="2:4" x14ac:dyDescent="0.25">
      <c r="B50" s="7">
        <v>150</v>
      </c>
      <c r="C50" s="22">
        <f t="shared" si="0"/>
        <v>89.924247849232245</v>
      </c>
      <c r="D50" s="32">
        <f t="shared" si="1"/>
        <v>21.566267524747989</v>
      </c>
    </row>
    <row r="51" spans="2:4" x14ac:dyDescent="0.25">
      <c r="B51" s="7">
        <v>160</v>
      </c>
      <c r="C51" s="22">
        <f t="shared" si="0"/>
        <v>89.919200540547791</v>
      </c>
      <c r="D51" s="32">
        <f t="shared" si="1"/>
        <v>21.566017260705099</v>
      </c>
    </row>
    <row r="52" spans="2:4" x14ac:dyDescent="0.25">
      <c r="B52" s="7">
        <v>170</v>
      </c>
      <c r="C52" s="22">
        <f t="shared" si="0"/>
        <v>89.914153586059939</v>
      </c>
      <c r="D52" s="32">
        <f t="shared" si="1"/>
        <v>21.565767014224569</v>
      </c>
    </row>
    <row r="53" spans="2:4" x14ac:dyDescent="0.25">
      <c r="B53" s="7">
        <v>180</v>
      </c>
      <c r="C53" s="22">
        <f t="shared" si="0"/>
        <v>89.909106985743847</v>
      </c>
      <c r="D53" s="32">
        <f t="shared" si="1"/>
        <v>21.565516785305174</v>
      </c>
    </row>
    <row r="54" spans="2:4" x14ac:dyDescent="0.25">
      <c r="B54" s="7">
        <v>190</v>
      </c>
      <c r="C54" s="22">
        <f t="shared" si="0"/>
        <v>89.90406073957466</v>
      </c>
      <c r="D54" s="32">
        <f t="shared" si="1"/>
        <v>21.565266573945678</v>
      </c>
    </row>
    <row r="55" spans="2:4" x14ac:dyDescent="0.25">
      <c r="B55" s="7">
        <v>200</v>
      </c>
      <c r="C55" s="22">
        <f t="shared" si="0"/>
        <v>89.899014847527511</v>
      </c>
      <c r="D55" s="32">
        <f t="shared" si="1"/>
        <v>21.565016380144851</v>
      </c>
    </row>
    <row r="56" spans="2:4" x14ac:dyDescent="0.25">
      <c r="B56" s="7">
        <v>210</v>
      </c>
      <c r="C56" s="22">
        <f t="shared" si="0"/>
        <v>89.893969309577585</v>
      </c>
      <c r="D56" s="32">
        <f t="shared" si="1"/>
        <v>21.564766203901456</v>
      </c>
    </row>
    <row r="57" spans="2:4" x14ac:dyDescent="0.25">
      <c r="B57" s="7">
        <v>220</v>
      </c>
      <c r="C57" s="22">
        <f t="shared" si="0"/>
        <v>89.888924125700001</v>
      </c>
      <c r="D57" s="32">
        <f t="shared" si="1"/>
        <v>21.564516045214269</v>
      </c>
    </row>
    <row r="58" spans="2:4" x14ac:dyDescent="0.25">
      <c r="B58" s="7">
        <v>230</v>
      </c>
      <c r="C58" s="22">
        <f t="shared" si="0"/>
        <v>89.883879295869917</v>
      </c>
      <c r="D58" s="32">
        <f t="shared" si="1"/>
        <v>21.564265904082053</v>
      </c>
    </row>
    <row r="59" spans="2:4" x14ac:dyDescent="0.25">
      <c r="B59" s="7">
        <v>240</v>
      </c>
      <c r="C59" s="22">
        <f t="shared" si="0"/>
        <v>89.878834820062494</v>
      </c>
      <c r="D59" s="32">
        <f t="shared" si="1"/>
        <v>21.564015780503574</v>
      </c>
    </row>
    <row r="60" spans="2:4" x14ac:dyDescent="0.25">
      <c r="B60" s="7">
        <v>250</v>
      </c>
      <c r="C60" s="22">
        <f t="shared" si="0"/>
        <v>89.873790698252861</v>
      </c>
      <c r="D60" s="32">
        <f t="shared" si="1"/>
        <v>21.563765674477601</v>
      </c>
    </row>
    <row r="61" spans="2:4" x14ac:dyDescent="0.25">
      <c r="B61" s="7">
        <v>260</v>
      </c>
      <c r="C61" s="22">
        <f t="shared" si="0"/>
        <v>89.868746930416222</v>
      </c>
      <c r="D61" s="32">
        <f t="shared" si="1"/>
        <v>21.563515586002907</v>
      </c>
    </row>
    <row r="62" spans="2:4" x14ac:dyDescent="0.25">
      <c r="B62" s="7">
        <v>270</v>
      </c>
      <c r="C62" s="22">
        <f t="shared" si="0"/>
        <v>89.863703516527721</v>
      </c>
      <c r="D62" s="32">
        <f t="shared" si="1"/>
        <v>21.563265515078257</v>
      </c>
    </row>
    <row r="63" spans="2:4" x14ac:dyDescent="0.25">
      <c r="B63" s="7">
        <v>280</v>
      </c>
      <c r="C63" s="22">
        <f t="shared" si="0"/>
        <v>89.858660456562518</v>
      </c>
      <c r="D63" s="32">
        <f t="shared" si="1"/>
        <v>21.56301546170242</v>
      </c>
    </row>
    <row r="64" spans="2:4" x14ac:dyDescent="0.25">
      <c r="B64" s="7">
        <v>290</v>
      </c>
      <c r="C64" s="22">
        <f t="shared" si="0"/>
        <v>89.853617750495758</v>
      </c>
      <c r="D64" s="32">
        <f t="shared" si="1"/>
        <v>21.562765425874161</v>
      </c>
    </row>
    <row r="65" spans="2:4" ht="15.75" thickBot="1" x14ac:dyDescent="0.3">
      <c r="B65" s="8">
        <v>300</v>
      </c>
      <c r="C65" s="23">
        <f t="shared" si="0"/>
        <v>89.848575398302629</v>
      </c>
      <c r="D65" s="33">
        <f t="shared" si="1"/>
        <v>21.562515407592254</v>
      </c>
    </row>
  </sheetData>
  <mergeCells count="3">
    <mergeCell ref="B2:E2"/>
    <mergeCell ref="B33:D33"/>
    <mergeCell ref="F33:H38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>
              <from>
                <xdr:col>2</xdr:col>
                <xdr:colOff>485775</xdr:colOff>
                <xdr:row>12</xdr:row>
                <xdr:rowOff>9525</xdr:rowOff>
              </from>
              <to>
                <xdr:col>2</xdr:col>
                <xdr:colOff>1962150</xdr:colOff>
                <xdr:row>13</xdr:row>
                <xdr:rowOff>0</xdr:rowOff>
              </to>
            </anchor>
          </objectPr>
        </oleObject>
      </mc:Choice>
      <mc:Fallback>
        <oleObject progId="Equation.3" shapeId="6145" r:id="rId4"/>
      </mc:Fallback>
    </mc:AlternateContent>
    <mc:AlternateContent xmlns:mc="http://schemas.openxmlformats.org/markup-compatibility/2006">
      <mc:Choice Requires="x14">
        <oleObject progId="Equation.3" shapeId="6146" r:id="rId6">
          <objectPr defaultSize="0" autoPict="0" r:id="rId7">
            <anchor moveWithCells="1" sizeWithCells="1">
              <from>
                <xdr:col>2</xdr:col>
                <xdr:colOff>19050</xdr:colOff>
                <xdr:row>15</xdr:row>
                <xdr:rowOff>95250</xdr:rowOff>
              </from>
              <to>
                <xdr:col>2</xdr:col>
                <xdr:colOff>2819400</xdr:colOff>
                <xdr:row>15</xdr:row>
                <xdr:rowOff>819150</xdr:rowOff>
              </to>
            </anchor>
          </objectPr>
        </oleObject>
      </mc:Choice>
      <mc:Fallback>
        <oleObject progId="Equation.3" shapeId="6146" r:id="rId6"/>
      </mc:Fallback>
    </mc:AlternateContent>
    <mc:AlternateContent xmlns:mc="http://schemas.openxmlformats.org/markup-compatibility/2006">
      <mc:Choice Requires="x14">
        <oleObject progId="Equation.3" shapeId="6147" r:id="rId8">
          <objectPr defaultSize="0" autoPict="0" r:id="rId9">
            <anchor moveWithCells="1" sizeWithCells="1">
              <from>
                <xdr:col>2</xdr:col>
                <xdr:colOff>19050</xdr:colOff>
                <xdr:row>18</xdr:row>
                <xdr:rowOff>66675</xdr:rowOff>
              </from>
              <to>
                <xdr:col>2</xdr:col>
                <xdr:colOff>2809875</xdr:colOff>
                <xdr:row>18</xdr:row>
                <xdr:rowOff>819150</xdr:rowOff>
              </to>
            </anchor>
          </objectPr>
        </oleObject>
      </mc:Choice>
      <mc:Fallback>
        <oleObject progId="Equation.3" shapeId="6147" r:id="rId8"/>
      </mc:Fallback>
    </mc:AlternateContent>
    <mc:AlternateContent xmlns:mc="http://schemas.openxmlformats.org/markup-compatibility/2006">
      <mc:Choice Requires="x14">
        <oleObject progId="Equation.3" shapeId="6148" r:id="rId10">
          <objectPr defaultSize="0" autoPict="0" r:id="rId11">
            <anchor moveWithCells="1" sizeWithCells="1">
              <from>
                <xdr:col>2</xdr:col>
                <xdr:colOff>152400</xdr:colOff>
                <xdr:row>17</xdr:row>
                <xdr:rowOff>57150</xdr:rowOff>
              </from>
              <to>
                <xdr:col>2</xdr:col>
                <xdr:colOff>2695575</xdr:colOff>
                <xdr:row>18</xdr:row>
                <xdr:rowOff>0</xdr:rowOff>
              </to>
            </anchor>
          </objectPr>
        </oleObject>
      </mc:Choice>
      <mc:Fallback>
        <oleObject progId="Equation.3" shapeId="6148" r:id="rId10"/>
      </mc:Fallback>
    </mc:AlternateContent>
    <mc:AlternateContent xmlns:mc="http://schemas.openxmlformats.org/markup-compatibility/2006">
      <mc:Choice Requires="x14">
        <oleObject progId="Equation.3" shapeId="6149" r:id="rId12">
          <objectPr defaultSize="0" autoPict="0" r:id="rId13">
            <anchor moveWithCells="1" sizeWithCells="1">
              <from>
                <xdr:col>2</xdr:col>
                <xdr:colOff>361950</xdr:colOff>
                <xdr:row>21</xdr:row>
                <xdr:rowOff>38100</xdr:rowOff>
              </from>
              <to>
                <xdr:col>2</xdr:col>
                <xdr:colOff>2657475</xdr:colOff>
                <xdr:row>22</xdr:row>
                <xdr:rowOff>19050</xdr:rowOff>
              </to>
            </anchor>
          </objectPr>
        </oleObject>
      </mc:Choice>
      <mc:Fallback>
        <oleObject progId="Equation.3" shapeId="6149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A4D7-C808-4416-BAD2-62201144B2EE}">
  <dimension ref="B1:M37"/>
  <sheetViews>
    <sheetView workbookViewId="0">
      <selection activeCell="J11" sqref="J11"/>
    </sheetView>
  </sheetViews>
  <sheetFormatPr defaultRowHeight="15" x14ac:dyDescent="0.25"/>
  <cols>
    <col min="2" max="2" width="10.28515625" customWidth="1"/>
    <col min="4" max="4" width="11.140625" customWidth="1"/>
    <col min="11" max="11" width="12" customWidth="1"/>
    <col min="13" max="13" width="20.140625" customWidth="1"/>
  </cols>
  <sheetData>
    <row r="1" spans="2:13" ht="15.75" thickBot="1" x14ac:dyDescent="0.3"/>
    <row r="2" spans="2:13" s="36" customFormat="1" ht="33.75" customHeight="1" thickBot="1" x14ac:dyDescent="0.3">
      <c r="B2" s="46" t="s">
        <v>59</v>
      </c>
      <c r="C2" s="47"/>
      <c r="D2" s="47"/>
      <c r="E2" s="48"/>
      <c r="I2" s="46" t="s">
        <v>60</v>
      </c>
      <c r="J2" s="47"/>
      <c r="K2" s="47"/>
      <c r="L2" s="48"/>
    </row>
    <row r="3" spans="2:13" ht="15.75" thickBot="1" x14ac:dyDescent="0.3"/>
    <row r="4" spans="2:13" x14ac:dyDescent="0.25">
      <c r="B4" s="3" t="s">
        <v>43</v>
      </c>
      <c r="C4" s="13">
        <v>3000</v>
      </c>
      <c r="D4" s="13" t="s">
        <v>15</v>
      </c>
      <c r="E4" s="14"/>
      <c r="I4" s="3" t="s">
        <v>43</v>
      </c>
      <c r="J4" s="13">
        <v>3000</v>
      </c>
      <c r="K4" s="13" t="s">
        <v>15</v>
      </c>
      <c r="L4" s="14"/>
    </row>
    <row r="5" spans="2:13" x14ac:dyDescent="0.25">
      <c r="B5" s="7" t="s">
        <v>37</v>
      </c>
      <c r="C5" s="15">
        <v>4186</v>
      </c>
      <c r="D5" s="15" t="s">
        <v>67</v>
      </c>
      <c r="E5" s="17"/>
      <c r="I5" s="7" t="s">
        <v>37</v>
      </c>
      <c r="J5" s="15">
        <v>4186</v>
      </c>
      <c r="K5" s="15" t="s">
        <v>67</v>
      </c>
      <c r="L5" s="17"/>
    </row>
    <row r="6" spans="2:13" x14ac:dyDescent="0.25">
      <c r="B6" s="7" t="s">
        <v>36</v>
      </c>
      <c r="C6" s="15">
        <v>5.3999999999999999E-2</v>
      </c>
      <c r="D6" s="15" t="s">
        <v>15</v>
      </c>
      <c r="E6" s="17"/>
      <c r="I6" s="49" t="s">
        <v>35</v>
      </c>
      <c r="J6" s="52">
        <f>B26</f>
        <v>1.9487171000000008E-2</v>
      </c>
      <c r="K6" s="51" t="s">
        <v>15</v>
      </c>
      <c r="L6" s="53"/>
      <c r="M6" t="s">
        <v>70</v>
      </c>
    </row>
    <row r="7" spans="2:13" x14ac:dyDescent="0.25">
      <c r="B7" s="38" t="s">
        <v>63</v>
      </c>
      <c r="C7" s="15">
        <f>0.1*C6</f>
        <v>5.4000000000000003E-3</v>
      </c>
      <c r="D7" s="37" t="s">
        <v>15</v>
      </c>
      <c r="E7" s="17"/>
      <c r="I7" s="38" t="s">
        <v>36</v>
      </c>
      <c r="J7" s="37">
        <v>5.3999999999999999E-2</v>
      </c>
      <c r="K7" s="37" t="s">
        <v>15</v>
      </c>
      <c r="L7" s="17"/>
    </row>
    <row r="8" spans="2:13" x14ac:dyDescent="0.25">
      <c r="B8" s="7" t="s">
        <v>48</v>
      </c>
      <c r="C8" s="15">
        <v>0.05</v>
      </c>
      <c r="D8" s="15" t="s">
        <v>15</v>
      </c>
      <c r="E8" s="17"/>
      <c r="I8" s="38" t="s">
        <v>48</v>
      </c>
      <c r="J8" s="15">
        <f>0.05</f>
        <v>0.05</v>
      </c>
      <c r="K8" s="37" t="s">
        <v>15</v>
      </c>
      <c r="L8" s="17"/>
    </row>
    <row r="9" spans="2:13" x14ac:dyDescent="0.25">
      <c r="B9" s="7" t="s">
        <v>49</v>
      </c>
      <c r="C9" s="15">
        <v>0.8</v>
      </c>
      <c r="D9" s="15" t="s">
        <v>33</v>
      </c>
      <c r="E9" s="17"/>
      <c r="I9" s="49" t="s">
        <v>38</v>
      </c>
      <c r="J9" s="50">
        <f>D26</f>
        <v>2.1797527235016574</v>
      </c>
      <c r="K9" s="51" t="s">
        <v>3</v>
      </c>
      <c r="L9" s="53"/>
      <c r="M9" t="s">
        <v>70</v>
      </c>
    </row>
    <row r="10" spans="2:13" x14ac:dyDescent="0.25">
      <c r="B10" s="7" t="s">
        <v>47</v>
      </c>
      <c r="C10" s="22">
        <f>C9*PI()*C8^2*1000</f>
        <v>6.2831853071795871</v>
      </c>
      <c r="D10" s="15" t="s">
        <v>31</v>
      </c>
      <c r="E10" s="17"/>
      <c r="I10" s="7" t="s">
        <v>50</v>
      </c>
      <c r="J10" s="15">
        <v>5</v>
      </c>
      <c r="K10" s="15" t="s">
        <v>3</v>
      </c>
      <c r="L10" s="17"/>
    </row>
    <row r="11" spans="2:13" x14ac:dyDescent="0.25">
      <c r="B11" s="7" t="s">
        <v>38</v>
      </c>
      <c r="C11" s="15">
        <v>2</v>
      </c>
      <c r="D11" s="15" t="s">
        <v>3</v>
      </c>
      <c r="E11" s="17"/>
      <c r="I11" s="7" t="s">
        <v>51</v>
      </c>
      <c r="J11" s="15">
        <v>-30</v>
      </c>
      <c r="K11" s="15" t="s">
        <v>3</v>
      </c>
      <c r="L11" s="17"/>
    </row>
    <row r="12" spans="2:13" x14ac:dyDescent="0.25">
      <c r="B12" s="7" t="s">
        <v>50</v>
      </c>
      <c r="C12" s="15">
        <v>5</v>
      </c>
      <c r="D12" s="15" t="s">
        <v>3</v>
      </c>
      <c r="E12" s="17"/>
      <c r="I12" s="40" t="s">
        <v>64</v>
      </c>
      <c r="J12" s="15">
        <v>4.4999999999999998E-2</v>
      </c>
      <c r="K12" s="15" t="s">
        <v>65</v>
      </c>
      <c r="L12" s="17"/>
    </row>
    <row r="13" spans="2:13" ht="17.25" x14ac:dyDescent="0.25">
      <c r="B13" s="7" t="s">
        <v>51</v>
      </c>
      <c r="C13" s="15">
        <v>-30</v>
      </c>
      <c r="D13" s="15" t="s">
        <v>3</v>
      </c>
      <c r="E13" s="17"/>
      <c r="I13" s="7" t="s">
        <v>57</v>
      </c>
      <c r="J13" s="15">
        <v>11</v>
      </c>
      <c r="K13" s="15" t="s">
        <v>66</v>
      </c>
      <c r="L13" s="17"/>
    </row>
    <row r="14" spans="2:13" x14ac:dyDescent="0.25">
      <c r="B14" s="40" t="s">
        <v>64</v>
      </c>
      <c r="C14" s="15">
        <v>4.4999999999999998E-2</v>
      </c>
      <c r="D14" s="15" t="s">
        <v>65</v>
      </c>
      <c r="E14" s="17"/>
      <c r="I14" s="38" t="s">
        <v>52</v>
      </c>
      <c r="J14" s="22">
        <f>1/(2*PI()) *(1/$J$12 * LN(($J$7+J6)/$J$7)+1/($J$13*$C$6))</f>
        <v>1.3577132446610718</v>
      </c>
      <c r="K14" s="37" t="s">
        <v>68</v>
      </c>
      <c r="L14" s="17"/>
    </row>
    <row r="15" spans="2:13" ht="17.25" customHeight="1" thickBot="1" x14ac:dyDescent="0.3">
      <c r="B15" s="8" t="s">
        <v>57</v>
      </c>
      <c r="C15" s="19">
        <v>11</v>
      </c>
      <c r="D15" s="19" t="s">
        <v>69</v>
      </c>
      <c r="E15" s="35"/>
      <c r="I15" s="42" t="s">
        <v>47</v>
      </c>
      <c r="J15" s="43">
        <f>J4/(J5*J14)/LN((J10-J11)/(J9-J11))</f>
        <v>6.2831853071795853</v>
      </c>
      <c r="K15" s="45" t="s">
        <v>31</v>
      </c>
      <c r="L15" s="17"/>
    </row>
    <row r="16" spans="2:13" ht="17.25" customHeight="1" x14ac:dyDescent="0.25">
      <c r="B16" s="15"/>
      <c r="C16" s="15"/>
      <c r="D16" s="15"/>
      <c r="E16" s="15"/>
      <c r="I16" s="42"/>
      <c r="J16" s="43">
        <f>J15*60</f>
        <v>376.99111843077515</v>
      </c>
      <c r="K16" s="45" t="s">
        <v>61</v>
      </c>
      <c r="L16" s="17"/>
    </row>
    <row r="17" spans="2:12" ht="15.75" thickBot="1" x14ac:dyDescent="0.3">
      <c r="I17" s="41" t="s">
        <v>62</v>
      </c>
      <c r="J17" s="19">
        <f>J15/(2*PI()*J8^2*1000)</f>
        <v>0.39999999999999991</v>
      </c>
      <c r="K17" s="19" t="s">
        <v>33</v>
      </c>
      <c r="L17" s="35"/>
    </row>
    <row r="18" spans="2:12" ht="30" x14ac:dyDescent="0.25">
      <c r="B18" s="25" t="s">
        <v>54</v>
      </c>
      <c r="C18" s="26" t="s">
        <v>55</v>
      </c>
      <c r="D18" s="27" t="s">
        <v>56</v>
      </c>
      <c r="I18" s="15"/>
      <c r="J18" s="15"/>
      <c r="K18" s="15"/>
      <c r="L18" s="15"/>
    </row>
    <row r="19" spans="2:12" x14ac:dyDescent="0.25">
      <c r="B19" s="39">
        <v>0.01</v>
      </c>
      <c r="C19" s="22">
        <f>1/(2*PI()) *(1/$C$14 * LN(($C$6+B19)/$C$6)+1/($C$15*$C$6))</f>
        <v>0.86883253757813839</v>
      </c>
      <c r="D19" s="18">
        <f>$C$13+($C$12-$C$13)/EXP(($C$4/($C$10*$C$5*C19)))</f>
        <v>0.69395682249255231</v>
      </c>
    </row>
    <row r="20" spans="2:12" x14ac:dyDescent="0.25">
      <c r="B20" s="39">
        <f>B19*1.1</f>
        <v>1.1000000000000001E-2</v>
      </c>
      <c r="C20" s="22">
        <f>1/(2*PI()) *(1/$C$14 * LN(($C$6+B20)/$C$6)+1/($C$15*$C$6))</f>
        <v>0.92366738037408713</v>
      </c>
      <c r="D20" s="18">
        <f>$C$13+($C$12-$C$13)*EXP(-($C$4/($C$10*$C$5*C20)))</f>
        <v>0.93411282856927969</v>
      </c>
    </row>
    <row r="21" spans="2:12" x14ac:dyDescent="0.25">
      <c r="B21" s="39">
        <f t="shared" ref="B21:B36" si="0">B20*1.1</f>
        <v>1.2100000000000001E-2</v>
      </c>
      <c r="C21" s="22">
        <f>1/(2*PI()) *(1/$C$14 * LN(($C$6+B21)/$C$6)+1/($C$15*$C$6))</f>
        <v>0.98301971394932308</v>
      </c>
      <c r="D21" s="18">
        <f>$C$13+($C$12-$C$13)*EXP(-($C$4/($C$10*$C$5*C21)))</f>
        <v>1.1656175401129651</v>
      </c>
    </row>
    <row r="22" spans="2:12" x14ac:dyDescent="0.25">
      <c r="B22" s="39">
        <f t="shared" si="0"/>
        <v>1.3310000000000002E-2</v>
      </c>
      <c r="C22" s="22">
        <f>1/(2*PI()) *(1/$C$14 * LN(($C$6+B22)/$C$6)+1/($C$15*$C$6))</f>
        <v>1.047177077445451</v>
      </c>
      <c r="D22" s="18">
        <f>$C$13+($C$12-$C$13)*EXP(-($C$4/($C$10*$C$5*C22)))</f>
        <v>1.3879621776486921</v>
      </c>
    </row>
    <row r="23" spans="2:12" x14ac:dyDescent="0.25">
      <c r="B23" s="39">
        <f t="shared" si="0"/>
        <v>1.4641000000000003E-2</v>
      </c>
      <c r="C23" s="22">
        <f>1/(2*PI()) *(1/$C$14 * LN(($C$6+B23)/$C$6)+1/($C$15*$C$6))</f>
        <v>1.1164314404201443</v>
      </c>
      <c r="D23" s="18">
        <f>$C$13+($C$12-$C$13)*EXP(-($C$4/($C$10*$C$5*C23)))</f>
        <v>1.6007605342589386</v>
      </c>
    </row>
    <row r="24" spans="2:12" x14ac:dyDescent="0.25">
      <c r="B24" s="39">
        <f t="shared" si="0"/>
        <v>1.6105100000000004E-2</v>
      </c>
      <c r="C24" s="22">
        <f>1/(2*PI()) *(1/$C$14 * LN(($C$6+B24)/$C$6)+1/($C$15*$C$6))</f>
        <v>1.1910769505621619</v>
      </c>
      <c r="D24" s="18">
        <f>$C$13+($C$12-$C$13)*EXP(-($C$4/($C$10*$C$5*C24)))</f>
        <v>1.8037449117320712</v>
      </c>
    </row>
    <row r="25" spans="2:12" x14ac:dyDescent="0.25">
      <c r="B25" s="39">
        <f t="shared" si="0"/>
        <v>1.7715610000000007E-2</v>
      </c>
      <c r="C25" s="22">
        <f>1/(2*PI()) *(1/$C$14 * LN(($C$6+B25)/$C$6)+1/($C$15*$C$6))</f>
        <v>1.2714073735247722</v>
      </c>
      <c r="D25" s="18">
        <f>$C$13+($C$12-$C$13)*EXP(-($C$4/($C$10*$C$5*C25)))</f>
        <v>1.9967596456900338</v>
      </c>
    </row>
    <row r="26" spans="2:12" x14ac:dyDescent="0.25">
      <c r="B26" s="39">
        <f t="shared" si="0"/>
        <v>1.9487171000000008E-2</v>
      </c>
      <c r="C26" s="22">
        <f>1/(2*PI()) *(1/$C$14 * LN(($C$6+B26)/$C$6)+1/($C$15*$C$6))</f>
        <v>1.3577132446610718</v>
      </c>
      <c r="D26" s="18">
        <f>$C$13+($C$12-$C$13)*EXP(-($C$4/($C$10*$C$5*C26)))</f>
        <v>2.1797527235016574</v>
      </c>
    </row>
    <row r="27" spans="2:12" x14ac:dyDescent="0.25">
      <c r="B27" s="39">
        <f t="shared" si="0"/>
        <v>2.1435888100000012E-2</v>
      </c>
      <c r="C27" s="22">
        <f>1/(2*PI()) *(1/$C$14 * LN(($C$6+B27)/$C$6)+1/($C$15*$C$6))</f>
        <v>1.4502787657970759</v>
      </c>
      <c r="D27" s="18">
        <f>$C$13+($C$12-$C$13)*EXP(-($C$4/($C$10*$C$5*C27)))</f>
        <v>2.35276600758813</v>
      </c>
    </row>
    <row r="28" spans="2:12" x14ac:dyDescent="0.25">
      <c r="B28" s="39">
        <f t="shared" si="0"/>
        <v>2.3579476910000015E-2</v>
      </c>
      <c r="C28" s="22">
        <f>1/(2*PI()) *(1/$C$14 * LN(($C$6+B28)/$C$6)+1/($C$15*$C$6))</f>
        <v>1.5493784943531745</v>
      </c>
      <c r="D28" s="18">
        <f>$C$13+($C$12-$C$13)*EXP(-($C$4/($C$10*$C$5*C28)))</f>
        <v>2.5159245569098445</v>
      </c>
    </row>
    <row r="29" spans="2:12" x14ac:dyDescent="0.25">
      <c r="B29" s="39">
        <f t="shared" si="0"/>
        <v>2.5937424601000018E-2</v>
      </c>
      <c r="C29" s="22">
        <f>1/(2*PI()) *(1/$C$14 * LN(($C$6+B29)/$C$6)+1/($C$15*$C$6))</f>
        <v>1.655273886400461</v>
      </c>
      <c r="D29" s="18">
        <f>$C$13+($C$12-$C$13)*EXP(-($C$4/($C$10*$C$5*C29)))</f>
        <v>2.6694254976078895</v>
      </c>
    </row>
    <row r="30" spans="2:12" x14ac:dyDescent="0.25">
      <c r="B30" s="39">
        <f t="shared" si="0"/>
        <v>2.8531167061100021E-2</v>
      </c>
      <c r="C30" s="22">
        <f>1/(2*PI()) *(1/$C$14 * LN(($C$6+B30)/$C$6)+1/($C$15*$C$6))</f>
        <v>1.7682097687319536</v>
      </c>
      <c r="D30" s="18">
        <f>$C$13+($C$12-$C$13)*EXP(-($C$4/($C$10*$C$5*C30)))</f>
        <v>2.8135268369001594</v>
      </c>
    </row>
    <row r="31" spans="2:12" x14ac:dyDescent="0.25">
      <c r="B31" s="39">
        <f t="shared" si="0"/>
        <v>3.1384283767210024E-2</v>
      </c>
      <c r="C31" s="22">
        <f>1/(2*PI()) *(1/$C$14 * LN(($C$6+B31)/$C$6)+1/($C$15*$C$6))</f>
        <v>1.8884108267436404</v>
      </c>
      <c r="D31" s="18">
        <f>$C$13+($C$12-$C$13)*EXP(-($C$4/($C$10*$C$5*C31)))</f>
        <v>2.9485365489624655</v>
      </c>
    </row>
    <row r="32" spans="2:12" x14ac:dyDescent="0.25">
      <c r="B32" s="39">
        <f t="shared" si="0"/>
        <v>3.4522712143931031E-2</v>
      </c>
      <c r="C32" s="22">
        <f>1/(2*PI()) *(1/$C$14 * LN(($C$6+B32)/$C$6)+1/($C$15*$C$6))</f>
        <v>2.0160782038214338</v>
      </c>
      <c r="D32" s="18">
        <f>$C$13+($C$12-$C$13)*EXP(-($C$4/($C$10*$C$5*C32)))</f>
        <v>3.074802193351978</v>
      </c>
    </row>
    <row r="33" spans="2:4" x14ac:dyDescent="0.25">
      <c r="B33" s="39">
        <f t="shared" si="0"/>
        <v>3.7974983358324138E-2</v>
      </c>
      <c r="C33" s="22">
        <f>1/(2*PI()) *(1/$C$14 * LN(($C$6+B33)/$C$6)+1/($C$15*$C$6))</f>
        <v>2.1513863130398785</v>
      </c>
      <c r="D33" s="18">
        <f>$C$13+($C$12-$C$13)*EXP(-($C$4/($C$10*$C$5*C33)))</f>
        <v>3.1927012601055154</v>
      </c>
    </row>
    <row r="34" spans="2:4" x14ac:dyDescent="0.25">
      <c r="B34" s="39">
        <f t="shared" si="0"/>
        <v>4.1772481694156552E-2</v>
      </c>
      <c r="C34" s="22">
        <f>1/(2*PI()) *(1/$C$14 * LN(($C$6+B34)/$C$6)+1/($C$15*$C$6))</f>
        <v>2.2944799624836016</v>
      </c>
      <c r="D34" s="18">
        <f>$C$13+($C$12-$C$13)*EXP(-($C$4/($C$10*$C$5*C34)))</f>
        <v>3.3026323742934807</v>
      </c>
    </row>
    <row r="35" spans="2:4" x14ac:dyDescent="0.25">
      <c r="B35" s="39">
        <f t="shared" si="0"/>
        <v>4.5949729863572208E-2</v>
      </c>
      <c r="C35" s="22">
        <f>1/(2*PI()) *(1/$C$14 * LN(($C$6+B35)/$C$6)+1/($C$15*$C$6))</f>
        <v>2.4454718908623758</v>
      </c>
      <c r="D35" s="18">
        <f>$C$13+($C$12-$C$13)*EXP(-($C$4/($C$10*$C$5*C35)))</f>
        <v>3.4050074386848479</v>
      </c>
    </row>
    <row r="36" spans="2:4" ht="15.75" thickBot="1" x14ac:dyDescent="0.3">
      <c r="B36" s="44">
        <f t="shared" si="0"/>
        <v>5.0544702849929436E-2</v>
      </c>
      <c r="C36" s="23">
        <f>1/(2*PI()) *(1/$C$14 * LN(($C$6+B36)/$C$6)+1/($C$15*$C$6))</f>
        <v>2.6044408001280686</v>
      </c>
      <c r="D36" s="24">
        <f>$C$13+($C$12-$C$13)*EXP(-($C$4/($C$10*$C$5*C36)))</f>
        <v>3.5002447474108536</v>
      </c>
    </row>
    <row r="37" spans="2:4" x14ac:dyDescent="0.25">
      <c r="C37" s="11"/>
      <c r="D37" s="11"/>
    </row>
  </sheetData>
  <mergeCells count="3">
    <mergeCell ref="B2:E2"/>
    <mergeCell ref="I2:L2"/>
    <mergeCell ref="I15:I16"/>
  </mergeCells>
  <conditionalFormatting sqref="D19:D36">
    <cfRule type="cellIs" dxfId="0" priority="2" operator="greaterThan">
      <formula>$C$11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Antistillicidio</vt:lpstr>
      <vt:lpstr>coibente</vt:lpstr>
      <vt:lpstr>Antigelo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Amministratore</dc:creator>
  <cp:lastModifiedBy>Davide Armenante</cp:lastModifiedBy>
  <cp:lastPrinted>2010-05-03T12:32:19Z</cp:lastPrinted>
  <dcterms:created xsi:type="dcterms:W3CDTF">2010-04-30T13:23:20Z</dcterms:created>
  <dcterms:modified xsi:type="dcterms:W3CDTF">2021-02-10T16:31:08Z</dcterms:modified>
</cp:coreProperties>
</file>