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C:\Users\rpmello\Downloads\"/>
    </mc:Choice>
  </mc:AlternateContent>
  <xr:revisionPtr revIDLastSave="0" documentId="8_{1F999287-BAFE-4FC6-B31A-E57528B9F572}" xr6:coauthVersionLast="47" xr6:coauthVersionMax="47" xr10:uidLastSave="{00000000-0000-0000-0000-000000000000}"/>
  <bookViews>
    <workbookView xWindow="-120" yWindow="-120" windowWidth="24240" windowHeight="13020" tabRatio="764" xr2:uid="{00000000-000D-0000-FFFF-FFFF00000000}"/>
  </bookViews>
  <sheets>
    <sheet name="Intro" sheetId="11" r:id="rId1"/>
    <sheet name="LeagueInfo" sheetId="1" r:id="rId2"/>
    <sheet name="DefaultAuctionValues" sheetId="24" r:id="rId3"/>
    <sheet name="QB" sheetId="2" r:id="rId4"/>
    <sheet name="QB_Raw" sheetId="39" state="hidden" r:id="rId5"/>
    <sheet name="RB" sheetId="5" r:id="rId6"/>
    <sheet name="RB_Raw" sheetId="40" state="hidden" r:id="rId7"/>
    <sheet name="WR" sheetId="4" r:id="rId8"/>
    <sheet name="WR_Raw" sheetId="41" state="hidden" r:id="rId9"/>
    <sheet name="FlexQBWRRBTE" sheetId="32" state="hidden" r:id="rId10"/>
    <sheet name="FlexWRRB" sheetId="31" state="hidden" r:id="rId11"/>
    <sheet name="FlexWRRBTE" sheetId="30" state="hidden" r:id="rId12"/>
    <sheet name="FlexWRTE" sheetId="45" state="hidden" r:id="rId13"/>
    <sheet name="TE" sheetId="3" r:id="rId14"/>
    <sheet name="TE_Raw" sheetId="42" state="hidden" r:id="rId15"/>
    <sheet name="K_Raw" sheetId="43" state="hidden" r:id="rId16"/>
    <sheet name="K" sheetId="18" r:id="rId17"/>
    <sheet name="DEF" sheetId="25" r:id="rId18"/>
    <sheet name="BYEs" sheetId="15" state="hidden" r:id="rId19"/>
    <sheet name="DEF_Raw" sheetId="44" state="hidden" r:id="rId20"/>
    <sheet name="DepthChart_RAW" sheetId="47" state="hidden" r:id="rId21"/>
    <sheet name="DepthChart" sheetId="46" r:id="rId22"/>
    <sheet name="Auction" sheetId="7" r:id="rId23"/>
    <sheet name="Teams" sheetId="29" r:id="rId24"/>
    <sheet name="CheatSheet" sheetId="28" r:id="rId25"/>
  </sheets>
  <definedNames>
    <definedName name="_xlnm._FilterDatabase" localSheetId="22" hidden="1">Auction!$A$12:$O$616</definedName>
    <definedName name="_xlnm._FilterDatabase" localSheetId="2" hidden="1">DefaultAuctionValues!$A$1:$D$1115</definedName>
    <definedName name="_xlnm._FilterDatabase" localSheetId="9" hidden="1">FlexQBWRRBTE!$A$1:$I$75</definedName>
    <definedName name="_xlnm._FilterDatabase" localSheetId="10" hidden="1">FlexWRRB!$A$1:$I$380</definedName>
    <definedName name="_xlnm._FilterDatabase" localSheetId="11" hidden="1">FlexWRRBTE!$A$1:$I$385</definedName>
    <definedName name="_xlnm._FilterDatabase" localSheetId="12" hidden="1">FlexWRTE!$A$1:$I$310</definedName>
    <definedName name="_xlnm._FilterDatabase" localSheetId="3" hidden="1">QB!$A$2:$AB$2</definedName>
    <definedName name="_xlnm._FilterDatabase" localSheetId="5" hidden="1">'RB'!$A$2:$AB$138</definedName>
    <definedName name="_xlnm._FilterDatabase" localSheetId="7" hidden="1">WR!$A$2:$W$195</definedName>
    <definedName name="AllowNegative">LeagueInfo!$H$6</definedName>
    <definedName name="BenchPF">LeagueInfo!$D$17</definedName>
    <definedName name="ExternalData_1" localSheetId="19" hidden="1">DEF_Raw!$A$1:$J$33</definedName>
    <definedName name="ExternalData_1" localSheetId="20" hidden="1">DepthChart_RAW!$A$1:$B$531</definedName>
    <definedName name="ExternalData_1" localSheetId="15" hidden="1">K_Raw!$A$1:$F$35</definedName>
    <definedName name="ExternalData_1" localSheetId="4" hidden="1">QB_Raw!$A$1:$L$88</definedName>
    <definedName name="ExternalData_1" localSheetId="6" hidden="1">RB_Raw!$A$1:$J$160</definedName>
    <definedName name="ExternalData_1" localSheetId="14" hidden="1">TE_Raw!$A$1:$G$129</definedName>
    <definedName name="ExternalData_1" localSheetId="8" hidden="1">WR_Raw!$A$1:$J$229</definedName>
    <definedName name="FlexOn">LeagueInfo!$D$7</definedName>
    <definedName name="FlexType">LeagueInfo!$F$8</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heetCount">OFFSET(QB!$P$3,0,0,COUNTA(QB!$P$3:$P$200),1)</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heetCount">OFFSET('RB'!$P$3,0,0,COUNTA('RB'!$P$3:$P$200),1)</definedName>
    <definedName name="RBStarters">LeagueInfo!$B$13</definedName>
    <definedName name="StarterPF">LeagueInfo!$D$16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heetCount">OFFSET(TE!$P$3,0,0,COUNTA(TE!$P$3:$P$200),1)</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heetCount">OFFSET(WR!$P$3,0,0,COUNTA(WR!$P$3:$P$250),1)</definedName>
    <definedName name="WRStarters">LeagueInfo!$B$14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K9" i="47" l="1"/>
  <c r="L9" i="47"/>
  <c r="K11" i="47"/>
  <c r="K13" i="47"/>
  <c r="K15" i="47"/>
  <c r="K17" i="47"/>
  <c r="K19" i="47"/>
  <c r="K21" i="47"/>
  <c r="K23" i="47"/>
  <c r="K12" i="47"/>
  <c r="K14" i="47"/>
  <c r="K16" i="47"/>
  <c r="K18" i="47"/>
  <c r="K20" i="47"/>
  <c r="K22" i="47"/>
  <c r="K10" i="47"/>
  <c r="F4" i="47" l="1"/>
  <c r="L4" i="47"/>
  <c r="K4" i="47"/>
  <c r="J4" i="47"/>
  <c r="G4" i="47" s="1"/>
  <c r="H4" i="47" s="1"/>
  <c r="G7" i="47"/>
  <c r="G5" i="47"/>
  <c r="H5" i="47" s="1"/>
  <c r="G6" i="47"/>
  <c r="G8" i="47"/>
  <c r="H8" i="47" s="1"/>
  <c r="G9" i="47"/>
  <c r="G10" i="47"/>
  <c r="H10" i="47" s="1"/>
  <c r="G11" i="47"/>
  <c r="G12" i="47"/>
  <c r="H12" i="47" s="1"/>
  <c r="G13" i="47"/>
  <c r="G14" i="47"/>
  <c r="G15" i="47"/>
  <c r="G16" i="47"/>
  <c r="H16" i="47" s="1"/>
  <c r="G17" i="47"/>
  <c r="G18" i="47"/>
  <c r="H18" i="47" s="1"/>
  <c r="G19" i="47"/>
  <c r="G20" i="47"/>
  <c r="H20" i="47" s="1"/>
  <c r="G21" i="47"/>
  <c r="H7" i="47"/>
  <c r="H9" i="47"/>
  <c r="H11" i="47"/>
  <c r="H13" i="47"/>
  <c r="H15" i="47"/>
  <c r="H17" i="47"/>
  <c r="H19" i="47"/>
  <c r="H21" i="47"/>
  <c r="H6" i="47"/>
  <c r="H14" i="47"/>
  <c r="M8" i="47" l="1"/>
  <c r="L8" i="47"/>
  <c r="K8" i="47"/>
  <c r="K45" i="46"/>
  <c r="K44" i="46"/>
  <c r="K43" i="46"/>
  <c r="K42" i="46"/>
  <c r="K41" i="46"/>
  <c r="K40" i="46"/>
  <c r="K39" i="46"/>
  <c r="K38" i="46"/>
  <c r="K37" i="46"/>
  <c r="K36" i="46"/>
  <c r="K35" i="46"/>
  <c r="K34" i="46"/>
  <c r="K33" i="46"/>
  <c r="K32" i="46"/>
  <c r="J45" i="46"/>
  <c r="J44" i="46"/>
  <c r="J43" i="46"/>
  <c r="J42" i="46"/>
  <c r="J41" i="46"/>
  <c r="J40" i="46"/>
  <c r="J39" i="46"/>
  <c r="J38" i="46"/>
  <c r="J37" i="46"/>
  <c r="J36" i="46"/>
  <c r="J35" i="46"/>
  <c r="J34" i="46"/>
  <c r="J33" i="46"/>
  <c r="J32" i="46"/>
  <c r="I45" i="46"/>
  <c r="I44" i="46"/>
  <c r="I43" i="46"/>
  <c r="I42" i="46"/>
  <c r="I41" i="46"/>
  <c r="I40" i="46"/>
  <c r="I39" i="46"/>
  <c r="I38" i="46"/>
  <c r="I37" i="46"/>
  <c r="I36" i="46"/>
  <c r="I35" i="46"/>
  <c r="I34" i="46"/>
  <c r="I33" i="46"/>
  <c r="I32" i="46"/>
  <c r="H45" i="46"/>
  <c r="H44" i="46"/>
  <c r="H43" i="46"/>
  <c r="H42" i="46"/>
  <c r="H41" i="46"/>
  <c r="H40" i="46"/>
  <c r="H39" i="46"/>
  <c r="H38" i="46"/>
  <c r="H37" i="46"/>
  <c r="H36" i="46"/>
  <c r="H35" i="46"/>
  <c r="H34" i="46"/>
  <c r="H33" i="46"/>
  <c r="H32" i="46"/>
  <c r="G45" i="46"/>
  <c r="G44" i="46"/>
  <c r="G43" i="46"/>
  <c r="G42" i="46"/>
  <c r="G41" i="46"/>
  <c r="G40" i="46"/>
  <c r="G39" i="46"/>
  <c r="G38" i="46"/>
  <c r="G37" i="46"/>
  <c r="G36" i="46"/>
  <c r="G35" i="46"/>
  <c r="G34" i="46"/>
  <c r="G33" i="46"/>
  <c r="G32" i="46"/>
  <c r="F45" i="46"/>
  <c r="F44" i="46"/>
  <c r="F43" i="46"/>
  <c r="F42" i="46"/>
  <c r="F41" i="46"/>
  <c r="F40" i="46"/>
  <c r="F39" i="46"/>
  <c r="F38" i="46"/>
  <c r="F37" i="46"/>
  <c r="F36" i="46"/>
  <c r="F35" i="46"/>
  <c r="F34" i="46"/>
  <c r="F33" i="46"/>
  <c r="F32" i="46"/>
  <c r="E45" i="46"/>
  <c r="E44" i="46"/>
  <c r="E43" i="46"/>
  <c r="E42" i="46"/>
  <c r="E41" i="46"/>
  <c r="E40" i="46"/>
  <c r="E39" i="46"/>
  <c r="E38" i="46"/>
  <c r="E37" i="46"/>
  <c r="E36" i="46"/>
  <c r="E35" i="46"/>
  <c r="E34" i="46"/>
  <c r="E33" i="46"/>
  <c r="E32" i="46"/>
  <c r="D45" i="46"/>
  <c r="D44" i="46"/>
  <c r="D43" i="46"/>
  <c r="D42" i="46"/>
  <c r="D41" i="46"/>
  <c r="D40" i="46"/>
  <c r="D39" i="46"/>
  <c r="D38" i="46"/>
  <c r="D37" i="46"/>
  <c r="D36" i="46"/>
  <c r="D35" i="46"/>
  <c r="D34" i="46"/>
  <c r="D33" i="46"/>
  <c r="D32" i="46"/>
  <c r="C45" i="46"/>
  <c r="C44" i="46"/>
  <c r="C43" i="46"/>
  <c r="C42" i="46"/>
  <c r="C41" i="46"/>
  <c r="C40" i="46"/>
  <c r="C39" i="46"/>
  <c r="C38" i="46"/>
  <c r="C37" i="46"/>
  <c r="C36" i="46"/>
  <c r="C35" i="46"/>
  <c r="C34" i="46"/>
  <c r="C33" i="46"/>
  <c r="C32" i="46"/>
  <c r="B45" i="46"/>
  <c r="B44" i="46"/>
  <c r="B43" i="46"/>
  <c r="B42" i="46"/>
  <c r="B41" i="46"/>
  <c r="B40" i="46"/>
  <c r="B39" i="46"/>
  <c r="B38" i="46"/>
  <c r="B37" i="46"/>
  <c r="B36" i="46"/>
  <c r="B35" i="46"/>
  <c r="B34" i="46"/>
  <c r="B33" i="46"/>
  <c r="B32" i="46"/>
  <c r="L30" i="46"/>
  <c r="L29" i="46"/>
  <c r="L28" i="46"/>
  <c r="L27" i="46"/>
  <c r="L26" i="46"/>
  <c r="L25" i="46"/>
  <c r="L24" i="46"/>
  <c r="L23" i="46"/>
  <c r="L22" i="46"/>
  <c r="L21" i="46"/>
  <c r="L20" i="46"/>
  <c r="L19" i="46"/>
  <c r="L18" i="46"/>
  <c r="L17" i="46"/>
  <c r="K30" i="46"/>
  <c r="K29" i="46"/>
  <c r="K28" i="46"/>
  <c r="K27" i="46"/>
  <c r="K26" i="46"/>
  <c r="K25" i="46"/>
  <c r="K24" i="46"/>
  <c r="K23" i="46"/>
  <c r="K22" i="46"/>
  <c r="K21" i="46"/>
  <c r="K20" i="46"/>
  <c r="K19" i="46"/>
  <c r="K18" i="46"/>
  <c r="K17" i="46"/>
  <c r="J30" i="46"/>
  <c r="J29" i="46"/>
  <c r="J28" i="46"/>
  <c r="J27" i="46"/>
  <c r="J26" i="46"/>
  <c r="J25" i="46"/>
  <c r="J24" i="46"/>
  <c r="J23" i="46"/>
  <c r="J22" i="46"/>
  <c r="J21" i="46"/>
  <c r="J20" i="46"/>
  <c r="J19" i="46"/>
  <c r="J18" i="46"/>
  <c r="J17" i="46"/>
  <c r="I30" i="46"/>
  <c r="I29" i="46"/>
  <c r="I28" i="46"/>
  <c r="I27" i="46"/>
  <c r="I26" i="46"/>
  <c r="I25" i="46"/>
  <c r="I24" i="46"/>
  <c r="I23" i="46"/>
  <c r="I22" i="46"/>
  <c r="I21" i="46"/>
  <c r="I20" i="46"/>
  <c r="I19" i="46"/>
  <c r="I18" i="46"/>
  <c r="I17" i="46"/>
  <c r="H30" i="46"/>
  <c r="H29" i="46"/>
  <c r="H28" i="46"/>
  <c r="H27" i="46"/>
  <c r="H26" i="46"/>
  <c r="H25" i="46"/>
  <c r="H24" i="46"/>
  <c r="H23" i="46"/>
  <c r="H22" i="46"/>
  <c r="H21" i="46"/>
  <c r="H20" i="46"/>
  <c r="H19" i="46"/>
  <c r="H18" i="46"/>
  <c r="H17" i="46"/>
  <c r="G30" i="46"/>
  <c r="G29" i="46"/>
  <c r="G28" i="46"/>
  <c r="G27" i="46"/>
  <c r="G26" i="46"/>
  <c r="G25" i="46"/>
  <c r="G24" i="46"/>
  <c r="G23" i="46"/>
  <c r="G22" i="46"/>
  <c r="G21" i="46"/>
  <c r="G20" i="46"/>
  <c r="G19" i="46"/>
  <c r="G18" i="46"/>
  <c r="G17" i="46"/>
  <c r="F30" i="46"/>
  <c r="F29" i="46"/>
  <c r="F28" i="46"/>
  <c r="F27" i="46"/>
  <c r="F26" i="46"/>
  <c r="F25" i="46"/>
  <c r="F24" i="46"/>
  <c r="F23" i="46"/>
  <c r="F22" i="46"/>
  <c r="F21" i="46"/>
  <c r="F20" i="46"/>
  <c r="F19" i="46"/>
  <c r="F18" i="46"/>
  <c r="F17" i="46"/>
  <c r="E30" i="46"/>
  <c r="E29" i="46"/>
  <c r="E28" i="46"/>
  <c r="E27" i="46"/>
  <c r="E26" i="46"/>
  <c r="E25" i="46"/>
  <c r="E24" i="46"/>
  <c r="E23" i="46"/>
  <c r="E22" i="46"/>
  <c r="E21" i="46"/>
  <c r="E20" i="46"/>
  <c r="E19" i="46"/>
  <c r="E18" i="46"/>
  <c r="E17" i="46"/>
  <c r="D30" i="46"/>
  <c r="D29" i="46"/>
  <c r="D28" i="46"/>
  <c r="D27" i="46"/>
  <c r="D26" i="46"/>
  <c r="D25" i="46"/>
  <c r="D24" i="46"/>
  <c r="D23" i="46"/>
  <c r="D22" i="46"/>
  <c r="D21" i="46"/>
  <c r="D20" i="46"/>
  <c r="D19" i="46"/>
  <c r="D18" i="46"/>
  <c r="D17" i="46"/>
  <c r="C30" i="46"/>
  <c r="C29" i="46"/>
  <c r="C28" i="46"/>
  <c r="C27" i="46"/>
  <c r="C26" i="46"/>
  <c r="C25" i="46"/>
  <c r="C24" i="46"/>
  <c r="C23" i="46"/>
  <c r="C22" i="46"/>
  <c r="C21" i="46"/>
  <c r="C20" i="46"/>
  <c r="C19" i="46"/>
  <c r="C18" i="46"/>
  <c r="C17" i="46"/>
  <c r="B30" i="46"/>
  <c r="B29" i="46"/>
  <c r="B28" i="46"/>
  <c r="B27" i="46"/>
  <c r="B26" i="46"/>
  <c r="B25" i="46"/>
  <c r="B24" i="46"/>
  <c r="B23" i="46"/>
  <c r="B22" i="46"/>
  <c r="B21" i="46"/>
  <c r="B20" i="46"/>
  <c r="B19" i="46"/>
  <c r="B18" i="46"/>
  <c r="B17" i="46"/>
  <c r="L15" i="46"/>
  <c r="L14" i="46"/>
  <c r="L13" i="46"/>
  <c r="L12" i="46"/>
  <c r="L11" i="46"/>
  <c r="L10" i="46"/>
  <c r="L9" i="46"/>
  <c r="L8" i="46"/>
  <c r="L7" i="46"/>
  <c r="L6" i="46"/>
  <c r="L5" i="46"/>
  <c r="L4" i="46"/>
  <c r="L3" i="46"/>
  <c r="L2" i="46"/>
  <c r="K15" i="46"/>
  <c r="K14" i="46"/>
  <c r="K13" i="46"/>
  <c r="K12" i="46"/>
  <c r="K11" i="46"/>
  <c r="K10" i="46"/>
  <c r="K9" i="46"/>
  <c r="K8" i="46"/>
  <c r="K7" i="46"/>
  <c r="K6" i="46"/>
  <c r="K5" i="46"/>
  <c r="K4" i="46"/>
  <c r="K3" i="46"/>
  <c r="K2" i="46"/>
  <c r="J15" i="46"/>
  <c r="J14" i="46"/>
  <c r="J13" i="46"/>
  <c r="J12" i="46"/>
  <c r="J11" i="46"/>
  <c r="J10" i="46"/>
  <c r="J9" i="46"/>
  <c r="J8" i="46"/>
  <c r="J7" i="46"/>
  <c r="J6" i="46"/>
  <c r="J5" i="46"/>
  <c r="J4" i="46"/>
  <c r="J3" i="46"/>
  <c r="J2" i="46"/>
  <c r="I15" i="46"/>
  <c r="I14" i="46"/>
  <c r="I13" i="46"/>
  <c r="I12" i="46"/>
  <c r="I11" i="46"/>
  <c r="I10" i="46"/>
  <c r="I9" i="46"/>
  <c r="I8" i="46"/>
  <c r="I7" i="46"/>
  <c r="I6" i="46"/>
  <c r="I5" i="46"/>
  <c r="I4" i="46"/>
  <c r="I3" i="46"/>
  <c r="I2" i="46"/>
  <c r="H15" i="46"/>
  <c r="H14" i="46"/>
  <c r="H13" i="46"/>
  <c r="H12" i="46"/>
  <c r="H11" i="46"/>
  <c r="H10" i="46"/>
  <c r="H9" i="46"/>
  <c r="H8" i="46"/>
  <c r="H7" i="46"/>
  <c r="H6" i="46"/>
  <c r="H5" i="46"/>
  <c r="H4" i="46"/>
  <c r="H3" i="46"/>
  <c r="H2" i="46"/>
  <c r="G15" i="46"/>
  <c r="G14" i="46"/>
  <c r="G13" i="46"/>
  <c r="G12" i="46"/>
  <c r="G11" i="46"/>
  <c r="G10" i="46"/>
  <c r="G9" i="46"/>
  <c r="G8" i="46"/>
  <c r="G7" i="46"/>
  <c r="G6" i="46"/>
  <c r="G5" i="46"/>
  <c r="G4" i="46"/>
  <c r="G3" i="46"/>
  <c r="G2" i="46"/>
  <c r="F15" i="46"/>
  <c r="F14" i="46"/>
  <c r="F13" i="46"/>
  <c r="F12" i="46"/>
  <c r="F11" i="46"/>
  <c r="F10" i="46"/>
  <c r="F9" i="46"/>
  <c r="F8" i="46"/>
  <c r="F7" i="46"/>
  <c r="F6" i="46"/>
  <c r="F5" i="46"/>
  <c r="F4" i="46"/>
  <c r="F3" i="46"/>
  <c r="F2" i="46"/>
  <c r="E15" i="46"/>
  <c r="E14" i="46"/>
  <c r="E13" i="46"/>
  <c r="E12" i="46"/>
  <c r="E11" i="46"/>
  <c r="E10" i="46"/>
  <c r="E9" i="46"/>
  <c r="E8" i="46"/>
  <c r="E7" i="46"/>
  <c r="E6" i="46"/>
  <c r="E5" i="46"/>
  <c r="E4" i="46"/>
  <c r="E3" i="46"/>
  <c r="E2" i="46"/>
  <c r="D15" i="46"/>
  <c r="D14" i="46"/>
  <c r="D13" i="46"/>
  <c r="D12" i="46"/>
  <c r="D11" i="46"/>
  <c r="D10" i="46"/>
  <c r="D9" i="46"/>
  <c r="D8" i="46"/>
  <c r="D7" i="46"/>
  <c r="D6" i="46"/>
  <c r="D5" i="46"/>
  <c r="D4" i="46"/>
  <c r="D3" i="46"/>
  <c r="D2" i="46"/>
  <c r="C15" i="46"/>
  <c r="C14" i="46"/>
  <c r="C13" i="46"/>
  <c r="C12" i="46"/>
  <c r="C11" i="46"/>
  <c r="C10" i="46"/>
  <c r="C9" i="46"/>
  <c r="C8" i="46"/>
  <c r="C7" i="46"/>
  <c r="C6" i="46"/>
  <c r="C5" i="46"/>
  <c r="C4" i="46"/>
  <c r="C3" i="46"/>
  <c r="C2" i="46"/>
  <c r="B15" i="46"/>
  <c r="B14" i="46"/>
  <c r="B13" i="46"/>
  <c r="B12" i="46"/>
  <c r="B11" i="46"/>
  <c r="B10" i="46"/>
  <c r="B9" i="46"/>
  <c r="B8" i="46"/>
  <c r="B7" i="46"/>
  <c r="B6" i="46"/>
  <c r="B5" i="46"/>
  <c r="B4" i="46"/>
  <c r="B3" i="46"/>
  <c r="B2" i="46"/>
  <c r="B3" i="24" l="1"/>
  <c r="B4" i="24"/>
  <c r="B5" i="24"/>
  <c r="B6" i="24"/>
  <c r="B7" i="24"/>
  <c r="B8" i="24"/>
  <c r="B9" i="24"/>
  <c r="B10" i="24"/>
  <c r="B11" i="24"/>
  <c r="B12" i="24"/>
  <c r="B13" i="24"/>
  <c r="B14" i="24"/>
  <c r="B15" i="24"/>
  <c r="B16" i="24"/>
  <c r="B17" i="24"/>
  <c r="B18" i="24"/>
  <c r="B19" i="24"/>
  <c r="B20" i="24"/>
  <c r="B21" i="24"/>
  <c r="B22" i="24"/>
  <c r="B23" i="24"/>
  <c r="B24" i="24"/>
  <c r="B25" i="24"/>
  <c r="B26" i="24"/>
  <c r="B27" i="24"/>
  <c r="B28" i="24"/>
  <c r="B29" i="24"/>
  <c r="B30" i="24"/>
  <c r="B31" i="24"/>
  <c r="B32" i="24"/>
  <c r="B33" i="24"/>
  <c r="B34" i="24"/>
  <c r="B35" i="24"/>
  <c r="B36" i="24"/>
  <c r="B37" i="24"/>
  <c r="B38" i="24"/>
  <c r="B39" i="24"/>
  <c r="B40" i="24"/>
  <c r="B41" i="24"/>
  <c r="B42" i="24"/>
  <c r="B43" i="24"/>
  <c r="B44" i="24"/>
  <c r="B45" i="24"/>
  <c r="B46" i="24"/>
  <c r="B47" i="24"/>
  <c r="B48" i="24"/>
  <c r="B49" i="24"/>
  <c r="B50" i="24"/>
  <c r="B51" i="24"/>
  <c r="B52" i="24"/>
  <c r="B53" i="24"/>
  <c r="B54" i="24"/>
  <c r="B55" i="24"/>
  <c r="B56" i="24"/>
  <c r="B57" i="24"/>
  <c r="B58" i="24"/>
  <c r="B59" i="24"/>
  <c r="B60" i="24"/>
  <c r="B61" i="24"/>
  <c r="B62" i="24"/>
  <c r="B63" i="24"/>
  <c r="B64" i="24"/>
  <c r="B65" i="24"/>
  <c r="B66" i="24"/>
  <c r="B67" i="24"/>
  <c r="B68" i="24"/>
  <c r="B69" i="24"/>
  <c r="B70" i="24"/>
  <c r="B71" i="24"/>
  <c r="B72" i="24"/>
  <c r="B73" i="24"/>
  <c r="B74" i="24"/>
  <c r="B75" i="24"/>
  <c r="B76" i="24"/>
  <c r="B77" i="24"/>
  <c r="B78" i="24"/>
  <c r="B79" i="24"/>
  <c r="B80" i="24"/>
  <c r="B81" i="24"/>
  <c r="B82" i="24"/>
  <c r="B83" i="24"/>
  <c r="B84" i="24"/>
  <c r="B85" i="24"/>
  <c r="B86" i="24"/>
  <c r="B87" i="24"/>
  <c r="B88" i="24"/>
  <c r="B89" i="24"/>
  <c r="B90" i="24"/>
  <c r="B91" i="24"/>
  <c r="B92" i="24"/>
  <c r="B93" i="24"/>
  <c r="B94" i="24"/>
  <c r="B95" i="24"/>
  <c r="B96" i="24"/>
  <c r="B97" i="24"/>
  <c r="B98" i="24"/>
  <c r="B99" i="24"/>
  <c r="B100" i="24"/>
  <c r="B101" i="24"/>
  <c r="B102" i="24"/>
  <c r="B103" i="24"/>
  <c r="B104" i="24"/>
  <c r="B105" i="24"/>
  <c r="B106" i="24"/>
  <c r="B107" i="24"/>
  <c r="B108" i="24"/>
  <c r="B109" i="24"/>
  <c r="B110" i="24"/>
  <c r="B111" i="24"/>
  <c r="B112" i="24"/>
  <c r="B113" i="24"/>
  <c r="B114" i="24"/>
  <c r="B115" i="24"/>
  <c r="B116" i="24"/>
  <c r="B117" i="24"/>
  <c r="B118" i="24"/>
  <c r="B119" i="24"/>
  <c r="B120" i="24"/>
  <c r="B121" i="24"/>
  <c r="B122" i="24"/>
  <c r="B123" i="24"/>
  <c r="B124" i="24"/>
  <c r="B125" i="24"/>
  <c r="B126" i="24"/>
  <c r="B127" i="24"/>
  <c r="B128" i="24"/>
  <c r="B129" i="24"/>
  <c r="B130" i="24"/>
  <c r="B131" i="24"/>
  <c r="B132" i="24"/>
  <c r="B133" i="24"/>
  <c r="B134" i="24"/>
  <c r="B135" i="24"/>
  <c r="B136" i="24"/>
  <c r="B137" i="24"/>
  <c r="B138" i="24"/>
  <c r="B139" i="24"/>
  <c r="B140" i="24"/>
  <c r="B141" i="24"/>
  <c r="B142" i="24"/>
  <c r="B143" i="24"/>
  <c r="B144" i="24"/>
  <c r="B145" i="24"/>
  <c r="B146" i="24"/>
  <c r="B147" i="24"/>
  <c r="B148" i="24"/>
  <c r="B149" i="24"/>
  <c r="B150" i="24"/>
  <c r="B151" i="24"/>
  <c r="B152" i="24"/>
  <c r="B153" i="24"/>
  <c r="B154" i="24"/>
  <c r="B155" i="24"/>
  <c r="B156" i="24"/>
  <c r="B157" i="24"/>
  <c r="B158" i="24"/>
  <c r="B159" i="24"/>
  <c r="B160" i="24"/>
  <c r="B161" i="24"/>
  <c r="B162" i="24"/>
  <c r="B163" i="24"/>
  <c r="B164" i="24"/>
  <c r="B165" i="24"/>
  <c r="B166" i="24"/>
  <c r="B167" i="24"/>
  <c r="B168" i="24"/>
  <c r="B169" i="24"/>
  <c r="B170" i="24"/>
  <c r="B171" i="24"/>
  <c r="B172" i="24"/>
  <c r="B173" i="24"/>
  <c r="B174" i="24"/>
  <c r="B175" i="24"/>
  <c r="B176" i="24"/>
  <c r="B177" i="24"/>
  <c r="B178" i="24"/>
  <c r="B179" i="24"/>
  <c r="B180" i="24"/>
  <c r="B181" i="24"/>
  <c r="B182" i="24"/>
  <c r="B183" i="24"/>
  <c r="B184" i="24"/>
  <c r="B185" i="24"/>
  <c r="B186" i="24"/>
  <c r="B187" i="24"/>
  <c r="B188" i="24"/>
  <c r="B189" i="24"/>
  <c r="B190" i="24"/>
  <c r="B191" i="24"/>
  <c r="B192" i="24"/>
  <c r="B193" i="24"/>
  <c r="B194" i="24"/>
  <c r="B195" i="24"/>
  <c r="B196" i="24"/>
  <c r="B197" i="24"/>
  <c r="B198" i="24"/>
  <c r="B199" i="24"/>
  <c r="B200" i="24"/>
  <c r="B201" i="24"/>
  <c r="B202" i="24"/>
  <c r="B203" i="24"/>
  <c r="B204" i="24"/>
  <c r="B205" i="24"/>
  <c r="B206" i="24"/>
  <c r="B207" i="24"/>
  <c r="B208" i="24"/>
  <c r="B209" i="24"/>
  <c r="B210" i="24"/>
  <c r="B211" i="24"/>
  <c r="B212" i="24"/>
  <c r="B213" i="24"/>
  <c r="B214" i="24"/>
  <c r="B215" i="24"/>
  <c r="B216" i="24"/>
  <c r="B217" i="24"/>
  <c r="B218" i="24"/>
  <c r="B219" i="24"/>
  <c r="B220" i="24"/>
  <c r="B221" i="24"/>
  <c r="B222" i="24"/>
  <c r="B223" i="24"/>
  <c r="B224" i="24"/>
  <c r="B225" i="24"/>
  <c r="B226" i="24"/>
  <c r="B227" i="24"/>
  <c r="B228" i="24"/>
  <c r="B229" i="24"/>
  <c r="B230" i="24"/>
  <c r="B231" i="24"/>
  <c r="B232" i="24"/>
  <c r="B233" i="24"/>
  <c r="B234" i="24"/>
  <c r="B235" i="24"/>
  <c r="B236" i="24"/>
  <c r="B237" i="24"/>
  <c r="B238" i="24"/>
  <c r="B239" i="24"/>
  <c r="B240" i="24"/>
  <c r="B241" i="24"/>
  <c r="B242" i="24"/>
  <c r="B243" i="24"/>
  <c r="B244" i="24"/>
  <c r="B245" i="24"/>
  <c r="B246" i="24"/>
  <c r="B247" i="24"/>
  <c r="B248" i="24"/>
  <c r="B249" i="24"/>
  <c r="B250" i="24"/>
  <c r="B251" i="24"/>
  <c r="B252" i="24"/>
  <c r="B253" i="24"/>
  <c r="B254" i="24"/>
  <c r="B255" i="24"/>
  <c r="B256" i="24"/>
  <c r="B257" i="24"/>
  <c r="B258" i="24"/>
  <c r="B259" i="24"/>
  <c r="B260" i="24"/>
  <c r="B261" i="24"/>
  <c r="B262" i="24"/>
  <c r="B263" i="24"/>
  <c r="B264" i="24"/>
  <c r="B265" i="24"/>
  <c r="B266" i="24"/>
  <c r="B267" i="24"/>
  <c r="B268" i="24"/>
  <c r="B269" i="24"/>
  <c r="B270" i="24"/>
  <c r="B271" i="24"/>
  <c r="B272" i="24"/>
  <c r="B273" i="24"/>
  <c r="B274" i="24"/>
  <c r="B275" i="24"/>
  <c r="B276" i="24"/>
  <c r="B277" i="24"/>
  <c r="B278" i="24"/>
  <c r="B279" i="24"/>
  <c r="B280" i="24"/>
  <c r="B281" i="24"/>
  <c r="B282" i="24"/>
  <c r="B283" i="24"/>
  <c r="B284" i="24"/>
  <c r="B285" i="24"/>
  <c r="B286" i="24"/>
  <c r="B287" i="24"/>
  <c r="B288" i="24"/>
  <c r="B289" i="24"/>
  <c r="B290" i="24"/>
  <c r="B291" i="24"/>
  <c r="B292" i="24"/>
  <c r="B293" i="24"/>
  <c r="B294" i="24"/>
  <c r="B295" i="24"/>
  <c r="B296" i="24"/>
  <c r="B297" i="24"/>
  <c r="B298" i="24"/>
  <c r="B299" i="24"/>
  <c r="B300" i="24"/>
  <c r="B301" i="24"/>
  <c r="B302" i="24"/>
  <c r="B303" i="24"/>
  <c r="B304" i="24"/>
  <c r="B305" i="24"/>
  <c r="B306" i="24"/>
  <c r="B307" i="24"/>
  <c r="B308" i="24"/>
  <c r="B309" i="24"/>
  <c r="B310" i="24"/>
  <c r="B311" i="24"/>
  <c r="B312" i="24"/>
  <c r="B313" i="24"/>
  <c r="B314" i="24"/>
  <c r="B315" i="24"/>
  <c r="B316" i="24"/>
  <c r="B317" i="24"/>
  <c r="B318" i="24"/>
  <c r="B319" i="24"/>
  <c r="B320" i="24"/>
  <c r="B321" i="24"/>
  <c r="B322" i="24"/>
  <c r="B323" i="24"/>
  <c r="B324" i="24"/>
  <c r="B325" i="24"/>
  <c r="B326" i="24"/>
  <c r="B327" i="24"/>
  <c r="B328" i="24"/>
  <c r="B329" i="24"/>
  <c r="B330" i="24"/>
  <c r="B331" i="24"/>
  <c r="B332" i="24"/>
  <c r="B333" i="24"/>
  <c r="B334" i="24"/>
  <c r="B335" i="24"/>
  <c r="B336" i="24"/>
  <c r="B337" i="24"/>
  <c r="B338" i="24"/>
  <c r="B339" i="24"/>
  <c r="B340" i="24"/>
  <c r="B341" i="24"/>
  <c r="B342" i="24"/>
  <c r="B343" i="24"/>
  <c r="B344" i="24"/>
  <c r="B345" i="24"/>
  <c r="B346" i="24"/>
  <c r="B347" i="24"/>
  <c r="B348" i="24"/>
  <c r="B349" i="24"/>
  <c r="B350" i="24"/>
  <c r="B351" i="24"/>
  <c r="B352" i="24"/>
  <c r="B353" i="24"/>
  <c r="B354" i="24"/>
  <c r="B355" i="24"/>
  <c r="B356" i="24"/>
  <c r="B357" i="24"/>
  <c r="B358" i="24"/>
  <c r="B359" i="24"/>
  <c r="B360" i="24"/>
  <c r="B361" i="24"/>
  <c r="B362" i="24"/>
  <c r="B363" i="24"/>
  <c r="B364" i="24"/>
  <c r="B365" i="24"/>
  <c r="B366" i="24"/>
  <c r="B367" i="24"/>
  <c r="B368" i="24"/>
  <c r="B369" i="24"/>
  <c r="B370" i="24"/>
  <c r="B371" i="24"/>
  <c r="B372" i="24"/>
  <c r="B373" i="24"/>
  <c r="B374" i="24"/>
  <c r="B375" i="24"/>
  <c r="B376" i="24"/>
  <c r="B377" i="24"/>
  <c r="B378" i="24"/>
  <c r="B379" i="24"/>
  <c r="B380" i="24"/>
  <c r="B381" i="24"/>
  <c r="B382" i="24"/>
  <c r="B383" i="24"/>
  <c r="B384" i="24"/>
  <c r="B385" i="24"/>
  <c r="B386" i="24"/>
  <c r="B387" i="24"/>
  <c r="B388" i="24"/>
  <c r="B389" i="24"/>
  <c r="B390" i="24"/>
  <c r="B391" i="24"/>
  <c r="B392" i="24"/>
  <c r="B393" i="24"/>
  <c r="B394" i="24"/>
  <c r="B395" i="24"/>
  <c r="B396" i="24"/>
  <c r="B397" i="24"/>
  <c r="B398" i="24"/>
  <c r="B399" i="24"/>
  <c r="B400" i="24"/>
  <c r="B401" i="24"/>
  <c r="B402" i="24"/>
  <c r="B403" i="24"/>
  <c r="B404" i="24"/>
  <c r="B405" i="24"/>
  <c r="B406" i="24"/>
  <c r="B407" i="24"/>
  <c r="B408" i="24"/>
  <c r="B409" i="24"/>
  <c r="B410" i="24"/>
  <c r="B411" i="24"/>
  <c r="B412" i="24"/>
  <c r="B413" i="24"/>
  <c r="B414" i="24"/>
  <c r="B415" i="24"/>
  <c r="B416" i="24"/>
  <c r="B417" i="24"/>
  <c r="B418" i="24"/>
  <c r="B419" i="24"/>
  <c r="B420" i="24"/>
  <c r="B421" i="24"/>
  <c r="B422" i="24"/>
  <c r="B423" i="24"/>
  <c r="B424" i="24"/>
  <c r="B425" i="24"/>
  <c r="B426" i="24"/>
  <c r="B427" i="24"/>
  <c r="B428" i="24"/>
  <c r="B429" i="24"/>
  <c r="B430" i="24"/>
  <c r="B431" i="24"/>
  <c r="B432" i="24"/>
  <c r="B433" i="24"/>
  <c r="B434" i="24"/>
  <c r="B435" i="24"/>
  <c r="B436" i="24"/>
  <c r="B437" i="24"/>
  <c r="B438" i="24"/>
  <c r="B439" i="24"/>
  <c r="B440" i="24"/>
  <c r="B441" i="24"/>
  <c r="B442" i="24"/>
  <c r="B443" i="24"/>
  <c r="B444" i="24"/>
  <c r="B445" i="24"/>
  <c r="B446" i="24"/>
  <c r="B447" i="24"/>
  <c r="B448" i="24"/>
  <c r="B449" i="24"/>
  <c r="B450" i="24"/>
  <c r="B451" i="24"/>
  <c r="B452" i="24"/>
  <c r="B453" i="24"/>
  <c r="B454" i="24"/>
  <c r="B455" i="24"/>
  <c r="B456" i="24"/>
  <c r="B457" i="24"/>
  <c r="B458" i="24"/>
  <c r="B459" i="24"/>
  <c r="B460" i="24"/>
  <c r="B461" i="24"/>
  <c r="B462" i="24"/>
  <c r="B463" i="24"/>
  <c r="B464" i="24"/>
  <c r="B465" i="24"/>
  <c r="B466" i="24"/>
  <c r="B467" i="24"/>
  <c r="B468" i="24"/>
  <c r="B469" i="24"/>
  <c r="B470" i="24"/>
  <c r="B471" i="24"/>
  <c r="B472" i="24"/>
  <c r="B473" i="24"/>
  <c r="B474" i="24"/>
  <c r="B475" i="24"/>
  <c r="B476" i="24"/>
  <c r="B477" i="24"/>
  <c r="B478" i="24"/>
  <c r="B479" i="24"/>
  <c r="B480" i="24"/>
  <c r="B481" i="24"/>
  <c r="B482" i="24"/>
  <c r="B483" i="24"/>
  <c r="B484" i="24"/>
  <c r="B485" i="24"/>
  <c r="B486" i="24"/>
  <c r="B487" i="24"/>
  <c r="B488" i="24"/>
  <c r="B489" i="24"/>
  <c r="B490" i="24"/>
  <c r="B491" i="24"/>
  <c r="B492" i="24"/>
  <c r="B493" i="24"/>
  <c r="B494" i="24"/>
  <c r="B495" i="24"/>
  <c r="B496" i="24"/>
  <c r="B497" i="24"/>
  <c r="B498" i="24"/>
  <c r="B499" i="24"/>
  <c r="B500" i="24"/>
  <c r="B501" i="24"/>
  <c r="B502" i="24"/>
  <c r="B503" i="24"/>
  <c r="B504" i="24"/>
  <c r="B505" i="24"/>
  <c r="B506" i="24"/>
  <c r="B507" i="24"/>
  <c r="B508" i="24"/>
  <c r="B509" i="24"/>
  <c r="B510" i="24"/>
  <c r="B511" i="24"/>
  <c r="B512" i="24"/>
  <c r="B513" i="24"/>
  <c r="B514" i="24"/>
  <c r="B515" i="24"/>
  <c r="B516" i="24"/>
  <c r="B517" i="24"/>
  <c r="B518" i="24"/>
  <c r="B519" i="24"/>
  <c r="B520" i="24"/>
  <c r="B521" i="24"/>
  <c r="B522" i="24"/>
  <c r="B523" i="24"/>
  <c r="B524" i="24"/>
  <c r="B525" i="24"/>
  <c r="B526" i="24"/>
  <c r="B527" i="24"/>
  <c r="B528" i="24"/>
  <c r="B529" i="24"/>
  <c r="B530" i="24"/>
  <c r="B531" i="24"/>
  <c r="B532" i="24"/>
  <c r="B533" i="24"/>
  <c r="B534" i="24"/>
  <c r="B535" i="24"/>
  <c r="B536" i="24"/>
  <c r="B537" i="24"/>
  <c r="B538" i="24"/>
  <c r="B539" i="24"/>
  <c r="B540" i="24"/>
  <c r="B541" i="24"/>
  <c r="B542" i="24"/>
  <c r="B543" i="24"/>
  <c r="B544" i="24"/>
  <c r="B545" i="24"/>
  <c r="B546" i="24"/>
  <c r="B547" i="24"/>
  <c r="B548" i="24"/>
  <c r="B549" i="24"/>
  <c r="B550" i="24"/>
  <c r="B551" i="24"/>
  <c r="B552" i="24"/>
  <c r="B553" i="24"/>
  <c r="B554" i="24"/>
  <c r="B555" i="24"/>
  <c r="B556" i="24"/>
  <c r="B557" i="24"/>
  <c r="B558" i="24"/>
  <c r="B559" i="24"/>
  <c r="B560" i="24"/>
  <c r="B561" i="24"/>
  <c r="B562" i="24"/>
  <c r="B563" i="24"/>
  <c r="B564" i="24"/>
  <c r="B565" i="24"/>
  <c r="B566" i="24"/>
  <c r="B567" i="24"/>
  <c r="B568" i="24"/>
  <c r="B569" i="24"/>
  <c r="B570" i="24"/>
  <c r="B571" i="24"/>
  <c r="B572" i="24"/>
  <c r="B573" i="24"/>
  <c r="B574" i="24"/>
  <c r="B575" i="24"/>
  <c r="B576" i="24"/>
  <c r="B577" i="24"/>
  <c r="B578" i="24"/>
  <c r="B579" i="24"/>
  <c r="B580" i="24"/>
  <c r="B581" i="24"/>
  <c r="B582" i="24"/>
  <c r="B583" i="24"/>
  <c r="B584" i="24"/>
  <c r="B585" i="24"/>
  <c r="B586" i="24"/>
  <c r="B587" i="24"/>
  <c r="B588" i="24"/>
  <c r="B589" i="24"/>
  <c r="B590" i="24"/>
  <c r="B591" i="24"/>
  <c r="B592" i="24"/>
  <c r="B593" i="24"/>
  <c r="B594" i="24"/>
  <c r="B595" i="24"/>
  <c r="B596" i="24"/>
  <c r="B597" i="24"/>
  <c r="B598" i="24"/>
  <c r="B599" i="24"/>
  <c r="B600" i="24"/>
  <c r="B601" i="24"/>
  <c r="B602" i="24"/>
  <c r="B603" i="24"/>
  <c r="B604" i="24"/>
  <c r="B605" i="24"/>
  <c r="B606" i="24"/>
  <c r="B607" i="24"/>
  <c r="B608" i="24"/>
  <c r="B609" i="24"/>
  <c r="B610" i="24"/>
  <c r="B611" i="24"/>
  <c r="B612" i="24"/>
  <c r="B613" i="24"/>
  <c r="B614" i="24"/>
  <c r="B615" i="24"/>
  <c r="B616" i="24"/>
  <c r="B617" i="24"/>
  <c r="B618" i="24"/>
  <c r="B619" i="24"/>
  <c r="B620" i="24"/>
  <c r="B621" i="24"/>
  <c r="B622" i="24"/>
  <c r="B623" i="24"/>
  <c r="B624" i="24"/>
  <c r="B625" i="24"/>
  <c r="B626" i="24"/>
  <c r="B627" i="24"/>
  <c r="B628" i="24"/>
  <c r="B629" i="24"/>
  <c r="B630" i="24"/>
  <c r="B631" i="24"/>
  <c r="B632" i="24"/>
  <c r="B633" i="24"/>
  <c r="B634" i="24"/>
  <c r="B635" i="24"/>
  <c r="B636" i="24"/>
  <c r="B637" i="24"/>
  <c r="B638" i="24"/>
  <c r="B639" i="24"/>
  <c r="B640" i="24"/>
  <c r="B641" i="24"/>
  <c r="B642" i="24"/>
  <c r="B643" i="24"/>
  <c r="B644" i="24"/>
  <c r="B645" i="24"/>
  <c r="B646" i="24"/>
  <c r="B647" i="24"/>
  <c r="B648" i="24"/>
  <c r="B649" i="24"/>
  <c r="B650" i="24"/>
  <c r="B651" i="24"/>
  <c r="B652" i="24"/>
  <c r="B653" i="24"/>
  <c r="B654" i="24"/>
  <c r="B655" i="24"/>
  <c r="B656" i="24"/>
  <c r="B657" i="24"/>
  <c r="B658" i="24"/>
  <c r="B659" i="24"/>
  <c r="B660" i="24"/>
  <c r="B661" i="24"/>
  <c r="B662" i="24"/>
  <c r="B663" i="24"/>
  <c r="B664" i="24"/>
  <c r="B665" i="24"/>
  <c r="B666" i="24"/>
  <c r="B667" i="24"/>
  <c r="B668" i="24"/>
  <c r="B669" i="24"/>
  <c r="B670" i="24"/>
  <c r="B671" i="24"/>
  <c r="B672" i="24"/>
  <c r="B673" i="24"/>
  <c r="B674" i="24"/>
  <c r="B675" i="24"/>
  <c r="B676" i="24"/>
  <c r="B677" i="24"/>
  <c r="B678" i="24"/>
  <c r="B679" i="24"/>
  <c r="B680" i="24"/>
  <c r="B681" i="24"/>
  <c r="B682" i="24"/>
  <c r="B683" i="24"/>
  <c r="B684" i="24"/>
  <c r="B685" i="24"/>
  <c r="B686" i="24"/>
  <c r="B687" i="24"/>
  <c r="B688" i="24"/>
  <c r="B689" i="24"/>
  <c r="B690" i="24"/>
  <c r="B691" i="24"/>
  <c r="B692" i="24"/>
  <c r="B693" i="24"/>
  <c r="B694" i="24"/>
  <c r="B695" i="24"/>
  <c r="B696" i="24"/>
  <c r="B697" i="24"/>
  <c r="B698" i="24"/>
  <c r="B699" i="24"/>
  <c r="B700" i="24"/>
  <c r="B701" i="24"/>
  <c r="B702" i="24"/>
  <c r="B703" i="24"/>
  <c r="B704" i="24"/>
  <c r="B705" i="24"/>
  <c r="B706" i="24"/>
  <c r="B707" i="24"/>
  <c r="B708" i="24"/>
  <c r="B709" i="24"/>
  <c r="B710" i="24"/>
  <c r="B711" i="24"/>
  <c r="B712" i="24"/>
  <c r="B713" i="24"/>
  <c r="B714" i="24"/>
  <c r="B715" i="24"/>
  <c r="B716" i="24"/>
  <c r="B717" i="24"/>
  <c r="B718" i="24"/>
  <c r="B719" i="24"/>
  <c r="B720" i="24"/>
  <c r="B721" i="24"/>
  <c r="B722" i="24"/>
  <c r="B723" i="24"/>
  <c r="B724" i="24"/>
  <c r="B725" i="24"/>
  <c r="B726" i="24"/>
  <c r="B727" i="24"/>
  <c r="B728" i="24"/>
  <c r="B729" i="24"/>
  <c r="B730" i="24"/>
  <c r="B731" i="24"/>
  <c r="B732" i="24"/>
  <c r="B733" i="24"/>
  <c r="B734" i="24"/>
  <c r="B735" i="24"/>
  <c r="B736" i="24"/>
  <c r="B737" i="24"/>
  <c r="B738" i="24"/>
  <c r="B739" i="24"/>
  <c r="B740" i="24"/>
  <c r="B741" i="24"/>
  <c r="B742" i="24"/>
  <c r="B743" i="24"/>
  <c r="B744" i="24"/>
  <c r="B745" i="24"/>
  <c r="B746" i="24"/>
  <c r="B747" i="24"/>
  <c r="B748" i="24"/>
  <c r="B749" i="24"/>
  <c r="B750" i="24"/>
  <c r="B751" i="24"/>
  <c r="B752" i="24"/>
  <c r="B753" i="24"/>
  <c r="B754" i="24"/>
  <c r="B755" i="24"/>
  <c r="B756" i="24"/>
  <c r="B757" i="24"/>
  <c r="B758" i="24"/>
  <c r="B759" i="24"/>
  <c r="B760" i="24"/>
  <c r="B761" i="24"/>
  <c r="B762" i="24"/>
  <c r="B763" i="24"/>
  <c r="B764" i="24"/>
  <c r="B765" i="24"/>
  <c r="B766" i="24"/>
  <c r="B767" i="24"/>
  <c r="B768" i="24"/>
  <c r="B769" i="24"/>
  <c r="B770" i="24"/>
  <c r="B771" i="24"/>
  <c r="B772" i="24"/>
  <c r="B773" i="24"/>
  <c r="B774" i="24"/>
  <c r="B775" i="24"/>
  <c r="B776" i="24"/>
  <c r="B777" i="24"/>
  <c r="B778" i="24"/>
  <c r="B779" i="24"/>
  <c r="B780" i="24"/>
  <c r="B781" i="24"/>
  <c r="B782" i="24"/>
  <c r="B783" i="24"/>
  <c r="B784" i="24"/>
  <c r="B785" i="24"/>
  <c r="B786" i="24"/>
  <c r="B787" i="24"/>
  <c r="B788" i="24"/>
  <c r="B789" i="24"/>
  <c r="B790" i="24"/>
  <c r="B791" i="24"/>
  <c r="B792" i="24"/>
  <c r="B793" i="24"/>
  <c r="B794" i="24"/>
  <c r="B795" i="24"/>
  <c r="B796" i="24"/>
  <c r="B797" i="24"/>
  <c r="B798" i="24"/>
  <c r="B799" i="24"/>
  <c r="B800" i="24"/>
  <c r="B801" i="24"/>
  <c r="B802" i="24"/>
  <c r="B803" i="24"/>
  <c r="B804" i="24"/>
  <c r="B805" i="24"/>
  <c r="B806" i="24"/>
  <c r="B807" i="24"/>
  <c r="B808" i="24"/>
  <c r="B809" i="24"/>
  <c r="B810" i="24"/>
  <c r="B811" i="24"/>
  <c r="B812" i="24"/>
  <c r="B813" i="24"/>
  <c r="B814" i="24"/>
  <c r="B815" i="24"/>
  <c r="B816" i="24"/>
  <c r="B817" i="24"/>
  <c r="B818" i="24"/>
  <c r="B819" i="24"/>
  <c r="B820" i="24"/>
  <c r="B821" i="24"/>
  <c r="B822" i="24"/>
  <c r="B823" i="24"/>
  <c r="B824" i="24"/>
  <c r="B825" i="24"/>
  <c r="B826" i="24"/>
  <c r="B827" i="24"/>
  <c r="B828" i="24"/>
  <c r="B829" i="24"/>
  <c r="B830" i="24"/>
  <c r="B831" i="24"/>
  <c r="B832" i="24"/>
  <c r="B833" i="24"/>
  <c r="B834" i="24"/>
  <c r="B835" i="24"/>
  <c r="B836" i="24"/>
  <c r="B837" i="24"/>
  <c r="B838" i="24"/>
  <c r="B839" i="24"/>
  <c r="B840" i="24"/>
  <c r="B841" i="24"/>
  <c r="B842" i="24"/>
  <c r="B843" i="24"/>
  <c r="B844" i="24"/>
  <c r="B845" i="24"/>
  <c r="B846" i="24"/>
  <c r="B847" i="24"/>
  <c r="B848" i="24"/>
  <c r="B849" i="24"/>
  <c r="B850" i="24"/>
  <c r="B851" i="24"/>
  <c r="B852" i="24"/>
  <c r="B853" i="24"/>
  <c r="B854" i="24"/>
  <c r="B855" i="24"/>
  <c r="B856" i="24"/>
  <c r="B857" i="24"/>
  <c r="B858" i="24"/>
  <c r="B859" i="24"/>
  <c r="B860" i="24"/>
  <c r="B861" i="24"/>
  <c r="B862" i="24"/>
  <c r="B863" i="24"/>
  <c r="B864" i="24"/>
  <c r="B865" i="24"/>
  <c r="B866" i="24"/>
  <c r="B867" i="24"/>
  <c r="B868" i="24"/>
  <c r="B869" i="24"/>
  <c r="B870" i="24"/>
  <c r="B871" i="24"/>
  <c r="B872" i="24"/>
  <c r="B873" i="24"/>
  <c r="B874" i="24"/>
  <c r="B875" i="24"/>
  <c r="B876" i="24"/>
  <c r="B877" i="24"/>
  <c r="B878" i="24"/>
  <c r="B879" i="24"/>
  <c r="B880" i="24"/>
  <c r="B881" i="24"/>
  <c r="B882" i="24"/>
  <c r="B883" i="24"/>
  <c r="B884" i="24"/>
  <c r="B885" i="24"/>
  <c r="B886" i="24"/>
  <c r="B887" i="24"/>
  <c r="B888" i="24"/>
  <c r="B889" i="24"/>
  <c r="B890" i="24"/>
  <c r="B891" i="24"/>
  <c r="B892" i="24"/>
  <c r="B893" i="24"/>
  <c r="B894" i="24"/>
  <c r="B895" i="24"/>
  <c r="B896" i="24"/>
  <c r="B897" i="24"/>
  <c r="B898" i="24"/>
  <c r="B899" i="24"/>
  <c r="B900" i="24"/>
  <c r="B901" i="24"/>
  <c r="B902" i="24"/>
  <c r="B903" i="24"/>
  <c r="B904" i="24"/>
  <c r="B905" i="24"/>
  <c r="B906" i="24"/>
  <c r="B907" i="24"/>
  <c r="B908" i="24"/>
  <c r="B909" i="24"/>
  <c r="B910" i="24"/>
  <c r="B911" i="24"/>
  <c r="B912" i="24"/>
  <c r="B913" i="24"/>
  <c r="B914" i="24"/>
  <c r="B915" i="24"/>
  <c r="B916" i="24"/>
  <c r="B917" i="24"/>
  <c r="B918" i="24"/>
  <c r="B919" i="24"/>
  <c r="B920" i="24"/>
  <c r="B921" i="24"/>
  <c r="B922" i="24"/>
  <c r="B923" i="24"/>
  <c r="B924" i="24"/>
  <c r="B925" i="24"/>
  <c r="B926" i="24"/>
  <c r="B927" i="24"/>
  <c r="B928" i="24"/>
  <c r="B929" i="24"/>
  <c r="B930" i="24"/>
  <c r="B931" i="24"/>
  <c r="B932" i="24"/>
  <c r="B933" i="24"/>
  <c r="B934" i="24"/>
  <c r="B935" i="24"/>
  <c r="B936" i="24"/>
  <c r="B937" i="24"/>
  <c r="B938" i="24"/>
  <c r="B939" i="24"/>
  <c r="B940" i="24"/>
  <c r="B941" i="24"/>
  <c r="B942" i="24"/>
  <c r="B943" i="24"/>
  <c r="B944" i="24"/>
  <c r="B945" i="24"/>
  <c r="B946" i="24"/>
  <c r="B947" i="24"/>
  <c r="B948" i="24"/>
  <c r="B949" i="24"/>
  <c r="B950" i="24"/>
  <c r="B951" i="24"/>
  <c r="B952" i="24"/>
  <c r="B953" i="24"/>
  <c r="B954" i="24"/>
  <c r="B955" i="24"/>
  <c r="B956" i="24"/>
  <c r="B957" i="24"/>
  <c r="B958" i="24"/>
  <c r="B959" i="24"/>
  <c r="B960" i="24"/>
  <c r="B961" i="24"/>
  <c r="B962" i="24"/>
  <c r="B963" i="24"/>
  <c r="B964" i="24"/>
  <c r="B965" i="24"/>
  <c r="B966" i="24"/>
  <c r="B967" i="24"/>
  <c r="B968" i="24"/>
  <c r="B969" i="24"/>
  <c r="B970" i="24"/>
  <c r="B971" i="24"/>
  <c r="B972" i="24"/>
  <c r="B973" i="24"/>
  <c r="B974" i="24"/>
  <c r="B975" i="24"/>
  <c r="B976" i="24"/>
  <c r="B977" i="24"/>
  <c r="B978" i="24"/>
  <c r="B979" i="24"/>
  <c r="B980" i="24"/>
  <c r="B981" i="24"/>
  <c r="B982" i="24"/>
  <c r="B983" i="24"/>
  <c r="B984" i="24"/>
  <c r="B985" i="24"/>
  <c r="B986" i="24"/>
  <c r="B987" i="24"/>
  <c r="B988" i="24"/>
  <c r="B989" i="24"/>
  <c r="B990" i="24"/>
  <c r="B991" i="24"/>
  <c r="B992" i="24"/>
  <c r="B993" i="24"/>
  <c r="B994" i="24"/>
  <c r="B995" i="24"/>
  <c r="B996" i="24"/>
  <c r="B997" i="24"/>
  <c r="B998" i="24"/>
  <c r="B999" i="24"/>
  <c r="B1000" i="24"/>
  <c r="B1001" i="24"/>
  <c r="B1002" i="24"/>
  <c r="B1003" i="24"/>
  <c r="B1004" i="24"/>
  <c r="B1005" i="24"/>
  <c r="B1006" i="24"/>
  <c r="B1007" i="24"/>
  <c r="B1008" i="24"/>
  <c r="B1009" i="24"/>
  <c r="B1010" i="24"/>
  <c r="B1011" i="24"/>
  <c r="B1012" i="24"/>
  <c r="B1013" i="24"/>
  <c r="B1014" i="24"/>
  <c r="B1015" i="24"/>
  <c r="B1016" i="24"/>
  <c r="B1017" i="24"/>
  <c r="B1018" i="24"/>
  <c r="B1019" i="24"/>
  <c r="B1020" i="24"/>
  <c r="B1021" i="24"/>
  <c r="B1022" i="24"/>
  <c r="B1023" i="24"/>
  <c r="B1024" i="24"/>
  <c r="B1025" i="24"/>
  <c r="B1026" i="24"/>
  <c r="B1027" i="24"/>
  <c r="B1028" i="24"/>
  <c r="B1029" i="24"/>
  <c r="B1030" i="24"/>
  <c r="B1031" i="24"/>
  <c r="B1032" i="24"/>
  <c r="B1033" i="24"/>
  <c r="B1034" i="24"/>
  <c r="B1035" i="24"/>
  <c r="B1036" i="24"/>
  <c r="B1037" i="24"/>
  <c r="B1038" i="24"/>
  <c r="B1039" i="24"/>
  <c r="B1040" i="24"/>
  <c r="B1041" i="24"/>
  <c r="B1042" i="24"/>
  <c r="B1043" i="24"/>
  <c r="B1044" i="24"/>
  <c r="B1045" i="24"/>
  <c r="B1046" i="24"/>
  <c r="B1047" i="24"/>
  <c r="B1048" i="24"/>
  <c r="B1049" i="24"/>
  <c r="B1050" i="24"/>
  <c r="B1051" i="24"/>
  <c r="B1052" i="24"/>
  <c r="B1053" i="24"/>
  <c r="B1054" i="24"/>
  <c r="B1055" i="24"/>
  <c r="B1056" i="24"/>
  <c r="B1057" i="24"/>
  <c r="B1058" i="24"/>
  <c r="B1059" i="24"/>
  <c r="B1060" i="24"/>
  <c r="B1061" i="24"/>
  <c r="B1062" i="24"/>
  <c r="B1063" i="24"/>
  <c r="B1064" i="24"/>
  <c r="B1065" i="24"/>
  <c r="B1066" i="24"/>
  <c r="B1067" i="24"/>
  <c r="B1068" i="24"/>
  <c r="B1069" i="24"/>
  <c r="B1070" i="24"/>
  <c r="B1071" i="24"/>
  <c r="B1072" i="24"/>
  <c r="B1073" i="24"/>
  <c r="B1074" i="24"/>
  <c r="B1075" i="24"/>
  <c r="B1076" i="24"/>
  <c r="B1077" i="24"/>
  <c r="B1078" i="24"/>
  <c r="B1079" i="24"/>
  <c r="B1080" i="24"/>
  <c r="B1081" i="24"/>
  <c r="B1082" i="24"/>
  <c r="B1083" i="24"/>
  <c r="B1084" i="24"/>
  <c r="B1085" i="24"/>
  <c r="B1086" i="24"/>
  <c r="B1087" i="24"/>
  <c r="B1088" i="24"/>
  <c r="B1089" i="24"/>
  <c r="B1090" i="24"/>
  <c r="B1091" i="24"/>
  <c r="B1092" i="24"/>
  <c r="B1093" i="24"/>
  <c r="B1094" i="24"/>
  <c r="B1095" i="24"/>
  <c r="B1096" i="24"/>
  <c r="B1097" i="24"/>
  <c r="B1098" i="24"/>
  <c r="B1099" i="24"/>
  <c r="B1100" i="24"/>
  <c r="B1101" i="24"/>
  <c r="B1102" i="24"/>
  <c r="B1103" i="24"/>
  <c r="B1104" i="24"/>
  <c r="B1105" i="24"/>
  <c r="B1106" i="24"/>
  <c r="B1107" i="24"/>
  <c r="B1108" i="24"/>
  <c r="B1109" i="24"/>
  <c r="B1110" i="24"/>
  <c r="B1111"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606" i="24"/>
  <c r="D607" i="24"/>
  <c r="D608" i="24"/>
  <c r="D609" i="24"/>
  <c r="D610" i="24"/>
  <c r="D611" i="24"/>
  <c r="D612" i="24"/>
  <c r="D613" i="24"/>
  <c r="D614" i="24"/>
  <c r="D615" i="24"/>
  <c r="D616" i="24"/>
  <c r="D617" i="24"/>
  <c r="D618" i="24"/>
  <c r="D619" i="24"/>
  <c r="D620" i="24"/>
  <c r="D621" i="24"/>
  <c r="D622" i="24"/>
  <c r="D623" i="24"/>
  <c r="D624" i="24"/>
  <c r="D625" i="24"/>
  <c r="D626" i="24"/>
  <c r="D627" i="24"/>
  <c r="D628" i="24"/>
  <c r="D629" i="24"/>
  <c r="D630" i="24"/>
  <c r="D631" i="24"/>
  <c r="D632" i="24"/>
  <c r="D633" i="24"/>
  <c r="D634" i="24"/>
  <c r="D635" i="24"/>
  <c r="D636" i="24"/>
  <c r="D637" i="24"/>
  <c r="D638" i="24"/>
  <c r="D639" i="24"/>
  <c r="D640" i="24"/>
  <c r="D641" i="24"/>
  <c r="D642" i="24"/>
  <c r="D643" i="24"/>
  <c r="D644" i="24"/>
  <c r="D645" i="24"/>
  <c r="D646" i="24"/>
  <c r="D647" i="24"/>
  <c r="D648" i="24"/>
  <c r="D649" i="24"/>
  <c r="D650" i="24"/>
  <c r="D651" i="24"/>
  <c r="D652" i="24"/>
  <c r="D653" i="24"/>
  <c r="D654" i="24"/>
  <c r="D655" i="24"/>
  <c r="D656" i="24"/>
  <c r="D657" i="24"/>
  <c r="D658" i="24"/>
  <c r="D659" i="24"/>
  <c r="D660" i="24"/>
  <c r="D661" i="24"/>
  <c r="D662" i="24"/>
  <c r="D663" i="24"/>
  <c r="D664" i="24"/>
  <c r="D665" i="24"/>
  <c r="D666" i="24"/>
  <c r="D667" i="24"/>
  <c r="D668" i="24"/>
  <c r="D669" i="24"/>
  <c r="D670" i="24"/>
  <c r="D671" i="24"/>
  <c r="D672" i="24"/>
  <c r="D673" i="24"/>
  <c r="D674" i="24"/>
  <c r="D675" i="24"/>
  <c r="D676" i="24"/>
  <c r="D677" i="24"/>
  <c r="D678" i="24"/>
  <c r="D679" i="24"/>
  <c r="D680" i="24"/>
  <c r="D681" i="24"/>
  <c r="D682" i="24"/>
  <c r="D683" i="24"/>
  <c r="D684" i="24"/>
  <c r="D685" i="24"/>
  <c r="D686" i="24"/>
  <c r="D687" i="24"/>
  <c r="D688" i="24"/>
  <c r="D689" i="24"/>
  <c r="D690" i="24"/>
  <c r="D691" i="24"/>
  <c r="D692" i="24"/>
  <c r="D693" i="24"/>
  <c r="D694" i="24"/>
  <c r="D695" i="24"/>
  <c r="D696" i="24"/>
  <c r="D697" i="24"/>
  <c r="D698" i="24"/>
  <c r="D699" i="24"/>
  <c r="D700" i="24"/>
  <c r="D701" i="24"/>
  <c r="D702" i="24"/>
  <c r="D703" i="24"/>
  <c r="D704" i="24"/>
  <c r="D705" i="24"/>
  <c r="D706" i="24"/>
  <c r="D707" i="24"/>
  <c r="D708" i="24"/>
  <c r="D709" i="24"/>
  <c r="D710" i="24"/>
  <c r="D711" i="24"/>
  <c r="D712" i="24"/>
  <c r="D713" i="24"/>
  <c r="D714" i="24"/>
  <c r="D715" i="24"/>
  <c r="D716" i="24"/>
  <c r="D717" i="24"/>
  <c r="D718" i="24"/>
  <c r="D719" i="24"/>
  <c r="D720" i="24"/>
  <c r="D721" i="24"/>
  <c r="D722" i="24"/>
  <c r="D723" i="24"/>
  <c r="D724" i="24"/>
  <c r="D725" i="24"/>
  <c r="D726" i="24"/>
  <c r="D727" i="24"/>
  <c r="D728" i="24"/>
  <c r="D729" i="24"/>
  <c r="D730" i="24"/>
  <c r="D731" i="24"/>
  <c r="D732" i="24"/>
  <c r="D733" i="24"/>
  <c r="D734" i="24"/>
  <c r="D735" i="24"/>
  <c r="D736" i="24"/>
  <c r="D737" i="24"/>
  <c r="D738" i="24"/>
  <c r="D739" i="24"/>
  <c r="D740" i="24"/>
  <c r="D741" i="24"/>
  <c r="D742" i="24"/>
  <c r="D743" i="24"/>
  <c r="D744" i="24"/>
  <c r="D745" i="24"/>
  <c r="D746" i="24"/>
  <c r="D747" i="24"/>
  <c r="D748" i="24"/>
  <c r="D749" i="24"/>
  <c r="D750" i="24"/>
  <c r="D751" i="24"/>
  <c r="D752" i="24"/>
  <c r="D753" i="24"/>
  <c r="D754" i="24"/>
  <c r="D755" i="24"/>
  <c r="D756" i="24"/>
  <c r="D757" i="24"/>
  <c r="D758" i="24"/>
  <c r="D759" i="24"/>
  <c r="D760" i="24"/>
  <c r="D761" i="24"/>
  <c r="D762" i="24"/>
  <c r="D763" i="24"/>
  <c r="D764" i="24"/>
  <c r="D765" i="24"/>
  <c r="D766" i="24"/>
  <c r="D767" i="24"/>
  <c r="D768" i="24"/>
  <c r="D769" i="24"/>
  <c r="D770" i="24"/>
  <c r="D771" i="24"/>
  <c r="D772" i="24"/>
  <c r="D773" i="24"/>
  <c r="D774" i="24"/>
  <c r="D775" i="24"/>
  <c r="D776" i="24"/>
  <c r="D777" i="24"/>
  <c r="D778" i="24"/>
  <c r="D779" i="24"/>
  <c r="D780" i="24"/>
  <c r="D781" i="24"/>
  <c r="D782" i="24"/>
  <c r="D783" i="24"/>
  <c r="D784" i="24"/>
  <c r="D785" i="24"/>
  <c r="D786" i="24"/>
  <c r="D787" i="24"/>
  <c r="D788" i="24"/>
  <c r="D789" i="24"/>
  <c r="D790" i="24"/>
  <c r="D791" i="24"/>
  <c r="D792" i="24"/>
  <c r="D793" i="24"/>
  <c r="D794" i="24"/>
  <c r="D795" i="24"/>
  <c r="D796" i="24"/>
  <c r="D797" i="24"/>
  <c r="D798" i="24"/>
  <c r="D799" i="24"/>
  <c r="D800" i="24"/>
  <c r="D801" i="24"/>
  <c r="D802" i="24"/>
  <c r="D803" i="24"/>
  <c r="D804" i="24"/>
  <c r="D805" i="24"/>
  <c r="D806" i="24"/>
  <c r="D807" i="24"/>
  <c r="D808" i="24"/>
  <c r="D809" i="24"/>
  <c r="D810" i="24"/>
  <c r="D811" i="24"/>
  <c r="D812" i="24"/>
  <c r="D813" i="24"/>
  <c r="D814" i="24"/>
  <c r="D815" i="24"/>
  <c r="D816" i="24"/>
  <c r="D817" i="24"/>
  <c r="D818" i="24"/>
  <c r="D819" i="24"/>
  <c r="D820" i="24"/>
  <c r="D821" i="24"/>
  <c r="D822" i="24"/>
  <c r="D823" i="24"/>
  <c r="D824" i="24"/>
  <c r="D825" i="24"/>
  <c r="D826" i="24"/>
  <c r="D827" i="24"/>
  <c r="D828" i="24"/>
  <c r="D829" i="24"/>
  <c r="D830" i="24"/>
  <c r="D831" i="24"/>
  <c r="D832" i="24"/>
  <c r="D833" i="24"/>
  <c r="D834" i="24"/>
  <c r="D835" i="24"/>
  <c r="D836" i="24"/>
  <c r="D837" i="24"/>
  <c r="D838" i="24"/>
  <c r="D839" i="24"/>
  <c r="D840" i="24"/>
  <c r="D841" i="24"/>
  <c r="D842" i="24"/>
  <c r="D843" i="24"/>
  <c r="D844" i="24"/>
  <c r="D845" i="24"/>
  <c r="D846" i="24"/>
  <c r="D847" i="24"/>
  <c r="D848" i="24"/>
  <c r="D849" i="24"/>
  <c r="D850" i="24"/>
  <c r="D851" i="24"/>
  <c r="D852" i="24"/>
  <c r="D853" i="24"/>
  <c r="D854" i="24"/>
  <c r="D855" i="24"/>
  <c r="D856" i="24"/>
  <c r="D857" i="24"/>
  <c r="D858" i="24"/>
  <c r="D859" i="24"/>
  <c r="D860" i="24"/>
  <c r="D861" i="24"/>
  <c r="D862" i="24"/>
  <c r="D863" i="24"/>
  <c r="D864" i="24"/>
  <c r="D865" i="24"/>
  <c r="D866" i="24"/>
  <c r="D867" i="24"/>
  <c r="D868" i="24"/>
  <c r="D869" i="24"/>
  <c r="D870" i="24"/>
  <c r="D871" i="24"/>
  <c r="D872" i="24"/>
  <c r="D873" i="24"/>
  <c r="D874" i="24"/>
  <c r="D875" i="24"/>
  <c r="D876" i="24"/>
  <c r="D877" i="24"/>
  <c r="D878" i="24"/>
  <c r="D879" i="24"/>
  <c r="D880" i="24"/>
  <c r="D881" i="24"/>
  <c r="D882" i="24"/>
  <c r="D883" i="24"/>
  <c r="D884" i="24"/>
  <c r="D885" i="24"/>
  <c r="D886" i="24"/>
  <c r="D887" i="24"/>
  <c r="D888" i="24"/>
  <c r="D889" i="24"/>
  <c r="D890" i="24"/>
  <c r="D891" i="24"/>
  <c r="D892" i="24"/>
  <c r="D893" i="24"/>
  <c r="D894" i="24"/>
  <c r="D895" i="24"/>
  <c r="D896" i="24"/>
  <c r="D897" i="24"/>
  <c r="D898" i="24"/>
  <c r="D899" i="24"/>
  <c r="D900" i="24"/>
  <c r="D901" i="24"/>
  <c r="D902" i="24"/>
  <c r="D903" i="24"/>
  <c r="D904" i="24"/>
  <c r="D905" i="24"/>
  <c r="D906" i="24"/>
  <c r="D907" i="24"/>
  <c r="D908" i="24"/>
  <c r="D909" i="24"/>
  <c r="D910" i="24"/>
  <c r="D911" i="24"/>
  <c r="D912" i="24"/>
  <c r="D913" i="24"/>
  <c r="D914" i="24"/>
  <c r="D915" i="24"/>
  <c r="D916" i="24"/>
  <c r="D917" i="24"/>
  <c r="D918" i="24"/>
  <c r="D919" i="24"/>
  <c r="D920" i="24"/>
  <c r="D921" i="24"/>
  <c r="D922" i="24"/>
  <c r="D923" i="24"/>
  <c r="D924" i="24"/>
  <c r="D925" i="24"/>
  <c r="D926" i="24"/>
  <c r="D927" i="24"/>
  <c r="D928" i="24"/>
  <c r="D929" i="24"/>
  <c r="D930" i="24"/>
  <c r="D931" i="24"/>
  <c r="D932" i="24"/>
  <c r="D933" i="24"/>
  <c r="D934" i="24"/>
  <c r="D935" i="24"/>
  <c r="D936" i="24"/>
  <c r="D937" i="24"/>
  <c r="D938" i="24"/>
  <c r="D939" i="24"/>
  <c r="D940" i="24"/>
  <c r="D941" i="24"/>
  <c r="D942" i="24"/>
  <c r="D943" i="24"/>
  <c r="D944" i="24"/>
  <c r="D945" i="24"/>
  <c r="D946" i="24"/>
  <c r="D947" i="24"/>
  <c r="D948" i="24"/>
  <c r="D949" i="24"/>
  <c r="D950" i="24"/>
  <c r="D951" i="24"/>
  <c r="D952" i="24"/>
  <c r="D953" i="24"/>
  <c r="D954" i="24"/>
  <c r="D955" i="24"/>
  <c r="D956" i="24"/>
  <c r="D957" i="24"/>
  <c r="D958" i="24"/>
  <c r="D959" i="24"/>
  <c r="D960" i="24"/>
  <c r="D961" i="24"/>
  <c r="D962" i="24"/>
  <c r="D963" i="24"/>
  <c r="D964" i="24"/>
  <c r="D965" i="24"/>
  <c r="D966" i="24"/>
  <c r="D967" i="24"/>
  <c r="D968" i="24"/>
  <c r="D969" i="24"/>
  <c r="D970" i="24"/>
  <c r="D971" i="24"/>
  <c r="D972" i="24"/>
  <c r="D973" i="24"/>
  <c r="D974" i="24"/>
  <c r="D975" i="24"/>
  <c r="D976" i="24"/>
  <c r="D977" i="24"/>
  <c r="D978" i="24"/>
  <c r="D979" i="24"/>
  <c r="D980" i="24"/>
  <c r="D981" i="24"/>
  <c r="D982" i="24"/>
  <c r="D983" i="24"/>
  <c r="D984" i="24"/>
  <c r="D985" i="24"/>
  <c r="D986" i="24"/>
  <c r="D987" i="24"/>
  <c r="D988" i="24"/>
  <c r="D989" i="24"/>
  <c r="D990" i="24"/>
  <c r="D991" i="24"/>
  <c r="D992" i="24"/>
  <c r="D993" i="24"/>
  <c r="D994" i="24"/>
  <c r="D995" i="24"/>
  <c r="D996" i="24"/>
  <c r="D997" i="24"/>
  <c r="D998" i="24"/>
  <c r="D999" i="24"/>
  <c r="D1000" i="24"/>
  <c r="D1001" i="24"/>
  <c r="D1002" i="24"/>
  <c r="D1003" i="24"/>
  <c r="D1004" i="24"/>
  <c r="D1005" i="24"/>
  <c r="D1006" i="24"/>
  <c r="D1007" i="24"/>
  <c r="D1008" i="24"/>
  <c r="D1009" i="24"/>
  <c r="D1010" i="24"/>
  <c r="D1011" i="24"/>
  <c r="D1012" i="24"/>
  <c r="D1013" i="24"/>
  <c r="D1014" i="24"/>
  <c r="D1015" i="24"/>
  <c r="D1016" i="24"/>
  <c r="D1017" i="24"/>
  <c r="D1018" i="24"/>
  <c r="D1019" i="24"/>
  <c r="D1020" i="24"/>
  <c r="D1021" i="24"/>
  <c r="D1022" i="24"/>
  <c r="D1023" i="24"/>
  <c r="D1024" i="24"/>
  <c r="D1025" i="24"/>
  <c r="D1026" i="24"/>
  <c r="D1027" i="24"/>
  <c r="D1028" i="24"/>
  <c r="D1029" i="24"/>
  <c r="D1030" i="24"/>
  <c r="D1031" i="24"/>
  <c r="D1032" i="24"/>
  <c r="D1033" i="24"/>
  <c r="D1034" i="24"/>
  <c r="D1035" i="24"/>
  <c r="D1036" i="24"/>
  <c r="D1037" i="24"/>
  <c r="D1038" i="24"/>
  <c r="D1039" i="24"/>
  <c r="D1040" i="24"/>
  <c r="D1041" i="24"/>
  <c r="D1042" i="24"/>
  <c r="D1043" i="24"/>
  <c r="D1044" i="24"/>
  <c r="D1045" i="24"/>
  <c r="D1046" i="24"/>
  <c r="D1047" i="24"/>
  <c r="D1048" i="24"/>
  <c r="D1049" i="24"/>
  <c r="D1050" i="24"/>
  <c r="D1051" i="24"/>
  <c r="D1052" i="24"/>
  <c r="D1053" i="24"/>
  <c r="D1054" i="24"/>
  <c r="D1055" i="24"/>
  <c r="D1056" i="24"/>
  <c r="D1057" i="24"/>
  <c r="D1058" i="24"/>
  <c r="D1059" i="24"/>
  <c r="D1060" i="24"/>
  <c r="D1061" i="24"/>
  <c r="D1062" i="24"/>
  <c r="D1063" i="24"/>
  <c r="D1064" i="24"/>
  <c r="D1065" i="24"/>
  <c r="D1066" i="24"/>
  <c r="D1067" i="24"/>
  <c r="D1068" i="24"/>
  <c r="D1069" i="24"/>
  <c r="D1070" i="24"/>
  <c r="D1071" i="24"/>
  <c r="D1072" i="24"/>
  <c r="D1073" i="24"/>
  <c r="D1074" i="24"/>
  <c r="D1075" i="24"/>
  <c r="D1076" i="24"/>
  <c r="D1077" i="24"/>
  <c r="D1078" i="24"/>
  <c r="D1079" i="24"/>
  <c r="D1080" i="24"/>
  <c r="D1081" i="24"/>
  <c r="D1082" i="24"/>
  <c r="D1083" i="24"/>
  <c r="D1084" i="24"/>
  <c r="D1085" i="24"/>
  <c r="D1086" i="24"/>
  <c r="D1087" i="24"/>
  <c r="D1088" i="24"/>
  <c r="D1089" i="24"/>
  <c r="D1090" i="24"/>
  <c r="D1091" i="24"/>
  <c r="D1092" i="24"/>
  <c r="D1093" i="24"/>
  <c r="D1094" i="24"/>
  <c r="D1095" i="24"/>
  <c r="D1096" i="24"/>
  <c r="D1097" i="24"/>
  <c r="D1098" i="24"/>
  <c r="D1099" i="24"/>
  <c r="D1100" i="24"/>
  <c r="D1101" i="24"/>
  <c r="D1102" i="24"/>
  <c r="D1103" i="24"/>
  <c r="D1104" i="24"/>
  <c r="D1105" i="24"/>
  <c r="D1106" i="24"/>
  <c r="D1107" i="24"/>
  <c r="D1108" i="24"/>
  <c r="D1109" i="24"/>
  <c r="D1110" i="24"/>
  <c r="D1111" i="24"/>
  <c r="C3" i="24"/>
  <c r="C4" i="24"/>
  <c r="C5" i="24"/>
  <c r="C6" i="24"/>
  <c r="C7" i="24"/>
  <c r="C8" i="24"/>
  <c r="C9" i="24"/>
  <c r="C10" i="24"/>
  <c r="C11" i="24"/>
  <c r="C12" i="24"/>
  <c r="C13" i="24"/>
  <c r="C14" i="24"/>
  <c r="C15" i="24"/>
  <c r="C16" i="24"/>
  <c r="C17" i="24"/>
  <c r="C18" i="24"/>
  <c r="C19" i="24"/>
  <c r="C20" i="24"/>
  <c r="C21" i="24"/>
  <c r="C22" i="24"/>
  <c r="C23" i="24"/>
  <c r="C24" i="24"/>
  <c r="C25" i="24"/>
  <c r="C26" i="24"/>
  <c r="C27" i="24"/>
  <c r="C28" i="24"/>
  <c r="C29" i="24"/>
  <c r="C30" i="24"/>
  <c r="C31" i="24"/>
  <c r="C32" i="24"/>
  <c r="C33" i="24"/>
  <c r="C34" i="24"/>
  <c r="C35" i="24"/>
  <c r="C36" i="24"/>
  <c r="C37" i="24"/>
  <c r="C38" i="24"/>
  <c r="C39" i="24"/>
  <c r="C40" i="24"/>
  <c r="C41" i="24"/>
  <c r="C42" i="24"/>
  <c r="C43" i="24"/>
  <c r="C44" i="24"/>
  <c r="C45" i="24"/>
  <c r="C46" i="24"/>
  <c r="C47" i="24"/>
  <c r="C48" i="24"/>
  <c r="C49" i="24"/>
  <c r="C50" i="24"/>
  <c r="C51" i="24"/>
  <c r="C52" i="24"/>
  <c r="C53" i="24"/>
  <c r="C54" i="24"/>
  <c r="C55" i="24"/>
  <c r="C56" i="24"/>
  <c r="C57" i="24"/>
  <c r="C58" i="24"/>
  <c r="C59" i="24"/>
  <c r="C60" i="24"/>
  <c r="C61" i="24"/>
  <c r="C62" i="24"/>
  <c r="C63" i="24"/>
  <c r="C64" i="24"/>
  <c r="C65" i="24"/>
  <c r="C66" i="24"/>
  <c r="C67" i="24"/>
  <c r="C68" i="24"/>
  <c r="C69" i="24"/>
  <c r="C70" i="24"/>
  <c r="C71" i="24"/>
  <c r="C72" i="24"/>
  <c r="C73" i="24"/>
  <c r="C74" i="24"/>
  <c r="C75" i="24"/>
  <c r="C76" i="24"/>
  <c r="C77" i="24"/>
  <c r="C78" i="24"/>
  <c r="C79" i="24"/>
  <c r="C80" i="24"/>
  <c r="C81" i="24"/>
  <c r="C82" i="24"/>
  <c r="C83" i="24"/>
  <c r="C84" i="24"/>
  <c r="C85" i="24"/>
  <c r="C86" i="24"/>
  <c r="C87" i="24"/>
  <c r="C88" i="24"/>
  <c r="C89" i="24"/>
  <c r="C90" i="24"/>
  <c r="C91" i="24"/>
  <c r="C92" i="24"/>
  <c r="C93" i="24"/>
  <c r="C94" i="24"/>
  <c r="C95" i="24"/>
  <c r="C96" i="24"/>
  <c r="C97" i="24"/>
  <c r="C98" i="24"/>
  <c r="C99" i="24"/>
  <c r="C100" i="24"/>
  <c r="C101" i="24"/>
  <c r="C102" i="24"/>
  <c r="C103" i="24"/>
  <c r="C104" i="24"/>
  <c r="C105" i="24"/>
  <c r="C106" i="24"/>
  <c r="C107" i="24"/>
  <c r="C108" i="24"/>
  <c r="C109" i="24"/>
  <c r="C110" i="24"/>
  <c r="C111" i="24"/>
  <c r="C112" i="24"/>
  <c r="C113" i="24"/>
  <c r="C114" i="24"/>
  <c r="C115" i="24"/>
  <c r="C116" i="24"/>
  <c r="C117" i="24"/>
  <c r="C118" i="24"/>
  <c r="C119" i="24"/>
  <c r="C120" i="24"/>
  <c r="C121" i="24"/>
  <c r="C122" i="24"/>
  <c r="C123" i="24"/>
  <c r="C124" i="24"/>
  <c r="C125" i="24"/>
  <c r="C126" i="24"/>
  <c r="C127" i="24"/>
  <c r="C128" i="24"/>
  <c r="C129" i="24"/>
  <c r="C130" i="24"/>
  <c r="C131" i="24"/>
  <c r="C132" i="24"/>
  <c r="C133" i="24"/>
  <c r="C134" i="24"/>
  <c r="C135" i="24"/>
  <c r="C136" i="24"/>
  <c r="C137" i="24"/>
  <c r="C138" i="24"/>
  <c r="C139" i="24"/>
  <c r="C140" i="24"/>
  <c r="C141" i="24"/>
  <c r="C142" i="24"/>
  <c r="C143" i="24"/>
  <c r="C144" i="24"/>
  <c r="C145" i="24"/>
  <c r="C146" i="24"/>
  <c r="C147" i="24"/>
  <c r="C148" i="24"/>
  <c r="C149" i="24"/>
  <c r="C150" i="24"/>
  <c r="C151" i="24"/>
  <c r="C152" i="24"/>
  <c r="C153" i="24"/>
  <c r="C154" i="24"/>
  <c r="C155" i="24"/>
  <c r="C156" i="24"/>
  <c r="C157" i="24"/>
  <c r="C158" i="24"/>
  <c r="C159" i="24"/>
  <c r="C160" i="24"/>
  <c r="C161" i="24"/>
  <c r="C162" i="24"/>
  <c r="C163" i="24"/>
  <c r="C164" i="24"/>
  <c r="C165" i="24"/>
  <c r="C166" i="24"/>
  <c r="C167" i="24"/>
  <c r="C168" i="24"/>
  <c r="C169" i="24"/>
  <c r="C170" i="24"/>
  <c r="C171" i="24"/>
  <c r="C172" i="24"/>
  <c r="C173" i="24"/>
  <c r="C174" i="24"/>
  <c r="C175" i="24"/>
  <c r="C176" i="24"/>
  <c r="C177" i="24"/>
  <c r="C178" i="24"/>
  <c r="C179" i="24"/>
  <c r="C180" i="24"/>
  <c r="C181" i="24"/>
  <c r="C182" i="24"/>
  <c r="C183" i="24"/>
  <c r="C184" i="24"/>
  <c r="C185" i="24"/>
  <c r="C186" i="24"/>
  <c r="C187" i="24"/>
  <c r="C188" i="24"/>
  <c r="C189" i="24"/>
  <c r="C190" i="24"/>
  <c r="C191" i="24"/>
  <c r="C192" i="24"/>
  <c r="C193" i="24"/>
  <c r="C194" i="24"/>
  <c r="C195" i="24"/>
  <c r="C196" i="24"/>
  <c r="C197" i="24"/>
  <c r="C198" i="24"/>
  <c r="C199" i="24"/>
  <c r="C200" i="24"/>
  <c r="C201" i="24"/>
  <c r="C202" i="24"/>
  <c r="C203" i="24"/>
  <c r="C204" i="24"/>
  <c r="C205" i="24"/>
  <c r="C206" i="24"/>
  <c r="C207" i="24"/>
  <c r="C208" i="24"/>
  <c r="C209" i="24"/>
  <c r="C210" i="24"/>
  <c r="C211" i="24"/>
  <c r="C212" i="24"/>
  <c r="C213" i="24"/>
  <c r="C214" i="24"/>
  <c r="C215" i="24"/>
  <c r="C216" i="24"/>
  <c r="C217" i="24"/>
  <c r="C218" i="24"/>
  <c r="C219" i="24"/>
  <c r="C220" i="24"/>
  <c r="C221" i="24"/>
  <c r="C222" i="24"/>
  <c r="C223" i="24"/>
  <c r="C224" i="24"/>
  <c r="C225" i="24"/>
  <c r="C226" i="24"/>
  <c r="C227" i="24"/>
  <c r="C228" i="24"/>
  <c r="C229" i="24"/>
  <c r="C230" i="24"/>
  <c r="C231" i="24"/>
  <c r="C232" i="24"/>
  <c r="C233" i="24"/>
  <c r="C234" i="24"/>
  <c r="C235" i="24"/>
  <c r="C236" i="24"/>
  <c r="C237" i="24"/>
  <c r="C238" i="24"/>
  <c r="C239" i="24"/>
  <c r="C240" i="24"/>
  <c r="C241" i="24"/>
  <c r="C242" i="24"/>
  <c r="C243" i="24"/>
  <c r="C244" i="24"/>
  <c r="C245" i="24"/>
  <c r="C246" i="24"/>
  <c r="C247" i="24"/>
  <c r="C248" i="24"/>
  <c r="C249" i="24"/>
  <c r="C250" i="24"/>
  <c r="C251" i="24"/>
  <c r="C252" i="24"/>
  <c r="C253" i="24"/>
  <c r="C254" i="24"/>
  <c r="C255" i="24"/>
  <c r="C256" i="24"/>
  <c r="C257" i="24"/>
  <c r="C258" i="24"/>
  <c r="C259" i="24"/>
  <c r="C260" i="24"/>
  <c r="C261" i="24"/>
  <c r="C262" i="24"/>
  <c r="C263" i="24"/>
  <c r="C264" i="24"/>
  <c r="C265" i="24"/>
  <c r="C266" i="24"/>
  <c r="C267" i="24"/>
  <c r="C268" i="24"/>
  <c r="C269" i="24"/>
  <c r="C270" i="24"/>
  <c r="C271" i="24"/>
  <c r="C272" i="24"/>
  <c r="C273" i="24"/>
  <c r="C274" i="24"/>
  <c r="C275" i="24"/>
  <c r="C276" i="24"/>
  <c r="C277" i="24"/>
  <c r="C278" i="24"/>
  <c r="C279" i="24"/>
  <c r="C280" i="24"/>
  <c r="C281" i="24"/>
  <c r="C282" i="24"/>
  <c r="C283" i="24"/>
  <c r="C284" i="24"/>
  <c r="C285" i="24"/>
  <c r="C286" i="24"/>
  <c r="C287" i="24"/>
  <c r="C288" i="24"/>
  <c r="C289" i="24"/>
  <c r="C290" i="24"/>
  <c r="C291" i="24"/>
  <c r="C292" i="24"/>
  <c r="C293" i="24"/>
  <c r="C294" i="24"/>
  <c r="C295" i="24"/>
  <c r="C296" i="24"/>
  <c r="C297" i="24"/>
  <c r="C298" i="24"/>
  <c r="C299" i="24"/>
  <c r="C300" i="24"/>
  <c r="C301" i="24"/>
  <c r="C302" i="24"/>
  <c r="C303" i="24"/>
  <c r="C304" i="24"/>
  <c r="C305" i="24"/>
  <c r="C306" i="24"/>
  <c r="C307" i="24"/>
  <c r="C308" i="24"/>
  <c r="C309" i="24"/>
  <c r="C310" i="24"/>
  <c r="C311" i="24"/>
  <c r="C312" i="24"/>
  <c r="C313" i="24"/>
  <c r="C314" i="24"/>
  <c r="C315" i="24"/>
  <c r="C316" i="24"/>
  <c r="C317" i="24"/>
  <c r="C318" i="24"/>
  <c r="C319" i="24"/>
  <c r="C320" i="24"/>
  <c r="C321" i="24"/>
  <c r="C322" i="24"/>
  <c r="C323" i="24"/>
  <c r="C324" i="24"/>
  <c r="C325" i="24"/>
  <c r="C326" i="24"/>
  <c r="C327" i="24"/>
  <c r="C328" i="24"/>
  <c r="C329" i="24"/>
  <c r="C330" i="24"/>
  <c r="C331" i="24"/>
  <c r="C332" i="24"/>
  <c r="C333" i="24"/>
  <c r="C334" i="24"/>
  <c r="C335" i="24"/>
  <c r="C336" i="24"/>
  <c r="C337" i="24"/>
  <c r="C338" i="24"/>
  <c r="C339" i="24"/>
  <c r="C340" i="24"/>
  <c r="C341" i="24"/>
  <c r="C342" i="24"/>
  <c r="C343" i="24"/>
  <c r="C344" i="24"/>
  <c r="C345" i="24"/>
  <c r="C346" i="24"/>
  <c r="C347" i="24"/>
  <c r="C348" i="24"/>
  <c r="C349" i="24"/>
  <c r="C350" i="24"/>
  <c r="C351" i="24"/>
  <c r="C352" i="24"/>
  <c r="C353" i="24"/>
  <c r="C354" i="24"/>
  <c r="C355" i="24"/>
  <c r="C356" i="24"/>
  <c r="C357" i="24"/>
  <c r="C358" i="24"/>
  <c r="C359" i="24"/>
  <c r="C360" i="24"/>
  <c r="C361" i="24"/>
  <c r="C362" i="24"/>
  <c r="C363" i="24"/>
  <c r="C364" i="24"/>
  <c r="C365" i="24"/>
  <c r="C366" i="24"/>
  <c r="C367" i="24"/>
  <c r="C368" i="24"/>
  <c r="C369" i="24"/>
  <c r="C370" i="24"/>
  <c r="C371" i="24"/>
  <c r="C372" i="24"/>
  <c r="C373" i="24"/>
  <c r="C374" i="24"/>
  <c r="C375" i="24"/>
  <c r="C376" i="24"/>
  <c r="C377" i="24"/>
  <c r="C378" i="24"/>
  <c r="C379" i="24"/>
  <c r="C380" i="24"/>
  <c r="C381" i="24"/>
  <c r="C382" i="24"/>
  <c r="C383" i="24"/>
  <c r="C384" i="24"/>
  <c r="C385" i="24"/>
  <c r="C386" i="24"/>
  <c r="C387" i="24"/>
  <c r="C388" i="24"/>
  <c r="C389" i="24"/>
  <c r="C390" i="24"/>
  <c r="C391" i="24"/>
  <c r="C392" i="24"/>
  <c r="C393" i="24"/>
  <c r="C394" i="24"/>
  <c r="C395" i="24"/>
  <c r="C396" i="24"/>
  <c r="C397" i="24"/>
  <c r="C398" i="24"/>
  <c r="C399" i="24"/>
  <c r="C400" i="24"/>
  <c r="C401" i="24"/>
  <c r="C402" i="24"/>
  <c r="C403" i="24"/>
  <c r="C404" i="24"/>
  <c r="C405" i="24"/>
  <c r="C406" i="24"/>
  <c r="C407" i="24"/>
  <c r="C408" i="24"/>
  <c r="C409" i="24"/>
  <c r="C410" i="24"/>
  <c r="C411" i="24"/>
  <c r="C412" i="24"/>
  <c r="C413" i="24"/>
  <c r="C414" i="24"/>
  <c r="C415" i="24"/>
  <c r="C416" i="24"/>
  <c r="C417" i="24"/>
  <c r="C418" i="24"/>
  <c r="C419" i="24"/>
  <c r="C420" i="24"/>
  <c r="C421" i="24"/>
  <c r="C422" i="24"/>
  <c r="C423" i="24"/>
  <c r="C424" i="24"/>
  <c r="C425" i="24"/>
  <c r="C426" i="24"/>
  <c r="C427" i="24"/>
  <c r="C428" i="24"/>
  <c r="C429" i="24"/>
  <c r="C430" i="24"/>
  <c r="C431" i="24"/>
  <c r="C432" i="24"/>
  <c r="C433" i="24"/>
  <c r="C434" i="24"/>
  <c r="C435" i="24"/>
  <c r="C436" i="24"/>
  <c r="C437" i="24"/>
  <c r="C438" i="24"/>
  <c r="C439" i="24"/>
  <c r="C440" i="24"/>
  <c r="C441" i="24"/>
  <c r="C442" i="24"/>
  <c r="C443" i="24"/>
  <c r="C444" i="24"/>
  <c r="C445" i="24"/>
  <c r="C446" i="24"/>
  <c r="C447" i="24"/>
  <c r="C448" i="24"/>
  <c r="C449" i="24"/>
  <c r="C450" i="24"/>
  <c r="C451" i="24"/>
  <c r="C452" i="24"/>
  <c r="C453" i="24"/>
  <c r="C454" i="24"/>
  <c r="C455" i="24"/>
  <c r="C456" i="24"/>
  <c r="C457" i="24"/>
  <c r="C458" i="24"/>
  <c r="C459" i="24"/>
  <c r="C460" i="24"/>
  <c r="C461" i="24"/>
  <c r="C462" i="24"/>
  <c r="C463" i="24"/>
  <c r="C464" i="24"/>
  <c r="C465" i="24"/>
  <c r="C466" i="24"/>
  <c r="C467" i="24"/>
  <c r="C468" i="24"/>
  <c r="C469" i="24"/>
  <c r="C470" i="24"/>
  <c r="C471" i="24"/>
  <c r="C472" i="24"/>
  <c r="C473" i="24"/>
  <c r="C474" i="24"/>
  <c r="C475" i="24"/>
  <c r="C476" i="24"/>
  <c r="C477" i="24"/>
  <c r="C478" i="24"/>
  <c r="C479" i="24"/>
  <c r="C480" i="24"/>
  <c r="C481" i="24"/>
  <c r="C482" i="24"/>
  <c r="C483" i="24"/>
  <c r="C484" i="24"/>
  <c r="C485" i="24"/>
  <c r="C486" i="24"/>
  <c r="C487" i="24"/>
  <c r="C488" i="24"/>
  <c r="C489" i="24"/>
  <c r="C490" i="24"/>
  <c r="C491" i="24"/>
  <c r="C492" i="24"/>
  <c r="C493" i="24"/>
  <c r="C494" i="24"/>
  <c r="C495" i="24"/>
  <c r="C496" i="24"/>
  <c r="C497" i="24"/>
  <c r="C498" i="24"/>
  <c r="C499" i="24"/>
  <c r="C500" i="24"/>
  <c r="C501" i="24"/>
  <c r="C502" i="24"/>
  <c r="C503" i="24"/>
  <c r="C504" i="24"/>
  <c r="C505" i="24"/>
  <c r="C506" i="24"/>
  <c r="C507" i="24"/>
  <c r="C508" i="24"/>
  <c r="C509" i="24"/>
  <c r="C510" i="24"/>
  <c r="C511" i="24"/>
  <c r="C512" i="24"/>
  <c r="C513" i="24"/>
  <c r="C514" i="24"/>
  <c r="C515" i="24"/>
  <c r="C516" i="24"/>
  <c r="C517" i="24"/>
  <c r="C518" i="24"/>
  <c r="C519" i="24"/>
  <c r="C520" i="24"/>
  <c r="C521" i="24"/>
  <c r="C522" i="24"/>
  <c r="C523" i="24"/>
  <c r="C524" i="24"/>
  <c r="C525" i="24"/>
  <c r="C526" i="24"/>
  <c r="C527" i="24"/>
  <c r="C528" i="24"/>
  <c r="C529" i="24"/>
  <c r="C530" i="24"/>
  <c r="C531" i="24"/>
  <c r="C532" i="24"/>
  <c r="C533" i="24"/>
  <c r="C534" i="24"/>
  <c r="C535" i="24"/>
  <c r="C536" i="24"/>
  <c r="C537" i="24"/>
  <c r="C538" i="24"/>
  <c r="C539" i="24"/>
  <c r="C540" i="24"/>
  <c r="C541" i="24"/>
  <c r="C542" i="24"/>
  <c r="C543" i="24"/>
  <c r="C544" i="24"/>
  <c r="C545" i="24"/>
  <c r="C546" i="24"/>
  <c r="C547" i="24"/>
  <c r="C548" i="24"/>
  <c r="C549" i="24"/>
  <c r="C550" i="24"/>
  <c r="C551" i="24"/>
  <c r="C552" i="24"/>
  <c r="C553" i="24"/>
  <c r="C554" i="24"/>
  <c r="C555" i="24"/>
  <c r="C556" i="24"/>
  <c r="C557" i="24"/>
  <c r="C558" i="24"/>
  <c r="C559" i="24"/>
  <c r="C560" i="24"/>
  <c r="C561" i="24"/>
  <c r="C562" i="24"/>
  <c r="C563" i="24"/>
  <c r="C564" i="24"/>
  <c r="C565" i="24"/>
  <c r="C566" i="24"/>
  <c r="C567" i="24"/>
  <c r="C568" i="24"/>
  <c r="C569" i="24"/>
  <c r="C570" i="24"/>
  <c r="C571" i="24"/>
  <c r="C572" i="24"/>
  <c r="C573" i="24"/>
  <c r="C574" i="24"/>
  <c r="C575" i="24"/>
  <c r="C576" i="24"/>
  <c r="C577" i="24"/>
  <c r="C578" i="24"/>
  <c r="C579" i="24"/>
  <c r="C580" i="24"/>
  <c r="C581" i="24"/>
  <c r="C582" i="24"/>
  <c r="C583" i="24"/>
  <c r="C584" i="24"/>
  <c r="C585" i="24"/>
  <c r="C586" i="24"/>
  <c r="C587" i="24"/>
  <c r="C588" i="24"/>
  <c r="C589" i="24"/>
  <c r="C590" i="24"/>
  <c r="C591" i="24"/>
  <c r="C592" i="24"/>
  <c r="C593" i="24"/>
  <c r="C594" i="24"/>
  <c r="C595" i="24"/>
  <c r="C596" i="24"/>
  <c r="C597" i="24"/>
  <c r="C598" i="24"/>
  <c r="C599" i="24"/>
  <c r="C600" i="24"/>
  <c r="C601" i="24"/>
  <c r="C602" i="24"/>
  <c r="C603" i="24"/>
  <c r="C604" i="24"/>
  <c r="C605" i="24"/>
  <c r="C606" i="24"/>
  <c r="C607" i="24"/>
  <c r="C608" i="24"/>
  <c r="C609" i="24"/>
  <c r="C610" i="24"/>
  <c r="C611" i="24"/>
  <c r="C612" i="24"/>
  <c r="C613" i="24"/>
  <c r="C614" i="24"/>
  <c r="C615" i="24"/>
  <c r="C616" i="24"/>
  <c r="C617" i="24"/>
  <c r="C618" i="24"/>
  <c r="C619" i="24"/>
  <c r="C620" i="24"/>
  <c r="C621" i="24"/>
  <c r="C622" i="24"/>
  <c r="C623" i="24"/>
  <c r="C624" i="24"/>
  <c r="C625" i="24"/>
  <c r="C626" i="24"/>
  <c r="C627" i="24"/>
  <c r="C628" i="24"/>
  <c r="C629" i="24"/>
  <c r="C630" i="24"/>
  <c r="C631" i="24"/>
  <c r="C632" i="24"/>
  <c r="C633" i="24"/>
  <c r="C634" i="24"/>
  <c r="C635" i="24"/>
  <c r="C636" i="24"/>
  <c r="C637" i="24"/>
  <c r="C638" i="24"/>
  <c r="C639" i="24"/>
  <c r="C640" i="24"/>
  <c r="C641" i="24"/>
  <c r="C642" i="24"/>
  <c r="C643" i="24"/>
  <c r="C644" i="24"/>
  <c r="C645" i="24"/>
  <c r="C646" i="24"/>
  <c r="C647" i="24"/>
  <c r="C648" i="24"/>
  <c r="C649" i="24"/>
  <c r="C650" i="24"/>
  <c r="C651" i="24"/>
  <c r="C652" i="24"/>
  <c r="C653" i="24"/>
  <c r="C654" i="24"/>
  <c r="C655" i="24"/>
  <c r="C656" i="24"/>
  <c r="C657" i="24"/>
  <c r="C658" i="24"/>
  <c r="C659" i="24"/>
  <c r="C660" i="24"/>
  <c r="C661" i="24"/>
  <c r="C662" i="24"/>
  <c r="C663" i="24"/>
  <c r="C664" i="24"/>
  <c r="C665" i="24"/>
  <c r="C666" i="24"/>
  <c r="C667" i="24"/>
  <c r="C668" i="24"/>
  <c r="C669" i="24"/>
  <c r="C670" i="24"/>
  <c r="C671" i="24"/>
  <c r="C672" i="24"/>
  <c r="C673" i="24"/>
  <c r="C674" i="24"/>
  <c r="C675" i="24"/>
  <c r="C676" i="24"/>
  <c r="C677" i="24"/>
  <c r="C678" i="24"/>
  <c r="C679" i="24"/>
  <c r="C680" i="24"/>
  <c r="C681" i="24"/>
  <c r="C682" i="24"/>
  <c r="C683" i="24"/>
  <c r="C684" i="24"/>
  <c r="C685" i="24"/>
  <c r="C686" i="24"/>
  <c r="C687" i="24"/>
  <c r="C688" i="24"/>
  <c r="C689" i="24"/>
  <c r="C690" i="24"/>
  <c r="C691" i="24"/>
  <c r="C692" i="24"/>
  <c r="C693" i="24"/>
  <c r="C694" i="24"/>
  <c r="C695" i="24"/>
  <c r="C696" i="24"/>
  <c r="C697" i="24"/>
  <c r="C698" i="24"/>
  <c r="C699" i="24"/>
  <c r="C700" i="24"/>
  <c r="C701" i="24"/>
  <c r="C702" i="24"/>
  <c r="C703" i="24"/>
  <c r="C704" i="24"/>
  <c r="C705" i="24"/>
  <c r="C706" i="24"/>
  <c r="C707" i="24"/>
  <c r="C708" i="24"/>
  <c r="C709" i="24"/>
  <c r="C710" i="24"/>
  <c r="C711" i="24"/>
  <c r="C712" i="24"/>
  <c r="C713" i="24"/>
  <c r="C714" i="24"/>
  <c r="C715" i="24"/>
  <c r="C716" i="24"/>
  <c r="C717" i="24"/>
  <c r="C718" i="24"/>
  <c r="C719" i="24"/>
  <c r="C720" i="24"/>
  <c r="C721" i="24"/>
  <c r="C722" i="24"/>
  <c r="C723" i="24"/>
  <c r="C724" i="24"/>
  <c r="C725" i="24"/>
  <c r="C726" i="24"/>
  <c r="C727" i="24"/>
  <c r="C728" i="24"/>
  <c r="C729" i="24"/>
  <c r="C730" i="24"/>
  <c r="C731" i="24"/>
  <c r="C732" i="24"/>
  <c r="C733" i="24"/>
  <c r="C734" i="24"/>
  <c r="C735" i="24"/>
  <c r="C736" i="24"/>
  <c r="C737" i="24"/>
  <c r="C738" i="24"/>
  <c r="C739" i="24"/>
  <c r="C740" i="24"/>
  <c r="C741" i="24"/>
  <c r="C742" i="24"/>
  <c r="C743" i="24"/>
  <c r="C744" i="24"/>
  <c r="C745" i="24"/>
  <c r="C746" i="24"/>
  <c r="C747" i="24"/>
  <c r="C748" i="24"/>
  <c r="C749" i="24"/>
  <c r="C750" i="24"/>
  <c r="C751" i="24"/>
  <c r="C752" i="24"/>
  <c r="C753" i="24"/>
  <c r="C754" i="24"/>
  <c r="C755" i="24"/>
  <c r="C756" i="24"/>
  <c r="C757" i="24"/>
  <c r="C758" i="24"/>
  <c r="C759" i="24"/>
  <c r="C760" i="24"/>
  <c r="C761" i="24"/>
  <c r="C762" i="24"/>
  <c r="C763" i="24"/>
  <c r="C764" i="24"/>
  <c r="C765" i="24"/>
  <c r="C766" i="24"/>
  <c r="C767" i="24"/>
  <c r="C768" i="24"/>
  <c r="C769" i="24"/>
  <c r="C770" i="24"/>
  <c r="C771" i="24"/>
  <c r="C772" i="24"/>
  <c r="C773" i="24"/>
  <c r="C774" i="24"/>
  <c r="C775" i="24"/>
  <c r="C776" i="24"/>
  <c r="C777" i="24"/>
  <c r="C778" i="24"/>
  <c r="C779" i="24"/>
  <c r="C780" i="24"/>
  <c r="C781" i="24"/>
  <c r="C782" i="24"/>
  <c r="C783" i="24"/>
  <c r="C784" i="24"/>
  <c r="C785" i="24"/>
  <c r="C786" i="24"/>
  <c r="C787" i="24"/>
  <c r="C788" i="24"/>
  <c r="C789" i="24"/>
  <c r="C790" i="24"/>
  <c r="C791" i="24"/>
  <c r="C792" i="24"/>
  <c r="C793" i="24"/>
  <c r="C794" i="24"/>
  <c r="C795" i="24"/>
  <c r="C796" i="24"/>
  <c r="C797" i="24"/>
  <c r="C798" i="24"/>
  <c r="C799" i="24"/>
  <c r="C800" i="24"/>
  <c r="C801" i="24"/>
  <c r="C802" i="24"/>
  <c r="C803" i="24"/>
  <c r="C804" i="24"/>
  <c r="C805" i="24"/>
  <c r="C806" i="24"/>
  <c r="C807" i="24"/>
  <c r="C808" i="24"/>
  <c r="C809" i="24"/>
  <c r="C810" i="24"/>
  <c r="C811" i="24"/>
  <c r="C812" i="24"/>
  <c r="C813" i="24"/>
  <c r="C814" i="24"/>
  <c r="C815" i="24"/>
  <c r="C816" i="24"/>
  <c r="C817" i="24"/>
  <c r="C818" i="24"/>
  <c r="C819" i="24"/>
  <c r="C820" i="24"/>
  <c r="C821" i="24"/>
  <c r="C822" i="24"/>
  <c r="C823" i="24"/>
  <c r="C824" i="24"/>
  <c r="C825" i="24"/>
  <c r="C826" i="24"/>
  <c r="C827" i="24"/>
  <c r="C828" i="24"/>
  <c r="C829" i="24"/>
  <c r="C830" i="24"/>
  <c r="C831" i="24"/>
  <c r="C832" i="24"/>
  <c r="C833" i="24"/>
  <c r="C834" i="24"/>
  <c r="C835" i="24"/>
  <c r="C836" i="24"/>
  <c r="C837" i="24"/>
  <c r="C838" i="24"/>
  <c r="C839" i="24"/>
  <c r="C840" i="24"/>
  <c r="C841" i="24"/>
  <c r="C842" i="24"/>
  <c r="C843" i="24"/>
  <c r="C844" i="24"/>
  <c r="C845" i="24"/>
  <c r="C846" i="24"/>
  <c r="C847" i="24"/>
  <c r="C848" i="24"/>
  <c r="C849" i="24"/>
  <c r="C850" i="24"/>
  <c r="C851" i="24"/>
  <c r="C852" i="24"/>
  <c r="C853" i="24"/>
  <c r="C854" i="24"/>
  <c r="C855" i="24"/>
  <c r="C856" i="24"/>
  <c r="C857" i="24"/>
  <c r="C858" i="24"/>
  <c r="C859" i="24"/>
  <c r="C860" i="24"/>
  <c r="C861" i="24"/>
  <c r="C862" i="24"/>
  <c r="C863" i="24"/>
  <c r="C864" i="24"/>
  <c r="C865" i="24"/>
  <c r="C866" i="24"/>
  <c r="C867" i="24"/>
  <c r="C868" i="24"/>
  <c r="C869" i="24"/>
  <c r="C870" i="24"/>
  <c r="C871" i="24"/>
  <c r="C872" i="24"/>
  <c r="C873" i="24"/>
  <c r="C874" i="24"/>
  <c r="C875" i="24"/>
  <c r="C876" i="24"/>
  <c r="C877" i="24"/>
  <c r="C878" i="24"/>
  <c r="C879" i="24"/>
  <c r="C880" i="24"/>
  <c r="C881" i="24"/>
  <c r="C882" i="24"/>
  <c r="C883" i="24"/>
  <c r="C884" i="24"/>
  <c r="C885" i="24"/>
  <c r="C886" i="24"/>
  <c r="C887" i="24"/>
  <c r="C888" i="24"/>
  <c r="C889" i="24"/>
  <c r="C890" i="24"/>
  <c r="C891" i="24"/>
  <c r="C892" i="24"/>
  <c r="C893" i="24"/>
  <c r="C894" i="24"/>
  <c r="C895" i="24"/>
  <c r="C896" i="24"/>
  <c r="C897" i="24"/>
  <c r="C898" i="24"/>
  <c r="C899" i="24"/>
  <c r="C900" i="24"/>
  <c r="C901" i="24"/>
  <c r="C902" i="24"/>
  <c r="C903" i="24"/>
  <c r="C904" i="24"/>
  <c r="C905" i="24"/>
  <c r="C906" i="24"/>
  <c r="C907" i="24"/>
  <c r="C908" i="24"/>
  <c r="C909" i="24"/>
  <c r="C910" i="24"/>
  <c r="C911" i="24"/>
  <c r="C912" i="24"/>
  <c r="C913" i="24"/>
  <c r="C914" i="24"/>
  <c r="C915" i="24"/>
  <c r="C916" i="24"/>
  <c r="C917" i="24"/>
  <c r="C918" i="24"/>
  <c r="C919" i="24"/>
  <c r="C920" i="24"/>
  <c r="C921" i="24"/>
  <c r="C922" i="24"/>
  <c r="C923" i="24"/>
  <c r="C924" i="24"/>
  <c r="C925" i="24"/>
  <c r="C926" i="24"/>
  <c r="C927" i="24"/>
  <c r="C928" i="24"/>
  <c r="C929" i="24"/>
  <c r="C930" i="24"/>
  <c r="C931" i="24"/>
  <c r="C932" i="24"/>
  <c r="C933" i="24"/>
  <c r="C934" i="24"/>
  <c r="C935" i="24"/>
  <c r="C936" i="24"/>
  <c r="C937" i="24"/>
  <c r="C938" i="24"/>
  <c r="C939" i="24"/>
  <c r="C940" i="24"/>
  <c r="C941" i="24"/>
  <c r="C942" i="24"/>
  <c r="C943" i="24"/>
  <c r="C944" i="24"/>
  <c r="C945" i="24"/>
  <c r="C946" i="24"/>
  <c r="C947" i="24"/>
  <c r="C948" i="24"/>
  <c r="C949" i="24"/>
  <c r="C950" i="24"/>
  <c r="C951" i="24"/>
  <c r="C952" i="24"/>
  <c r="C953" i="24"/>
  <c r="C954" i="24"/>
  <c r="C955" i="24"/>
  <c r="C956" i="24"/>
  <c r="C957" i="24"/>
  <c r="C958" i="24"/>
  <c r="C959" i="24"/>
  <c r="C960" i="24"/>
  <c r="C961" i="24"/>
  <c r="C962" i="24"/>
  <c r="C963" i="24"/>
  <c r="C964" i="24"/>
  <c r="C965" i="24"/>
  <c r="C966" i="24"/>
  <c r="C967" i="24"/>
  <c r="C968" i="24"/>
  <c r="C969" i="24"/>
  <c r="C970" i="24"/>
  <c r="C971" i="24"/>
  <c r="C972" i="24"/>
  <c r="C973" i="24"/>
  <c r="C974" i="24"/>
  <c r="C975" i="24"/>
  <c r="C976" i="24"/>
  <c r="C977" i="24"/>
  <c r="C978" i="24"/>
  <c r="C979" i="24"/>
  <c r="C980" i="24"/>
  <c r="C981" i="24"/>
  <c r="C982" i="24"/>
  <c r="C983" i="24"/>
  <c r="C984" i="24"/>
  <c r="C985" i="24"/>
  <c r="C986" i="24"/>
  <c r="C987" i="24"/>
  <c r="C988" i="24"/>
  <c r="C989" i="24"/>
  <c r="C990" i="24"/>
  <c r="C991" i="24"/>
  <c r="C992" i="24"/>
  <c r="C993" i="24"/>
  <c r="C994" i="24"/>
  <c r="C995" i="24"/>
  <c r="C996" i="24"/>
  <c r="C997" i="24"/>
  <c r="C998" i="24"/>
  <c r="C999" i="24"/>
  <c r="C1000" i="24"/>
  <c r="C1001" i="24"/>
  <c r="C1002" i="24"/>
  <c r="C1003" i="24"/>
  <c r="C1004" i="24"/>
  <c r="C1005" i="24"/>
  <c r="C1006" i="24"/>
  <c r="C1007" i="24"/>
  <c r="C1008" i="24"/>
  <c r="C1009" i="24"/>
  <c r="C1010" i="24"/>
  <c r="C1011" i="24"/>
  <c r="C1012" i="24"/>
  <c r="C1013" i="24"/>
  <c r="C1014" i="24"/>
  <c r="C1015" i="24"/>
  <c r="C1016" i="24"/>
  <c r="C1017" i="24"/>
  <c r="C1018" i="24"/>
  <c r="C1019" i="24"/>
  <c r="C1020" i="24"/>
  <c r="C1021" i="24"/>
  <c r="C1022" i="24"/>
  <c r="C1023" i="24"/>
  <c r="C1024" i="24"/>
  <c r="C1025" i="24"/>
  <c r="C1026" i="24"/>
  <c r="C1027" i="24"/>
  <c r="C1028" i="24"/>
  <c r="C1029" i="24"/>
  <c r="C1030" i="24"/>
  <c r="C1031" i="24"/>
  <c r="C1032" i="24"/>
  <c r="C1033" i="24"/>
  <c r="C1034" i="24"/>
  <c r="C1035" i="24"/>
  <c r="C1036" i="24"/>
  <c r="C1037" i="24"/>
  <c r="C1038" i="24"/>
  <c r="C1039" i="24"/>
  <c r="C1040" i="24"/>
  <c r="C1041" i="24"/>
  <c r="C1042" i="24"/>
  <c r="C1043" i="24"/>
  <c r="C1044" i="24"/>
  <c r="C1045" i="24"/>
  <c r="C1046" i="24"/>
  <c r="C1047" i="24"/>
  <c r="C1048" i="24"/>
  <c r="C1049" i="24"/>
  <c r="C1050" i="24"/>
  <c r="C1051" i="24"/>
  <c r="C1052" i="24"/>
  <c r="C1053" i="24"/>
  <c r="C1054" i="24"/>
  <c r="C1055" i="24"/>
  <c r="C1056" i="24"/>
  <c r="C1057" i="24"/>
  <c r="C1058" i="24"/>
  <c r="C1059" i="24"/>
  <c r="C1060" i="24"/>
  <c r="C1061" i="24"/>
  <c r="C1062" i="24"/>
  <c r="C1063" i="24"/>
  <c r="C1064" i="24"/>
  <c r="C1065" i="24"/>
  <c r="C1066" i="24"/>
  <c r="C1067" i="24"/>
  <c r="C1068" i="24"/>
  <c r="C1069" i="24"/>
  <c r="C1070" i="24"/>
  <c r="C1071" i="24"/>
  <c r="C1072" i="24"/>
  <c r="C1073" i="24"/>
  <c r="C1074" i="24"/>
  <c r="C1075" i="24"/>
  <c r="C1076" i="24"/>
  <c r="C1077" i="24"/>
  <c r="C1078" i="24"/>
  <c r="C1079" i="24"/>
  <c r="C1080" i="24"/>
  <c r="C1081" i="24"/>
  <c r="C1082" i="24"/>
  <c r="C1083" i="24"/>
  <c r="C1084" i="24"/>
  <c r="C1085" i="24"/>
  <c r="C1086" i="24"/>
  <c r="C1087" i="24"/>
  <c r="C1088" i="24"/>
  <c r="C1089" i="24"/>
  <c r="C1090" i="24"/>
  <c r="C1091" i="24"/>
  <c r="C1092" i="24"/>
  <c r="C1093" i="24"/>
  <c r="C1094" i="24"/>
  <c r="C1095" i="24"/>
  <c r="C1096" i="24"/>
  <c r="C1097" i="24"/>
  <c r="C1098" i="24"/>
  <c r="C1099" i="24"/>
  <c r="C1100" i="24"/>
  <c r="C1101" i="24"/>
  <c r="C1102" i="24"/>
  <c r="C1103" i="24"/>
  <c r="C1104" i="24"/>
  <c r="C1105" i="24"/>
  <c r="C1106" i="24"/>
  <c r="C1107" i="24"/>
  <c r="C1108" i="24"/>
  <c r="C1109" i="24"/>
  <c r="C1110" i="24"/>
  <c r="C1111" i="24"/>
  <c r="D2" i="24"/>
  <c r="C2" i="24"/>
  <c r="B2" i="24"/>
  <c r="A1085" i="24"/>
  <c r="A1086" i="24"/>
  <c r="A1087" i="24"/>
  <c r="A1088" i="24"/>
  <c r="A1089" i="24"/>
  <c r="A1090" i="24"/>
  <c r="A1091" i="24"/>
  <c r="A1092" i="24"/>
  <c r="A1093" i="24"/>
  <c r="A1094" i="24"/>
  <c r="A1095" i="24"/>
  <c r="A1096" i="24"/>
  <c r="A1097" i="24"/>
  <c r="A1098" i="24"/>
  <c r="A1099" i="24"/>
  <c r="A1100" i="24"/>
  <c r="A1101" i="24"/>
  <c r="A1102" i="24"/>
  <c r="A1103" i="24"/>
  <c r="A1104" i="24"/>
  <c r="A1105" i="24"/>
  <c r="A1106" i="24"/>
  <c r="A1107" i="24"/>
  <c r="A1108" i="24"/>
  <c r="A1109" i="24"/>
  <c r="A1110" i="24"/>
  <c r="A1111" i="24"/>
  <c r="A3" i="24"/>
  <c r="A4" i="24"/>
  <c r="A5" i="24"/>
  <c r="A6" i="24"/>
  <c r="A7" i="24"/>
  <c r="A8" i="24"/>
  <c r="A9" i="24"/>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109" i="24"/>
  <c r="A110" i="24"/>
  <c r="A111" i="24"/>
  <c r="A112" i="24"/>
  <c r="A113" i="24"/>
  <c r="A114" i="24"/>
  <c r="A115" i="24"/>
  <c r="A116" i="24"/>
  <c r="A117" i="24"/>
  <c r="A118" i="24"/>
  <c r="A119" i="24"/>
  <c r="A120" i="24"/>
  <c r="A121" i="24"/>
  <c r="A122" i="24"/>
  <c r="A123" i="24"/>
  <c r="A124" i="24"/>
  <c r="A125" i="24"/>
  <c r="A126" i="24"/>
  <c r="A127" i="24"/>
  <c r="A128" i="24"/>
  <c r="A129" i="24"/>
  <c r="A130" i="24"/>
  <c r="A131" i="24"/>
  <c r="A132" i="24"/>
  <c r="A133" i="24"/>
  <c r="A134" i="24"/>
  <c r="A135" i="24"/>
  <c r="A136" i="24"/>
  <c r="A137" i="24"/>
  <c r="A138" i="24"/>
  <c r="A139" i="24"/>
  <c r="A140" i="24"/>
  <c r="A141" i="24"/>
  <c r="A142" i="24"/>
  <c r="A143" i="24"/>
  <c r="A144" i="24"/>
  <c r="A145" i="24"/>
  <c r="A146" i="24"/>
  <c r="A147" i="24"/>
  <c r="A148" i="24"/>
  <c r="A149" i="24"/>
  <c r="A150" i="24"/>
  <c r="A151" i="24"/>
  <c r="A152" i="24"/>
  <c r="A153" i="24"/>
  <c r="A154" i="24"/>
  <c r="A155" i="24"/>
  <c r="A156" i="24"/>
  <c r="A157" i="24"/>
  <c r="A158" i="24"/>
  <c r="A159" i="24"/>
  <c r="A160" i="24"/>
  <c r="A161" i="24"/>
  <c r="A162" i="24"/>
  <c r="A163" i="24"/>
  <c r="A164" i="24"/>
  <c r="A165" i="24"/>
  <c r="A166" i="24"/>
  <c r="A167" i="24"/>
  <c r="A168" i="24"/>
  <c r="A169" i="24"/>
  <c r="A170" i="24"/>
  <c r="A171" i="24"/>
  <c r="A172" i="24"/>
  <c r="A173" i="24"/>
  <c r="A174" i="24"/>
  <c r="A175" i="24"/>
  <c r="A176" i="24"/>
  <c r="A177" i="24"/>
  <c r="A178" i="24"/>
  <c r="A179" i="24"/>
  <c r="A180" i="24"/>
  <c r="A181" i="24"/>
  <c r="A182" i="24"/>
  <c r="A183" i="24"/>
  <c r="A184" i="24"/>
  <c r="A185" i="24"/>
  <c r="A186" i="24"/>
  <c r="A187" i="24"/>
  <c r="A188" i="24"/>
  <c r="A189" i="24"/>
  <c r="A190" i="24"/>
  <c r="A191" i="24"/>
  <c r="A192" i="24"/>
  <c r="A193" i="24"/>
  <c r="A194" i="24"/>
  <c r="A195" i="24"/>
  <c r="A196" i="24"/>
  <c r="A197" i="24"/>
  <c r="A198" i="24"/>
  <c r="A199" i="24"/>
  <c r="A200" i="24"/>
  <c r="A201" i="24"/>
  <c r="A202" i="24"/>
  <c r="A203" i="24"/>
  <c r="A204" i="24"/>
  <c r="A205" i="24"/>
  <c r="A206" i="24"/>
  <c r="A207" i="24"/>
  <c r="A208" i="24"/>
  <c r="A209" i="24"/>
  <c r="A210" i="24"/>
  <c r="A211" i="24"/>
  <c r="A212" i="24"/>
  <c r="A213" i="24"/>
  <c r="A214" i="24"/>
  <c r="A215" i="24"/>
  <c r="A216" i="24"/>
  <c r="A217" i="24"/>
  <c r="A218" i="24"/>
  <c r="A219" i="24"/>
  <c r="A220" i="24"/>
  <c r="A221" i="24"/>
  <c r="A222" i="24"/>
  <c r="A223" i="24"/>
  <c r="A224" i="24"/>
  <c r="A225" i="24"/>
  <c r="A226" i="24"/>
  <c r="A227" i="24"/>
  <c r="A228" i="24"/>
  <c r="A229" i="24"/>
  <c r="A230" i="24"/>
  <c r="A231" i="24"/>
  <c r="A232" i="24"/>
  <c r="A233" i="24"/>
  <c r="A234" i="24"/>
  <c r="A235" i="24"/>
  <c r="A236" i="24"/>
  <c r="A237" i="24"/>
  <c r="A238" i="24"/>
  <c r="A239" i="24"/>
  <c r="A240" i="24"/>
  <c r="A241" i="24"/>
  <c r="A242" i="24"/>
  <c r="A243" i="24"/>
  <c r="A244" i="24"/>
  <c r="A245" i="24"/>
  <c r="A246" i="24"/>
  <c r="A247" i="24"/>
  <c r="A248" i="24"/>
  <c r="A249" i="24"/>
  <c r="A250" i="24"/>
  <c r="A251" i="24"/>
  <c r="A252" i="24"/>
  <c r="A253" i="24"/>
  <c r="A254" i="24"/>
  <c r="A255" i="24"/>
  <c r="A256" i="24"/>
  <c r="A257" i="24"/>
  <c r="A258" i="24"/>
  <c r="A259" i="24"/>
  <c r="A260" i="24"/>
  <c r="A261" i="24"/>
  <c r="A262" i="24"/>
  <c r="A263" i="24"/>
  <c r="A264" i="24"/>
  <c r="A265" i="24"/>
  <c r="A266" i="24"/>
  <c r="A267" i="24"/>
  <c r="A268" i="24"/>
  <c r="A269" i="24"/>
  <c r="A270" i="24"/>
  <c r="A271" i="24"/>
  <c r="A272" i="24"/>
  <c r="A273" i="24"/>
  <c r="A274" i="24"/>
  <c r="A275" i="24"/>
  <c r="A276" i="24"/>
  <c r="A277" i="24"/>
  <c r="A278" i="24"/>
  <c r="A279" i="24"/>
  <c r="A280" i="24"/>
  <c r="A281" i="24"/>
  <c r="A282" i="24"/>
  <c r="A283" i="24"/>
  <c r="A284" i="24"/>
  <c r="A285" i="24"/>
  <c r="A286" i="24"/>
  <c r="A287" i="24"/>
  <c r="A288" i="24"/>
  <c r="A289" i="24"/>
  <c r="A290" i="24"/>
  <c r="A291" i="24"/>
  <c r="A292" i="24"/>
  <c r="A293" i="24"/>
  <c r="A294" i="24"/>
  <c r="A295" i="24"/>
  <c r="A296" i="24"/>
  <c r="A297" i="24"/>
  <c r="A298" i="24"/>
  <c r="A299" i="24"/>
  <c r="A300" i="24"/>
  <c r="A301" i="24"/>
  <c r="A302" i="24"/>
  <c r="A303" i="24"/>
  <c r="A304" i="24"/>
  <c r="A305" i="24"/>
  <c r="A306" i="24"/>
  <c r="A307" i="24"/>
  <c r="A308" i="24"/>
  <c r="A309" i="24"/>
  <c r="A310" i="24"/>
  <c r="A311" i="24"/>
  <c r="A312" i="24"/>
  <c r="A313" i="24"/>
  <c r="A314" i="24"/>
  <c r="A315" i="24"/>
  <c r="A316" i="24"/>
  <c r="A317" i="24"/>
  <c r="A318" i="24"/>
  <c r="A319" i="24"/>
  <c r="A320" i="24"/>
  <c r="A321" i="24"/>
  <c r="A322" i="24"/>
  <c r="A323" i="24"/>
  <c r="A324" i="24"/>
  <c r="A325" i="24"/>
  <c r="A326" i="24"/>
  <c r="A327" i="24"/>
  <c r="A328" i="24"/>
  <c r="A329" i="24"/>
  <c r="A330" i="24"/>
  <c r="A331" i="24"/>
  <c r="A332" i="24"/>
  <c r="A333" i="24"/>
  <c r="A334" i="24"/>
  <c r="A335" i="24"/>
  <c r="A336" i="24"/>
  <c r="A337" i="24"/>
  <c r="A338" i="24"/>
  <c r="A339" i="24"/>
  <c r="A340" i="24"/>
  <c r="A341" i="24"/>
  <c r="A342" i="24"/>
  <c r="A343" i="24"/>
  <c r="A344" i="24"/>
  <c r="A345" i="24"/>
  <c r="A346" i="24"/>
  <c r="A347" i="24"/>
  <c r="A348" i="24"/>
  <c r="A349" i="24"/>
  <c r="A350" i="24"/>
  <c r="A351" i="24"/>
  <c r="A352" i="24"/>
  <c r="A353" i="24"/>
  <c r="A354" i="24"/>
  <c r="A355" i="24"/>
  <c r="A356" i="24"/>
  <c r="A357" i="24"/>
  <c r="A358" i="24"/>
  <c r="A359" i="24"/>
  <c r="A360" i="24"/>
  <c r="A361" i="24"/>
  <c r="A362" i="24"/>
  <c r="A363" i="24"/>
  <c r="A364" i="24"/>
  <c r="A365" i="24"/>
  <c r="A366" i="24"/>
  <c r="A367" i="24"/>
  <c r="A368" i="24"/>
  <c r="A369" i="24"/>
  <c r="A370" i="24"/>
  <c r="A371" i="24"/>
  <c r="A372" i="24"/>
  <c r="A373" i="24"/>
  <c r="A374" i="24"/>
  <c r="A375" i="24"/>
  <c r="A376" i="24"/>
  <c r="A377" i="24"/>
  <c r="A378" i="24"/>
  <c r="A379" i="24"/>
  <c r="A380" i="24"/>
  <c r="A381" i="24"/>
  <c r="A382" i="24"/>
  <c r="A383" i="24"/>
  <c r="A384" i="24"/>
  <c r="A385" i="24"/>
  <c r="A386" i="24"/>
  <c r="A387" i="24"/>
  <c r="A388" i="24"/>
  <c r="A389" i="24"/>
  <c r="A390" i="24"/>
  <c r="A391" i="24"/>
  <c r="A392" i="24"/>
  <c r="A393" i="24"/>
  <c r="A394" i="24"/>
  <c r="A395" i="24"/>
  <c r="A396" i="24"/>
  <c r="A397" i="24"/>
  <c r="A398" i="24"/>
  <c r="A399" i="24"/>
  <c r="A400" i="24"/>
  <c r="A401" i="24"/>
  <c r="A402" i="24"/>
  <c r="A403" i="24"/>
  <c r="A404" i="24"/>
  <c r="A405" i="24"/>
  <c r="A406" i="24"/>
  <c r="A407" i="24"/>
  <c r="A408" i="24"/>
  <c r="A409" i="24"/>
  <c r="A410" i="24"/>
  <c r="A411" i="24"/>
  <c r="A412" i="24"/>
  <c r="A413" i="24"/>
  <c r="A414" i="24"/>
  <c r="A415" i="24"/>
  <c r="A416" i="24"/>
  <c r="A417" i="24"/>
  <c r="A418" i="24"/>
  <c r="A419" i="24"/>
  <c r="A420" i="24"/>
  <c r="A421" i="24"/>
  <c r="A422" i="24"/>
  <c r="A423" i="24"/>
  <c r="A424" i="24"/>
  <c r="A425" i="24"/>
  <c r="A426" i="24"/>
  <c r="A427" i="24"/>
  <c r="A428" i="24"/>
  <c r="A429" i="24"/>
  <c r="A430" i="24"/>
  <c r="A431" i="24"/>
  <c r="A432" i="24"/>
  <c r="A433" i="24"/>
  <c r="A434" i="24"/>
  <c r="A435" i="24"/>
  <c r="A436" i="24"/>
  <c r="A437" i="24"/>
  <c r="A438" i="24"/>
  <c r="A439" i="24"/>
  <c r="A440" i="24"/>
  <c r="A441" i="24"/>
  <c r="A442" i="24"/>
  <c r="A443" i="24"/>
  <c r="A444" i="24"/>
  <c r="A445" i="24"/>
  <c r="A446" i="24"/>
  <c r="A447" i="24"/>
  <c r="A448" i="24"/>
  <c r="A449" i="24"/>
  <c r="A450" i="24"/>
  <c r="A451" i="24"/>
  <c r="A452" i="24"/>
  <c r="A453" i="24"/>
  <c r="A454" i="24"/>
  <c r="A455" i="24"/>
  <c r="A456" i="24"/>
  <c r="A457" i="24"/>
  <c r="A458" i="24"/>
  <c r="A459" i="24"/>
  <c r="A460" i="24"/>
  <c r="A461" i="24"/>
  <c r="A462" i="24"/>
  <c r="A463" i="24"/>
  <c r="A464" i="24"/>
  <c r="A465" i="24"/>
  <c r="A466" i="24"/>
  <c r="A467" i="24"/>
  <c r="A468" i="24"/>
  <c r="A469" i="24"/>
  <c r="A470" i="24"/>
  <c r="A471" i="24"/>
  <c r="A472" i="24"/>
  <c r="A473" i="24"/>
  <c r="A474" i="24"/>
  <c r="A475" i="24"/>
  <c r="A476" i="24"/>
  <c r="A477" i="24"/>
  <c r="A478" i="24"/>
  <c r="A479" i="24"/>
  <c r="A480" i="24"/>
  <c r="A481" i="24"/>
  <c r="A482" i="24"/>
  <c r="A483" i="24"/>
  <c r="A484" i="24"/>
  <c r="A485" i="24"/>
  <c r="A486" i="24"/>
  <c r="A487" i="24"/>
  <c r="A488" i="24"/>
  <c r="A489" i="24"/>
  <c r="A490" i="24"/>
  <c r="A491" i="24"/>
  <c r="A492" i="24"/>
  <c r="A493" i="24"/>
  <c r="A494" i="24"/>
  <c r="A495" i="24"/>
  <c r="A496" i="24"/>
  <c r="A497" i="24"/>
  <c r="A498" i="24"/>
  <c r="A499" i="24"/>
  <c r="A500" i="24"/>
  <c r="A501" i="24"/>
  <c r="A502" i="24"/>
  <c r="A503" i="24"/>
  <c r="A504" i="24"/>
  <c r="A505" i="24"/>
  <c r="A506" i="24"/>
  <c r="A507" i="24"/>
  <c r="A508" i="24"/>
  <c r="A509" i="24"/>
  <c r="A510" i="24"/>
  <c r="A511" i="24"/>
  <c r="A512" i="24"/>
  <c r="A513" i="24"/>
  <c r="A514" i="24"/>
  <c r="A515" i="24"/>
  <c r="A516" i="24"/>
  <c r="A517" i="24"/>
  <c r="A518" i="24"/>
  <c r="A519" i="24"/>
  <c r="A520" i="24"/>
  <c r="A521" i="24"/>
  <c r="A522" i="24"/>
  <c r="A523" i="24"/>
  <c r="A524" i="24"/>
  <c r="A525" i="24"/>
  <c r="A526" i="24"/>
  <c r="A527" i="24"/>
  <c r="A528" i="24"/>
  <c r="A529" i="24"/>
  <c r="A530" i="24"/>
  <c r="A531" i="24"/>
  <c r="A532" i="24"/>
  <c r="A533" i="24"/>
  <c r="A534" i="24"/>
  <c r="A535" i="24"/>
  <c r="A536" i="24"/>
  <c r="A537" i="24"/>
  <c r="A538" i="24"/>
  <c r="A539" i="24"/>
  <c r="A540" i="24"/>
  <c r="A541" i="24"/>
  <c r="A542" i="24"/>
  <c r="A543" i="24"/>
  <c r="A544" i="24"/>
  <c r="A545" i="24"/>
  <c r="A546" i="24"/>
  <c r="A547" i="24"/>
  <c r="A548" i="24"/>
  <c r="A549" i="24"/>
  <c r="A550" i="24"/>
  <c r="A551" i="24"/>
  <c r="A552" i="24"/>
  <c r="A553" i="24"/>
  <c r="A554" i="24"/>
  <c r="A555" i="24"/>
  <c r="A556" i="24"/>
  <c r="A557" i="24"/>
  <c r="A558" i="24"/>
  <c r="A559" i="24"/>
  <c r="A560" i="24"/>
  <c r="A561" i="24"/>
  <c r="A562" i="24"/>
  <c r="A563" i="24"/>
  <c r="A564" i="24"/>
  <c r="A565" i="24"/>
  <c r="A566" i="24"/>
  <c r="A567" i="24"/>
  <c r="A568" i="24"/>
  <c r="A569" i="24"/>
  <c r="A570" i="24"/>
  <c r="A571" i="24"/>
  <c r="A572" i="24"/>
  <c r="A573" i="24"/>
  <c r="A574" i="24"/>
  <c r="A575" i="24"/>
  <c r="A576" i="24"/>
  <c r="A577" i="24"/>
  <c r="A578" i="24"/>
  <c r="A579" i="24"/>
  <c r="A580" i="24"/>
  <c r="A581" i="24"/>
  <c r="A582" i="24"/>
  <c r="A583" i="24"/>
  <c r="A584" i="24"/>
  <c r="A585" i="24"/>
  <c r="A586" i="24"/>
  <c r="A587" i="24"/>
  <c r="A588" i="24"/>
  <c r="A589" i="24"/>
  <c r="A590" i="24"/>
  <c r="A591" i="24"/>
  <c r="A592" i="24"/>
  <c r="A593" i="24"/>
  <c r="A594" i="24"/>
  <c r="A595" i="24"/>
  <c r="A596" i="24"/>
  <c r="A597" i="24"/>
  <c r="A598" i="24"/>
  <c r="A599" i="24"/>
  <c r="A600" i="24"/>
  <c r="A601" i="24"/>
  <c r="A602" i="24"/>
  <c r="A603" i="24"/>
  <c r="A604" i="24"/>
  <c r="A605" i="24"/>
  <c r="A606" i="24"/>
  <c r="A607" i="24"/>
  <c r="A608" i="24"/>
  <c r="A609" i="24"/>
  <c r="A610" i="24"/>
  <c r="A611" i="24"/>
  <c r="A612" i="24"/>
  <c r="A613" i="24"/>
  <c r="A614" i="24"/>
  <c r="A615" i="24"/>
  <c r="A616" i="24"/>
  <c r="A617" i="24"/>
  <c r="A618" i="24"/>
  <c r="A619" i="24"/>
  <c r="A620" i="24"/>
  <c r="A621" i="24"/>
  <c r="A622" i="24"/>
  <c r="A623" i="24"/>
  <c r="A624" i="24"/>
  <c r="A625" i="24"/>
  <c r="A626" i="24"/>
  <c r="A627" i="24"/>
  <c r="A628" i="24"/>
  <c r="A629" i="24"/>
  <c r="A630" i="24"/>
  <c r="A631" i="24"/>
  <c r="A632" i="24"/>
  <c r="A633" i="24"/>
  <c r="A634" i="24"/>
  <c r="A635" i="24"/>
  <c r="A636" i="24"/>
  <c r="A637" i="24"/>
  <c r="A638" i="24"/>
  <c r="A639" i="24"/>
  <c r="A640" i="24"/>
  <c r="A641" i="24"/>
  <c r="A642" i="24"/>
  <c r="A643" i="24"/>
  <c r="A644" i="24"/>
  <c r="A645" i="24"/>
  <c r="A646" i="24"/>
  <c r="A647" i="24"/>
  <c r="A648" i="24"/>
  <c r="A649" i="24"/>
  <c r="A650" i="24"/>
  <c r="A651" i="24"/>
  <c r="A652" i="24"/>
  <c r="A653" i="24"/>
  <c r="A654" i="24"/>
  <c r="A655" i="24"/>
  <c r="A656" i="24"/>
  <c r="A657" i="24"/>
  <c r="A658" i="24"/>
  <c r="A659" i="24"/>
  <c r="A660" i="24"/>
  <c r="A661" i="24"/>
  <c r="A662" i="24"/>
  <c r="A663" i="24"/>
  <c r="A664" i="24"/>
  <c r="A665" i="24"/>
  <c r="A666" i="24"/>
  <c r="A667" i="24"/>
  <c r="A668" i="24"/>
  <c r="A669" i="24"/>
  <c r="A670" i="24"/>
  <c r="A671" i="24"/>
  <c r="A672" i="24"/>
  <c r="A673" i="24"/>
  <c r="A674" i="24"/>
  <c r="A675" i="24"/>
  <c r="A676" i="24"/>
  <c r="A677" i="24"/>
  <c r="A678" i="24"/>
  <c r="A679" i="24"/>
  <c r="A680" i="24"/>
  <c r="A681" i="24"/>
  <c r="A682" i="24"/>
  <c r="A683" i="24"/>
  <c r="A684" i="24"/>
  <c r="A685" i="24"/>
  <c r="A686" i="24"/>
  <c r="A687" i="24"/>
  <c r="A688" i="24"/>
  <c r="A689" i="24"/>
  <c r="A690" i="24"/>
  <c r="A691" i="24"/>
  <c r="A692" i="24"/>
  <c r="A693" i="24"/>
  <c r="A694" i="24"/>
  <c r="A695" i="24"/>
  <c r="A696" i="24"/>
  <c r="A697" i="24"/>
  <c r="A698" i="24"/>
  <c r="A699" i="24"/>
  <c r="A700" i="24"/>
  <c r="A701" i="24"/>
  <c r="A702" i="24"/>
  <c r="A703" i="24"/>
  <c r="A704" i="24"/>
  <c r="A705" i="24"/>
  <c r="A706" i="24"/>
  <c r="A707" i="24"/>
  <c r="A708" i="24"/>
  <c r="A709" i="24"/>
  <c r="A710" i="24"/>
  <c r="A711" i="24"/>
  <c r="A712" i="24"/>
  <c r="A713" i="24"/>
  <c r="A714" i="24"/>
  <c r="A715" i="24"/>
  <c r="A716" i="24"/>
  <c r="A717" i="24"/>
  <c r="A718" i="24"/>
  <c r="A719" i="24"/>
  <c r="A720" i="24"/>
  <c r="A721" i="24"/>
  <c r="A722" i="24"/>
  <c r="A723" i="24"/>
  <c r="A724" i="24"/>
  <c r="A725" i="24"/>
  <c r="A726" i="24"/>
  <c r="A727" i="24"/>
  <c r="A728" i="24"/>
  <c r="A729" i="24"/>
  <c r="A730" i="24"/>
  <c r="A731" i="24"/>
  <c r="A732" i="24"/>
  <c r="A733" i="24"/>
  <c r="A734" i="24"/>
  <c r="A735" i="24"/>
  <c r="A736" i="24"/>
  <c r="A737" i="24"/>
  <c r="A738" i="24"/>
  <c r="A739" i="24"/>
  <c r="A740" i="24"/>
  <c r="A741" i="24"/>
  <c r="A742" i="24"/>
  <c r="A743" i="24"/>
  <c r="A744" i="24"/>
  <c r="A745" i="24"/>
  <c r="A746" i="24"/>
  <c r="A747" i="24"/>
  <c r="A748" i="24"/>
  <c r="A749" i="24"/>
  <c r="A750" i="24"/>
  <c r="A751" i="24"/>
  <c r="A752" i="24"/>
  <c r="A753" i="24"/>
  <c r="A754" i="24"/>
  <c r="A755" i="24"/>
  <c r="A756" i="24"/>
  <c r="A757" i="24"/>
  <c r="A758" i="24"/>
  <c r="A759" i="24"/>
  <c r="A760" i="24"/>
  <c r="A761" i="24"/>
  <c r="A762" i="24"/>
  <c r="A763" i="24"/>
  <c r="A764" i="24"/>
  <c r="A765" i="24"/>
  <c r="A766" i="24"/>
  <c r="A767" i="24"/>
  <c r="A768" i="24"/>
  <c r="A769" i="24"/>
  <c r="A770" i="24"/>
  <c r="A771" i="24"/>
  <c r="A772" i="24"/>
  <c r="A773" i="24"/>
  <c r="A774" i="24"/>
  <c r="A775" i="24"/>
  <c r="A776" i="24"/>
  <c r="A777" i="24"/>
  <c r="A778" i="24"/>
  <c r="A779" i="24"/>
  <c r="A780" i="24"/>
  <c r="A781" i="24"/>
  <c r="A782" i="24"/>
  <c r="A783" i="24"/>
  <c r="A784" i="24"/>
  <c r="A785" i="24"/>
  <c r="A786" i="24"/>
  <c r="A787" i="24"/>
  <c r="A788" i="24"/>
  <c r="A789" i="24"/>
  <c r="A790" i="24"/>
  <c r="A791" i="24"/>
  <c r="A792" i="24"/>
  <c r="A793" i="24"/>
  <c r="A794" i="24"/>
  <c r="A795" i="24"/>
  <c r="A796" i="24"/>
  <c r="A797" i="24"/>
  <c r="A798" i="24"/>
  <c r="A799" i="24"/>
  <c r="A800" i="24"/>
  <c r="A801" i="24"/>
  <c r="A802" i="24"/>
  <c r="A803" i="24"/>
  <c r="A804" i="24"/>
  <c r="A805" i="24"/>
  <c r="A806" i="24"/>
  <c r="A807" i="24"/>
  <c r="A808" i="24"/>
  <c r="A809" i="24"/>
  <c r="A810" i="24"/>
  <c r="A811" i="24"/>
  <c r="A812" i="24"/>
  <c r="A813" i="24"/>
  <c r="A814" i="24"/>
  <c r="A815" i="24"/>
  <c r="A816" i="24"/>
  <c r="A817" i="24"/>
  <c r="A818" i="24"/>
  <c r="A819" i="24"/>
  <c r="A820" i="24"/>
  <c r="A821" i="24"/>
  <c r="A822" i="24"/>
  <c r="A823" i="24"/>
  <c r="A824" i="24"/>
  <c r="A825" i="24"/>
  <c r="A826" i="24"/>
  <c r="A827" i="24"/>
  <c r="A828" i="24"/>
  <c r="A829" i="24"/>
  <c r="A830" i="24"/>
  <c r="A831" i="24"/>
  <c r="A832" i="24"/>
  <c r="A833" i="24"/>
  <c r="A834" i="24"/>
  <c r="A835" i="24"/>
  <c r="A836" i="24"/>
  <c r="A837" i="24"/>
  <c r="A838" i="24"/>
  <c r="A839" i="24"/>
  <c r="A840" i="24"/>
  <c r="A841" i="24"/>
  <c r="A842" i="24"/>
  <c r="A843" i="24"/>
  <c r="A844" i="24"/>
  <c r="A845" i="24"/>
  <c r="A846" i="24"/>
  <c r="A847" i="24"/>
  <c r="A848" i="24"/>
  <c r="A849" i="24"/>
  <c r="A850" i="24"/>
  <c r="A851" i="24"/>
  <c r="A852" i="24"/>
  <c r="A853" i="24"/>
  <c r="A854" i="24"/>
  <c r="A855" i="24"/>
  <c r="A856" i="24"/>
  <c r="A857" i="24"/>
  <c r="A858" i="24"/>
  <c r="A859" i="24"/>
  <c r="A860" i="24"/>
  <c r="A861" i="24"/>
  <c r="A862" i="24"/>
  <c r="A863" i="24"/>
  <c r="A864" i="24"/>
  <c r="A865" i="24"/>
  <c r="A866" i="24"/>
  <c r="A867" i="24"/>
  <c r="A868" i="24"/>
  <c r="A869" i="24"/>
  <c r="A870" i="24"/>
  <c r="A871" i="24"/>
  <c r="A872" i="24"/>
  <c r="A873" i="24"/>
  <c r="A874" i="24"/>
  <c r="A875" i="24"/>
  <c r="A876" i="24"/>
  <c r="A877" i="24"/>
  <c r="A878" i="24"/>
  <c r="A879" i="24"/>
  <c r="A880" i="24"/>
  <c r="A881" i="24"/>
  <c r="A882" i="24"/>
  <c r="A883" i="24"/>
  <c r="A884" i="24"/>
  <c r="A885" i="24"/>
  <c r="A886" i="24"/>
  <c r="A887" i="24"/>
  <c r="A888" i="24"/>
  <c r="A889" i="24"/>
  <c r="A890" i="24"/>
  <c r="A891" i="24"/>
  <c r="A892" i="24"/>
  <c r="A893" i="24"/>
  <c r="A894" i="24"/>
  <c r="A895" i="24"/>
  <c r="A896" i="24"/>
  <c r="A897" i="24"/>
  <c r="A898" i="24"/>
  <c r="A899" i="24"/>
  <c r="A900" i="24"/>
  <c r="A901" i="24"/>
  <c r="A902" i="24"/>
  <c r="A903" i="24"/>
  <c r="A904" i="24"/>
  <c r="A905" i="24"/>
  <c r="A906" i="24"/>
  <c r="A907" i="24"/>
  <c r="A908" i="24"/>
  <c r="A909" i="24"/>
  <c r="A910" i="24"/>
  <c r="A911" i="24"/>
  <c r="A912" i="24"/>
  <c r="A913" i="24"/>
  <c r="A914" i="24"/>
  <c r="A915" i="24"/>
  <c r="A916" i="24"/>
  <c r="A917" i="24"/>
  <c r="A918" i="24"/>
  <c r="A919" i="24"/>
  <c r="A920" i="24"/>
  <c r="A921" i="24"/>
  <c r="A922" i="24"/>
  <c r="A923" i="24"/>
  <c r="A924" i="24"/>
  <c r="A925" i="24"/>
  <c r="A926" i="24"/>
  <c r="A927" i="24"/>
  <c r="A928" i="24"/>
  <c r="A929" i="24"/>
  <c r="A930" i="24"/>
  <c r="A931" i="24"/>
  <c r="A932" i="24"/>
  <c r="A933" i="24"/>
  <c r="A934" i="24"/>
  <c r="A935" i="24"/>
  <c r="A936" i="24"/>
  <c r="A937" i="24"/>
  <c r="A938" i="24"/>
  <c r="A939" i="24"/>
  <c r="A940" i="24"/>
  <c r="A941" i="24"/>
  <c r="A942" i="24"/>
  <c r="A943" i="24"/>
  <c r="A944" i="24"/>
  <c r="A945" i="24"/>
  <c r="A946" i="24"/>
  <c r="A947" i="24"/>
  <c r="A948" i="24"/>
  <c r="A949" i="24"/>
  <c r="A950" i="24"/>
  <c r="A951" i="24"/>
  <c r="A952" i="24"/>
  <c r="A953" i="24"/>
  <c r="A954" i="24"/>
  <c r="A955" i="24"/>
  <c r="A956" i="24"/>
  <c r="A957" i="24"/>
  <c r="A958" i="24"/>
  <c r="A959" i="24"/>
  <c r="A960" i="24"/>
  <c r="A961" i="24"/>
  <c r="A962" i="24"/>
  <c r="A963" i="24"/>
  <c r="A964" i="24"/>
  <c r="A965" i="24"/>
  <c r="A966" i="24"/>
  <c r="A967" i="24"/>
  <c r="A968" i="24"/>
  <c r="A969" i="24"/>
  <c r="A970" i="24"/>
  <c r="A971" i="24"/>
  <c r="A972" i="24"/>
  <c r="A973" i="24"/>
  <c r="A974" i="24"/>
  <c r="A975" i="24"/>
  <c r="A976" i="24"/>
  <c r="A977" i="24"/>
  <c r="A978" i="24"/>
  <c r="A979" i="24"/>
  <c r="A980" i="24"/>
  <c r="A981" i="24"/>
  <c r="A982" i="24"/>
  <c r="A983" i="24"/>
  <c r="A984" i="24"/>
  <c r="A985" i="24"/>
  <c r="A986" i="24"/>
  <c r="A987" i="24"/>
  <c r="A988" i="24"/>
  <c r="A989" i="24"/>
  <c r="A990" i="24"/>
  <c r="A991" i="24"/>
  <c r="A992" i="24"/>
  <c r="A993" i="24"/>
  <c r="A994" i="24"/>
  <c r="A995" i="24"/>
  <c r="A996" i="24"/>
  <c r="A997" i="24"/>
  <c r="A998" i="24"/>
  <c r="A999" i="24"/>
  <c r="A1000" i="24"/>
  <c r="A1001" i="24"/>
  <c r="A1002" i="24"/>
  <c r="A1003" i="24"/>
  <c r="A1004" i="24"/>
  <c r="A1005" i="24"/>
  <c r="A1006" i="24"/>
  <c r="A1007" i="24"/>
  <c r="A1008" i="24"/>
  <c r="A1009" i="24"/>
  <c r="A1010" i="24"/>
  <c r="A1011" i="24"/>
  <c r="A1012" i="24"/>
  <c r="A1013" i="24"/>
  <c r="A1014" i="24"/>
  <c r="A1015" i="24"/>
  <c r="A1016" i="24"/>
  <c r="A1017" i="24"/>
  <c r="A1018" i="24"/>
  <c r="A1019" i="24"/>
  <c r="A1020" i="24"/>
  <c r="A1021" i="24"/>
  <c r="A1022" i="24"/>
  <c r="A1023" i="24"/>
  <c r="A1024" i="24"/>
  <c r="A1025" i="24"/>
  <c r="A1026" i="24"/>
  <c r="A1027" i="24"/>
  <c r="A1028" i="24"/>
  <c r="A1029" i="24"/>
  <c r="A1030" i="24"/>
  <c r="A1031" i="24"/>
  <c r="A1032" i="24"/>
  <c r="A1033" i="24"/>
  <c r="A1034" i="24"/>
  <c r="A1035" i="24"/>
  <c r="A1036" i="24"/>
  <c r="A1037" i="24"/>
  <c r="A1038" i="24"/>
  <c r="A1039" i="24"/>
  <c r="A1040" i="24"/>
  <c r="A1041" i="24"/>
  <c r="A1042" i="24"/>
  <c r="A1043" i="24"/>
  <c r="A1044" i="24"/>
  <c r="A1045" i="24"/>
  <c r="A1046" i="24"/>
  <c r="A1047" i="24"/>
  <c r="A1048" i="24"/>
  <c r="A1049" i="24"/>
  <c r="A1050" i="24"/>
  <c r="A1051" i="24"/>
  <c r="A1052" i="24"/>
  <c r="A1053" i="24"/>
  <c r="A1054" i="24"/>
  <c r="A1055" i="24"/>
  <c r="A1056" i="24"/>
  <c r="A1057" i="24"/>
  <c r="A1058" i="24"/>
  <c r="A1059" i="24"/>
  <c r="A1060" i="24"/>
  <c r="A1061" i="24"/>
  <c r="A1062" i="24"/>
  <c r="A1063" i="24"/>
  <c r="A1064" i="24"/>
  <c r="A1065" i="24"/>
  <c r="A1066" i="24"/>
  <c r="A1067" i="24"/>
  <c r="A1068" i="24"/>
  <c r="A1069" i="24"/>
  <c r="A1070" i="24"/>
  <c r="A1071" i="24"/>
  <c r="A1072" i="24"/>
  <c r="A1073" i="24"/>
  <c r="A1074" i="24"/>
  <c r="A1075" i="24"/>
  <c r="A1076" i="24"/>
  <c r="A1077" i="24"/>
  <c r="A1078" i="24"/>
  <c r="A1079" i="24"/>
  <c r="A1080" i="24"/>
  <c r="A1081" i="24"/>
  <c r="A1082" i="24"/>
  <c r="A1083" i="24"/>
  <c r="A1084" i="24"/>
  <c r="A2" i="24"/>
  <c r="I462" i="30"/>
  <c r="I325" i="45"/>
  <c r="I541" i="32"/>
  <c r="I540" i="32"/>
  <c r="I352" i="32"/>
  <c r="I508" i="32"/>
  <c r="I378" i="32"/>
  <c r="I130" i="32"/>
  <c r="I318" i="32"/>
  <c r="I421" i="32"/>
  <c r="I321" i="32"/>
  <c r="I247" i="32"/>
  <c r="I12" i="32"/>
  <c r="I37" i="32"/>
  <c r="I380" i="32"/>
  <c r="I88" i="32"/>
  <c r="I278" i="32"/>
  <c r="I517" i="32"/>
  <c r="I245" i="32"/>
  <c r="I213" i="32"/>
  <c r="I328" i="32"/>
  <c r="I391" i="32"/>
  <c r="I431" i="32"/>
  <c r="I319" i="32"/>
  <c r="I195" i="32"/>
  <c r="I135" i="32"/>
  <c r="I322" i="32"/>
  <c r="I208" i="32"/>
  <c r="I303" i="32"/>
  <c r="I428" i="32"/>
  <c r="I4" i="32"/>
  <c r="I477" i="32"/>
  <c r="I530" i="32"/>
  <c r="I63" i="32"/>
  <c r="I23" i="32"/>
  <c r="I53" i="32"/>
  <c r="I102" i="32"/>
  <c r="I107" i="32"/>
  <c r="I262" i="32"/>
  <c r="I235" i="32"/>
  <c r="I506" i="32"/>
  <c r="I120" i="32"/>
  <c r="I272" i="32"/>
  <c r="I67" i="32"/>
  <c r="I199" i="32"/>
  <c r="I459" i="32"/>
  <c r="I72" i="32"/>
  <c r="I236" i="32"/>
  <c r="I2" i="32"/>
  <c r="I57" i="32"/>
  <c r="I414" i="32"/>
  <c r="I305" i="32"/>
  <c r="I251" i="32"/>
  <c r="I244" i="32"/>
  <c r="I280" i="32"/>
  <c r="I99" i="32"/>
  <c r="G363" i="7"/>
  <c r="I112" i="32"/>
  <c r="I202" i="30"/>
  <c r="I254" i="30"/>
  <c r="I394" i="30"/>
  <c r="I367" i="30"/>
  <c r="I33" i="30"/>
  <c r="I49" i="30"/>
  <c r="I59" i="30"/>
  <c r="I388" i="30"/>
  <c r="I222" i="30"/>
  <c r="I255" i="45"/>
  <c r="I259" i="45"/>
  <c r="I282" i="45"/>
  <c r="I288" i="45"/>
  <c r="I286" i="45"/>
  <c r="I315" i="45"/>
  <c r="I232" i="45"/>
  <c r="I61" i="45"/>
  <c r="I126" i="32"/>
  <c r="I116" i="32"/>
  <c r="I295" i="32"/>
  <c r="I308" i="32"/>
  <c r="I390" i="32"/>
  <c r="I22" i="32"/>
  <c r="I51" i="32"/>
  <c r="I344" i="32"/>
  <c r="I480" i="32"/>
  <c r="I472" i="32"/>
  <c r="I64" i="32"/>
  <c r="I523" i="32"/>
  <c r="I362" i="32"/>
  <c r="I181" i="32"/>
  <c r="I207" i="32"/>
  <c r="I497" i="32"/>
  <c r="I293" i="32"/>
  <c r="I538" i="32"/>
  <c r="I136" i="32"/>
  <c r="I518" i="32"/>
  <c r="I397" i="32"/>
  <c r="I105" i="32"/>
  <c r="I433" i="32"/>
  <c r="I338" i="32"/>
  <c r="I75" i="32"/>
  <c r="I401" i="32"/>
  <c r="I127" i="32"/>
  <c r="I276" i="32"/>
  <c r="I221" i="32"/>
  <c r="I341" i="32"/>
  <c r="I180" i="32"/>
  <c r="I392" i="32"/>
  <c r="I141" i="32"/>
  <c r="I277" i="32"/>
  <c r="I473" i="32"/>
  <c r="I3" i="32"/>
  <c r="I234" i="32"/>
  <c r="I89" i="32"/>
  <c r="I282" i="32"/>
  <c r="I454" i="32"/>
  <c r="I68" i="32"/>
  <c r="I296" i="32"/>
  <c r="I427" i="32"/>
  <c r="I36" i="32"/>
  <c r="I485" i="32"/>
  <c r="I496" i="32"/>
  <c r="I222" i="32"/>
  <c r="I210" i="32"/>
  <c r="I139" i="32"/>
  <c r="I60" i="32"/>
  <c r="I313" i="32"/>
  <c r="I124" i="32"/>
  <c r="I290" i="32"/>
  <c r="I52" i="32"/>
  <c r="I214" i="32"/>
  <c r="I331" i="32"/>
  <c r="I357" i="32"/>
  <c r="I520" i="32"/>
  <c r="I190" i="32"/>
  <c r="I474" i="32"/>
  <c r="I10" i="32"/>
  <c r="I329" i="32"/>
  <c r="I183" i="32"/>
  <c r="I526" i="32"/>
  <c r="I187" i="32"/>
  <c r="I125" i="32"/>
  <c r="I275" i="32"/>
  <c r="I475" i="32"/>
  <c r="I339" i="32"/>
  <c r="I529" i="32"/>
  <c r="I243" i="32"/>
  <c r="I458" i="32"/>
  <c r="I445" i="32"/>
  <c r="I398" i="32"/>
  <c r="I501" i="32"/>
  <c r="I209" i="32"/>
  <c r="I155" i="32"/>
  <c r="I178" i="32"/>
  <c r="I312" i="32"/>
  <c r="I460" i="32"/>
  <c r="I241" i="32"/>
  <c r="I335" i="32"/>
  <c r="I110" i="32"/>
  <c r="I111" i="32"/>
  <c r="I196" i="32"/>
  <c r="I94" i="32"/>
  <c r="I167" i="32"/>
  <c r="I407" i="32"/>
  <c r="I151" i="32"/>
  <c r="I228" i="32"/>
  <c r="I76" i="32"/>
  <c r="I509" i="32"/>
  <c r="I432" i="32"/>
  <c r="I527" i="32"/>
  <c r="I108" i="32"/>
  <c r="I536" i="32"/>
  <c r="I436" i="32"/>
  <c r="I177" i="32"/>
  <c r="I405" i="32"/>
  <c r="I438" i="32"/>
  <c r="I25" i="32"/>
  <c r="I441" i="32"/>
  <c r="I415" i="32"/>
  <c r="I268" i="32"/>
  <c r="I80" i="32"/>
  <c r="I395" i="32"/>
  <c r="I500" i="32"/>
  <c r="I42" i="32"/>
  <c r="I478" i="32"/>
  <c r="I346" i="32"/>
  <c r="I453" i="32"/>
  <c r="I117" i="32"/>
  <c r="I95" i="32"/>
  <c r="I184" i="32"/>
  <c r="I522" i="32"/>
  <c r="I35" i="32"/>
  <c r="I45" i="32"/>
  <c r="I461" i="32"/>
  <c r="I149" i="32"/>
  <c r="I96" i="32"/>
  <c r="I281" i="32"/>
  <c r="I157" i="32"/>
  <c r="I168" i="32"/>
  <c r="I330" i="32"/>
  <c r="I306" i="32"/>
  <c r="I113" i="32"/>
  <c r="I24" i="32"/>
  <c r="I264" i="32"/>
  <c r="I32" i="32"/>
  <c r="I240" i="32"/>
  <c r="I166" i="32"/>
  <c r="I204" i="32"/>
  <c r="I456" i="32"/>
  <c r="I342" i="32"/>
  <c r="I229" i="32"/>
  <c r="I332" i="32"/>
  <c r="I212" i="32"/>
  <c r="I118" i="32"/>
  <c r="I302" i="32"/>
  <c r="I17" i="32"/>
  <c r="I462" i="32"/>
  <c r="I371" i="32"/>
  <c r="I284" i="32"/>
  <c r="I246" i="32"/>
  <c r="I175" i="32"/>
  <c r="I402" i="32"/>
  <c r="I442" i="32"/>
  <c r="I252" i="32"/>
  <c r="I408" i="32"/>
  <c r="I285" i="32"/>
  <c r="I424" i="32"/>
  <c r="I350" i="32"/>
  <c r="I507" i="32"/>
  <c r="I464" i="32"/>
  <c r="I115" i="32"/>
  <c r="I218" i="32"/>
  <c r="I106" i="32"/>
  <c r="I299" i="32"/>
  <c r="I258" i="32"/>
  <c r="I325" i="32"/>
  <c r="I301" i="32"/>
  <c r="I386" i="32"/>
  <c r="I61" i="32"/>
  <c r="I323" i="32"/>
  <c r="I525" i="32"/>
  <c r="I69" i="32"/>
  <c r="I437" i="32"/>
  <c r="I238" i="32"/>
  <c r="I368" i="32"/>
  <c r="I26" i="32"/>
  <c r="I29" i="32"/>
  <c r="I20" i="32"/>
  <c r="I409" i="32"/>
  <c r="I382" i="32"/>
  <c r="I430" i="32"/>
  <c r="I531" i="32"/>
  <c r="I447" i="32"/>
  <c r="I265" i="32"/>
  <c r="I98" i="32"/>
  <c r="I481" i="32"/>
  <c r="I384" i="32"/>
  <c r="I173" i="32"/>
  <c r="I9" i="32"/>
  <c r="I74" i="32"/>
  <c r="I150" i="32"/>
  <c r="I242" i="32"/>
  <c r="I404" i="32"/>
  <c r="I416" i="32"/>
  <c r="I27" i="32"/>
  <c r="I134" i="32"/>
  <c r="I259" i="32"/>
  <c r="I261" i="32"/>
  <c r="I358" i="32"/>
  <c r="I383" i="32"/>
  <c r="I100" i="32"/>
  <c r="I314" i="32"/>
  <c r="I519" i="32"/>
  <c r="I283" i="32"/>
  <c r="I90" i="32"/>
  <c r="I511" i="32"/>
  <c r="I239" i="32"/>
  <c r="I334" i="32"/>
  <c r="I266" i="32"/>
  <c r="I171" i="32"/>
  <c r="I279" i="32"/>
  <c r="I315" i="32"/>
  <c r="I451" i="32"/>
  <c r="I491" i="32"/>
  <c r="I8" i="32"/>
  <c r="I84" i="32"/>
  <c r="I310" i="32"/>
  <c r="I379" i="32"/>
  <c r="I300" i="32"/>
  <c r="I450" i="32"/>
  <c r="I16" i="32"/>
  <c r="I422" i="32"/>
  <c r="I423" i="32"/>
  <c r="I19" i="32"/>
  <c r="I6" i="32"/>
  <c r="I514" i="32"/>
  <c r="I30" i="32"/>
  <c r="I101" i="32"/>
  <c r="I132" i="32"/>
  <c r="I326" i="32"/>
  <c r="I73" i="32"/>
  <c r="I160" i="32"/>
  <c r="I455" i="32"/>
  <c r="I13" i="32"/>
  <c r="I504" i="32"/>
  <c r="I524" i="32"/>
  <c r="I189" i="32"/>
  <c r="I448" i="32"/>
  <c r="I489" i="32"/>
  <c r="I158" i="32"/>
  <c r="I82" i="32"/>
  <c r="I420" i="32"/>
  <c r="I465" i="32"/>
  <c r="I297" i="32"/>
  <c r="I104" i="32"/>
  <c r="I161" i="32"/>
  <c r="I62" i="32"/>
  <c r="I443" i="32"/>
  <c r="I85" i="32"/>
  <c r="I70" i="32"/>
  <c r="I471" i="32"/>
  <c r="I502" i="32"/>
  <c r="I413" i="32"/>
  <c r="I521" i="32"/>
  <c r="I440" i="32"/>
  <c r="I467" i="32"/>
  <c r="I417" i="32"/>
  <c r="I488" i="32"/>
  <c r="I365" i="32"/>
  <c r="I463" i="32"/>
  <c r="I426" i="32"/>
  <c r="I317" i="32"/>
  <c r="I449" i="32"/>
  <c r="I147" i="32"/>
  <c r="I388" i="32"/>
  <c r="I34" i="32"/>
  <c r="I288" i="32"/>
  <c r="I273" i="32"/>
  <c r="I535" i="32"/>
  <c r="I354" i="32"/>
  <c r="I515" i="32"/>
  <c r="I93" i="32"/>
  <c r="I351" i="32"/>
  <c r="I227" i="32"/>
  <c r="I452" i="32"/>
  <c r="I15" i="32"/>
  <c r="I123" i="32"/>
  <c r="I355" i="32"/>
  <c r="I193" i="32"/>
  <c r="I260" i="32"/>
  <c r="I324" i="32"/>
  <c r="I186" i="32"/>
  <c r="I192" i="32"/>
  <c r="I248" i="32"/>
  <c r="I133" i="32"/>
  <c r="I201" i="32"/>
  <c r="I237" i="32"/>
  <c r="I87" i="32"/>
  <c r="I54" i="32"/>
  <c r="I505" i="32"/>
  <c r="I92" i="32"/>
  <c r="I233" i="32"/>
  <c r="I172" i="32"/>
  <c r="I503" i="32"/>
  <c r="I224" i="32"/>
  <c r="I50" i="32"/>
  <c r="I444" i="32"/>
  <c r="I216" i="32"/>
  <c r="I286" i="32"/>
  <c r="I316" i="32"/>
  <c r="I43" i="32"/>
  <c r="I39" i="32"/>
  <c r="I86" i="32"/>
  <c r="I148" i="32"/>
  <c r="I231" i="32"/>
  <c r="I71" i="32"/>
  <c r="I393" i="32"/>
  <c r="I230" i="32"/>
  <c r="I291" i="32"/>
  <c r="I182" i="32"/>
  <c r="I343" i="32"/>
  <c r="I369" i="32"/>
  <c r="I114" i="32"/>
  <c r="I174" i="32"/>
  <c r="I389" i="32"/>
  <c r="I304" i="32"/>
  <c r="I476" i="32"/>
  <c r="I203" i="32"/>
  <c r="I466" i="32"/>
  <c r="I533" i="32"/>
  <c r="I188" i="32"/>
  <c r="I311" i="32"/>
  <c r="I138" i="32"/>
  <c r="I490" i="32"/>
  <c r="I59" i="32"/>
  <c r="I232" i="32"/>
  <c r="I498" i="32"/>
  <c r="I479" i="32"/>
  <c r="I170" i="32"/>
  <c r="I7" i="32"/>
  <c r="I403" i="32"/>
  <c r="I211" i="32"/>
  <c r="I256" i="32"/>
  <c r="I356" i="32"/>
  <c r="I38" i="32"/>
  <c r="I270" i="32"/>
  <c r="I83" i="32"/>
  <c r="I91" i="32"/>
  <c r="I137" i="32"/>
  <c r="I58" i="32"/>
  <c r="I376" i="32"/>
  <c r="I385" i="32"/>
  <c r="I513" i="32"/>
  <c r="I345" i="32"/>
  <c r="I412" i="32"/>
  <c r="I289" i="32"/>
  <c r="I360" i="32"/>
  <c r="I336" i="32"/>
  <c r="I439" i="32"/>
  <c r="I144" i="32"/>
  <c r="I77" i="32"/>
  <c r="I202" i="32"/>
  <c r="I153" i="32"/>
  <c r="I400" i="32"/>
  <c r="I249" i="32"/>
  <c r="I33" i="32"/>
  <c r="I347" i="32"/>
  <c r="I482" i="32"/>
  <c r="I223" i="32"/>
  <c r="I353" i="32"/>
  <c r="I81" i="32"/>
  <c r="I484" i="32"/>
  <c r="I381" i="32"/>
  <c r="I287" i="32"/>
  <c r="I165" i="32"/>
  <c r="I142" i="32"/>
  <c r="I396" i="32"/>
  <c r="I372" i="32"/>
  <c r="I159" i="32"/>
  <c r="I215" i="32"/>
  <c r="I119" i="32"/>
  <c r="I494" i="32"/>
  <c r="I271" i="32"/>
  <c r="I47" i="32"/>
  <c r="I359" i="32"/>
  <c r="I109" i="32"/>
  <c r="I537" i="32"/>
  <c r="I226" i="32"/>
  <c r="I294" i="32"/>
  <c r="I539" i="32"/>
  <c r="I349" i="32"/>
  <c r="I5" i="32"/>
  <c r="I510" i="32"/>
  <c r="I370" i="32"/>
  <c r="I516" i="32"/>
  <c r="I11" i="32"/>
  <c r="I364" i="32"/>
  <c r="I267" i="32"/>
  <c r="I79" i="32"/>
  <c r="I191" i="32"/>
  <c r="I55" i="32"/>
  <c r="I185" i="32"/>
  <c r="I164" i="32"/>
  <c r="I140" i="32"/>
  <c r="I263" i="32"/>
  <c r="I528" i="32"/>
  <c r="I49" i="32"/>
  <c r="I145" i="32"/>
  <c r="I483" i="32"/>
  <c r="I14" i="32"/>
  <c r="I333" i="32"/>
  <c r="I254" i="32"/>
  <c r="I122" i="32"/>
  <c r="I250" i="32"/>
  <c r="I56" i="32"/>
  <c r="I340" i="32"/>
  <c r="I65" i="32"/>
  <c r="I429" i="32"/>
  <c r="I499" i="32"/>
  <c r="I131" i="32"/>
  <c r="I327" i="32"/>
  <c r="I103" i="32"/>
  <c r="I97" i="32"/>
  <c r="I348" i="32"/>
  <c r="I307" i="32"/>
  <c r="I128" i="32"/>
  <c r="I197" i="32"/>
  <c r="G59" i="7"/>
  <c r="G165" i="7"/>
  <c r="G409" i="7"/>
  <c r="G115" i="7"/>
  <c r="G133" i="7"/>
  <c r="G169" i="7"/>
  <c r="K349" i="7"/>
  <c r="G349" i="7"/>
  <c r="I63" i="30"/>
  <c r="I8" i="30"/>
  <c r="I252" i="30"/>
  <c r="I421" i="30"/>
  <c r="I163" i="30"/>
  <c r="I419" i="30"/>
  <c r="I178" i="30"/>
  <c r="I321" i="45"/>
  <c r="I275" i="45"/>
  <c r="I95" i="45"/>
  <c r="I290" i="45"/>
  <c r="I120" i="45"/>
  <c r="O213" i="4"/>
  <c r="N213" i="4"/>
  <c r="M213" i="4"/>
  <c r="L213" i="4"/>
  <c r="K213" i="4"/>
  <c r="J213" i="4"/>
  <c r="I213" i="4"/>
  <c r="F213" i="4"/>
  <c r="E213" i="4" s="1"/>
  <c r="B213" i="4"/>
  <c r="V213" i="4" s="1"/>
  <c r="O210" i="4"/>
  <c r="N210" i="4"/>
  <c r="M210" i="4"/>
  <c r="L210" i="4"/>
  <c r="K210" i="4"/>
  <c r="J210" i="4"/>
  <c r="I210" i="4"/>
  <c r="F210" i="4"/>
  <c r="E210" i="4" s="1"/>
  <c r="B210" i="4"/>
  <c r="V210" i="4" s="1"/>
  <c r="O212" i="4"/>
  <c r="N212" i="4"/>
  <c r="M212" i="4"/>
  <c r="L212" i="4"/>
  <c r="K212" i="4"/>
  <c r="J212" i="4"/>
  <c r="I212" i="4"/>
  <c r="F212" i="4"/>
  <c r="E212" i="4" s="1"/>
  <c r="B212" i="4"/>
  <c r="D212" i="4" s="1"/>
  <c r="O211" i="4"/>
  <c r="N211" i="4"/>
  <c r="M211" i="4"/>
  <c r="L211" i="4"/>
  <c r="K211" i="4"/>
  <c r="J211" i="4"/>
  <c r="I211" i="4"/>
  <c r="F211" i="4"/>
  <c r="E211" i="4" s="1"/>
  <c r="B211" i="4"/>
  <c r="O209" i="4"/>
  <c r="N209" i="4"/>
  <c r="M209" i="4"/>
  <c r="L209" i="4"/>
  <c r="K209" i="4"/>
  <c r="J209" i="4"/>
  <c r="I209" i="4"/>
  <c r="F209" i="4"/>
  <c r="E209" i="4" s="1"/>
  <c r="B209" i="4"/>
  <c r="V209" i="4" s="1"/>
  <c r="O203" i="4"/>
  <c r="N203" i="4"/>
  <c r="M203" i="4"/>
  <c r="L203" i="4"/>
  <c r="K203" i="4"/>
  <c r="J203" i="4"/>
  <c r="I203" i="4"/>
  <c r="F203" i="4"/>
  <c r="E203" i="4" s="1"/>
  <c r="B203" i="4"/>
  <c r="V203" i="4" s="1"/>
  <c r="O207" i="4"/>
  <c r="N207" i="4"/>
  <c r="M207" i="4"/>
  <c r="L207" i="4"/>
  <c r="K207" i="4"/>
  <c r="J207" i="4"/>
  <c r="I207" i="4"/>
  <c r="F207" i="4"/>
  <c r="E207" i="4" s="1"/>
  <c r="B207" i="4"/>
  <c r="D207" i="4" s="1"/>
  <c r="O205" i="4"/>
  <c r="N205" i="4"/>
  <c r="M205" i="4"/>
  <c r="L205" i="4"/>
  <c r="K205" i="4"/>
  <c r="J205" i="4"/>
  <c r="I205" i="4"/>
  <c r="F205" i="4"/>
  <c r="E205" i="4" s="1"/>
  <c r="B205" i="4"/>
  <c r="D205" i="4" s="1"/>
  <c r="O208" i="4"/>
  <c r="N208" i="4"/>
  <c r="M208" i="4"/>
  <c r="L208" i="4"/>
  <c r="K208" i="4"/>
  <c r="J208" i="4"/>
  <c r="I208" i="4"/>
  <c r="F208" i="4"/>
  <c r="E208" i="4" s="1"/>
  <c r="B208" i="4"/>
  <c r="V208" i="4" s="1"/>
  <c r="O202" i="4"/>
  <c r="N202" i="4"/>
  <c r="M202" i="4"/>
  <c r="L202" i="4"/>
  <c r="K202" i="4"/>
  <c r="J202" i="4"/>
  <c r="I202" i="4"/>
  <c r="F202" i="4"/>
  <c r="E202" i="4" s="1"/>
  <c r="B202" i="4"/>
  <c r="D202" i="4" s="1"/>
  <c r="O206" i="4"/>
  <c r="N206" i="4"/>
  <c r="M206" i="4"/>
  <c r="L206" i="4"/>
  <c r="K206" i="4"/>
  <c r="J206" i="4"/>
  <c r="I206" i="4"/>
  <c r="F206" i="4"/>
  <c r="E206" i="4" s="1"/>
  <c r="B206" i="4"/>
  <c r="D206" i="4" s="1"/>
  <c r="O204" i="4"/>
  <c r="N204" i="4"/>
  <c r="M204" i="4"/>
  <c r="L204" i="4"/>
  <c r="K204" i="4"/>
  <c r="J204" i="4"/>
  <c r="I204" i="4"/>
  <c r="F204" i="4"/>
  <c r="E204" i="4" s="1"/>
  <c r="B204" i="4"/>
  <c r="D204" i="4" s="1"/>
  <c r="O201" i="4"/>
  <c r="N201" i="4"/>
  <c r="M201" i="4"/>
  <c r="L201" i="4"/>
  <c r="K201" i="4"/>
  <c r="J201" i="4"/>
  <c r="I201" i="4"/>
  <c r="F201" i="4"/>
  <c r="E201" i="4" s="1"/>
  <c r="B201" i="4"/>
  <c r="D201" i="4" s="1"/>
  <c r="O197" i="4"/>
  <c r="N197" i="4"/>
  <c r="M197" i="4"/>
  <c r="L197" i="4"/>
  <c r="K197" i="4"/>
  <c r="J197" i="4"/>
  <c r="I197" i="4"/>
  <c r="F197" i="4"/>
  <c r="E197" i="4" s="1"/>
  <c r="B197" i="4"/>
  <c r="O200" i="4"/>
  <c r="N200" i="4"/>
  <c r="M200" i="4"/>
  <c r="L200" i="4"/>
  <c r="K200" i="4"/>
  <c r="J200" i="4"/>
  <c r="I200" i="4"/>
  <c r="F200" i="4"/>
  <c r="E200" i="4" s="1"/>
  <c r="B200" i="4"/>
  <c r="V200" i="4" s="1"/>
  <c r="O199" i="4"/>
  <c r="N199" i="4"/>
  <c r="M199" i="4"/>
  <c r="L199" i="4"/>
  <c r="K199" i="4"/>
  <c r="J199" i="4"/>
  <c r="I199" i="4"/>
  <c r="F199" i="4"/>
  <c r="E199" i="4" s="1"/>
  <c r="B199" i="4"/>
  <c r="V199" i="4" s="1"/>
  <c r="O196" i="4"/>
  <c r="N196" i="4"/>
  <c r="M196" i="4"/>
  <c r="L196" i="4"/>
  <c r="K196" i="4"/>
  <c r="J196" i="4"/>
  <c r="I196" i="4"/>
  <c r="F196" i="4"/>
  <c r="E196" i="4" s="1"/>
  <c r="B196" i="4"/>
  <c r="V196" i="4" s="1"/>
  <c r="O198" i="4"/>
  <c r="N198" i="4"/>
  <c r="M198" i="4"/>
  <c r="L198" i="4"/>
  <c r="K198" i="4"/>
  <c r="J198" i="4"/>
  <c r="I198" i="4"/>
  <c r="F198" i="4"/>
  <c r="E198" i="4" s="1"/>
  <c r="B198" i="4"/>
  <c r="O195" i="4"/>
  <c r="N195" i="4"/>
  <c r="M195" i="4"/>
  <c r="L195" i="4"/>
  <c r="K195" i="4"/>
  <c r="J195" i="4"/>
  <c r="I195" i="4"/>
  <c r="F195" i="4"/>
  <c r="E195" i="4" s="1"/>
  <c r="B195" i="4"/>
  <c r="V195" i="4" s="1"/>
  <c r="O194" i="4"/>
  <c r="N194" i="4"/>
  <c r="M194" i="4"/>
  <c r="L194" i="4"/>
  <c r="K194" i="4"/>
  <c r="J194" i="4"/>
  <c r="I194" i="4"/>
  <c r="F194" i="4"/>
  <c r="E194" i="4" s="1"/>
  <c r="B194" i="4"/>
  <c r="O192" i="4"/>
  <c r="N192" i="4"/>
  <c r="M192" i="4"/>
  <c r="L192" i="4"/>
  <c r="K192" i="4"/>
  <c r="J192" i="4"/>
  <c r="I192" i="4"/>
  <c r="F192" i="4"/>
  <c r="E192" i="4" s="1"/>
  <c r="B192" i="4"/>
  <c r="O193" i="4"/>
  <c r="N193" i="4"/>
  <c r="M193" i="4"/>
  <c r="L193" i="4"/>
  <c r="K193" i="4"/>
  <c r="J193" i="4"/>
  <c r="I193" i="4"/>
  <c r="F193" i="4"/>
  <c r="E193" i="4" s="1"/>
  <c r="B193" i="4"/>
  <c r="O191" i="4"/>
  <c r="N191" i="4"/>
  <c r="M191" i="4"/>
  <c r="L191" i="4"/>
  <c r="K191" i="4"/>
  <c r="J191" i="4"/>
  <c r="I191" i="4"/>
  <c r="F191" i="4"/>
  <c r="E191" i="4" s="1"/>
  <c r="B191" i="4"/>
  <c r="O189" i="4"/>
  <c r="N189" i="4"/>
  <c r="M189" i="4"/>
  <c r="L189" i="4"/>
  <c r="K189" i="4"/>
  <c r="J189" i="4"/>
  <c r="I189" i="4"/>
  <c r="F189" i="4"/>
  <c r="E189" i="4" s="1"/>
  <c r="B189" i="4"/>
  <c r="O190" i="4"/>
  <c r="N190" i="4"/>
  <c r="M190" i="4"/>
  <c r="L190" i="4"/>
  <c r="K190" i="4"/>
  <c r="J190" i="4"/>
  <c r="I190" i="4"/>
  <c r="F190" i="4"/>
  <c r="E190" i="4" s="1"/>
  <c r="B190" i="4"/>
  <c r="O186" i="4"/>
  <c r="N186" i="4"/>
  <c r="M186" i="4"/>
  <c r="L186" i="4"/>
  <c r="K186" i="4"/>
  <c r="J186" i="4"/>
  <c r="I186" i="4"/>
  <c r="F186" i="4"/>
  <c r="E186" i="4" s="1"/>
  <c r="B186" i="4"/>
  <c r="O188" i="4"/>
  <c r="N188" i="4"/>
  <c r="M188" i="4"/>
  <c r="L188" i="4"/>
  <c r="K188" i="4"/>
  <c r="J188" i="4"/>
  <c r="I188" i="4"/>
  <c r="F188" i="4"/>
  <c r="E188" i="4" s="1"/>
  <c r="B188" i="4"/>
  <c r="O185" i="4"/>
  <c r="N185" i="4"/>
  <c r="M185" i="4"/>
  <c r="L185" i="4"/>
  <c r="K185" i="4"/>
  <c r="J185" i="4"/>
  <c r="I185" i="4"/>
  <c r="F185" i="4"/>
  <c r="E185" i="4" s="1"/>
  <c r="B185" i="4"/>
  <c r="O187" i="4"/>
  <c r="N187" i="4"/>
  <c r="M187" i="4"/>
  <c r="L187" i="4"/>
  <c r="K187" i="4"/>
  <c r="J187" i="4"/>
  <c r="I187" i="4"/>
  <c r="F187" i="4"/>
  <c r="E187" i="4" s="1"/>
  <c r="B187" i="4"/>
  <c r="O184" i="4"/>
  <c r="N184" i="4"/>
  <c r="M184" i="4"/>
  <c r="L184" i="4"/>
  <c r="K184" i="4"/>
  <c r="J184" i="4"/>
  <c r="I184" i="4"/>
  <c r="F184" i="4"/>
  <c r="E184" i="4" s="1"/>
  <c r="B184" i="4"/>
  <c r="O180" i="4"/>
  <c r="N180" i="4"/>
  <c r="M180" i="4"/>
  <c r="L180" i="4"/>
  <c r="K180" i="4"/>
  <c r="J180" i="4"/>
  <c r="I180" i="4"/>
  <c r="F180" i="4"/>
  <c r="E180" i="4" s="1"/>
  <c r="B180" i="4"/>
  <c r="O178" i="4"/>
  <c r="N178" i="4"/>
  <c r="M178" i="4"/>
  <c r="L178" i="4"/>
  <c r="K178" i="4"/>
  <c r="J178" i="4"/>
  <c r="I178" i="4"/>
  <c r="F178" i="4"/>
  <c r="E178" i="4" s="1"/>
  <c r="B178" i="4"/>
  <c r="O182" i="4"/>
  <c r="N182" i="4"/>
  <c r="M182" i="4"/>
  <c r="L182" i="4"/>
  <c r="K182" i="4"/>
  <c r="J182" i="4"/>
  <c r="I182" i="4"/>
  <c r="F182" i="4"/>
  <c r="E182" i="4" s="1"/>
  <c r="B182" i="4"/>
  <c r="O183" i="4"/>
  <c r="N183" i="4"/>
  <c r="M183" i="4"/>
  <c r="L183" i="4"/>
  <c r="K183" i="4"/>
  <c r="J183" i="4"/>
  <c r="I183" i="4"/>
  <c r="F183" i="4"/>
  <c r="E183" i="4" s="1"/>
  <c r="B183" i="4"/>
  <c r="V183" i="4" s="1"/>
  <c r="O181" i="4"/>
  <c r="N181" i="4"/>
  <c r="M181" i="4"/>
  <c r="L181" i="4"/>
  <c r="K181" i="4"/>
  <c r="J181" i="4"/>
  <c r="I181" i="4"/>
  <c r="F181" i="4"/>
  <c r="E181" i="4" s="1"/>
  <c r="B181" i="4"/>
  <c r="O179" i="4"/>
  <c r="N179" i="4"/>
  <c r="M179" i="4"/>
  <c r="L179" i="4"/>
  <c r="K179" i="4"/>
  <c r="J179" i="4"/>
  <c r="I179" i="4"/>
  <c r="F179" i="4"/>
  <c r="E179" i="4" s="1"/>
  <c r="B179" i="4"/>
  <c r="D179" i="4" s="1"/>
  <c r="O176" i="4"/>
  <c r="N176" i="4"/>
  <c r="M176" i="4"/>
  <c r="L176" i="4"/>
  <c r="K176" i="4"/>
  <c r="J176" i="4"/>
  <c r="I176" i="4"/>
  <c r="F176" i="4"/>
  <c r="E176" i="4" s="1"/>
  <c r="B176" i="4"/>
  <c r="O177" i="4"/>
  <c r="N177" i="4"/>
  <c r="M177" i="4"/>
  <c r="L177" i="4"/>
  <c r="K177" i="4"/>
  <c r="J177" i="4"/>
  <c r="I177" i="4"/>
  <c r="F177" i="4"/>
  <c r="E177" i="4" s="1"/>
  <c r="B177" i="4"/>
  <c r="O171" i="4"/>
  <c r="N171" i="4"/>
  <c r="M171" i="4"/>
  <c r="L171" i="4"/>
  <c r="K171" i="4"/>
  <c r="J171" i="4"/>
  <c r="I171" i="4"/>
  <c r="F171" i="4"/>
  <c r="E171" i="4" s="1"/>
  <c r="B171" i="4"/>
  <c r="O174" i="4"/>
  <c r="N174" i="4"/>
  <c r="M174" i="4"/>
  <c r="L174" i="4"/>
  <c r="K174" i="4"/>
  <c r="J174" i="4"/>
  <c r="I174" i="4"/>
  <c r="F174" i="4"/>
  <c r="E174" i="4" s="1"/>
  <c r="B174" i="4"/>
  <c r="O173" i="4"/>
  <c r="N173" i="4"/>
  <c r="M173" i="4"/>
  <c r="L173" i="4"/>
  <c r="K173" i="4"/>
  <c r="J173" i="4"/>
  <c r="I173" i="4"/>
  <c r="F173" i="4"/>
  <c r="E173" i="4" s="1"/>
  <c r="B173" i="4"/>
  <c r="O175" i="4"/>
  <c r="N175" i="4"/>
  <c r="M175" i="4"/>
  <c r="L175" i="4"/>
  <c r="K175" i="4"/>
  <c r="J175" i="4"/>
  <c r="I175" i="4"/>
  <c r="F175" i="4"/>
  <c r="E175" i="4" s="1"/>
  <c r="B175" i="4"/>
  <c r="O172" i="4"/>
  <c r="N172" i="4"/>
  <c r="M172" i="4"/>
  <c r="L172" i="4"/>
  <c r="K172" i="4"/>
  <c r="J172" i="4"/>
  <c r="I172" i="4"/>
  <c r="F172" i="4"/>
  <c r="E172" i="4" s="1"/>
  <c r="B172" i="4"/>
  <c r="V172" i="4" s="1"/>
  <c r="O169" i="4"/>
  <c r="N169" i="4"/>
  <c r="M169" i="4"/>
  <c r="L169" i="4"/>
  <c r="K169" i="4"/>
  <c r="J169" i="4"/>
  <c r="I169" i="4"/>
  <c r="F169" i="4"/>
  <c r="E169" i="4" s="1"/>
  <c r="B169" i="4"/>
  <c r="D169" i="4" s="1"/>
  <c r="O170" i="4"/>
  <c r="N170" i="4"/>
  <c r="M170" i="4"/>
  <c r="L170" i="4"/>
  <c r="K170" i="4"/>
  <c r="J170" i="4"/>
  <c r="I170" i="4"/>
  <c r="F170" i="4"/>
  <c r="E170" i="4" s="1"/>
  <c r="B170" i="4"/>
  <c r="V170" i="4" s="1"/>
  <c r="O167" i="4"/>
  <c r="N167" i="4"/>
  <c r="M167" i="4"/>
  <c r="L167" i="4"/>
  <c r="K167" i="4"/>
  <c r="J167" i="4"/>
  <c r="I167" i="4"/>
  <c r="F167" i="4"/>
  <c r="E167" i="4" s="1"/>
  <c r="B167" i="4"/>
  <c r="D167" i="4" s="1"/>
  <c r="O164" i="4"/>
  <c r="N164" i="4"/>
  <c r="M164" i="4"/>
  <c r="L164" i="4"/>
  <c r="K164" i="4"/>
  <c r="J164" i="4"/>
  <c r="I164" i="4"/>
  <c r="F164" i="4"/>
  <c r="E164" i="4" s="1"/>
  <c r="B164" i="4"/>
  <c r="O165" i="4"/>
  <c r="N165" i="4"/>
  <c r="M165" i="4"/>
  <c r="L165" i="4"/>
  <c r="K165" i="4"/>
  <c r="J165" i="4"/>
  <c r="I165" i="4"/>
  <c r="F165" i="4"/>
  <c r="E165" i="4" s="1"/>
  <c r="B165" i="4"/>
  <c r="V165" i="4" s="1"/>
  <c r="O168" i="4"/>
  <c r="N168" i="4"/>
  <c r="M168" i="4"/>
  <c r="L168" i="4"/>
  <c r="K168" i="4"/>
  <c r="J168" i="4"/>
  <c r="I168" i="4"/>
  <c r="F168" i="4"/>
  <c r="E168" i="4" s="1"/>
  <c r="B168" i="4"/>
  <c r="O166" i="4"/>
  <c r="N166" i="4"/>
  <c r="M166" i="4"/>
  <c r="L166" i="4"/>
  <c r="K166" i="4"/>
  <c r="J166" i="4"/>
  <c r="I166" i="4"/>
  <c r="F166" i="4"/>
  <c r="E166" i="4" s="1"/>
  <c r="B166" i="4"/>
  <c r="V166" i="4" s="1"/>
  <c r="O162" i="4"/>
  <c r="N162" i="4"/>
  <c r="M162" i="4"/>
  <c r="L162" i="4"/>
  <c r="K162" i="4"/>
  <c r="J162" i="4"/>
  <c r="I162" i="4"/>
  <c r="F162" i="4"/>
  <c r="E162" i="4" s="1"/>
  <c r="B162" i="4"/>
  <c r="D162" i="4" s="1"/>
  <c r="O163" i="4"/>
  <c r="N163" i="4"/>
  <c r="M163" i="4"/>
  <c r="L163" i="4"/>
  <c r="K163" i="4"/>
  <c r="J163" i="4"/>
  <c r="I163" i="4"/>
  <c r="F163" i="4"/>
  <c r="E163" i="4" s="1"/>
  <c r="B163" i="4"/>
  <c r="O159" i="4"/>
  <c r="N159" i="4"/>
  <c r="M159" i="4"/>
  <c r="L159" i="4"/>
  <c r="K159" i="4"/>
  <c r="J159" i="4"/>
  <c r="I159" i="4"/>
  <c r="F159" i="4"/>
  <c r="E159" i="4" s="1"/>
  <c r="B159" i="4"/>
  <c r="O156" i="4"/>
  <c r="N156" i="4"/>
  <c r="M156" i="4"/>
  <c r="L156" i="4"/>
  <c r="K156" i="4"/>
  <c r="J156" i="4"/>
  <c r="I156" i="4"/>
  <c r="F156" i="4"/>
  <c r="E156" i="4" s="1"/>
  <c r="B156" i="4"/>
  <c r="V156" i="4" s="1"/>
  <c r="O161" i="4"/>
  <c r="N161" i="4"/>
  <c r="M161" i="4"/>
  <c r="L161" i="4"/>
  <c r="K161" i="4"/>
  <c r="J161" i="4"/>
  <c r="I161" i="4"/>
  <c r="F161" i="4"/>
  <c r="E161" i="4" s="1"/>
  <c r="B161" i="4"/>
  <c r="D161" i="4" s="1"/>
  <c r="O158" i="4"/>
  <c r="N158" i="4"/>
  <c r="M158" i="4"/>
  <c r="L158" i="4"/>
  <c r="K158" i="4"/>
  <c r="J158" i="4"/>
  <c r="I158" i="4"/>
  <c r="F158" i="4"/>
  <c r="E158" i="4" s="1"/>
  <c r="B158" i="4"/>
  <c r="O160" i="4"/>
  <c r="N160" i="4"/>
  <c r="M160" i="4"/>
  <c r="L160" i="4"/>
  <c r="K160" i="4"/>
  <c r="J160" i="4"/>
  <c r="I160" i="4"/>
  <c r="F160" i="4"/>
  <c r="E160" i="4" s="1"/>
  <c r="B160" i="4"/>
  <c r="O157" i="4"/>
  <c r="N157" i="4"/>
  <c r="M157" i="4"/>
  <c r="L157" i="4"/>
  <c r="K157" i="4"/>
  <c r="J157" i="4"/>
  <c r="I157" i="4"/>
  <c r="F157" i="4"/>
  <c r="E157" i="4" s="1"/>
  <c r="B157" i="4"/>
  <c r="D157" i="4" s="1"/>
  <c r="O152" i="4"/>
  <c r="N152" i="4"/>
  <c r="M152" i="4"/>
  <c r="L152" i="4"/>
  <c r="K152" i="4"/>
  <c r="J152" i="4"/>
  <c r="I152" i="4"/>
  <c r="F152" i="4"/>
  <c r="E152" i="4" s="1"/>
  <c r="B152" i="4"/>
  <c r="V152" i="4" s="1"/>
  <c r="O149" i="4"/>
  <c r="N149" i="4"/>
  <c r="M149" i="4"/>
  <c r="L149" i="4"/>
  <c r="K149" i="4"/>
  <c r="J149" i="4"/>
  <c r="I149" i="4"/>
  <c r="F149" i="4"/>
  <c r="E149" i="4" s="1"/>
  <c r="B149" i="4"/>
  <c r="V149" i="4" s="1"/>
  <c r="O153" i="4"/>
  <c r="N153" i="4"/>
  <c r="M153" i="4"/>
  <c r="L153" i="4"/>
  <c r="K153" i="4"/>
  <c r="J153" i="4"/>
  <c r="I153" i="4"/>
  <c r="F153" i="4"/>
  <c r="E153" i="4" s="1"/>
  <c r="B153" i="4"/>
  <c r="V153" i="4" s="1"/>
  <c r="O154" i="4"/>
  <c r="N154" i="4"/>
  <c r="M154" i="4"/>
  <c r="L154" i="4"/>
  <c r="K154" i="4"/>
  <c r="J154" i="4"/>
  <c r="I154" i="4"/>
  <c r="F154" i="4"/>
  <c r="E154" i="4" s="1"/>
  <c r="B154" i="4"/>
  <c r="D154" i="4" s="1"/>
  <c r="O151" i="4"/>
  <c r="N151" i="4"/>
  <c r="M151" i="4"/>
  <c r="L151" i="4"/>
  <c r="K151" i="4"/>
  <c r="J151" i="4"/>
  <c r="I151" i="4"/>
  <c r="F151" i="4"/>
  <c r="E151" i="4" s="1"/>
  <c r="B151" i="4"/>
  <c r="V151" i="4" s="1"/>
  <c r="O150" i="4"/>
  <c r="N150" i="4"/>
  <c r="M150" i="4"/>
  <c r="L150" i="4"/>
  <c r="K150" i="4"/>
  <c r="J150" i="4"/>
  <c r="I150" i="4"/>
  <c r="F150" i="4"/>
  <c r="E150" i="4" s="1"/>
  <c r="B150" i="4"/>
  <c r="D150" i="4" s="1"/>
  <c r="O155" i="4"/>
  <c r="N155" i="4"/>
  <c r="M155" i="4"/>
  <c r="L155" i="4"/>
  <c r="K155" i="4"/>
  <c r="J155" i="4"/>
  <c r="I155" i="4"/>
  <c r="F155" i="4"/>
  <c r="E155" i="4" s="1"/>
  <c r="B155" i="4"/>
  <c r="O146" i="4"/>
  <c r="N146" i="4"/>
  <c r="M146" i="4"/>
  <c r="L146" i="4"/>
  <c r="K146" i="4"/>
  <c r="J146" i="4"/>
  <c r="I146" i="4"/>
  <c r="F146" i="4"/>
  <c r="E146" i="4" s="1"/>
  <c r="B146" i="4"/>
  <c r="D146" i="4" s="1"/>
  <c r="O147" i="4"/>
  <c r="N147" i="4"/>
  <c r="M147" i="4"/>
  <c r="L147" i="4"/>
  <c r="K147" i="4"/>
  <c r="J147" i="4"/>
  <c r="I147" i="4"/>
  <c r="F147" i="4"/>
  <c r="E147" i="4" s="1"/>
  <c r="B147" i="4"/>
  <c r="D147" i="4" s="1"/>
  <c r="O148" i="4"/>
  <c r="N148" i="4"/>
  <c r="M148" i="4"/>
  <c r="L148" i="4"/>
  <c r="K148" i="4"/>
  <c r="J148" i="4"/>
  <c r="I148" i="4"/>
  <c r="F148" i="4"/>
  <c r="E148" i="4" s="1"/>
  <c r="B148" i="4"/>
  <c r="O144" i="4"/>
  <c r="N144" i="4"/>
  <c r="M144" i="4"/>
  <c r="L144" i="4"/>
  <c r="K144" i="4"/>
  <c r="J144" i="4"/>
  <c r="I144" i="4"/>
  <c r="F144" i="4"/>
  <c r="E144" i="4" s="1"/>
  <c r="B144" i="4"/>
  <c r="O142" i="4"/>
  <c r="N142" i="4"/>
  <c r="M142" i="4"/>
  <c r="L142" i="4"/>
  <c r="K142" i="4"/>
  <c r="J142" i="4"/>
  <c r="I142" i="4"/>
  <c r="F142" i="4"/>
  <c r="E142" i="4" s="1"/>
  <c r="B142" i="4"/>
  <c r="D142" i="4" s="1"/>
  <c r="O143" i="4"/>
  <c r="N143" i="4"/>
  <c r="M143" i="4"/>
  <c r="L143" i="4"/>
  <c r="K143" i="4"/>
  <c r="J143" i="4"/>
  <c r="I143" i="4"/>
  <c r="F143" i="4"/>
  <c r="E143" i="4" s="1"/>
  <c r="B143" i="4"/>
  <c r="D143" i="4" s="1"/>
  <c r="O145" i="4"/>
  <c r="N145" i="4"/>
  <c r="M145" i="4"/>
  <c r="L145" i="4"/>
  <c r="K145" i="4"/>
  <c r="J145" i="4"/>
  <c r="I145" i="4"/>
  <c r="F145" i="4"/>
  <c r="E145" i="4" s="1"/>
  <c r="B145" i="4"/>
  <c r="O141" i="4"/>
  <c r="N141" i="4"/>
  <c r="M141" i="4"/>
  <c r="L141" i="4"/>
  <c r="K141" i="4"/>
  <c r="J141" i="4"/>
  <c r="I141" i="4"/>
  <c r="F141" i="4"/>
  <c r="E141" i="4" s="1"/>
  <c r="B141" i="4"/>
  <c r="V141" i="4" s="1"/>
  <c r="O140" i="4"/>
  <c r="N140" i="4"/>
  <c r="M140" i="4"/>
  <c r="L140" i="4"/>
  <c r="K140" i="4"/>
  <c r="J140" i="4"/>
  <c r="I140" i="4"/>
  <c r="F140" i="4"/>
  <c r="E140" i="4" s="1"/>
  <c r="B140" i="4"/>
  <c r="D140" i="4" s="1"/>
  <c r="O136" i="4"/>
  <c r="N136" i="4"/>
  <c r="M136" i="4"/>
  <c r="L136" i="4"/>
  <c r="K136" i="4"/>
  <c r="J136" i="4"/>
  <c r="I136" i="4"/>
  <c r="F136" i="4"/>
  <c r="E136" i="4" s="1"/>
  <c r="B136" i="4"/>
  <c r="V136" i="4" s="1"/>
  <c r="O135" i="4"/>
  <c r="N135" i="4"/>
  <c r="M135" i="4"/>
  <c r="L135" i="4"/>
  <c r="K135" i="4"/>
  <c r="J135" i="4"/>
  <c r="I135" i="4"/>
  <c r="F135" i="4"/>
  <c r="E135" i="4" s="1"/>
  <c r="B135" i="4"/>
  <c r="V135" i="4" s="1"/>
  <c r="O137" i="4"/>
  <c r="N137" i="4"/>
  <c r="M137" i="4"/>
  <c r="L137" i="4"/>
  <c r="K137" i="4"/>
  <c r="J137" i="4"/>
  <c r="I137" i="4"/>
  <c r="F137" i="4"/>
  <c r="E137" i="4" s="1"/>
  <c r="B137" i="4"/>
  <c r="V137" i="4" s="1"/>
  <c r="O138" i="4"/>
  <c r="N138" i="4"/>
  <c r="M138" i="4"/>
  <c r="L138" i="4"/>
  <c r="K138" i="4"/>
  <c r="J138" i="4"/>
  <c r="I138" i="4"/>
  <c r="F138" i="4"/>
  <c r="E138" i="4" s="1"/>
  <c r="B138" i="4"/>
  <c r="D138" i="4" s="1"/>
  <c r="O139" i="4"/>
  <c r="N139" i="4"/>
  <c r="M139" i="4"/>
  <c r="L139" i="4"/>
  <c r="K139" i="4"/>
  <c r="J139" i="4"/>
  <c r="I139" i="4"/>
  <c r="F139" i="4"/>
  <c r="E139" i="4" s="1"/>
  <c r="B139" i="4"/>
  <c r="O133" i="4"/>
  <c r="N133" i="4"/>
  <c r="M133" i="4"/>
  <c r="L133" i="4"/>
  <c r="K133" i="4"/>
  <c r="J133" i="4"/>
  <c r="I133" i="4"/>
  <c r="F133" i="4"/>
  <c r="E133" i="4" s="1"/>
  <c r="B133" i="4"/>
  <c r="V133" i="4" s="1"/>
  <c r="O130" i="4"/>
  <c r="N130" i="4"/>
  <c r="M130" i="4"/>
  <c r="L130" i="4"/>
  <c r="K130" i="4"/>
  <c r="J130" i="4"/>
  <c r="I130" i="4"/>
  <c r="F130" i="4"/>
  <c r="E130" i="4" s="1"/>
  <c r="B130" i="4"/>
  <c r="D130" i="4" s="1"/>
  <c r="O131" i="4"/>
  <c r="N131" i="4"/>
  <c r="M131" i="4"/>
  <c r="L131" i="4"/>
  <c r="K131" i="4"/>
  <c r="J131" i="4"/>
  <c r="I131" i="4"/>
  <c r="F131" i="4"/>
  <c r="E131" i="4" s="1"/>
  <c r="B131" i="4"/>
  <c r="D131" i="4" s="1"/>
  <c r="O134" i="4"/>
  <c r="N134" i="4"/>
  <c r="M134" i="4"/>
  <c r="L134" i="4"/>
  <c r="K134" i="4"/>
  <c r="J134" i="4"/>
  <c r="I134" i="4"/>
  <c r="F134" i="4"/>
  <c r="E134" i="4" s="1"/>
  <c r="B134" i="4"/>
  <c r="D134" i="4" s="1"/>
  <c r="O132" i="4"/>
  <c r="N132" i="4"/>
  <c r="M132" i="4"/>
  <c r="L132" i="4"/>
  <c r="K132" i="4"/>
  <c r="J132" i="4"/>
  <c r="I132" i="4"/>
  <c r="F132" i="4"/>
  <c r="E132" i="4" s="1"/>
  <c r="B132" i="4"/>
  <c r="V132" i="4" s="1"/>
  <c r="O129" i="4"/>
  <c r="N129" i="4"/>
  <c r="M129" i="4"/>
  <c r="L129" i="4"/>
  <c r="K129" i="4"/>
  <c r="J129" i="4"/>
  <c r="I129" i="4"/>
  <c r="F129" i="4"/>
  <c r="E129" i="4" s="1"/>
  <c r="B129" i="4"/>
  <c r="D129" i="4" s="1"/>
  <c r="O128" i="4"/>
  <c r="N128" i="4"/>
  <c r="M128" i="4"/>
  <c r="L128" i="4"/>
  <c r="K128" i="4"/>
  <c r="J128" i="4"/>
  <c r="I128" i="4"/>
  <c r="F128" i="4"/>
  <c r="E128" i="4" s="1"/>
  <c r="B128" i="4"/>
  <c r="O127" i="4"/>
  <c r="N127" i="4"/>
  <c r="M127" i="4"/>
  <c r="L127" i="4"/>
  <c r="K127" i="4"/>
  <c r="J127" i="4"/>
  <c r="I127" i="4"/>
  <c r="F127" i="4"/>
  <c r="E127" i="4" s="1"/>
  <c r="B127" i="4"/>
  <c r="V127" i="4" s="1"/>
  <c r="O122" i="4"/>
  <c r="N122" i="4"/>
  <c r="M122" i="4"/>
  <c r="L122" i="4"/>
  <c r="K122" i="4"/>
  <c r="J122" i="4"/>
  <c r="I122" i="4"/>
  <c r="F122" i="4"/>
  <c r="E122" i="4" s="1"/>
  <c r="B122" i="4"/>
  <c r="V122" i="4" s="1"/>
  <c r="O126" i="4"/>
  <c r="N126" i="4"/>
  <c r="M126" i="4"/>
  <c r="L126" i="4"/>
  <c r="K126" i="4"/>
  <c r="J126" i="4"/>
  <c r="I126" i="4"/>
  <c r="F126" i="4"/>
  <c r="E126" i="4" s="1"/>
  <c r="B126" i="4"/>
  <c r="V126" i="4" s="1"/>
  <c r="O125" i="4"/>
  <c r="N125" i="4"/>
  <c r="M125" i="4"/>
  <c r="L125" i="4"/>
  <c r="K125" i="4"/>
  <c r="J125" i="4"/>
  <c r="I125" i="4"/>
  <c r="F125" i="4"/>
  <c r="E125" i="4" s="1"/>
  <c r="B125" i="4"/>
  <c r="D125" i="4" s="1"/>
  <c r="O120" i="4"/>
  <c r="N120" i="4"/>
  <c r="M120" i="4"/>
  <c r="L120" i="4"/>
  <c r="K120" i="4"/>
  <c r="J120" i="4"/>
  <c r="I120" i="4"/>
  <c r="F120" i="4"/>
  <c r="E120" i="4" s="1"/>
  <c r="B120" i="4"/>
  <c r="V120" i="4" s="1"/>
  <c r="O121" i="4"/>
  <c r="N121" i="4"/>
  <c r="M121" i="4"/>
  <c r="L121" i="4"/>
  <c r="K121" i="4"/>
  <c r="J121" i="4"/>
  <c r="I121" i="4"/>
  <c r="F121" i="4"/>
  <c r="E121" i="4" s="1"/>
  <c r="B121" i="4"/>
  <c r="O123" i="4"/>
  <c r="N123" i="4"/>
  <c r="M123" i="4"/>
  <c r="L123" i="4"/>
  <c r="K123" i="4"/>
  <c r="J123" i="4"/>
  <c r="I123" i="4"/>
  <c r="F123" i="4"/>
  <c r="E123" i="4" s="1"/>
  <c r="B123" i="4"/>
  <c r="V123" i="4" s="1"/>
  <c r="O119" i="4"/>
  <c r="N119" i="4"/>
  <c r="M119" i="4"/>
  <c r="L119" i="4"/>
  <c r="K119" i="4"/>
  <c r="J119" i="4"/>
  <c r="I119" i="4"/>
  <c r="F119" i="4"/>
  <c r="E119" i="4" s="1"/>
  <c r="B119" i="4"/>
  <c r="O124" i="4"/>
  <c r="N124" i="4"/>
  <c r="M124" i="4"/>
  <c r="L124" i="4"/>
  <c r="K124" i="4"/>
  <c r="J124" i="4"/>
  <c r="I124" i="4"/>
  <c r="F124" i="4"/>
  <c r="E124" i="4" s="1"/>
  <c r="B124" i="4"/>
  <c r="O118" i="4"/>
  <c r="N118" i="4"/>
  <c r="M118" i="4"/>
  <c r="L118" i="4"/>
  <c r="K118" i="4"/>
  <c r="J118" i="4"/>
  <c r="I118" i="4"/>
  <c r="F118" i="4"/>
  <c r="E118" i="4" s="1"/>
  <c r="B118" i="4"/>
  <c r="V118" i="4" s="1"/>
  <c r="O117" i="4"/>
  <c r="N117" i="4"/>
  <c r="M117" i="4"/>
  <c r="L117" i="4"/>
  <c r="K117" i="4"/>
  <c r="J117" i="4"/>
  <c r="I117" i="4"/>
  <c r="F117" i="4"/>
  <c r="E117" i="4" s="1"/>
  <c r="B117" i="4"/>
  <c r="O116" i="4"/>
  <c r="N116" i="4"/>
  <c r="M116" i="4"/>
  <c r="L116" i="4"/>
  <c r="K116" i="4"/>
  <c r="J116" i="4"/>
  <c r="I116" i="4"/>
  <c r="F116" i="4"/>
  <c r="E116" i="4" s="1"/>
  <c r="B116" i="4"/>
  <c r="D116" i="4" s="1"/>
  <c r="O113" i="4"/>
  <c r="N113" i="4"/>
  <c r="M113" i="4"/>
  <c r="L113" i="4"/>
  <c r="K113" i="4"/>
  <c r="J113" i="4"/>
  <c r="I113" i="4"/>
  <c r="F113" i="4"/>
  <c r="E113" i="4" s="1"/>
  <c r="B113" i="4"/>
  <c r="O114" i="4"/>
  <c r="N114" i="4"/>
  <c r="M114" i="4"/>
  <c r="L114" i="4"/>
  <c r="K114" i="4"/>
  <c r="J114" i="4"/>
  <c r="I114" i="4"/>
  <c r="F114" i="4"/>
  <c r="E114" i="4" s="1"/>
  <c r="B114" i="4"/>
  <c r="O115" i="4"/>
  <c r="N115" i="4"/>
  <c r="M115" i="4"/>
  <c r="L115" i="4"/>
  <c r="K115" i="4"/>
  <c r="J115" i="4"/>
  <c r="I115" i="4"/>
  <c r="F115" i="4"/>
  <c r="E115" i="4" s="1"/>
  <c r="B115" i="4"/>
  <c r="O112" i="4"/>
  <c r="N112" i="4"/>
  <c r="M112" i="4"/>
  <c r="L112" i="4"/>
  <c r="K112" i="4"/>
  <c r="J112" i="4"/>
  <c r="I112" i="4"/>
  <c r="F112" i="4"/>
  <c r="E112" i="4" s="1"/>
  <c r="B112" i="4"/>
  <c r="O111" i="4"/>
  <c r="N111" i="4"/>
  <c r="M111" i="4"/>
  <c r="L111" i="4"/>
  <c r="K111" i="4"/>
  <c r="J111" i="4"/>
  <c r="I111" i="4"/>
  <c r="F111" i="4"/>
  <c r="E111" i="4" s="1"/>
  <c r="B111" i="4"/>
  <c r="V111" i="4" s="1"/>
  <c r="O109" i="4"/>
  <c r="N109" i="4"/>
  <c r="M109" i="4"/>
  <c r="L109" i="4"/>
  <c r="K109" i="4"/>
  <c r="J109" i="4"/>
  <c r="I109" i="4"/>
  <c r="F109" i="4"/>
  <c r="E109" i="4" s="1"/>
  <c r="B109" i="4"/>
  <c r="V109" i="4" s="1"/>
  <c r="O108" i="4"/>
  <c r="N108" i="4"/>
  <c r="M108" i="4"/>
  <c r="L108" i="4"/>
  <c r="K108" i="4"/>
  <c r="J108" i="4"/>
  <c r="I108" i="4"/>
  <c r="F108" i="4"/>
  <c r="E108" i="4" s="1"/>
  <c r="B108" i="4"/>
  <c r="V108" i="4" s="1"/>
  <c r="O110" i="4"/>
  <c r="N110" i="4"/>
  <c r="M110" i="4"/>
  <c r="L110" i="4"/>
  <c r="K110" i="4"/>
  <c r="J110" i="4"/>
  <c r="I110" i="4"/>
  <c r="F110" i="4"/>
  <c r="E110" i="4" s="1"/>
  <c r="B110" i="4"/>
  <c r="D110" i="4" s="1"/>
  <c r="O107" i="4"/>
  <c r="N107" i="4"/>
  <c r="M107" i="4"/>
  <c r="L107" i="4"/>
  <c r="K107" i="4"/>
  <c r="J107" i="4"/>
  <c r="I107" i="4"/>
  <c r="F107" i="4"/>
  <c r="E107" i="4" s="1"/>
  <c r="B107" i="4"/>
  <c r="V107" i="4" s="1"/>
  <c r="O106" i="4"/>
  <c r="N106" i="4"/>
  <c r="M106" i="4"/>
  <c r="L106" i="4"/>
  <c r="K106" i="4"/>
  <c r="J106" i="4"/>
  <c r="I106" i="4"/>
  <c r="F106" i="4"/>
  <c r="E106" i="4" s="1"/>
  <c r="B106" i="4"/>
  <c r="V106" i="4" s="1"/>
  <c r="O105" i="4"/>
  <c r="N105" i="4"/>
  <c r="M105" i="4"/>
  <c r="L105" i="4"/>
  <c r="K105" i="4"/>
  <c r="J105" i="4"/>
  <c r="I105" i="4"/>
  <c r="F105" i="4"/>
  <c r="E105" i="4" s="1"/>
  <c r="B105" i="4"/>
  <c r="D105" i="4" s="1"/>
  <c r="O104" i="4"/>
  <c r="N104" i="4"/>
  <c r="M104" i="4"/>
  <c r="L104" i="4"/>
  <c r="K104" i="4"/>
  <c r="J104" i="4"/>
  <c r="I104" i="4"/>
  <c r="F104" i="4"/>
  <c r="E104" i="4" s="1"/>
  <c r="B104" i="4"/>
  <c r="D104" i="4" s="1"/>
  <c r="O103" i="4"/>
  <c r="N103" i="4"/>
  <c r="M103" i="4"/>
  <c r="L103" i="4"/>
  <c r="K103" i="4"/>
  <c r="J103" i="4"/>
  <c r="I103" i="4"/>
  <c r="F103" i="4"/>
  <c r="E103" i="4" s="1"/>
  <c r="B103" i="4"/>
  <c r="O102" i="4"/>
  <c r="N102" i="4"/>
  <c r="M102" i="4"/>
  <c r="L102" i="4"/>
  <c r="K102" i="4"/>
  <c r="J102" i="4"/>
  <c r="I102" i="4"/>
  <c r="F102" i="4"/>
  <c r="E102" i="4" s="1"/>
  <c r="B102" i="4"/>
  <c r="O101" i="4"/>
  <c r="N101" i="4"/>
  <c r="M101" i="4"/>
  <c r="L101" i="4"/>
  <c r="K101" i="4"/>
  <c r="J101" i="4"/>
  <c r="I101" i="4"/>
  <c r="F101" i="4"/>
  <c r="E101" i="4" s="1"/>
  <c r="B101" i="4"/>
  <c r="D101" i="4" s="1"/>
  <c r="O99" i="4"/>
  <c r="N99" i="4"/>
  <c r="M99" i="4"/>
  <c r="L99" i="4"/>
  <c r="K99" i="4"/>
  <c r="J99" i="4"/>
  <c r="I99" i="4"/>
  <c r="F99" i="4"/>
  <c r="E99" i="4" s="1"/>
  <c r="B99" i="4"/>
  <c r="O100" i="4"/>
  <c r="N100" i="4"/>
  <c r="M100" i="4"/>
  <c r="L100" i="4"/>
  <c r="K100" i="4"/>
  <c r="J100" i="4"/>
  <c r="I100" i="4"/>
  <c r="F100" i="4"/>
  <c r="E100" i="4" s="1"/>
  <c r="B100" i="4"/>
  <c r="O98" i="4"/>
  <c r="N98" i="4"/>
  <c r="M98" i="4"/>
  <c r="L98" i="4"/>
  <c r="K98" i="4"/>
  <c r="J98" i="4"/>
  <c r="I98" i="4"/>
  <c r="F98" i="4"/>
  <c r="E98" i="4" s="1"/>
  <c r="B98" i="4"/>
  <c r="O95" i="4"/>
  <c r="N95" i="4"/>
  <c r="M95" i="4"/>
  <c r="L95" i="4"/>
  <c r="K95" i="4"/>
  <c r="J95" i="4"/>
  <c r="I95" i="4"/>
  <c r="F95" i="4"/>
  <c r="E95" i="4" s="1"/>
  <c r="B95" i="4"/>
  <c r="V95" i="4" s="1"/>
  <c r="O96" i="4"/>
  <c r="N96" i="4"/>
  <c r="M96" i="4"/>
  <c r="L96" i="4"/>
  <c r="K96" i="4"/>
  <c r="J96" i="4"/>
  <c r="I96" i="4"/>
  <c r="F96" i="4"/>
  <c r="E96" i="4" s="1"/>
  <c r="B96" i="4"/>
  <c r="O91" i="4"/>
  <c r="N91" i="4"/>
  <c r="M91" i="4"/>
  <c r="L91" i="4"/>
  <c r="K91" i="4"/>
  <c r="J91" i="4"/>
  <c r="I91" i="4"/>
  <c r="F91" i="4"/>
  <c r="E91" i="4" s="1"/>
  <c r="B91" i="4"/>
  <c r="V91" i="4" s="1"/>
  <c r="O94" i="4"/>
  <c r="N94" i="4"/>
  <c r="M94" i="4"/>
  <c r="L94" i="4"/>
  <c r="K94" i="4"/>
  <c r="J94" i="4"/>
  <c r="I94" i="4"/>
  <c r="F94" i="4"/>
  <c r="E94" i="4" s="1"/>
  <c r="B94" i="4"/>
  <c r="D94" i="4" s="1"/>
  <c r="O97" i="4"/>
  <c r="N97" i="4"/>
  <c r="M97" i="4"/>
  <c r="L97" i="4"/>
  <c r="K97" i="4"/>
  <c r="J97" i="4"/>
  <c r="I97" i="4"/>
  <c r="F97" i="4"/>
  <c r="E97" i="4" s="1"/>
  <c r="B97" i="4"/>
  <c r="D97" i="4" s="1"/>
  <c r="O90" i="4"/>
  <c r="N90" i="4"/>
  <c r="M90" i="4"/>
  <c r="L90" i="4"/>
  <c r="K90" i="4"/>
  <c r="J90" i="4"/>
  <c r="I90" i="4"/>
  <c r="F90" i="4"/>
  <c r="E90" i="4" s="1"/>
  <c r="B90" i="4"/>
  <c r="V90" i="4" s="1"/>
  <c r="O93" i="4"/>
  <c r="N93" i="4"/>
  <c r="M93" i="4"/>
  <c r="L93" i="4"/>
  <c r="K93" i="4"/>
  <c r="J93" i="4"/>
  <c r="I93" i="4"/>
  <c r="F93" i="4"/>
  <c r="E93" i="4" s="1"/>
  <c r="B93" i="4"/>
  <c r="V93" i="4" s="1"/>
  <c r="O92" i="4"/>
  <c r="N92" i="4"/>
  <c r="M92" i="4"/>
  <c r="L92" i="4"/>
  <c r="K92" i="4"/>
  <c r="J92" i="4"/>
  <c r="I92" i="4"/>
  <c r="F92" i="4"/>
  <c r="E92" i="4" s="1"/>
  <c r="B92" i="4"/>
  <c r="O89" i="4"/>
  <c r="N89" i="4"/>
  <c r="M89" i="4"/>
  <c r="L89" i="4"/>
  <c r="K89" i="4"/>
  <c r="J89" i="4"/>
  <c r="I89" i="4"/>
  <c r="F89" i="4"/>
  <c r="E89" i="4" s="1"/>
  <c r="B89" i="4"/>
  <c r="D89" i="4" s="1"/>
  <c r="O87" i="4"/>
  <c r="N87" i="4"/>
  <c r="M87" i="4"/>
  <c r="L87" i="4"/>
  <c r="K87" i="4"/>
  <c r="J87" i="4"/>
  <c r="I87" i="4"/>
  <c r="F87" i="4"/>
  <c r="E87" i="4" s="1"/>
  <c r="B87" i="4"/>
  <c r="V87" i="4" s="1"/>
  <c r="O88" i="4"/>
  <c r="N88" i="4"/>
  <c r="M88" i="4"/>
  <c r="L88" i="4"/>
  <c r="K88" i="4"/>
  <c r="J88" i="4"/>
  <c r="I88" i="4"/>
  <c r="F88" i="4"/>
  <c r="E88" i="4" s="1"/>
  <c r="B88" i="4"/>
  <c r="D88" i="4" s="1"/>
  <c r="O86" i="4"/>
  <c r="N86" i="4"/>
  <c r="M86" i="4"/>
  <c r="L86" i="4"/>
  <c r="K86" i="4"/>
  <c r="J86" i="4"/>
  <c r="I86" i="4"/>
  <c r="F86" i="4"/>
  <c r="E86" i="4" s="1"/>
  <c r="B86" i="4"/>
  <c r="O85" i="4"/>
  <c r="N85" i="4"/>
  <c r="M85" i="4"/>
  <c r="L85" i="4"/>
  <c r="K85" i="4"/>
  <c r="J85" i="4"/>
  <c r="I85" i="4"/>
  <c r="F85" i="4"/>
  <c r="E85" i="4" s="1"/>
  <c r="B85" i="4"/>
  <c r="O82" i="4"/>
  <c r="N82" i="4"/>
  <c r="M82" i="4"/>
  <c r="L82" i="4"/>
  <c r="K82" i="4"/>
  <c r="J82" i="4"/>
  <c r="I82" i="4"/>
  <c r="F82" i="4"/>
  <c r="E82" i="4" s="1"/>
  <c r="B82" i="4"/>
  <c r="O83" i="4"/>
  <c r="N83" i="4"/>
  <c r="M83" i="4"/>
  <c r="L83" i="4"/>
  <c r="K83" i="4"/>
  <c r="J83" i="4"/>
  <c r="I83" i="4"/>
  <c r="F83" i="4"/>
  <c r="E83" i="4" s="1"/>
  <c r="B83" i="4"/>
  <c r="D83" i="4" s="1"/>
  <c r="O84" i="4"/>
  <c r="N84" i="4"/>
  <c r="M84" i="4"/>
  <c r="L84" i="4"/>
  <c r="K84" i="4"/>
  <c r="J84" i="4"/>
  <c r="I84" i="4"/>
  <c r="F84" i="4"/>
  <c r="E84" i="4" s="1"/>
  <c r="B84" i="4"/>
  <c r="D84" i="4" s="1"/>
  <c r="O81" i="4"/>
  <c r="N81" i="4"/>
  <c r="M81" i="4"/>
  <c r="L81" i="4"/>
  <c r="K81" i="4"/>
  <c r="J81" i="4"/>
  <c r="I81" i="4"/>
  <c r="F81" i="4"/>
  <c r="E81" i="4" s="1"/>
  <c r="B81" i="4"/>
  <c r="V81" i="4" s="1"/>
  <c r="O80" i="4"/>
  <c r="N80" i="4"/>
  <c r="M80" i="4"/>
  <c r="L80" i="4"/>
  <c r="K80" i="4"/>
  <c r="J80" i="4"/>
  <c r="I80" i="4"/>
  <c r="F80" i="4"/>
  <c r="E80" i="4" s="1"/>
  <c r="B80" i="4"/>
  <c r="V80" i="4" s="1"/>
  <c r="O79" i="4"/>
  <c r="N79" i="4"/>
  <c r="M79" i="4"/>
  <c r="L79" i="4"/>
  <c r="K79" i="4"/>
  <c r="J79" i="4"/>
  <c r="I79" i="4"/>
  <c r="F79" i="4"/>
  <c r="E79" i="4" s="1"/>
  <c r="B79" i="4"/>
  <c r="D79" i="4" s="1"/>
  <c r="O78" i="4"/>
  <c r="N78" i="4"/>
  <c r="M78" i="4"/>
  <c r="L78" i="4"/>
  <c r="K78" i="4"/>
  <c r="J78" i="4"/>
  <c r="I78" i="4"/>
  <c r="F78" i="4"/>
  <c r="E78" i="4" s="1"/>
  <c r="B78" i="4"/>
  <c r="O71" i="4"/>
  <c r="N71" i="4"/>
  <c r="M71" i="4"/>
  <c r="L71" i="4"/>
  <c r="K71" i="4"/>
  <c r="J71" i="4"/>
  <c r="I71" i="4"/>
  <c r="F71" i="4"/>
  <c r="E71" i="4" s="1"/>
  <c r="B71" i="4"/>
  <c r="O76" i="4"/>
  <c r="N76" i="4"/>
  <c r="M76" i="4"/>
  <c r="L76" i="4"/>
  <c r="K76" i="4"/>
  <c r="J76" i="4"/>
  <c r="I76" i="4"/>
  <c r="F76" i="4"/>
  <c r="E76" i="4" s="1"/>
  <c r="B76" i="4"/>
  <c r="O77" i="4"/>
  <c r="N77" i="4"/>
  <c r="M77" i="4"/>
  <c r="L77" i="4"/>
  <c r="K77" i="4"/>
  <c r="J77" i="4"/>
  <c r="I77" i="4"/>
  <c r="F77" i="4"/>
  <c r="E77" i="4" s="1"/>
  <c r="B77" i="4"/>
  <c r="V77" i="4" s="1"/>
  <c r="O73" i="4"/>
  <c r="N73" i="4"/>
  <c r="M73" i="4"/>
  <c r="L73" i="4"/>
  <c r="K73" i="4"/>
  <c r="J73" i="4"/>
  <c r="I73" i="4"/>
  <c r="F73" i="4"/>
  <c r="E73" i="4" s="1"/>
  <c r="B73" i="4"/>
  <c r="D73" i="4" s="1"/>
  <c r="O68" i="4"/>
  <c r="N68" i="4"/>
  <c r="M68" i="4"/>
  <c r="L68" i="4"/>
  <c r="K68" i="4"/>
  <c r="J68" i="4"/>
  <c r="I68" i="4"/>
  <c r="F68" i="4"/>
  <c r="E68" i="4" s="1"/>
  <c r="B68" i="4"/>
  <c r="V68" i="4" s="1"/>
  <c r="O75" i="4"/>
  <c r="N75" i="4"/>
  <c r="M75" i="4"/>
  <c r="L75" i="4"/>
  <c r="K75" i="4"/>
  <c r="J75" i="4"/>
  <c r="I75" i="4"/>
  <c r="F75" i="4"/>
  <c r="E75" i="4" s="1"/>
  <c r="B75" i="4"/>
  <c r="V75" i="4" s="1"/>
  <c r="O74" i="4"/>
  <c r="N74" i="4"/>
  <c r="M74" i="4"/>
  <c r="L74" i="4"/>
  <c r="K74" i="4"/>
  <c r="J74" i="4"/>
  <c r="I74" i="4"/>
  <c r="F74" i="4"/>
  <c r="E74" i="4" s="1"/>
  <c r="B74" i="4"/>
  <c r="V74" i="4" s="1"/>
  <c r="O72" i="4"/>
  <c r="N72" i="4"/>
  <c r="M72" i="4"/>
  <c r="L72" i="4"/>
  <c r="K72" i="4"/>
  <c r="J72" i="4"/>
  <c r="I72" i="4"/>
  <c r="F72" i="4"/>
  <c r="E72" i="4" s="1"/>
  <c r="B72" i="4"/>
  <c r="D72" i="4" s="1"/>
  <c r="O70" i="4"/>
  <c r="N70" i="4"/>
  <c r="M70" i="4"/>
  <c r="L70" i="4"/>
  <c r="K70" i="4"/>
  <c r="J70" i="4"/>
  <c r="I70" i="4"/>
  <c r="F70" i="4"/>
  <c r="E70" i="4" s="1"/>
  <c r="B70" i="4"/>
  <c r="O67" i="4"/>
  <c r="N67" i="4"/>
  <c r="M67" i="4"/>
  <c r="L67" i="4"/>
  <c r="K67" i="4"/>
  <c r="J67" i="4"/>
  <c r="I67" i="4"/>
  <c r="F67" i="4"/>
  <c r="E67" i="4" s="1"/>
  <c r="B67" i="4"/>
  <c r="V67" i="4" s="1"/>
  <c r="O69" i="4"/>
  <c r="N69" i="4"/>
  <c r="M69" i="4"/>
  <c r="L69" i="4"/>
  <c r="K69" i="4"/>
  <c r="J69" i="4"/>
  <c r="I69" i="4"/>
  <c r="F69" i="4"/>
  <c r="E69" i="4" s="1"/>
  <c r="B69" i="4"/>
  <c r="V69" i="4" s="1"/>
  <c r="O64" i="4"/>
  <c r="N64" i="4"/>
  <c r="M64" i="4"/>
  <c r="L64" i="4"/>
  <c r="K64" i="4"/>
  <c r="J64" i="4"/>
  <c r="I64" i="4"/>
  <c r="F64" i="4"/>
  <c r="E64" i="4" s="1"/>
  <c r="B64" i="4"/>
  <c r="D64" i="4" s="1"/>
  <c r="O66" i="4"/>
  <c r="N66" i="4"/>
  <c r="M66" i="4"/>
  <c r="L66" i="4"/>
  <c r="K66" i="4"/>
  <c r="J66" i="4"/>
  <c r="I66" i="4"/>
  <c r="F66" i="4"/>
  <c r="E66" i="4" s="1"/>
  <c r="B66" i="4"/>
  <c r="V66" i="4" s="1"/>
  <c r="O63" i="4"/>
  <c r="N63" i="4"/>
  <c r="M63" i="4"/>
  <c r="L63" i="4"/>
  <c r="K63" i="4"/>
  <c r="J63" i="4"/>
  <c r="I63" i="4"/>
  <c r="F63" i="4"/>
  <c r="E63" i="4" s="1"/>
  <c r="B63" i="4"/>
  <c r="D63" i="4" s="1"/>
  <c r="O65" i="4"/>
  <c r="N65" i="4"/>
  <c r="M65" i="4"/>
  <c r="L65" i="4"/>
  <c r="K65" i="4"/>
  <c r="J65" i="4"/>
  <c r="I65" i="4"/>
  <c r="F65" i="4"/>
  <c r="E65" i="4" s="1"/>
  <c r="B65" i="4"/>
  <c r="D65" i="4" s="1"/>
  <c r="O61" i="4"/>
  <c r="N61" i="4"/>
  <c r="M61" i="4"/>
  <c r="L61" i="4"/>
  <c r="K61" i="4"/>
  <c r="J61" i="4"/>
  <c r="I61" i="4"/>
  <c r="F61" i="4"/>
  <c r="E61" i="4" s="1"/>
  <c r="B61" i="4"/>
  <c r="D61" i="4" s="1"/>
  <c r="O62" i="4"/>
  <c r="N62" i="4"/>
  <c r="M62" i="4"/>
  <c r="L62" i="4"/>
  <c r="K62" i="4"/>
  <c r="J62" i="4"/>
  <c r="I62" i="4"/>
  <c r="F62" i="4"/>
  <c r="E62" i="4" s="1"/>
  <c r="B62" i="4"/>
  <c r="O59" i="4"/>
  <c r="N59" i="4"/>
  <c r="M59" i="4"/>
  <c r="L59" i="4"/>
  <c r="K59" i="4"/>
  <c r="J59" i="4"/>
  <c r="I59" i="4"/>
  <c r="F59" i="4"/>
  <c r="E59" i="4" s="1"/>
  <c r="B59" i="4"/>
  <c r="D59" i="4" s="1"/>
  <c r="O58" i="4"/>
  <c r="N58" i="4"/>
  <c r="M58" i="4"/>
  <c r="L58" i="4"/>
  <c r="K58" i="4"/>
  <c r="J58" i="4"/>
  <c r="I58" i="4"/>
  <c r="F58" i="4"/>
  <c r="E58" i="4" s="1"/>
  <c r="B58" i="4"/>
  <c r="D58" i="4" s="1"/>
  <c r="O60" i="4"/>
  <c r="N60" i="4"/>
  <c r="M60" i="4"/>
  <c r="L60" i="4"/>
  <c r="K60" i="4"/>
  <c r="J60" i="4"/>
  <c r="I60" i="4"/>
  <c r="F60" i="4"/>
  <c r="E60" i="4" s="1"/>
  <c r="B60" i="4"/>
  <c r="D60" i="4" s="1"/>
  <c r="O56" i="4"/>
  <c r="N56" i="4"/>
  <c r="M56" i="4"/>
  <c r="L56" i="4"/>
  <c r="K56" i="4"/>
  <c r="J56" i="4"/>
  <c r="I56" i="4"/>
  <c r="F56" i="4"/>
  <c r="E56" i="4" s="1"/>
  <c r="B56" i="4"/>
  <c r="D56" i="4" s="1"/>
  <c r="O54" i="4"/>
  <c r="N54" i="4"/>
  <c r="M54" i="4"/>
  <c r="L54" i="4"/>
  <c r="K54" i="4"/>
  <c r="J54" i="4"/>
  <c r="I54" i="4"/>
  <c r="F54" i="4"/>
  <c r="E54" i="4" s="1"/>
  <c r="B54" i="4"/>
  <c r="D54" i="4" s="1"/>
  <c r="O55" i="4"/>
  <c r="N55" i="4"/>
  <c r="M55" i="4"/>
  <c r="L55" i="4"/>
  <c r="K55" i="4"/>
  <c r="J55" i="4"/>
  <c r="I55" i="4"/>
  <c r="F55" i="4"/>
  <c r="E55" i="4" s="1"/>
  <c r="B55" i="4"/>
  <c r="D55" i="4" s="1"/>
  <c r="O57" i="4"/>
  <c r="N57" i="4"/>
  <c r="M57" i="4"/>
  <c r="L57" i="4"/>
  <c r="K57" i="4"/>
  <c r="J57" i="4"/>
  <c r="I57" i="4"/>
  <c r="F57" i="4"/>
  <c r="E57" i="4" s="1"/>
  <c r="B57" i="4"/>
  <c r="D57" i="4" s="1"/>
  <c r="O50" i="4"/>
  <c r="N50" i="4"/>
  <c r="M50" i="4"/>
  <c r="L50" i="4"/>
  <c r="K50" i="4"/>
  <c r="J50" i="4"/>
  <c r="I50" i="4"/>
  <c r="F50" i="4"/>
  <c r="E50" i="4" s="1"/>
  <c r="B50" i="4"/>
  <c r="D50" i="4" s="1"/>
  <c r="O52" i="4"/>
  <c r="N52" i="4"/>
  <c r="M52" i="4"/>
  <c r="L52" i="4"/>
  <c r="K52" i="4"/>
  <c r="J52" i="4"/>
  <c r="I52" i="4"/>
  <c r="F52" i="4"/>
  <c r="E52" i="4" s="1"/>
  <c r="B52" i="4"/>
  <c r="D52" i="4" s="1"/>
  <c r="O46" i="4"/>
  <c r="N46" i="4"/>
  <c r="M46" i="4"/>
  <c r="L46" i="4"/>
  <c r="K46" i="4"/>
  <c r="J46" i="4"/>
  <c r="I46" i="4"/>
  <c r="F46" i="4"/>
  <c r="E46" i="4" s="1"/>
  <c r="B46" i="4"/>
  <c r="D46" i="4" s="1"/>
  <c r="O51" i="4"/>
  <c r="N51" i="4"/>
  <c r="M51" i="4"/>
  <c r="L51" i="4"/>
  <c r="K51" i="4"/>
  <c r="J51" i="4"/>
  <c r="I51" i="4"/>
  <c r="F51" i="4"/>
  <c r="E51" i="4" s="1"/>
  <c r="B51" i="4"/>
  <c r="D51" i="4" s="1"/>
  <c r="O49" i="4"/>
  <c r="N49" i="4"/>
  <c r="M49" i="4"/>
  <c r="L49" i="4"/>
  <c r="K49" i="4"/>
  <c r="J49" i="4"/>
  <c r="I49" i="4"/>
  <c r="F49" i="4"/>
  <c r="E49" i="4" s="1"/>
  <c r="B49" i="4"/>
  <c r="D49" i="4" s="1"/>
  <c r="O53" i="4"/>
  <c r="N53" i="4"/>
  <c r="M53" i="4"/>
  <c r="L53" i="4"/>
  <c r="K53" i="4"/>
  <c r="J53" i="4"/>
  <c r="I53" i="4"/>
  <c r="F53" i="4"/>
  <c r="E53" i="4" s="1"/>
  <c r="B53" i="4"/>
  <c r="D53" i="4" s="1"/>
  <c r="O48" i="4"/>
  <c r="N48" i="4"/>
  <c r="M48" i="4"/>
  <c r="L48" i="4"/>
  <c r="K48" i="4"/>
  <c r="J48" i="4"/>
  <c r="I48" i="4"/>
  <c r="F48" i="4"/>
  <c r="E48" i="4" s="1"/>
  <c r="B48" i="4"/>
  <c r="O47" i="4"/>
  <c r="N47" i="4"/>
  <c r="M47" i="4"/>
  <c r="L47" i="4"/>
  <c r="K47" i="4"/>
  <c r="J47" i="4"/>
  <c r="I47" i="4"/>
  <c r="F47" i="4"/>
  <c r="E47" i="4" s="1"/>
  <c r="B47" i="4"/>
  <c r="D47" i="4" s="1"/>
  <c r="O44" i="4"/>
  <c r="N44" i="4"/>
  <c r="M44" i="4"/>
  <c r="L44" i="4"/>
  <c r="K44" i="4"/>
  <c r="J44" i="4"/>
  <c r="I44" i="4"/>
  <c r="F44" i="4"/>
  <c r="E44" i="4" s="1"/>
  <c r="B44" i="4"/>
  <c r="D44" i="4" s="1"/>
  <c r="O43" i="4"/>
  <c r="N43" i="4"/>
  <c r="M43" i="4"/>
  <c r="L43" i="4"/>
  <c r="K43" i="4"/>
  <c r="J43" i="4"/>
  <c r="I43" i="4"/>
  <c r="F43" i="4"/>
  <c r="E43" i="4" s="1"/>
  <c r="B43" i="4"/>
  <c r="D43" i="4" s="1"/>
  <c r="O42" i="4"/>
  <c r="N42" i="4"/>
  <c r="M42" i="4"/>
  <c r="L42" i="4"/>
  <c r="K42" i="4"/>
  <c r="J42" i="4"/>
  <c r="I42" i="4"/>
  <c r="F42" i="4"/>
  <c r="E42" i="4" s="1"/>
  <c r="B42" i="4"/>
  <c r="D42" i="4" s="1"/>
  <c r="O45" i="4"/>
  <c r="N45" i="4"/>
  <c r="M45" i="4"/>
  <c r="L45" i="4"/>
  <c r="K45" i="4"/>
  <c r="J45" i="4"/>
  <c r="I45" i="4"/>
  <c r="F45" i="4"/>
  <c r="E45" i="4" s="1"/>
  <c r="B45" i="4"/>
  <c r="D45" i="4" s="1"/>
  <c r="O40" i="4"/>
  <c r="N40" i="4"/>
  <c r="M40" i="4"/>
  <c r="L40" i="4"/>
  <c r="K40" i="4"/>
  <c r="J40" i="4"/>
  <c r="I40" i="4"/>
  <c r="F40" i="4"/>
  <c r="E40" i="4" s="1"/>
  <c r="B40" i="4"/>
  <c r="D40" i="4" s="1"/>
  <c r="O41" i="4"/>
  <c r="N41" i="4"/>
  <c r="M41" i="4"/>
  <c r="L41" i="4"/>
  <c r="K41" i="4"/>
  <c r="J41" i="4"/>
  <c r="I41" i="4"/>
  <c r="F41" i="4"/>
  <c r="E41" i="4" s="1"/>
  <c r="B41" i="4"/>
  <c r="D41" i="4" s="1"/>
  <c r="O39" i="4"/>
  <c r="N39" i="4"/>
  <c r="M39" i="4"/>
  <c r="L39" i="4"/>
  <c r="K39" i="4"/>
  <c r="J39" i="4"/>
  <c r="I39" i="4"/>
  <c r="F39" i="4"/>
  <c r="E39" i="4" s="1"/>
  <c r="B39" i="4"/>
  <c r="D39" i="4" s="1"/>
  <c r="O38" i="4"/>
  <c r="N38" i="4"/>
  <c r="M38" i="4"/>
  <c r="L38" i="4"/>
  <c r="K38" i="4"/>
  <c r="J38" i="4"/>
  <c r="I38" i="4"/>
  <c r="F38" i="4"/>
  <c r="E38" i="4" s="1"/>
  <c r="B38" i="4"/>
  <c r="D38" i="4" s="1"/>
  <c r="O33" i="4"/>
  <c r="N33" i="4"/>
  <c r="M33" i="4"/>
  <c r="L33" i="4"/>
  <c r="K33" i="4"/>
  <c r="J33" i="4"/>
  <c r="I33" i="4"/>
  <c r="F33" i="4"/>
  <c r="E33" i="4" s="1"/>
  <c r="B33" i="4"/>
  <c r="O34" i="4"/>
  <c r="N34" i="4"/>
  <c r="M34" i="4"/>
  <c r="L34" i="4"/>
  <c r="K34" i="4"/>
  <c r="J34" i="4"/>
  <c r="I34" i="4"/>
  <c r="F34" i="4"/>
  <c r="E34" i="4" s="1"/>
  <c r="B34" i="4"/>
  <c r="D34" i="4" s="1"/>
  <c r="O37" i="4"/>
  <c r="N37" i="4"/>
  <c r="M37" i="4"/>
  <c r="L37" i="4"/>
  <c r="K37" i="4"/>
  <c r="J37" i="4"/>
  <c r="I37" i="4"/>
  <c r="F37" i="4"/>
  <c r="E37" i="4" s="1"/>
  <c r="B37" i="4"/>
  <c r="O35" i="4"/>
  <c r="N35" i="4"/>
  <c r="M35" i="4"/>
  <c r="L35" i="4"/>
  <c r="K35" i="4"/>
  <c r="J35" i="4"/>
  <c r="I35" i="4"/>
  <c r="F35" i="4"/>
  <c r="E35" i="4" s="1"/>
  <c r="B35" i="4"/>
  <c r="D35" i="4" s="1"/>
  <c r="O36" i="4"/>
  <c r="N36" i="4"/>
  <c r="M36" i="4"/>
  <c r="L36" i="4"/>
  <c r="K36" i="4"/>
  <c r="J36" i="4"/>
  <c r="I36" i="4"/>
  <c r="F36" i="4"/>
  <c r="E36" i="4" s="1"/>
  <c r="B36" i="4"/>
  <c r="D36" i="4" s="1"/>
  <c r="O31" i="4"/>
  <c r="N31" i="4"/>
  <c r="M31" i="4"/>
  <c r="L31" i="4"/>
  <c r="K31" i="4"/>
  <c r="J31" i="4"/>
  <c r="I31" i="4"/>
  <c r="F31" i="4"/>
  <c r="E31" i="4" s="1"/>
  <c r="B31" i="4"/>
  <c r="D31" i="4" s="1"/>
  <c r="O30" i="4"/>
  <c r="N30" i="4"/>
  <c r="M30" i="4"/>
  <c r="L30" i="4"/>
  <c r="K30" i="4"/>
  <c r="J30" i="4"/>
  <c r="I30" i="4"/>
  <c r="F30" i="4"/>
  <c r="E30" i="4" s="1"/>
  <c r="B30" i="4"/>
  <c r="D30" i="4" s="1"/>
  <c r="O32" i="4"/>
  <c r="N32" i="4"/>
  <c r="M32" i="4"/>
  <c r="L32" i="4"/>
  <c r="K32" i="4"/>
  <c r="J32" i="4"/>
  <c r="I32" i="4"/>
  <c r="F32" i="4"/>
  <c r="E32" i="4" s="1"/>
  <c r="B32" i="4"/>
  <c r="D32" i="4" s="1"/>
  <c r="O28" i="4"/>
  <c r="N28" i="4"/>
  <c r="M28" i="4"/>
  <c r="L28" i="4"/>
  <c r="K28" i="4"/>
  <c r="J28" i="4"/>
  <c r="I28" i="4"/>
  <c r="F28" i="4"/>
  <c r="E28" i="4" s="1"/>
  <c r="B28" i="4"/>
  <c r="D28" i="4" s="1"/>
  <c r="O26" i="4"/>
  <c r="N26" i="4"/>
  <c r="M26" i="4"/>
  <c r="L26" i="4"/>
  <c r="K26" i="4"/>
  <c r="J26" i="4"/>
  <c r="I26" i="4"/>
  <c r="F26" i="4"/>
  <c r="E26" i="4" s="1"/>
  <c r="B26" i="4"/>
  <c r="D26" i="4" s="1"/>
  <c r="O25" i="4"/>
  <c r="N25" i="4"/>
  <c r="M25" i="4"/>
  <c r="L25" i="4"/>
  <c r="K25" i="4"/>
  <c r="J25" i="4"/>
  <c r="I25" i="4"/>
  <c r="F25" i="4"/>
  <c r="E25" i="4" s="1"/>
  <c r="B25" i="4"/>
  <c r="D25" i="4" s="1"/>
  <c r="O29" i="4"/>
  <c r="N29" i="4"/>
  <c r="M29" i="4"/>
  <c r="L29" i="4"/>
  <c r="K29" i="4"/>
  <c r="J29" i="4"/>
  <c r="I29" i="4"/>
  <c r="F29" i="4"/>
  <c r="E29" i="4" s="1"/>
  <c r="B29" i="4"/>
  <c r="D29" i="4" s="1"/>
  <c r="O22" i="4"/>
  <c r="N22" i="4"/>
  <c r="M22" i="4"/>
  <c r="L22" i="4"/>
  <c r="K22" i="4"/>
  <c r="J22" i="4"/>
  <c r="I22" i="4"/>
  <c r="F22" i="4"/>
  <c r="E22" i="4" s="1"/>
  <c r="B22" i="4"/>
  <c r="D22" i="4" s="1"/>
  <c r="O21" i="4"/>
  <c r="N21" i="4"/>
  <c r="M21" i="4"/>
  <c r="L21" i="4"/>
  <c r="K21" i="4"/>
  <c r="J21" i="4"/>
  <c r="I21" i="4"/>
  <c r="F21" i="4"/>
  <c r="E21" i="4" s="1"/>
  <c r="B21" i="4"/>
  <c r="D21" i="4" s="1"/>
  <c r="O27" i="4"/>
  <c r="N27" i="4"/>
  <c r="M27" i="4"/>
  <c r="L27" i="4"/>
  <c r="K27" i="4"/>
  <c r="J27" i="4"/>
  <c r="I27" i="4"/>
  <c r="F27" i="4"/>
  <c r="E27" i="4" s="1"/>
  <c r="B27" i="4"/>
  <c r="O23" i="4"/>
  <c r="N23" i="4"/>
  <c r="M23" i="4"/>
  <c r="L23" i="4"/>
  <c r="K23" i="4"/>
  <c r="J23" i="4"/>
  <c r="I23" i="4"/>
  <c r="F23" i="4"/>
  <c r="E23" i="4" s="1"/>
  <c r="B23" i="4"/>
  <c r="D23" i="4" s="1"/>
  <c r="O19" i="4"/>
  <c r="N19" i="4"/>
  <c r="M19" i="4"/>
  <c r="L19" i="4"/>
  <c r="K19" i="4"/>
  <c r="J19" i="4"/>
  <c r="I19" i="4"/>
  <c r="F19" i="4"/>
  <c r="E19" i="4" s="1"/>
  <c r="B19" i="4"/>
  <c r="O20" i="4"/>
  <c r="N20" i="4"/>
  <c r="M20" i="4"/>
  <c r="L20" i="4"/>
  <c r="K20" i="4"/>
  <c r="J20" i="4"/>
  <c r="I20" i="4"/>
  <c r="F20" i="4"/>
  <c r="E20" i="4" s="1"/>
  <c r="B20" i="4"/>
  <c r="D20" i="4" s="1"/>
  <c r="O16" i="4"/>
  <c r="N16" i="4"/>
  <c r="M16" i="4"/>
  <c r="L16" i="4"/>
  <c r="K16" i="4"/>
  <c r="J16" i="4"/>
  <c r="I16" i="4"/>
  <c r="F16" i="4"/>
  <c r="E16" i="4" s="1"/>
  <c r="B16" i="4"/>
  <c r="O24" i="4"/>
  <c r="N24" i="4"/>
  <c r="M24" i="4"/>
  <c r="L24" i="4"/>
  <c r="K24" i="4"/>
  <c r="J24" i="4"/>
  <c r="I24" i="4"/>
  <c r="F24" i="4"/>
  <c r="E24" i="4" s="1"/>
  <c r="B24" i="4"/>
  <c r="D24" i="4" s="1"/>
  <c r="O15" i="4"/>
  <c r="N15" i="4"/>
  <c r="M15" i="4"/>
  <c r="L15" i="4"/>
  <c r="K15" i="4"/>
  <c r="J15" i="4"/>
  <c r="I15" i="4"/>
  <c r="F15" i="4"/>
  <c r="E15" i="4" s="1"/>
  <c r="B15" i="4"/>
  <c r="D15" i="4" s="1"/>
  <c r="O18" i="4"/>
  <c r="N18" i="4"/>
  <c r="M18" i="4"/>
  <c r="L18" i="4"/>
  <c r="K18" i="4"/>
  <c r="J18" i="4"/>
  <c r="I18" i="4"/>
  <c r="F18" i="4"/>
  <c r="E18" i="4" s="1"/>
  <c r="B18" i="4"/>
  <c r="D18" i="4" s="1"/>
  <c r="O13" i="4"/>
  <c r="N13" i="4"/>
  <c r="M13" i="4"/>
  <c r="L13" i="4"/>
  <c r="K13" i="4"/>
  <c r="J13" i="4"/>
  <c r="I13" i="4"/>
  <c r="F13" i="4"/>
  <c r="E13" i="4" s="1"/>
  <c r="B13" i="4"/>
  <c r="O17" i="4"/>
  <c r="N17" i="4"/>
  <c r="M17" i="4"/>
  <c r="L17" i="4"/>
  <c r="K17" i="4"/>
  <c r="J17" i="4"/>
  <c r="I17" i="4"/>
  <c r="F17" i="4"/>
  <c r="E17" i="4" s="1"/>
  <c r="B17" i="4"/>
  <c r="D17" i="4" s="1"/>
  <c r="O14" i="4"/>
  <c r="N14" i="4"/>
  <c r="M14" i="4"/>
  <c r="L14" i="4"/>
  <c r="K14" i="4"/>
  <c r="J14" i="4"/>
  <c r="I14" i="4"/>
  <c r="F14" i="4"/>
  <c r="E14" i="4" s="1"/>
  <c r="B14" i="4"/>
  <c r="D14" i="4" s="1"/>
  <c r="O12" i="4"/>
  <c r="N12" i="4"/>
  <c r="M12" i="4"/>
  <c r="L12" i="4"/>
  <c r="K12" i="4"/>
  <c r="J12" i="4"/>
  <c r="I12" i="4"/>
  <c r="F12" i="4"/>
  <c r="E12" i="4" s="1"/>
  <c r="B12" i="4"/>
  <c r="D12" i="4" s="1"/>
  <c r="O10" i="4"/>
  <c r="N10" i="4"/>
  <c r="M10" i="4"/>
  <c r="L10" i="4"/>
  <c r="K10" i="4"/>
  <c r="J10" i="4"/>
  <c r="I10" i="4"/>
  <c r="F10" i="4"/>
  <c r="E10" i="4" s="1"/>
  <c r="B10" i="4"/>
  <c r="O9" i="4"/>
  <c r="N9" i="4"/>
  <c r="M9" i="4"/>
  <c r="L9" i="4"/>
  <c r="K9" i="4"/>
  <c r="J9" i="4"/>
  <c r="I9" i="4"/>
  <c r="F9" i="4"/>
  <c r="E9" i="4" s="1"/>
  <c r="B9" i="4"/>
  <c r="D9" i="4" s="1"/>
  <c r="O11" i="4"/>
  <c r="N11" i="4"/>
  <c r="M11" i="4"/>
  <c r="L11" i="4"/>
  <c r="K11" i="4"/>
  <c r="J11" i="4"/>
  <c r="I11" i="4"/>
  <c r="F11" i="4"/>
  <c r="E11" i="4" s="1"/>
  <c r="B11" i="4"/>
  <c r="D11" i="4" s="1"/>
  <c r="O8" i="4"/>
  <c r="N8" i="4"/>
  <c r="M8" i="4"/>
  <c r="L8" i="4"/>
  <c r="K8" i="4"/>
  <c r="J8" i="4"/>
  <c r="I8" i="4"/>
  <c r="F8" i="4"/>
  <c r="E8" i="4" s="1"/>
  <c r="B8" i="4"/>
  <c r="D8" i="4" s="1"/>
  <c r="O6" i="4"/>
  <c r="N6" i="4"/>
  <c r="M6" i="4"/>
  <c r="L6" i="4"/>
  <c r="K6" i="4"/>
  <c r="J6" i="4"/>
  <c r="I6" i="4"/>
  <c r="F6" i="4"/>
  <c r="E6" i="4" s="1"/>
  <c r="B6" i="4"/>
  <c r="O7" i="4"/>
  <c r="N7" i="4"/>
  <c r="M7" i="4"/>
  <c r="L7" i="4"/>
  <c r="K7" i="4"/>
  <c r="J7" i="4"/>
  <c r="I7" i="4"/>
  <c r="F7" i="4"/>
  <c r="E7" i="4" s="1"/>
  <c r="B7" i="4"/>
  <c r="D7" i="4" s="1"/>
  <c r="O4" i="4"/>
  <c r="N4" i="4"/>
  <c r="M4" i="4"/>
  <c r="L4" i="4"/>
  <c r="K4" i="4"/>
  <c r="J4" i="4"/>
  <c r="I4" i="4"/>
  <c r="F4" i="4"/>
  <c r="E4" i="4" s="1"/>
  <c r="B4" i="4"/>
  <c r="D4" i="4" s="1"/>
  <c r="O5" i="4"/>
  <c r="N5" i="4"/>
  <c r="M5" i="4"/>
  <c r="L5" i="4"/>
  <c r="K5" i="4"/>
  <c r="J5" i="4"/>
  <c r="I5" i="4"/>
  <c r="F5" i="4"/>
  <c r="E5" i="4" s="1"/>
  <c r="B5" i="4"/>
  <c r="D5" i="4" s="1"/>
  <c r="O139" i="5"/>
  <c r="N139" i="5"/>
  <c r="M139" i="5"/>
  <c r="L139" i="5"/>
  <c r="K139" i="5"/>
  <c r="J139" i="5"/>
  <c r="I139" i="5"/>
  <c r="F139" i="5"/>
  <c r="E139" i="5" s="1"/>
  <c r="B139" i="5"/>
  <c r="V139" i="5" s="1"/>
  <c r="I241" i="45"/>
  <c r="I21" i="45"/>
  <c r="I234" i="45"/>
  <c r="I243" i="45"/>
  <c r="I235" i="45"/>
  <c r="I174" i="45"/>
  <c r="I244" i="45"/>
  <c r="I281" i="45"/>
  <c r="I211" i="45"/>
  <c r="I220" i="45"/>
  <c r="I153" i="45"/>
  <c r="I13" i="45"/>
  <c r="I54" i="45"/>
  <c r="I32" i="45"/>
  <c r="I35" i="45"/>
  <c r="I158" i="45"/>
  <c r="I183" i="45"/>
  <c r="I25" i="45"/>
  <c r="I74" i="45"/>
  <c r="I86" i="45"/>
  <c r="I166" i="45"/>
  <c r="I316" i="45"/>
  <c r="I185" i="45"/>
  <c r="I219" i="45"/>
  <c r="I207" i="45"/>
  <c r="I83" i="45"/>
  <c r="I89" i="45"/>
  <c r="I224" i="45"/>
  <c r="I246" i="45"/>
  <c r="I55" i="45"/>
  <c r="I162" i="45"/>
  <c r="I12" i="45"/>
  <c r="I22" i="45"/>
  <c r="I197" i="45"/>
  <c r="I3" i="45"/>
  <c r="I106" i="45"/>
  <c r="I151" i="45"/>
  <c r="I253" i="45"/>
  <c r="I204" i="45"/>
  <c r="I252" i="45"/>
  <c r="I236" i="45"/>
  <c r="I50" i="45"/>
  <c r="I289" i="45"/>
  <c r="I138" i="45"/>
  <c r="I187" i="45"/>
  <c r="I91" i="45"/>
  <c r="I84" i="45"/>
  <c r="I28" i="45"/>
  <c r="I249" i="45"/>
  <c r="I154" i="45"/>
  <c r="I310" i="45"/>
  <c r="I301" i="45"/>
  <c r="I107" i="45"/>
  <c r="I30" i="45"/>
  <c r="I100" i="45"/>
  <c r="I59" i="45"/>
  <c r="I124" i="45"/>
  <c r="I90" i="45"/>
  <c r="I155" i="45"/>
  <c r="I318" i="45"/>
  <c r="I292" i="45"/>
  <c r="I92" i="45"/>
  <c r="I51" i="45"/>
  <c r="I269" i="45"/>
  <c r="I159" i="45"/>
  <c r="I41" i="45"/>
  <c r="I242" i="45"/>
  <c r="I121" i="45"/>
  <c r="I126" i="45"/>
  <c r="I221" i="45"/>
  <c r="I302" i="45"/>
  <c r="I36" i="45"/>
  <c r="I77" i="45"/>
  <c r="I111" i="45"/>
  <c r="I29" i="45"/>
  <c r="I283" i="45"/>
  <c r="I156" i="45"/>
  <c r="I213" i="45"/>
  <c r="I311" i="45"/>
  <c r="I45" i="45"/>
  <c r="I66" i="45"/>
  <c r="I274" i="45"/>
  <c r="I10" i="45"/>
  <c r="I39" i="45"/>
  <c r="I135" i="45"/>
  <c r="I296" i="45"/>
  <c r="I195" i="45"/>
  <c r="I264" i="45"/>
  <c r="I215" i="45"/>
  <c r="I4" i="45"/>
  <c r="I33" i="45"/>
  <c r="I19" i="45"/>
  <c r="I192" i="45"/>
  <c r="I176" i="45"/>
  <c r="I216" i="45"/>
  <c r="I188" i="45"/>
  <c r="I87" i="45"/>
  <c r="I115" i="45"/>
  <c r="I180" i="45"/>
  <c r="I105" i="45"/>
  <c r="I145" i="45"/>
  <c r="I57" i="45"/>
  <c r="I26" i="45"/>
  <c r="I251" i="45"/>
  <c r="I276" i="45"/>
  <c r="I8" i="45"/>
  <c r="I148" i="45"/>
  <c r="I139" i="45"/>
  <c r="I146" i="45"/>
  <c r="I136" i="45"/>
  <c r="I94" i="45"/>
  <c r="I171" i="45"/>
  <c r="I300" i="45"/>
  <c r="I134" i="45"/>
  <c r="I63" i="45"/>
  <c r="I223" i="45"/>
  <c r="I76" i="45"/>
  <c r="I147" i="45"/>
  <c r="I23" i="45"/>
  <c r="I157" i="45"/>
  <c r="I298" i="45"/>
  <c r="I309" i="45"/>
  <c r="I250" i="45"/>
  <c r="I196" i="45"/>
  <c r="I268" i="45"/>
  <c r="I308" i="45"/>
  <c r="I205" i="45"/>
  <c r="I227" i="45"/>
  <c r="I203" i="45"/>
  <c r="I239" i="45"/>
  <c r="I24" i="45"/>
  <c r="I248" i="45"/>
  <c r="I170" i="45"/>
  <c r="I305" i="45"/>
  <c r="I313" i="45"/>
  <c r="I169" i="45"/>
  <c r="I186" i="45"/>
  <c r="I149" i="45"/>
  <c r="I322" i="45"/>
  <c r="I102" i="45"/>
  <c r="I128" i="45"/>
  <c r="I114" i="45"/>
  <c r="I262" i="45"/>
  <c r="I81" i="45"/>
  <c r="I144" i="45"/>
  <c r="I267" i="45"/>
  <c r="I210" i="45"/>
  <c r="I254" i="45"/>
  <c r="I113" i="45"/>
  <c r="I277" i="45"/>
  <c r="I44" i="45"/>
  <c r="I127" i="45"/>
  <c r="I123" i="45"/>
  <c r="I193" i="45"/>
  <c r="I247" i="45"/>
  <c r="I60" i="45"/>
  <c r="I323" i="45"/>
  <c r="I294" i="45"/>
  <c r="I9" i="45"/>
  <c r="I37" i="45"/>
  <c r="I99" i="45"/>
  <c r="I17" i="45"/>
  <c r="I303" i="45"/>
  <c r="I324" i="45"/>
  <c r="I101" i="45"/>
  <c r="I175" i="45"/>
  <c r="I314" i="45"/>
  <c r="I80" i="45"/>
  <c r="I231" i="45"/>
  <c r="I79" i="45"/>
  <c r="I307" i="45"/>
  <c r="I279" i="45"/>
  <c r="I225" i="45"/>
  <c r="I6" i="45"/>
  <c r="I122" i="45"/>
  <c r="I217" i="45"/>
  <c r="I257" i="45"/>
  <c r="I108" i="45"/>
  <c r="I14" i="45"/>
  <c r="I64" i="45"/>
  <c r="I31" i="45"/>
  <c r="I214" i="45"/>
  <c r="I2" i="45"/>
  <c r="I272" i="45"/>
  <c r="I16" i="45"/>
  <c r="I42" i="45"/>
  <c r="I75" i="45"/>
  <c r="I179" i="45"/>
  <c r="I112" i="45"/>
  <c r="I71" i="45"/>
  <c r="I103" i="45"/>
  <c r="I67" i="45"/>
  <c r="I62" i="45"/>
  <c r="I164" i="45"/>
  <c r="I280" i="45"/>
  <c r="I129" i="45"/>
  <c r="I228" i="45"/>
  <c r="I5" i="45"/>
  <c r="I212" i="45"/>
  <c r="I137" i="45"/>
  <c r="I110" i="45"/>
  <c r="I56" i="45"/>
  <c r="I140" i="45"/>
  <c r="I78" i="45"/>
  <c r="I320" i="45"/>
  <c r="I184" i="45"/>
  <c r="I222" i="45"/>
  <c r="I168" i="45"/>
  <c r="I152" i="45"/>
  <c r="I34" i="45"/>
  <c r="I58" i="45"/>
  <c r="I312" i="45"/>
  <c r="I293" i="45"/>
  <c r="I172" i="45"/>
  <c r="I273" i="45"/>
  <c r="I291" i="45"/>
  <c r="I98" i="45"/>
  <c r="I20" i="45"/>
  <c r="I278" i="45"/>
  <c r="I240" i="45"/>
  <c r="I150" i="45"/>
  <c r="I96" i="45"/>
  <c r="I201" i="45"/>
  <c r="I285" i="45"/>
  <c r="I97" i="45"/>
  <c r="I46" i="45"/>
  <c r="I88" i="45"/>
  <c r="I48" i="45"/>
  <c r="I15" i="45"/>
  <c r="I132" i="45"/>
  <c r="I258" i="45"/>
  <c r="I238" i="45"/>
  <c r="I230" i="45"/>
  <c r="I165" i="45"/>
  <c r="I229" i="45"/>
  <c r="I7" i="45"/>
  <c r="I190" i="45"/>
  <c r="I178" i="45"/>
  <c r="I261" i="45"/>
  <c r="I119" i="45"/>
  <c r="I82" i="45"/>
  <c r="I68" i="45"/>
  <c r="I202" i="45"/>
  <c r="I297" i="45"/>
  <c r="I116" i="45"/>
  <c r="I163" i="45"/>
  <c r="I73" i="45"/>
  <c r="I265" i="45"/>
  <c r="I295" i="45"/>
  <c r="I160" i="45"/>
  <c r="I245" i="45"/>
  <c r="I72" i="45"/>
  <c r="I69" i="45"/>
  <c r="I131" i="45"/>
  <c r="I177" i="45"/>
  <c r="I263" i="45"/>
  <c r="I141" i="45"/>
  <c r="I142" i="45"/>
  <c r="I271" i="45"/>
  <c r="I198" i="45"/>
  <c r="I226" i="45"/>
  <c r="I53" i="45"/>
  <c r="I65" i="45"/>
  <c r="I173" i="45"/>
  <c r="I317" i="45"/>
  <c r="I181" i="45"/>
  <c r="I256" i="45"/>
  <c r="I189" i="45"/>
  <c r="I47" i="45"/>
  <c r="I52" i="45"/>
  <c r="I161" i="45"/>
  <c r="I199" i="45"/>
  <c r="I118" i="45"/>
  <c r="I306" i="45"/>
  <c r="I233" i="45"/>
  <c r="I209" i="45"/>
  <c r="I70" i="45"/>
  <c r="I18" i="45"/>
  <c r="I266" i="45"/>
  <c r="I287" i="45"/>
  <c r="I133" i="45"/>
  <c r="I40" i="45"/>
  <c r="I38" i="45"/>
  <c r="I182" i="45"/>
  <c r="I109" i="45"/>
  <c r="I206" i="45"/>
  <c r="I299" i="45"/>
  <c r="I200" i="45"/>
  <c r="I117" i="45"/>
  <c r="I11" i="45"/>
  <c r="I194" i="45"/>
  <c r="I85" i="45"/>
  <c r="I260" i="45"/>
  <c r="I270" i="45"/>
  <c r="I218" i="45"/>
  <c r="I191" i="45"/>
  <c r="I130" i="45"/>
  <c r="I237" i="45"/>
  <c r="I49" i="45"/>
  <c r="I284" i="45"/>
  <c r="I319" i="45"/>
  <c r="I208" i="45"/>
  <c r="I43" i="45"/>
  <c r="I143" i="45"/>
  <c r="I167" i="45"/>
  <c r="I104" i="45"/>
  <c r="I304" i="45"/>
  <c r="I27" i="45"/>
  <c r="I93" i="45"/>
  <c r="I125" i="45"/>
  <c r="V64" i="28"/>
  <c r="M64" i="28"/>
  <c r="D64" i="28"/>
  <c r="V63" i="28"/>
  <c r="M58" i="28"/>
  <c r="D63" i="28"/>
  <c r="V62" i="28"/>
  <c r="M61" i="28"/>
  <c r="D60" i="28"/>
  <c r="V61" i="28"/>
  <c r="M63" i="28"/>
  <c r="D62" i="28"/>
  <c r="V60" i="28"/>
  <c r="M62" i="28"/>
  <c r="D61" i="28"/>
  <c r="V59" i="28"/>
  <c r="M57" i="28"/>
  <c r="D58" i="28"/>
  <c r="V58" i="28"/>
  <c r="M59" i="28"/>
  <c r="D59" i="28"/>
  <c r="V57" i="28"/>
  <c r="M60" i="28"/>
  <c r="D57" i="28"/>
  <c r="V56" i="28"/>
  <c r="M56" i="28"/>
  <c r="D54" i="28"/>
  <c r="V55" i="28"/>
  <c r="M54" i="28"/>
  <c r="D53" i="28"/>
  <c r="V54" i="28"/>
  <c r="M53" i="28"/>
  <c r="D55" i="28"/>
  <c r="V53" i="28"/>
  <c r="M51" i="28"/>
  <c r="D56" i="28"/>
  <c r="V52" i="28"/>
  <c r="M55" i="28"/>
  <c r="D52" i="28"/>
  <c r="V51" i="28"/>
  <c r="M48" i="28"/>
  <c r="D51" i="28"/>
  <c r="V50" i="28"/>
  <c r="M47" i="28"/>
  <c r="D50" i="28"/>
  <c r="V49" i="28"/>
  <c r="M52" i="28"/>
  <c r="D49" i="28"/>
  <c r="V48" i="28"/>
  <c r="M50" i="28"/>
  <c r="D48" i="28"/>
  <c r="V47" i="28"/>
  <c r="M46" i="28"/>
  <c r="D45" i="28"/>
  <c r="V46" i="28"/>
  <c r="M38" i="28"/>
  <c r="D47" i="28"/>
  <c r="V45" i="28"/>
  <c r="M45" i="28"/>
  <c r="D46" i="28"/>
  <c r="V44" i="28"/>
  <c r="M44" i="28"/>
  <c r="D44" i="28"/>
  <c r="V43" i="28"/>
  <c r="M43" i="28"/>
  <c r="D43" i="28"/>
  <c r="V42" i="28"/>
  <c r="M42" i="28"/>
  <c r="D42" i="28"/>
  <c r="V41" i="28"/>
  <c r="M41" i="28"/>
  <c r="D41" i="28"/>
  <c r="V40" i="28"/>
  <c r="M39" i="28"/>
  <c r="D40" i="28"/>
  <c r="V39" i="28"/>
  <c r="M40" i="28"/>
  <c r="D39" i="28"/>
  <c r="V38" i="28"/>
  <c r="M37" i="28"/>
  <c r="D38" i="28"/>
  <c r="V37" i="28"/>
  <c r="M36" i="28"/>
  <c r="D37" i="28"/>
  <c r="V36" i="28"/>
  <c r="M33" i="28"/>
  <c r="V35" i="28"/>
  <c r="M35" i="28"/>
  <c r="V34" i="28"/>
  <c r="M29" i="28"/>
  <c r="D34" i="28"/>
  <c r="V33" i="28"/>
  <c r="M31" i="28"/>
  <c r="D33" i="28"/>
  <c r="V32" i="28"/>
  <c r="M34" i="28"/>
  <c r="D30" i="28"/>
  <c r="V31" i="28"/>
  <c r="M32" i="28"/>
  <c r="D32" i="28"/>
  <c r="V30" i="28"/>
  <c r="M28" i="28"/>
  <c r="D29" i="28"/>
  <c r="V29" i="28"/>
  <c r="M27" i="28"/>
  <c r="D28" i="28"/>
  <c r="V28" i="28"/>
  <c r="M24" i="28"/>
  <c r="D24" i="28"/>
  <c r="V27" i="28"/>
  <c r="M23" i="28"/>
  <c r="D27" i="28"/>
  <c r="V26" i="28"/>
  <c r="M21" i="28"/>
  <c r="D26" i="28"/>
  <c r="V25" i="28"/>
  <c r="M22" i="28"/>
  <c r="D25" i="28"/>
  <c r="V24" i="28"/>
  <c r="M20" i="28"/>
  <c r="D31" i="28"/>
  <c r="V23" i="28"/>
  <c r="M17" i="28"/>
  <c r="D22" i="28"/>
  <c r="V22" i="28"/>
  <c r="M25" i="28"/>
  <c r="D23" i="28"/>
  <c r="V21" i="28"/>
  <c r="M18" i="28"/>
  <c r="D21" i="28"/>
  <c r="V20" i="28"/>
  <c r="M26" i="28"/>
  <c r="D20" i="28"/>
  <c r="V19" i="28"/>
  <c r="M14" i="28"/>
  <c r="D19" i="28"/>
  <c r="V18" i="28"/>
  <c r="M30" i="28"/>
  <c r="D18" i="28"/>
  <c r="V17" i="28"/>
  <c r="M13" i="28"/>
  <c r="D17" i="28"/>
  <c r="V16" i="28"/>
  <c r="M12" i="28"/>
  <c r="D16" i="28"/>
  <c r="V15" i="28"/>
  <c r="M11" i="28"/>
  <c r="D15" i="28"/>
  <c r="V14" i="28"/>
  <c r="M10" i="28"/>
  <c r="D14" i="28"/>
  <c r="V13" i="28"/>
  <c r="M9" i="28"/>
  <c r="D13" i="28"/>
  <c r="V12" i="28"/>
  <c r="M15" i="28"/>
  <c r="D12" i="28"/>
  <c r="V11" i="28"/>
  <c r="M16" i="28"/>
  <c r="D11" i="28"/>
  <c r="V10" i="28"/>
  <c r="M7" i="28"/>
  <c r="D10" i="28"/>
  <c r="V9" i="28"/>
  <c r="M6" i="28"/>
  <c r="D9" i="28"/>
  <c r="V8" i="28"/>
  <c r="M19" i="28"/>
  <c r="D8" i="28"/>
  <c r="V7" i="28"/>
  <c r="M8" i="28"/>
  <c r="D7" i="28"/>
  <c r="V6" i="28"/>
  <c r="M5" i="28"/>
  <c r="D6" i="28"/>
  <c r="V5" i="28"/>
  <c r="M49" i="28"/>
  <c r="D5" i="28"/>
  <c r="B264" i="29" a="1"/>
  <c r="B264" i="29" s="1"/>
  <c r="B263" i="29" a="1"/>
  <c r="B263" i="29" s="1"/>
  <c r="B262" i="29" a="1"/>
  <c r="B262" i="29" s="1"/>
  <c r="A262" i="29" s="1"/>
  <c r="B261" i="29" a="1"/>
  <c r="B261" i="29" s="1"/>
  <c r="B260" i="29" a="1"/>
  <c r="B260" i="29" s="1"/>
  <c r="B259" i="29" a="1"/>
  <c r="B259" i="29" s="1"/>
  <c r="B258" i="29" a="1"/>
  <c r="B258" i="29" s="1"/>
  <c r="A258" i="29" s="1"/>
  <c r="B257" i="29" a="1"/>
  <c r="B257" i="29" s="1"/>
  <c r="B256" i="29" a="1"/>
  <c r="B256" i="29" s="1"/>
  <c r="B255" i="29" a="1"/>
  <c r="B255" i="29" s="1"/>
  <c r="B254" i="29" a="1"/>
  <c r="B254" i="29" s="1"/>
  <c r="A254" i="29" s="1"/>
  <c r="B253" i="29" a="1"/>
  <c r="B253" i="29" s="1"/>
  <c r="B252" i="29" a="1"/>
  <c r="B252" i="29" s="1"/>
  <c r="B251" i="29" a="1"/>
  <c r="B251" i="29" s="1"/>
  <c r="B250" i="29" a="1"/>
  <c r="B250" i="29" s="1"/>
  <c r="A250" i="29" s="1"/>
  <c r="B249" i="29" a="1"/>
  <c r="B249" i="29" s="1"/>
  <c r="B248" i="29" a="1"/>
  <c r="B248" i="29" s="1"/>
  <c r="B247" i="29" a="1"/>
  <c r="B247" i="29" s="1"/>
  <c r="B246" i="29" a="1"/>
  <c r="B246" i="29" s="1"/>
  <c r="A246" i="29" s="1"/>
  <c r="B245" i="29" a="1"/>
  <c r="B245" i="29" s="1"/>
  <c r="H240" i="29" a="1"/>
  <c r="H240" i="29" s="1"/>
  <c r="B240" i="29" a="1"/>
  <c r="B240" i="29" s="1"/>
  <c r="H239" i="29" a="1"/>
  <c r="H239" i="29" s="1"/>
  <c r="B239" i="29" a="1"/>
  <c r="B239" i="29" s="1"/>
  <c r="E239" i="29" s="1"/>
  <c r="H238" i="29" a="1"/>
  <c r="H238" i="29" s="1"/>
  <c r="K238" i="29" s="1"/>
  <c r="B238" i="29" a="1"/>
  <c r="B238" i="29" s="1"/>
  <c r="H237" i="29" a="1"/>
  <c r="H237" i="29" s="1"/>
  <c r="B237" i="29" a="1"/>
  <c r="B237" i="29" s="1"/>
  <c r="H236" i="29" a="1"/>
  <c r="H236" i="29" s="1"/>
  <c r="K236" i="29" s="1"/>
  <c r="B236" i="29" a="1"/>
  <c r="B236" i="29" s="1"/>
  <c r="E236" i="29" s="1"/>
  <c r="H235" i="29" a="1"/>
  <c r="H235" i="29" s="1"/>
  <c r="B235" i="29" a="1"/>
  <c r="B235" i="29" s="1"/>
  <c r="H234" i="29" a="1"/>
  <c r="H234" i="29" s="1"/>
  <c r="G234" i="29" s="1"/>
  <c r="B234" i="29" a="1"/>
  <c r="B234" i="29" s="1"/>
  <c r="H233" i="29" a="1"/>
  <c r="H233" i="29" s="1"/>
  <c r="B233" i="29" a="1"/>
  <c r="B233" i="29" s="1"/>
  <c r="H232" i="29" a="1"/>
  <c r="H232" i="29" s="1"/>
  <c r="K232" i="29" s="1"/>
  <c r="B232" i="29" a="1"/>
  <c r="B232" i="29" s="1"/>
  <c r="E232" i="29" s="1"/>
  <c r="H231" i="29" a="1"/>
  <c r="H231" i="29" s="1"/>
  <c r="I231" i="29" s="1"/>
  <c r="J231" i="29" s="1"/>
  <c r="B231" i="29" a="1"/>
  <c r="B231" i="29" s="1"/>
  <c r="E231" i="29" s="1"/>
  <c r="H230" i="29" a="1"/>
  <c r="H230" i="29" s="1"/>
  <c r="B230" i="29" a="1"/>
  <c r="B230" i="29" s="1"/>
  <c r="H229" i="29" a="1"/>
  <c r="H229" i="29" s="1"/>
  <c r="B229" i="29" a="1"/>
  <c r="B229" i="29" s="1"/>
  <c r="E229" i="29" s="1"/>
  <c r="H228" i="29" a="1"/>
  <c r="H228" i="29" s="1"/>
  <c r="K228" i="29" s="1"/>
  <c r="B228" i="29" a="1"/>
  <c r="B228" i="29" s="1"/>
  <c r="H227" i="29" a="1"/>
  <c r="H227" i="29" s="1"/>
  <c r="I227" i="29" s="1"/>
  <c r="B227" i="29" a="1"/>
  <c r="B227" i="29" s="1"/>
  <c r="E227" i="29" s="1"/>
  <c r="H226" i="29" a="1"/>
  <c r="H226" i="29" s="1"/>
  <c r="G226" i="29" s="1"/>
  <c r="B226" i="29" a="1"/>
  <c r="B226" i="29" s="1"/>
  <c r="C226" i="29" s="1"/>
  <c r="H225" i="29" a="1"/>
  <c r="H225" i="29" s="1"/>
  <c r="B225" i="29" a="1"/>
  <c r="B225" i="29" s="1"/>
  <c r="H224" i="29" a="1"/>
  <c r="H224" i="29" s="1"/>
  <c r="G224" i="29" s="1"/>
  <c r="B224" i="29" a="1"/>
  <c r="B224" i="29" s="1"/>
  <c r="H223" i="29" a="1"/>
  <c r="H223" i="29" s="1"/>
  <c r="G223" i="29" s="1"/>
  <c r="B223" i="29" a="1"/>
  <c r="B223" i="29" s="1"/>
  <c r="H222" i="29" a="1"/>
  <c r="H222" i="29" s="1"/>
  <c r="G222" i="29" s="1"/>
  <c r="B222" i="29" a="1"/>
  <c r="B222" i="29" s="1"/>
  <c r="E222" i="29" s="1"/>
  <c r="H221" i="29" a="1"/>
  <c r="H221" i="29" s="1"/>
  <c r="B221" i="29" a="1"/>
  <c r="B221" i="29" s="1"/>
  <c r="H216" i="29" a="1"/>
  <c r="H216" i="29" s="1"/>
  <c r="I216" i="29" s="1"/>
  <c r="B216" i="29" a="1"/>
  <c r="B216" i="29" s="1"/>
  <c r="H215" i="29" a="1"/>
  <c r="H215" i="29" s="1"/>
  <c r="B215" i="29" a="1"/>
  <c r="B215" i="29" s="1"/>
  <c r="H214" i="29" a="1"/>
  <c r="H214" i="29" s="1"/>
  <c r="I214" i="29" s="1"/>
  <c r="B214" i="29" a="1"/>
  <c r="B214" i="29" s="1"/>
  <c r="H213" i="29" a="1"/>
  <c r="H213" i="29" s="1"/>
  <c r="B213" i="29" a="1"/>
  <c r="B213" i="29" s="1"/>
  <c r="H212" i="29" a="1"/>
  <c r="H212" i="29" s="1"/>
  <c r="I212" i="29" s="1"/>
  <c r="B212" i="29" a="1"/>
  <c r="B212" i="29" s="1"/>
  <c r="H211" i="29" a="1"/>
  <c r="H211" i="29" s="1"/>
  <c r="B211" i="29" a="1"/>
  <c r="B211" i="29" s="1"/>
  <c r="C211" i="29" s="1"/>
  <c r="H210" i="29" a="1"/>
  <c r="H210" i="29" s="1"/>
  <c r="B210" i="29" a="1"/>
  <c r="B210" i="29" s="1"/>
  <c r="E210" i="29" s="1"/>
  <c r="H209" i="29" a="1"/>
  <c r="H209" i="29" s="1"/>
  <c r="B209" i="29" a="1"/>
  <c r="B209" i="29" s="1"/>
  <c r="H208" i="29" a="1"/>
  <c r="H208" i="29" s="1"/>
  <c r="I208" i="29" s="1"/>
  <c r="B208" i="29" a="1"/>
  <c r="B208" i="29" s="1"/>
  <c r="H207" i="29" a="1"/>
  <c r="H207" i="29" s="1"/>
  <c r="B207" i="29" a="1"/>
  <c r="B207" i="29" s="1"/>
  <c r="H206" i="29" a="1"/>
  <c r="H206" i="29" s="1"/>
  <c r="B206" i="29" a="1"/>
  <c r="B206" i="29" s="1"/>
  <c r="H205" i="29" a="1"/>
  <c r="H205" i="29" s="1"/>
  <c r="B205" i="29" a="1"/>
  <c r="B205" i="29" s="1"/>
  <c r="H204" i="29" a="1"/>
  <c r="H204" i="29" s="1"/>
  <c r="B204" i="29" a="1"/>
  <c r="B204" i="29" s="1"/>
  <c r="E204" i="29" s="1"/>
  <c r="H203" i="29" a="1"/>
  <c r="H203" i="29" s="1"/>
  <c r="B203" i="29" a="1"/>
  <c r="B203" i="29" s="1"/>
  <c r="C203" i="29" s="1"/>
  <c r="H202" i="29" a="1"/>
  <c r="H202" i="29" s="1"/>
  <c r="B202" i="29" a="1"/>
  <c r="B202" i="29" s="1"/>
  <c r="H201" i="29" a="1"/>
  <c r="H201" i="29" s="1"/>
  <c r="B201" i="29" a="1"/>
  <c r="B201" i="29" s="1"/>
  <c r="H200" i="29" a="1"/>
  <c r="H200" i="29" s="1"/>
  <c r="B200" i="29" a="1"/>
  <c r="B200" i="29" s="1"/>
  <c r="H199" i="29" a="1"/>
  <c r="H199" i="29" s="1"/>
  <c r="B199" i="29" a="1"/>
  <c r="B199" i="29" s="1"/>
  <c r="H198" i="29" a="1"/>
  <c r="H198" i="29" s="1"/>
  <c r="I198" i="29" s="1"/>
  <c r="B198" i="29" a="1"/>
  <c r="B198" i="29" s="1"/>
  <c r="E198" i="29" s="1"/>
  <c r="H197" i="29" a="1"/>
  <c r="H197" i="29" s="1"/>
  <c r="B197" i="29" a="1"/>
  <c r="B197" i="29" s="1"/>
  <c r="H192" i="29" a="1"/>
  <c r="H192" i="29" s="1"/>
  <c r="B192" i="29" a="1"/>
  <c r="B192" i="29" s="1"/>
  <c r="H191" i="29" a="1"/>
  <c r="H191" i="29" s="1"/>
  <c r="B191" i="29" a="1"/>
  <c r="B191" i="29" s="1"/>
  <c r="C191" i="29" s="1"/>
  <c r="H190" i="29" a="1"/>
  <c r="H190" i="29" s="1"/>
  <c r="I190" i="29" s="1"/>
  <c r="J190" i="29" s="1"/>
  <c r="B190" i="29" a="1"/>
  <c r="B190" i="29" s="1"/>
  <c r="H189" i="29" a="1"/>
  <c r="H189" i="29" s="1"/>
  <c r="G189" i="29" s="1"/>
  <c r="B189" i="29" a="1"/>
  <c r="B189" i="29" s="1"/>
  <c r="H188" i="29" a="1"/>
  <c r="H188" i="29" s="1"/>
  <c r="I188" i="29" s="1"/>
  <c r="B188" i="29" a="1"/>
  <c r="B188" i="29" s="1"/>
  <c r="H187" i="29" a="1"/>
  <c r="H187" i="29" s="1"/>
  <c r="G187" i="29" s="1"/>
  <c r="B187" i="29" a="1"/>
  <c r="B187" i="29" s="1"/>
  <c r="E187" i="29" s="1"/>
  <c r="H186" i="29" a="1"/>
  <c r="H186" i="29" s="1"/>
  <c r="I186" i="29" s="1"/>
  <c r="J186" i="29" s="1"/>
  <c r="B186" i="29" a="1"/>
  <c r="B186" i="29" s="1"/>
  <c r="H185" i="29" a="1"/>
  <c r="H185" i="29" s="1"/>
  <c r="G185" i="29" s="1"/>
  <c r="B185" i="29" a="1"/>
  <c r="B185" i="29" s="1"/>
  <c r="H184" i="29" a="1"/>
  <c r="H184" i="29" s="1"/>
  <c r="I184" i="29" s="1"/>
  <c r="B184" i="29" a="1"/>
  <c r="B184" i="29" s="1"/>
  <c r="H183" i="29" a="1"/>
  <c r="H183" i="29" s="1"/>
  <c r="G183" i="29" s="1"/>
  <c r="B183" i="29" a="1"/>
  <c r="B183" i="29" s="1"/>
  <c r="E183" i="29" s="1"/>
  <c r="H182" i="29" a="1"/>
  <c r="H182" i="29" s="1"/>
  <c r="I182" i="29" s="1"/>
  <c r="J182" i="29" s="1"/>
  <c r="B182" i="29" a="1"/>
  <c r="B182" i="29" s="1"/>
  <c r="H181" i="29" a="1"/>
  <c r="H181" i="29" s="1"/>
  <c r="G181" i="29" s="1"/>
  <c r="B181" i="29" a="1"/>
  <c r="B181" i="29" s="1"/>
  <c r="H180" i="29" a="1"/>
  <c r="H180" i="29" s="1"/>
  <c r="K180" i="29" s="1"/>
  <c r="B180" i="29" a="1"/>
  <c r="B180" i="29" s="1"/>
  <c r="H179" i="29" a="1"/>
  <c r="H179" i="29" s="1"/>
  <c r="K179" i="29" s="1"/>
  <c r="B179" i="29" a="1"/>
  <c r="B179" i="29" s="1"/>
  <c r="E179" i="29" s="1"/>
  <c r="H178" i="29" a="1"/>
  <c r="H178" i="29" s="1"/>
  <c r="K178" i="29" s="1"/>
  <c r="B178" i="29" a="1"/>
  <c r="B178" i="29" s="1"/>
  <c r="H177" i="29" a="1"/>
  <c r="H177" i="29" s="1"/>
  <c r="B177" i="29" a="1"/>
  <c r="B177" i="29" s="1"/>
  <c r="H176" i="29" a="1"/>
  <c r="H176" i="29" s="1"/>
  <c r="K176" i="29" s="1"/>
  <c r="B176" i="29" a="1"/>
  <c r="B176" i="29" s="1"/>
  <c r="E176" i="29" s="1"/>
  <c r="H175" i="29" a="1"/>
  <c r="H175" i="29" s="1"/>
  <c r="K175" i="29" s="1"/>
  <c r="B175" i="29" a="1"/>
  <c r="B175" i="29" s="1"/>
  <c r="E175" i="29" s="1"/>
  <c r="H174" i="29" a="1"/>
  <c r="H174" i="29" s="1"/>
  <c r="K174" i="29" s="1"/>
  <c r="B174" i="29" a="1"/>
  <c r="B174" i="29" s="1"/>
  <c r="H173" i="29" a="1"/>
  <c r="H173" i="29" s="1"/>
  <c r="B173" i="29" a="1"/>
  <c r="B173" i="29" s="1"/>
  <c r="H168" i="29" a="1"/>
  <c r="H168" i="29" s="1"/>
  <c r="K168" i="29" s="1"/>
  <c r="B168" i="29" a="1"/>
  <c r="B168" i="29" s="1"/>
  <c r="H167" i="29" a="1"/>
  <c r="H167" i="29" s="1"/>
  <c r="B167" i="29" a="1"/>
  <c r="B167" i="29" s="1"/>
  <c r="H166" i="29" a="1"/>
  <c r="H166" i="29" s="1"/>
  <c r="K166" i="29" s="1"/>
  <c r="B166" i="29" a="1"/>
  <c r="B166" i="29" s="1"/>
  <c r="H165" i="29" a="1"/>
  <c r="H165" i="29" s="1"/>
  <c r="I165" i="29" s="1"/>
  <c r="B165" i="29" a="1"/>
  <c r="B165" i="29" s="1"/>
  <c r="E165" i="29" s="1"/>
  <c r="H164" i="29" a="1"/>
  <c r="H164" i="29" s="1"/>
  <c r="I164" i="29" s="1"/>
  <c r="J164" i="29" s="1"/>
  <c r="B164" i="29" a="1"/>
  <c r="B164" i="29" s="1"/>
  <c r="H163" i="29" a="1"/>
  <c r="H163" i="29" s="1"/>
  <c r="B163" i="29" a="1"/>
  <c r="B163" i="29" s="1"/>
  <c r="H162" i="29" a="1"/>
  <c r="H162" i="29" s="1"/>
  <c r="K162" i="29" s="1"/>
  <c r="B162" i="29" a="1"/>
  <c r="B162" i="29" s="1"/>
  <c r="C162" i="29" s="1"/>
  <c r="H161" i="29" a="1"/>
  <c r="H161" i="29" s="1"/>
  <c r="I161" i="29" s="1"/>
  <c r="B161" i="29" a="1"/>
  <c r="B161" i="29" s="1"/>
  <c r="E161" i="29" s="1"/>
  <c r="H160" i="29" a="1"/>
  <c r="H160" i="29" s="1"/>
  <c r="I160" i="29" s="1"/>
  <c r="J160" i="29" s="1"/>
  <c r="B160" i="29" a="1"/>
  <c r="B160" i="29" s="1"/>
  <c r="H159" i="29" a="1"/>
  <c r="H159" i="29" s="1"/>
  <c r="B159" i="29" a="1"/>
  <c r="B159" i="29" s="1"/>
  <c r="H158" i="29" a="1"/>
  <c r="H158" i="29" s="1"/>
  <c r="K158" i="29" s="1"/>
  <c r="B158" i="29" a="1"/>
  <c r="B158" i="29" s="1"/>
  <c r="H157" i="29" a="1"/>
  <c r="H157" i="29" s="1"/>
  <c r="I157" i="29" s="1"/>
  <c r="B157" i="29" a="1"/>
  <c r="B157" i="29" s="1"/>
  <c r="E157" i="29" s="1"/>
  <c r="H156" i="29" a="1"/>
  <c r="H156" i="29" s="1"/>
  <c r="I156" i="29" s="1"/>
  <c r="J156" i="29" s="1"/>
  <c r="B156" i="29" a="1"/>
  <c r="B156" i="29" s="1"/>
  <c r="H155" i="29" a="1"/>
  <c r="H155" i="29" s="1"/>
  <c r="B155" i="29" a="1"/>
  <c r="B155" i="29" s="1"/>
  <c r="H154" i="29" a="1"/>
  <c r="H154" i="29" s="1"/>
  <c r="K154" i="29" s="1"/>
  <c r="B154" i="29" a="1"/>
  <c r="B154" i="29" s="1"/>
  <c r="C154" i="29" s="1"/>
  <c r="H153" i="29" a="1"/>
  <c r="H153" i="29" s="1"/>
  <c r="I153" i="29" s="1"/>
  <c r="B153" i="29" a="1"/>
  <c r="B153" i="29" s="1"/>
  <c r="E153" i="29" s="1"/>
  <c r="H152" i="29" a="1"/>
  <c r="H152" i="29" s="1"/>
  <c r="G152" i="29" s="1"/>
  <c r="B152" i="29" a="1"/>
  <c r="B152" i="29" s="1"/>
  <c r="H151" i="29" a="1"/>
  <c r="H151" i="29" s="1"/>
  <c r="B151" i="29" a="1"/>
  <c r="B151" i="29" s="1"/>
  <c r="H150" i="29" a="1"/>
  <c r="H150" i="29" s="1"/>
  <c r="K150" i="29" s="1"/>
  <c r="B150" i="29" a="1"/>
  <c r="B150" i="29" s="1"/>
  <c r="H149" i="29" a="1"/>
  <c r="H149" i="29" s="1"/>
  <c r="I149" i="29" s="1"/>
  <c r="J149" i="29" s="1"/>
  <c r="B149" i="29" a="1"/>
  <c r="B149" i="29" s="1"/>
  <c r="E149" i="29" s="1"/>
  <c r="H144" i="29" a="1"/>
  <c r="H144" i="29" s="1"/>
  <c r="G144" i="29" s="1"/>
  <c r="B144" i="29" a="1"/>
  <c r="B144" i="29" s="1"/>
  <c r="H143" i="29" a="1"/>
  <c r="H143" i="29" s="1"/>
  <c r="B143" i="29" a="1"/>
  <c r="B143" i="29" s="1"/>
  <c r="H142" i="29" a="1"/>
  <c r="H142" i="29" s="1"/>
  <c r="K142" i="29" s="1"/>
  <c r="B142" i="29" a="1"/>
  <c r="B142" i="29" s="1"/>
  <c r="H141" i="29" a="1"/>
  <c r="H141" i="29" s="1"/>
  <c r="I141" i="29" s="1"/>
  <c r="B141" i="29" a="1"/>
  <c r="B141" i="29" s="1"/>
  <c r="E141" i="29" s="1"/>
  <c r="H140" i="29" a="1"/>
  <c r="H140" i="29" s="1"/>
  <c r="K140" i="29" s="1"/>
  <c r="B140" i="29" a="1"/>
  <c r="B140" i="29" s="1"/>
  <c r="H139" i="29" a="1"/>
  <c r="H139" i="29" s="1"/>
  <c r="B139" i="29" a="1"/>
  <c r="B139" i="29" s="1"/>
  <c r="H138" i="29" a="1"/>
  <c r="H138" i="29" s="1"/>
  <c r="K138" i="29" s="1"/>
  <c r="B138" i="29" a="1"/>
  <c r="B138" i="29" s="1"/>
  <c r="H137" i="29" a="1"/>
  <c r="H137" i="29" s="1"/>
  <c r="I137" i="29" s="1"/>
  <c r="J137" i="29" s="1"/>
  <c r="B137" i="29" a="1"/>
  <c r="B137" i="29" s="1"/>
  <c r="E137" i="29" s="1"/>
  <c r="H136" i="29" a="1"/>
  <c r="H136" i="29" s="1"/>
  <c r="K136" i="29" s="1"/>
  <c r="B136" i="29" a="1"/>
  <c r="B136" i="29" s="1"/>
  <c r="H135" i="29" a="1"/>
  <c r="H135" i="29" s="1"/>
  <c r="B135" i="29" a="1"/>
  <c r="B135" i="29" s="1"/>
  <c r="H134" i="29" a="1"/>
  <c r="H134" i="29" s="1"/>
  <c r="K134" i="29" s="1"/>
  <c r="B134" i="29" a="1"/>
  <c r="B134" i="29" s="1"/>
  <c r="H133" i="29" a="1"/>
  <c r="H133" i="29" s="1"/>
  <c r="K133" i="29" s="1"/>
  <c r="B133" i="29" a="1"/>
  <c r="B133" i="29" s="1"/>
  <c r="H132" i="29" a="1"/>
  <c r="H132" i="29" s="1"/>
  <c r="G132" i="29" s="1"/>
  <c r="B132" i="29" a="1"/>
  <c r="B132" i="29" s="1"/>
  <c r="H131" i="29" a="1"/>
  <c r="H131" i="29" s="1"/>
  <c r="B131" i="29" a="1"/>
  <c r="B131" i="29" s="1"/>
  <c r="H130" i="29" a="1"/>
  <c r="H130" i="29" s="1"/>
  <c r="K130" i="29" s="1"/>
  <c r="B130" i="29" a="1"/>
  <c r="B130" i="29" s="1"/>
  <c r="E130" i="29" s="1"/>
  <c r="H129" i="29" a="1"/>
  <c r="H129" i="29" s="1"/>
  <c r="K129" i="29" s="1"/>
  <c r="B129" i="29" a="1"/>
  <c r="B129" i="29" s="1"/>
  <c r="H128" i="29" a="1"/>
  <c r="H128" i="29" s="1"/>
  <c r="K128" i="29" s="1"/>
  <c r="B128" i="29" a="1"/>
  <c r="B128" i="29" s="1"/>
  <c r="H127" i="29" a="1"/>
  <c r="H127" i="29" s="1"/>
  <c r="B127" i="29" a="1"/>
  <c r="B127" i="29" s="1"/>
  <c r="H126" i="29" a="1"/>
  <c r="H126" i="29" s="1"/>
  <c r="B126" i="29" a="1"/>
  <c r="B126" i="29" s="1"/>
  <c r="C126" i="29" s="1"/>
  <c r="D126" i="29" s="1"/>
  <c r="H125" i="29" a="1"/>
  <c r="H125" i="29" s="1"/>
  <c r="B125" i="29" a="1"/>
  <c r="B125" i="29" s="1"/>
  <c r="E125" i="29" s="1"/>
  <c r="H120" i="29" a="1"/>
  <c r="H120" i="29" s="1"/>
  <c r="B120" i="29" a="1"/>
  <c r="B120" i="29" s="1"/>
  <c r="A120" i="29" s="1"/>
  <c r="H119" i="29" a="1"/>
  <c r="H119" i="29" s="1"/>
  <c r="B119" i="29" a="1"/>
  <c r="B119" i="29" s="1"/>
  <c r="C119" i="29" s="1"/>
  <c r="H118" i="29" a="1"/>
  <c r="H118" i="29" s="1"/>
  <c r="K118" i="29" s="1"/>
  <c r="B118" i="29" a="1"/>
  <c r="B118" i="29" s="1"/>
  <c r="C118" i="29" s="1"/>
  <c r="D118" i="29" s="1"/>
  <c r="H117" i="29" a="1"/>
  <c r="H117" i="29" s="1"/>
  <c r="B117" i="29" a="1"/>
  <c r="B117" i="29" s="1"/>
  <c r="E117" i="29" s="1"/>
  <c r="H116" i="29" a="1"/>
  <c r="H116" i="29" s="1"/>
  <c r="B116" i="29" a="1"/>
  <c r="B116" i="29" s="1"/>
  <c r="A116" i="29" s="1"/>
  <c r="H115" i="29" a="1"/>
  <c r="H115" i="29" s="1"/>
  <c r="B115" i="29" a="1"/>
  <c r="B115" i="29" s="1"/>
  <c r="C115" i="29" s="1"/>
  <c r="D115" i="29" s="1"/>
  <c r="H114" i="29" a="1"/>
  <c r="H114" i="29" s="1"/>
  <c r="K114" i="29" s="1"/>
  <c r="B114" i="29" a="1"/>
  <c r="B114" i="29" s="1"/>
  <c r="E114" i="29" s="1"/>
  <c r="H113" i="29" a="1"/>
  <c r="H113" i="29" s="1"/>
  <c r="B113" i="29" a="1"/>
  <c r="B113" i="29" s="1"/>
  <c r="E113" i="29" s="1"/>
  <c r="H112" i="29" a="1"/>
  <c r="H112" i="29" s="1"/>
  <c r="B112" i="29" a="1"/>
  <c r="B112" i="29" s="1"/>
  <c r="A112" i="29" s="1"/>
  <c r="H111" i="29" a="1"/>
  <c r="H111" i="29" s="1"/>
  <c r="B111" i="29" a="1"/>
  <c r="B111" i="29" s="1"/>
  <c r="C111" i="29" s="1"/>
  <c r="D111" i="29" s="1"/>
  <c r="H110" i="29" a="1"/>
  <c r="H110" i="29" s="1"/>
  <c r="K110" i="29" s="1"/>
  <c r="B110" i="29" a="1"/>
  <c r="B110" i="29" s="1"/>
  <c r="A110" i="29" s="1"/>
  <c r="H109" i="29" a="1"/>
  <c r="H109" i="29" s="1"/>
  <c r="B109" i="29" a="1"/>
  <c r="B109" i="29" s="1"/>
  <c r="E109" i="29" s="1"/>
  <c r="H108" i="29" a="1"/>
  <c r="H108" i="29" s="1"/>
  <c r="B108" i="29" a="1"/>
  <c r="B108" i="29" s="1"/>
  <c r="E108" i="29" s="1"/>
  <c r="H107" i="29" a="1"/>
  <c r="H107" i="29" s="1"/>
  <c r="B107" i="29" a="1"/>
  <c r="B107" i="29" s="1"/>
  <c r="C107" i="29" s="1"/>
  <c r="D107" i="29" s="1"/>
  <c r="H106" i="29" a="1"/>
  <c r="H106" i="29" s="1"/>
  <c r="K106" i="29" s="1"/>
  <c r="B106" i="29" a="1"/>
  <c r="B106" i="29" s="1"/>
  <c r="E106" i="29" s="1"/>
  <c r="H105" i="29" a="1"/>
  <c r="H105" i="29" s="1"/>
  <c r="B105" i="29" a="1"/>
  <c r="B105" i="29" s="1"/>
  <c r="E105" i="29" s="1"/>
  <c r="H104" i="29" a="1"/>
  <c r="H104" i="29" s="1"/>
  <c r="B104" i="29" a="1"/>
  <c r="B104" i="29" s="1"/>
  <c r="E104" i="29" s="1"/>
  <c r="H103" i="29" a="1"/>
  <c r="H103" i="29" s="1"/>
  <c r="B103" i="29" a="1"/>
  <c r="B103" i="29" s="1"/>
  <c r="H102" i="29" a="1"/>
  <c r="H102" i="29" s="1"/>
  <c r="B102" i="29" a="1"/>
  <c r="B102" i="29" s="1"/>
  <c r="H101" i="29" a="1"/>
  <c r="H101" i="29" s="1"/>
  <c r="B101" i="29" a="1"/>
  <c r="B101" i="29" s="1"/>
  <c r="E101" i="29" s="1"/>
  <c r="H96" i="29" a="1"/>
  <c r="H96" i="29" s="1"/>
  <c r="B96" i="29" a="1"/>
  <c r="B96" i="29" s="1"/>
  <c r="E96" i="29" s="1"/>
  <c r="H95" i="29" a="1"/>
  <c r="H95" i="29" s="1"/>
  <c r="K95" i="29" s="1"/>
  <c r="B95" i="29" a="1"/>
  <c r="B95" i="29" s="1"/>
  <c r="E95" i="29" s="1"/>
  <c r="H94" i="29" a="1"/>
  <c r="H94" i="29" s="1"/>
  <c r="B94" i="29" a="1"/>
  <c r="B94" i="29" s="1"/>
  <c r="E94" i="29" s="1"/>
  <c r="H93" i="29" a="1"/>
  <c r="H93" i="29" s="1"/>
  <c r="B93" i="29" a="1"/>
  <c r="B93" i="29" s="1"/>
  <c r="E93" i="29" s="1"/>
  <c r="H92" i="29" a="1"/>
  <c r="H92" i="29" s="1"/>
  <c r="B92" i="29" a="1"/>
  <c r="B92" i="29" s="1"/>
  <c r="H91" i="29" a="1"/>
  <c r="H91" i="29" s="1"/>
  <c r="B91" i="29" a="1"/>
  <c r="B91" i="29" s="1"/>
  <c r="H90" i="29" a="1"/>
  <c r="H90" i="29" s="1"/>
  <c r="B90" i="29" a="1"/>
  <c r="B90" i="29" s="1"/>
  <c r="H89" i="29" a="1"/>
  <c r="H89" i="29" s="1"/>
  <c r="B89" i="29" a="1"/>
  <c r="B89" i="29" s="1"/>
  <c r="E89" i="29" s="1"/>
  <c r="H88" i="29" a="1"/>
  <c r="H88" i="29" s="1"/>
  <c r="B88" i="29" a="1"/>
  <c r="B88" i="29" s="1"/>
  <c r="E88" i="29" s="1"/>
  <c r="H87" i="29" a="1"/>
  <c r="H87" i="29" s="1"/>
  <c r="B87" i="29" a="1"/>
  <c r="B87" i="29" s="1"/>
  <c r="H86" i="29" a="1"/>
  <c r="H86" i="29" s="1"/>
  <c r="B86" i="29" a="1"/>
  <c r="B86" i="29" s="1"/>
  <c r="H85" i="29" a="1"/>
  <c r="H85" i="29" s="1"/>
  <c r="B85" i="29" a="1"/>
  <c r="B85" i="29" s="1"/>
  <c r="H84" i="29" a="1"/>
  <c r="H84" i="29" s="1"/>
  <c r="B84" i="29" a="1"/>
  <c r="B84" i="29" s="1"/>
  <c r="H83" i="29" a="1"/>
  <c r="H83" i="29" s="1"/>
  <c r="B83" i="29" a="1"/>
  <c r="B83" i="29" s="1"/>
  <c r="H82" i="29" a="1"/>
  <c r="H82" i="29" s="1"/>
  <c r="B82" i="29" a="1"/>
  <c r="B82" i="29" s="1"/>
  <c r="H81" i="29" a="1"/>
  <c r="H81" i="29" s="1"/>
  <c r="B81" i="29" a="1"/>
  <c r="B81" i="29" s="1"/>
  <c r="H80" i="29" a="1"/>
  <c r="H80" i="29" s="1"/>
  <c r="B80" i="29" a="1"/>
  <c r="B80" i="29" s="1"/>
  <c r="H79" i="29" a="1"/>
  <c r="H79" i="29" s="1"/>
  <c r="B79" i="29" a="1"/>
  <c r="B79" i="29" s="1"/>
  <c r="H78" i="29" a="1"/>
  <c r="H78" i="29" s="1"/>
  <c r="B78" i="29" a="1"/>
  <c r="B78" i="29" s="1"/>
  <c r="H77" i="29" a="1"/>
  <c r="H77" i="29" s="1"/>
  <c r="B77" i="29" a="1"/>
  <c r="B77" i="29" s="1"/>
  <c r="H72" i="29" a="1"/>
  <c r="H72" i="29" s="1"/>
  <c r="B72" i="29" a="1"/>
  <c r="B72" i="29" s="1"/>
  <c r="H71" i="29" a="1"/>
  <c r="H71" i="29" s="1"/>
  <c r="B71" i="29" a="1"/>
  <c r="B71" i="29" s="1"/>
  <c r="H70" i="29" a="1"/>
  <c r="H70" i="29" s="1"/>
  <c r="B70" i="29" a="1"/>
  <c r="B70" i="29" s="1"/>
  <c r="H69" i="29" a="1"/>
  <c r="H69" i="29" s="1"/>
  <c r="B69" i="29" a="1"/>
  <c r="B69" i="29" s="1"/>
  <c r="H68" i="29" a="1"/>
  <c r="H68" i="29" s="1"/>
  <c r="B68" i="29" a="1"/>
  <c r="B68" i="29" s="1"/>
  <c r="H67" i="29" a="1"/>
  <c r="H67" i="29" s="1"/>
  <c r="B67" i="29" a="1"/>
  <c r="B67" i="29" s="1"/>
  <c r="H66" i="29" a="1"/>
  <c r="H66" i="29" s="1"/>
  <c r="B66" i="29" a="1"/>
  <c r="B66" i="29" s="1"/>
  <c r="H65" i="29" a="1"/>
  <c r="H65" i="29" s="1"/>
  <c r="B65" i="29" a="1"/>
  <c r="B65" i="29" s="1"/>
  <c r="H64" i="29" a="1"/>
  <c r="H64" i="29" s="1"/>
  <c r="B64" i="29" a="1"/>
  <c r="B64" i="29" s="1"/>
  <c r="H63" i="29" a="1"/>
  <c r="H63" i="29" s="1"/>
  <c r="B63" i="29" a="1"/>
  <c r="B63" i="29" s="1"/>
  <c r="H62" i="29" a="1"/>
  <c r="H62" i="29" s="1"/>
  <c r="B62" i="29" a="1"/>
  <c r="B62" i="29" s="1"/>
  <c r="H61" i="29" a="1"/>
  <c r="H61" i="29" s="1"/>
  <c r="B61" i="29" a="1"/>
  <c r="B61" i="29" s="1"/>
  <c r="H60" i="29" a="1"/>
  <c r="H60" i="29" s="1"/>
  <c r="B60" i="29" a="1"/>
  <c r="B60" i="29" s="1"/>
  <c r="H59" i="29" a="1"/>
  <c r="H59" i="29" s="1"/>
  <c r="B59" i="29" a="1"/>
  <c r="B59" i="29" s="1"/>
  <c r="H58" i="29" a="1"/>
  <c r="H58" i="29" s="1"/>
  <c r="B58" i="29" a="1"/>
  <c r="B58" i="29" s="1"/>
  <c r="H57" i="29" a="1"/>
  <c r="H57" i="29" s="1"/>
  <c r="B57" i="29" a="1"/>
  <c r="B57" i="29" s="1"/>
  <c r="H56" i="29" a="1"/>
  <c r="H56" i="29" s="1"/>
  <c r="B56" i="29" a="1"/>
  <c r="B56" i="29" s="1"/>
  <c r="H55" i="29" a="1"/>
  <c r="H55" i="29" s="1"/>
  <c r="B55" i="29" a="1"/>
  <c r="B55" i="29" s="1"/>
  <c r="H54" i="29" a="1"/>
  <c r="H54" i="29" s="1"/>
  <c r="B54" i="29" a="1"/>
  <c r="B54" i="29" s="1"/>
  <c r="H53" i="29" a="1"/>
  <c r="H53" i="29" s="1"/>
  <c r="B53" i="29" a="1"/>
  <c r="B53" i="29" s="1"/>
  <c r="H48" i="29" a="1"/>
  <c r="H48" i="29" s="1"/>
  <c r="B48" i="29" a="1"/>
  <c r="B48" i="29" s="1"/>
  <c r="H47" i="29" a="1"/>
  <c r="H47" i="29" s="1"/>
  <c r="B47" i="29" a="1"/>
  <c r="B47" i="29" s="1"/>
  <c r="H46" i="29" a="1"/>
  <c r="H46" i="29" s="1"/>
  <c r="B46" i="29" a="1"/>
  <c r="B46" i="29" s="1"/>
  <c r="H45" i="29" a="1"/>
  <c r="H45" i="29" s="1"/>
  <c r="B45" i="29" a="1"/>
  <c r="B45" i="29" s="1"/>
  <c r="H44" i="29" a="1"/>
  <c r="H44" i="29" s="1"/>
  <c r="B44" i="29" a="1"/>
  <c r="B44" i="29" s="1"/>
  <c r="H43" i="29" a="1"/>
  <c r="H43" i="29" s="1"/>
  <c r="B43" i="29" a="1"/>
  <c r="B43" i="29" s="1"/>
  <c r="H42" i="29" a="1"/>
  <c r="H42" i="29" s="1"/>
  <c r="B42" i="29" a="1"/>
  <c r="B42" i="29" s="1"/>
  <c r="H41" i="29" a="1"/>
  <c r="H41" i="29" s="1"/>
  <c r="B41" i="29" a="1"/>
  <c r="B41" i="29" s="1"/>
  <c r="H40" i="29" a="1"/>
  <c r="H40" i="29" s="1"/>
  <c r="B40" i="29" a="1"/>
  <c r="B40" i="29" s="1"/>
  <c r="H39" i="29" a="1"/>
  <c r="H39" i="29" s="1"/>
  <c r="B39" i="29" a="1"/>
  <c r="B39" i="29" s="1"/>
  <c r="H38" i="29" a="1"/>
  <c r="H38" i="29" s="1"/>
  <c r="B38" i="29" a="1"/>
  <c r="B38" i="29" s="1"/>
  <c r="H37" i="29" a="1"/>
  <c r="H37" i="29" s="1"/>
  <c r="B37" i="29" a="1"/>
  <c r="B37" i="29" s="1"/>
  <c r="H36" i="29" a="1"/>
  <c r="H36" i="29" s="1"/>
  <c r="B36" i="29" a="1"/>
  <c r="B36" i="29" s="1"/>
  <c r="H35" i="29" a="1"/>
  <c r="H35" i="29" s="1"/>
  <c r="B35" i="29" a="1"/>
  <c r="B35" i="29" s="1"/>
  <c r="H34" i="29" a="1"/>
  <c r="H34" i="29" s="1"/>
  <c r="B34" i="29" a="1"/>
  <c r="B34" i="29" s="1"/>
  <c r="H33" i="29" a="1"/>
  <c r="H33" i="29" s="1"/>
  <c r="B33" i="29" a="1"/>
  <c r="B33" i="29" s="1"/>
  <c r="H32" i="29" a="1"/>
  <c r="H32" i="29" s="1"/>
  <c r="B32" i="29" a="1"/>
  <c r="B32" i="29" s="1"/>
  <c r="H31" i="29" a="1"/>
  <c r="H31" i="29" s="1"/>
  <c r="B31" i="29" a="1"/>
  <c r="B31" i="29" s="1"/>
  <c r="H30" i="29" a="1"/>
  <c r="H30" i="29" s="1"/>
  <c r="B30" i="29" a="1"/>
  <c r="B30" i="29" s="1"/>
  <c r="H29" i="29" a="1"/>
  <c r="H29" i="29" s="1"/>
  <c r="B29" i="29" a="1"/>
  <c r="B29" i="29" s="1"/>
  <c r="U22" i="29"/>
  <c r="T22" i="29"/>
  <c r="S22" i="29"/>
  <c r="R22" i="29"/>
  <c r="Q22" i="29"/>
  <c r="P22" i="29"/>
  <c r="O22" i="29"/>
  <c r="N22" i="29"/>
  <c r="M22" i="29"/>
  <c r="L22" i="29"/>
  <c r="I22" i="29"/>
  <c r="B22" i="29" a="1"/>
  <c r="B22" i="29" s="1"/>
  <c r="U21" i="29"/>
  <c r="T21" i="29"/>
  <c r="S21" i="29"/>
  <c r="R21" i="29"/>
  <c r="Q21" i="29"/>
  <c r="P21" i="29"/>
  <c r="O21" i="29"/>
  <c r="N21" i="29"/>
  <c r="M21" i="29"/>
  <c r="L21" i="29"/>
  <c r="I21" i="29"/>
  <c r="B21" i="29" a="1"/>
  <c r="B21" i="29" s="1"/>
  <c r="C21" i="29" s="1"/>
  <c r="U20" i="29"/>
  <c r="T20" i="29"/>
  <c r="S20" i="29"/>
  <c r="R20" i="29"/>
  <c r="Q20" i="29"/>
  <c r="P20" i="29"/>
  <c r="O20" i="29"/>
  <c r="N20" i="29"/>
  <c r="M20" i="29"/>
  <c r="L20" i="29"/>
  <c r="I20" i="29"/>
  <c r="B20" i="29" a="1"/>
  <c r="B20" i="29" s="1"/>
  <c r="E20" i="29" s="1"/>
  <c r="U19" i="29"/>
  <c r="T19" i="29"/>
  <c r="S19" i="29"/>
  <c r="R19" i="29"/>
  <c r="Q19" i="29"/>
  <c r="P19" i="29"/>
  <c r="O19" i="29"/>
  <c r="N19" i="29"/>
  <c r="M19" i="29"/>
  <c r="L19" i="29"/>
  <c r="I19" i="29"/>
  <c r="B19" i="29" a="1"/>
  <c r="B19" i="29" s="1"/>
  <c r="C19" i="29" s="1"/>
  <c r="U18" i="29"/>
  <c r="T18" i="29"/>
  <c r="S18" i="29"/>
  <c r="R18" i="29"/>
  <c r="Q18" i="29"/>
  <c r="P18" i="29"/>
  <c r="O18" i="29"/>
  <c r="N18" i="29"/>
  <c r="M18" i="29"/>
  <c r="L18" i="29"/>
  <c r="I18" i="29"/>
  <c r="B18" i="29" a="1"/>
  <c r="B18" i="29" s="1"/>
  <c r="E18" i="29" s="1"/>
  <c r="U17" i="29"/>
  <c r="T17" i="29"/>
  <c r="S17" i="29"/>
  <c r="R17" i="29"/>
  <c r="Q17" i="29"/>
  <c r="P17" i="29"/>
  <c r="O17" i="29"/>
  <c r="N17" i="29"/>
  <c r="M17" i="29"/>
  <c r="L17" i="29"/>
  <c r="I17" i="29"/>
  <c r="B17" i="29" a="1"/>
  <c r="B17" i="29" s="1"/>
  <c r="C17" i="29" s="1"/>
  <c r="U16" i="29"/>
  <c r="T16" i="29"/>
  <c r="S16" i="29"/>
  <c r="R16" i="29"/>
  <c r="Q16" i="29"/>
  <c r="P16" i="29"/>
  <c r="O16" i="29"/>
  <c r="N16" i="29"/>
  <c r="M16" i="29"/>
  <c r="L16" i="29"/>
  <c r="I16" i="29"/>
  <c r="B16" i="29" a="1"/>
  <c r="B16" i="29" s="1"/>
  <c r="E16" i="29" s="1"/>
  <c r="U15" i="29"/>
  <c r="T15" i="29"/>
  <c r="S15" i="29"/>
  <c r="R15" i="29"/>
  <c r="Q15" i="29"/>
  <c r="P15" i="29"/>
  <c r="O15" i="29"/>
  <c r="N15" i="29"/>
  <c r="M15" i="29"/>
  <c r="L15" i="29"/>
  <c r="I15" i="29"/>
  <c r="B15" i="29" a="1"/>
  <c r="B15" i="29" s="1"/>
  <c r="E15" i="29" s="1"/>
  <c r="U14" i="29"/>
  <c r="T14" i="29"/>
  <c r="S14" i="29"/>
  <c r="R14" i="29"/>
  <c r="Q14" i="29"/>
  <c r="P14" i="29"/>
  <c r="O14" i="29"/>
  <c r="N14" i="29"/>
  <c r="M14" i="29"/>
  <c r="L14" i="29"/>
  <c r="I14" i="29"/>
  <c r="B14" i="29" a="1"/>
  <c r="B14" i="29" s="1"/>
  <c r="U13" i="29"/>
  <c r="T13" i="29"/>
  <c r="S13" i="29"/>
  <c r="R13" i="29"/>
  <c r="Q13" i="29"/>
  <c r="P13" i="29"/>
  <c r="O13" i="29"/>
  <c r="N13" i="29"/>
  <c r="M13" i="29"/>
  <c r="L13" i="29"/>
  <c r="I13" i="29"/>
  <c r="B13" i="29" a="1"/>
  <c r="B13" i="29" s="1"/>
  <c r="E13" i="29" s="1"/>
  <c r="U12" i="29"/>
  <c r="T12" i="29"/>
  <c r="S12" i="29"/>
  <c r="R12" i="29"/>
  <c r="Q12" i="29"/>
  <c r="P12" i="29"/>
  <c r="O12" i="29"/>
  <c r="N12" i="29"/>
  <c r="M12" i="29"/>
  <c r="L12" i="29"/>
  <c r="I12" i="29"/>
  <c r="B12" i="29" a="1"/>
  <c r="B12" i="29" s="1"/>
  <c r="U11" i="29"/>
  <c r="T11" i="29"/>
  <c r="S11" i="29"/>
  <c r="R11" i="29"/>
  <c r="Q11" i="29"/>
  <c r="P11" i="29"/>
  <c r="O11" i="29"/>
  <c r="N11" i="29"/>
  <c r="M11" i="29"/>
  <c r="L11" i="29"/>
  <c r="I11" i="29"/>
  <c r="B11" i="29" a="1"/>
  <c r="B11" i="29" s="1"/>
  <c r="E11" i="29" s="1"/>
  <c r="U10" i="29"/>
  <c r="T10" i="29"/>
  <c r="S10" i="29"/>
  <c r="R10" i="29"/>
  <c r="Q10" i="29"/>
  <c r="P10" i="29"/>
  <c r="O10" i="29"/>
  <c r="N10" i="29"/>
  <c r="M10" i="29"/>
  <c r="L10" i="29"/>
  <c r="I10" i="29"/>
  <c r="B10" i="29" a="1"/>
  <c r="B10" i="29" s="1"/>
  <c r="U9" i="29"/>
  <c r="T9" i="29"/>
  <c r="S9" i="29"/>
  <c r="R9" i="29"/>
  <c r="Q9" i="29"/>
  <c r="P9" i="29"/>
  <c r="O9" i="29"/>
  <c r="N9" i="29"/>
  <c r="M9" i="29"/>
  <c r="L9" i="29"/>
  <c r="I9" i="29"/>
  <c r="B9" i="29" a="1"/>
  <c r="B9" i="29" s="1"/>
  <c r="E9" i="29" s="1"/>
  <c r="U8" i="29"/>
  <c r="T8" i="29"/>
  <c r="S8" i="29"/>
  <c r="R8" i="29"/>
  <c r="Q8" i="29"/>
  <c r="P8" i="29"/>
  <c r="O8" i="29"/>
  <c r="N8" i="29"/>
  <c r="M8" i="29"/>
  <c r="L8" i="29"/>
  <c r="I8" i="29"/>
  <c r="B8" i="29" a="1"/>
  <c r="B8" i="29" s="1"/>
  <c r="U7" i="29"/>
  <c r="T7" i="29"/>
  <c r="S7" i="29"/>
  <c r="R7" i="29"/>
  <c r="Q7" i="29"/>
  <c r="P7" i="29"/>
  <c r="O7" i="29"/>
  <c r="N7" i="29"/>
  <c r="M7" i="29"/>
  <c r="L7" i="29"/>
  <c r="I7" i="29"/>
  <c r="B7" i="29" a="1"/>
  <c r="B7" i="29" s="1"/>
  <c r="U6" i="29"/>
  <c r="T6" i="29"/>
  <c r="S6" i="29"/>
  <c r="R6" i="29"/>
  <c r="Q6" i="29"/>
  <c r="P6" i="29"/>
  <c r="O6" i="29"/>
  <c r="N6" i="29"/>
  <c r="M6" i="29"/>
  <c r="L6" i="29"/>
  <c r="I6" i="29"/>
  <c r="B6" i="29" a="1"/>
  <c r="B6" i="29" s="1"/>
  <c r="U5" i="29"/>
  <c r="T5" i="29"/>
  <c r="S5" i="29"/>
  <c r="R5" i="29"/>
  <c r="Q5" i="29"/>
  <c r="P5" i="29"/>
  <c r="O5" i="29"/>
  <c r="N5" i="29"/>
  <c r="M5" i="29"/>
  <c r="L5" i="29"/>
  <c r="I5" i="29"/>
  <c r="B5" i="29" a="1"/>
  <c r="B5" i="29" s="1"/>
  <c r="E5" i="29" s="1"/>
  <c r="U4" i="29"/>
  <c r="T4" i="29"/>
  <c r="S4" i="29"/>
  <c r="R4" i="29"/>
  <c r="Q4" i="29"/>
  <c r="P4" i="29"/>
  <c r="O4" i="29"/>
  <c r="N4" i="29"/>
  <c r="M4" i="29"/>
  <c r="L4" i="29"/>
  <c r="I4" i="29"/>
  <c r="B4" i="29" a="1"/>
  <c r="B4" i="29" s="1"/>
  <c r="C4" i="29" s="1"/>
  <c r="U3" i="29"/>
  <c r="T3" i="29"/>
  <c r="S3" i="29"/>
  <c r="R3" i="29"/>
  <c r="Q3" i="29"/>
  <c r="P3" i="29"/>
  <c r="O3" i="29"/>
  <c r="N3" i="29"/>
  <c r="M3" i="29"/>
  <c r="L3" i="29"/>
  <c r="I3" i="29"/>
  <c r="B3" i="29" a="1"/>
  <c r="B3" i="29" s="1"/>
  <c r="B8" i="7"/>
  <c r="B6" i="7"/>
  <c r="G574" i="7"/>
  <c r="K574" i="7"/>
  <c r="G358" i="7"/>
  <c r="K358" i="7"/>
  <c r="G61" i="7"/>
  <c r="K61" i="7"/>
  <c r="G193" i="7"/>
  <c r="K193" i="7"/>
  <c r="G221" i="7"/>
  <c r="G567" i="7"/>
  <c r="G538" i="7"/>
  <c r="G73" i="7"/>
  <c r="G341" i="7"/>
  <c r="G546" i="7"/>
  <c r="G166" i="7"/>
  <c r="G459" i="7"/>
  <c r="G488" i="7"/>
  <c r="G182" i="7"/>
  <c r="G114" i="7"/>
  <c r="G51" i="7"/>
  <c r="G99" i="7"/>
  <c r="G486" i="7"/>
  <c r="G38" i="7"/>
  <c r="G24" i="7"/>
  <c r="G176" i="7"/>
  <c r="G283" i="7"/>
  <c r="G375" i="7"/>
  <c r="G155" i="7"/>
  <c r="G19" i="7"/>
  <c r="G279" i="7"/>
  <c r="G151" i="7"/>
  <c r="G369" i="7"/>
  <c r="G423" i="7"/>
  <c r="G183" i="7"/>
  <c r="G331" i="7"/>
  <c r="G198" i="7"/>
  <c r="G63" i="7"/>
  <c r="G356" i="7"/>
  <c r="G404" i="7"/>
  <c r="G262" i="7"/>
  <c r="G104" i="7"/>
  <c r="G511" i="7"/>
  <c r="G211" i="7"/>
  <c r="G103" i="7"/>
  <c r="G85" i="7"/>
  <c r="G86" i="7"/>
  <c r="G153" i="7"/>
  <c r="G117" i="7"/>
  <c r="G257" i="7"/>
  <c r="G16" i="7"/>
  <c r="G387" i="7"/>
  <c r="G606" i="7"/>
  <c r="G64" i="7"/>
  <c r="G439" i="7"/>
  <c r="G429" i="7"/>
  <c r="G299" i="7"/>
  <c r="G441" i="7"/>
  <c r="G294" i="7"/>
  <c r="G57" i="7"/>
  <c r="G612" i="7"/>
  <c r="G542" i="7"/>
  <c r="G261" i="7"/>
  <c r="G520" i="7"/>
  <c r="G302" i="7"/>
  <c r="G144" i="7"/>
  <c r="G179" i="7"/>
  <c r="G43" i="7"/>
  <c r="G14" i="7"/>
  <c r="G434" i="7"/>
  <c r="G411" i="7"/>
  <c r="G120" i="7"/>
  <c r="G571" i="7"/>
  <c r="G393" i="7"/>
  <c r="G371" i="7"/>
  <c r="G616" i="7"/>
  <c r="G614" i="7"/>
  <c r="G465" i="7"/>
  <c r="G425" i="7"/>
  <c r="G31" i="7"/>
  <c r="G330" i="7"/>
  <c r="G70" i="7"/>
  <c r="G501" i="7"/>
  <c r="G243" i="7"/>
  <c r="G204" i="7"/>
  <c r="G494" i="7"/>
  <c r="G308" i="7"/>
  <c r="G56" i="7"/>
  <c r="G615" i="7"/>
  <c r="G275" i="7"/>
  <c r="G215" i="7"/>
  <c r="G558" i="7"/>
  <c r="G432" i="7"/>
  <c r="G324" i="7"/>
  <c r="G190" i="7"/>
  <c r="G49" i="7"/>
  <c r="G124" i="7"/>
  <c r="G512" i="7"/>
  <c r="G106" i="7"/>
  <c r="G17" i="7"/>
  <c r="G353" i="7"/>
  <c r="G126" i="7"/>
  <c r="G258" i="7"/>
  <c r="G328" i="7"/>
  <c r="G339" i="7"/>
  <c r="G332" i="7"/>
  <c r="G119" i="7"/>
  <c r="G147" i="7"/>
  <c r="G295" i="7"/>
  <c r="G364" i="7"/>
  <c r="G187" i="7"/>
  <c r="G189" i="7"/>
  <c r="G525" i="7"/>
  <c r="G223" i="7"/>
  <c r="G286" i="7"/>
  <c r="G97" i="7"/>
  <c r="K97" i="7"/>
  <c r="G265" i="7"/>
  <c r="K265" i="7"/>
  <c r="G76" i="7"/>
  <c r="K76" i="7"/>
  <c r="G273" i="7"/>
  <c r="K273" i="7"/>
  <c r="G209" i="7"/>
  <c r="K209" i="7"/>
  <c r="G245" i="7"/>
  <c r="K245" i="7"/>
  <c r="G476" i="7"/>
  <c r="K476" i="7"/>
  <c r="G534" i="7"/>
  <c r="K534" i="7"/>
  <c r="G454" i="7"/>
  <c r="K454" i="7"/>
  <c r="I368" i="30"/>
  <c r="I137" i="30"/>
  <c r="I192" i="30"/>
  <c r="I53" i="30"/>
  <c r="I113" i="30"/>
  <c r="I337" i="30"/>
  <c r="I141" i="30"/>
  <c r="I65" i="30"/>
  <c r="I112" i="30"/>
  <c r="I43" i="30"/>
  <c r="I105" i="30"/>
  <c r="I177" i="30"/>
  <c r="I369" i="30"/>
  <c r="I191" i="30"/>
  <c r="I129" i="30"/>
  <c r="I424" i="30"/>
  <c r="I271" i="30"/>
  <c r="I110" i="30"/>
  <c r="I132" i="30"/>
  <c r="I383" i="30"/>
  <c r="I351" i="30"/>
  <c r="I266" i="30"/>
  <c r="I459" i="30"/>
  <c r="I277" i="30"/>
  <c r="I289" i="30"/>
  <c r="I40" i="30"/>
  <c r="I69" i="30"/>
  <c r="I136" i="30"/>
  <c r="I399" i="30"/>
  <c r="I44" i="30"/>
  <c r="I415" i="30"/>
  <c r="I315" i="30"/>
  <c r="I308" i="30"/>
  <c r="I358" i="30"/>
  <c r="I100" i="30"/>
  <c r="I220" i="30"/>
  <c r="I302" i="30"/>
  <c r="I353" i="30"/>
  <c r="I416" i="30"/>
  <c r="I197" i="30"/>
  <c r="I299" i="30"/>
  <c r="I412" i="30"/>
  <c r="I335" i="30"/>
  <c r="I108" i="30"/>
  <c r="I376" i="30"/>
  <c r="I106" i="30"/>
  <c r="I347" i="30"/>
  <c r="I165" i="30"/>
  <c r="I236" i="30"/>
  <c r="I187" i="30"/>
  <c r="I263" i="30"/>
  <c r="I185" i="30"/>
  <c r="I213" i="30"/>
  <c r="I260" i="30"/>
  <c r="I438" i="30"/>
  <c r="I41" i="30"/>
  <c r="I443" i="30"/>
  <c r="I225" i="30"/>
  <c r="I169" i="30"/>
  <c r="I135" i="30"/>
  <c r="I290" i="30"/>
  <c r="I86" i="30"/>
  <c r="I320" i="30"/>
  <c r="I446" i="30"/>
  <c r="I240" i="30"/>
  <c r="I453" i="30"/>
  <c r="I89" i="30"/>
  <c r="I131" i="30"/>
  <c r="I92" i="30"/>
  <c r="I70" i="30"/>
  <c r="I231" i="30"/>
  <c r="I265" i="30"/>
  <c r="I425" i="30"/>
  <c r="I238" i="30"/>
  <c r="I311" i="30"/>
  <c r="I30" i="30"/>
  <c r="I82" i="30"/>
  <c r="I97" i="30"/>
  <c r="I186" i="30"/>
  <c r="I168" i="30"/>
  <c r="I272" i="30"/>
  <c r="I46" i="30"/>
  <c r="I442" i="30"/>
  <c r="I50" i="30"/>
  <c r="I157" i="30"/>
  <c r="I99" i="30"/>
  <c r="I244" i="30"/>
  <c r="I330" i="30"/>
  <c r="I24" i="30"/>
  <c r="I457" i="30"/>
  <c r="I66" i="30"/>
  <c r="I300" i="30"/>
  <c r="I246" i="30"/>
  <c r="I379" i="30"/>
  <c r="I402" i="30"/>
  <c r="I411" i="30"/>
  <c r="I80" i="30"/>
  <c r="I375" i="30"/>
  <c r="I128" i="30"/>
  <c r="I396" i="30"/>
  <c r="I428" i="30"/>
  <c r="I196" i="30"/>
  <c r="I145" i="31"/>
  <c r="I32" i="31"/>
  <c r="I73" i="31"/>
  <c r="I208" i="31"/>
  <c r="I146" i="31"/>
  <c r="I295" i="31"/>
  <c r="I176" i="31"/>
  <c r="I185" i="31"/>
  <c r="I281" i="31"/>
  <c r="I287" i="31"/>
  <c r="I8" i="31"/>
  <c r="I345" i="31"/>
  <c r="I91" i="31"/>
  <c r="I226" i="31"/>
  <c r="I69" i="31"/>
  <c r="I60" i="31"/>
  <c r="I212" i="31"/>
  <c r="I310" i="31"/>
  <c r="I75" i="31"/>
  <c r="I65" i="31"/>
  <c r="I42" i="31"/>
  <c r="I333" i="31"/>
  <c r="I275" i="31"/>
  <c r="I61" i="31"/>
  <c r="I72" i="31"/>
  <c r="I313" i="31"/>
  <c r="I251" i="31"/>
  <c r="I149" i="31"/>
  <c r="I338" i="31"/>
  <c r="I271" i="31"/>
  <c r="I250" i="31"/>
  <c r="I163" i="31"/>
  <c r="I10" i="31"/>
  <c r="I16" i="31"/>
  <c r="I222" i="31"/>
  <c r="I36" i="31"/>
  <c r="I340" i="31"/>
  <c r="I155" i="31"/>
  <c r="I280" i="31"/>
  <c r="I241" i="31"/>
  <c r="I254" i="31"/>
  <c r="I48" i="31"/>
  <c r="I321" i="31"/>
  <c r="I82" i="31"/>
  <c r="I264" i="31"/>
  <c r="I46" i="31"/>
  <c r="I323" i="31"/>
  <c r="I273" i="31"/>
  <c r="I138" i="31"/>
  <c r="I38" i="31"/>
  <c r="I215" i="31"/>
  <c r="I43" i="31"/>
  <c r="I177" i="31"/>
  <c r="I187" i="31"/>
  <c r="I107" i="31"/>
  <c r="I238" i="31"/>
  <c r="I26" i="31"/>
  <c r="I81" i="31"/>
  <c r="I205" i="31"/>
  <c r="I108" i="31"/>
  <c r="I329" i="31"/>
  <c r="I366" i="32"/>
  <c r="I309" i="32"/>
  <c r="I206" i="32"/>
  <c r="I176" i="32"/>
  <c r="I152" i="32"/>
  <c r="I363" i="32"/>
  <c r="I495" i="32"/>
  <c r="I487" i="32"/>
  <c r="I200" i="32"/>
  <c r="B114" i="3"/>
  <c r="D114" i="3" s="1"/>
  <c r="F114" i="3"/>
  <c r="E114" i="3" s="1"/>
  <c r="L114" i="3"/>
  <c r="M114" i="3"/>
  <c r="N114" i="3"/>
  <c r="O114" i="3"/>
  <c r="B115" i="3"/>
  <c r="D115" i="3" s="1"/>
  <c r="F115" i="3"/>
  <c r="E115" i="3" s="1"/>
  <c r="L115" i="3"/>
  <c r="M115" i="3"/>
  <c r="N115" i="3"/>
  <c r="O115" i="3"/>
  <c r="K567" i="7" l="1"/>
  <c r="K538" i="7"/>
  <c r="K73" i="7"/>
  <c r="K341" i="7"/>
  <c r="K546" i="7"/>
  <c r="K331" i="7"/>
  <c r="K198" i="7"/>
  <c r="K63" i="7"/>
  <c r="K356" i="7"/>
  <c r="K404" i="7"/>
  <c r="K262" i="7"/>
  <c r="K104" i="7"/>
  <c r="K511" i="7"/>
  <c r="K211" i="7"/>
  <c r="K103" i="7"/>
  <c r="K85" i="7"/>
  <c r="K86" i="7"/>
  <c r="K153" i="7"/>
  <c r="K117" i="7"/>
  <c r="K257" i="7"/>
  <c r="K16" i="7"/>
  <c r="K387" i="7"/>
  <c r="K606" i="7"/>
  <c r="K64" i="7"/>
  <c r="K439" i="7"/>
  <c r="K429" i="7"/>
  <c r="K299" i="7"/>
  <c r="K441" i="7"/>
  <c r="K294" i="7"/>
  <c r="K57" i="7"/>
  <c r="K612" i="7"/>
  <c r="K542" i="7"/>
  <c r="K261" i="7"/>
  <c r="K520" i="7"/>
  <c r="K302" i="7"/>
  <c r="K144" i="7"/>
  <c r="K179" i="7"/>
  <c r="K43" i="7"/>
  <c r="K14" i="7"/>
  <c r="K434" i="7"/>
  <c r="K411" i="7"/>
  <c r="K120" i="7"/>
  <c r="K571" i="7"/>
  <c r="K393" i="7"/>
  <c r="K371" i="7"/>
  <c r="K616" i="7"/>
  <c r="K614" i="7"/>
  <c r="K465" i="7"/>
  <c r="K425" i="7"/>
  <c r="K31" i="7"/>
  <c r="K330" i="7"/>
  <c r="K70" i="7"/>
  <c r="K501" i="7"/>
  <c r="K243" i="7"/>
  <c r="K204" i="7"/>
  <c r="K494" i="7"/>
  <c r="K308" i="7"/>
  <c r="K56" i="7"/>
  <c r="K615" i="7"/>
  <c r="K275" i="7"/>
  <c r="K215" i="7"/>
  <c r="K558" i="7"/>
  <c r="K432" i="7"/>
  <c r="K324" i="7"/>
  <c r="K190" i="7"/>
  <c r="K49" i="7"/>
  <c r="K124" i="7"/>
  <c r="K512" i="7"/>
  <c r="K106" i="7"/>
  <c r="K17" i="7"/>
  <c r="K353" i="7"/>
  <c r="K126" i="7"/>
  <c r="K258" i="7"/>
  <c r="K328" i="7"/>
  <c r="K339" i="7"/>
  <c r="K332" i="7"/>
  <c r="K119" i="7"/>
  <c r="K147" i="7"/>
  <c r="K295" i="7"/>
  <c r="K364" i="7"/>
  <c r="K187" i="7"/>
  <c r="K189" i="7"/>
  <c r="K525" i="7"/>
  <c r="K223" i="7"/>
  <c r="K286" i="7"/>
  <c r="K423" i="7"/>
  <c r="K369" i="7"/>
  <c r="K151" i="7"/>
  <c r="K279" i="7"/>
  <c r="K19" i="7"/>
  <c r="K155" i="7"/>
  <c r="K375" i="7"/>
  <c r="K283" i="7"/>
  <c r="K176" i="7"/>
  <c r="K24" i="7"/>
  <c r="K38" i="7"/>
  <c r="K486" i="7"/>
  <c r="K99" i="7"/>
  <c r="K51" i="7"/>
  <c r="K114" i="7"/>
  <c r="K182" i="7"/>
  <c r="K488" i="7"/>
  <c r="K459" i="7"/>
  <c r="K363" i="7"/>
  <c r="V62" i="4"/>
  <c r="V164" i="4"/>
  <c r="K59" i="7"/>
  <c r="K165" i="7"/>
  <c r="K221" i="7"/>
  <c r="K166" i="7"/>
  <c r="K183" i="7"/>
  <c r="K133" i="7"/>
  <c r="K115" i="7"/>
  <c r="K409" i="7"/>
  <c r="K169" i="7"/>
  <c r="V8" i="4"/>
  <c r="V4" i="4"/>
  <c r="D81" i="4"/>
  <c r="V49" i="4"/>
  <c r="D183" i="4"/>
  <c r="D210" i="4"/>
  <c r="D152" i="4"/>
  <c r="D95" i="4"/>
  <c r="V202" i="4"/>
  <c r="V207" i="4"/>
  <c r="D91" i="4"/>
  <c r="D123" i="4"/>
  <c r="V11" i="4"/>
  <c r="D74" i="4"/>
  <c r="D68" i="4"/>
  <c r="V79" i="4"/>
  <c r="D199" i="4"/>
  <c r="D136" i="4"/>
  <c r="V150" i="4"/>
  <c r="P43" i="4"/>
  <c r="V72" i="4"/>
  <c r="D80" i="4"/>
  <c r="V142" i="4"/>
  <c r="P144" i="4"/>
  <c r="D203" i="4"/>
  <c r="V212" i="4"/>
  <c r="V63" i="4"/>
  <c r="V61" i="4"/>
  <c r="D67" i="4"/>
  <c r="V83" i="4"/>
  <c r="V94" i="4"/>
  <c r="D151" i="4"/>
  <c r="P139" i="5"/>
  <c r="V13" i="4" l="1"/>
  <c r="V16" i="4"/>
  <c r="V27" i="4"/>
  <c r="V55" i="4"/>
  <c r="V37" i="4"/>
  <c r="V58" i="4"/>
  <c r="V6" i="4"/>
  <c r="V19" i="4"/>
  <c r="V33" i="4"/>
  <c r="V48" i="4"/>
  <c r="D19" i="4"/>
  <c r="D27" i="4"/>
  <c r="V28" i="4"/>
  <c r="D37" i="4"/>
  <c r="D33" i="4"/>
  <c r="V73" i="4"/>
  <c r="V88" i="4"/>
  <c r="D93" i="4"/>
  <c r="V101" i="4"/>
  <c r="V146" i="4"/>
  <c r="D165" i="4"/>
  <c r="D172" i="4"/>
  <c r="V206" i="4"/>
  <c r="V36" i="4"/>
  <c r="P8" i="4"/>
  <c r="P59" i="4"/>
  <c r="P64" i="4"/>
  <c r="P79" i="4"/>
  <c r="V89" i="4"/>
  <c r="V40" i="4"/>
  <c r="P21" i="4"/>
  <c r="V32" i="4"/>
  <c r="V31" i="4"/>
  <c r="V35" i="4"/>
  <c r="V34" i="4"/>
  <c r="D48" i="4"/>
  <c r="D77" i="4"/>
  <c r="P88" i="4"/>
  <c r="D87" i="4"/>
  <c r="V169" i="4"/>
  <c r="V15" i="4"/>
  <c r="V22" i="4"/>
  <c r="V50" i="4"/>
  <c r="V56" i="4"/>
  <c r="P23" i="4"/>
  <c r="P45" i="4"/>
  <c r="P57" i="4"/>
  <c r="P60" i="4"/>
  <c r="D62" i="4"/>
  <c r="D66" i="4"/>
  <c r="D69" i="4"/>
  <c r="D75" i="4"/>
  <c r="V84" i="4"/>
  <c r="D90" i="4"/>
  <c r="P105" i="4"/>
  <c r="V105" i="4"/>
  <c r="D107" i="4"/>
  <c r="D108" i="4"/>
  <c r="D111" i="4"/>
  <c r="P119" i="4"/>
  <c r="D120" i="4"/>
  <c r="D126" i="4"/>
  <c r="D127" i="4"/>
  <c r="P130" i="4"/>
  <c r="V130" i="4"/>
  <c r="D141" i="4"/>
  <c r="P143" i="4"/>
  <c r="V143" i="4"/>
  <c r="V147" i="4"/>
  <c r="P154" i="4"/>
  <c r="V154" i="4"/>
  <c r="D149" i="4"/>
  <c r="D156" i="4"/>
  <c r="P159" i="4"/>
  <c r="D164" i="4"/>
  <c r="D170" i="4"/>
  <c r="P202" i="4"/>
  <c r="D208" i="4"/>
  <c r="D209" i="4"/>
  <c r="P31" i="4"/>
  <c r="P35" i="4"/>
  <c r="P54" i="4"/>
  <c r="P90" i="4"/>
  <c r="P118" i="4"/>
  <c r="P150" i="4"/>
  <c r="P169" i="4"/>
  <c r="P181" i="4"/>
  <c r="P180" i="4"/>
  <c r="P187" i="4"/>
  <c r="P201" i="4"/>
  <c r="P26" i="4"/>
  <c r="P32" i="4"/>
  <c r="P34" i="4"/>
  <c r="V14" i="4"/>
  <c r="V44" i="4"/>
  <c r="P18" i="4"/>
  <c r="V18" i="4"/>
  <c r="P29" i="4"/>
  <c r="P98" i="4"/>
  <c r="D106" i="4"/>
  <c r="P129" i="4"/>
  <c r="D137" i="4"/>
  <c r="D153" i="4"/>
  <c r="P161" i="4"/>
  <c r="V161" i="4"/>
  <c r="D166" i="4"/>
  <c r="P167" i="4"/>
  <c r="V167" i="4"/>
  <c r="P213" i="4"/>
  <c r="D213" i="4"/>
  <c r="P5" i="4"/>
  <c r="V5" i="4"/>
  <c r="V10" i="4"/>
  <c r="P12" i="4"/>
  <c r="V12" i="4"/>
  <c r="P20" i="4"/>
  <c r="V20" i="4"/>
  <c r="V39" i="4"/>
  <c r="V42" i="4"/>
  <c r="V46" i="4"/>
  <c r="P61" i="4"/>
  <c r="P63" i="4"/>
  <c r="P70" i="4"/>
  <c r="P72" i="4"/>
  <c r="P73" i="4"/>
  <c r="P76" i="4"/>
  <c r="V71" i="4"/>
  <c r="D71" i="4"/>
  <c r="P82" i="4"/>
  <c r="D85" i="4"/>
  <c r="V85" i="4"/>
  <c r="P89" i="4"/>
  <c r="D100" i="4"/>
  <c r="V100" i="4"/>
  <c r="V25" i="4"/>
  <c r="P7" i="4"/>
  <c r="V7" i="4"/>
  <c r="P11" i="4"/>
  <c r="D10" i="4"/>
  <c r="P17" i="4"/>
  <c r="V17" i="4"/>
  <c r="P15" i="4"/>
  <c r="D16" i="4"/>
  <c r="V23" i="4"/>
  <c r="V21" i="4"/>
  <c r="V29" i="4"/>
  <c r="V26" i="4"/>
  <c r="V65" i="4"/>
  <c r="V64" i="4"/>
  <c r="V97" i="4"/>
  <c r="D103" i="4"/>
  <c r="V103" i="4"/>
  <c r="D113" i="4"/>
  <c r="V113" i="4"/>
  <c r="V124" i="4"/>
  <c r="D124" i="4"/>
  <c r="D78" i="4"/>
  <c r="V78" i="4"/>
  <c r="D86" i="4"/>
  <c r="V86" i="4"/>
  <c r="D92" i="4"/>
  <c r="V92" i="4"/>
  <c r="P115" i="4"/>
  <c r="P4" i="4"/>
  <c r="D6" i="4"/>
  <c r="P9" i="4"/>
  <c r="V9" i="4"/>
  <c r="P14" i="4"/>
  <c r="D13" i="4"/>
  <c r="P24" i="4"/>
  <c r="V24" i="4"/>
  <c r="P19" i="4"/>
  <c r="V30" i="4"/>
  <c r="P38" i="4"/>
  <c r="V38" i="4"/>
  <c r="P41" i="4"/>
  <c r="V41" i="4"/>
  <c r="V45" i="4"/>
  <c r="V43" i="4"/>
  <c r="P47" i="4"/>
  <c r="V47" i="4"/>
  <c r="P53" i="4"/>
  <c r="V53" i="4"/>
  <c r="P51" i="4"/>
  <c r="V51" i="4"/>
  <c r="P52" i="4"/>
  <c r="V52" i="4"/>
  <c r="V57" i="4"/>
  <c r="V54" i="4"/>
  <c r="V60" i="4"/>
  <c r="V59" i="4"/>
  <c r="V70" i="4"/>
  <c r="D70" i="4"/>
  <c r="V76" i="4"/>
  <c r="D76" i="4"/>
  <c r="P84" i="4"/>
  <c r="V82" i="4"/>
  <c r="D82" i="4"/>
  <c r="P97" i="4"/>
  <c r="P94" i="4"/>
  <c r="V96" i="4"/>
  <c r="D96" i="4"/>
  <c r="V98" i="4"/>
  <c r="D98" i="4"/>
  <c r="P101" i="4"/>
  <c r="P102" i="4"/>
  <c r="P111" i="4"/>
  <c r="P112" i="4"/>
  <c r="D115" i="4"/>
  <c r="V115" i="4"/>
  <c r="D117" i="4"/>
  <c r="V117" i="4"/>
  <c r="P114" i="4"/>
  <c r="P113" i="4"/>
  <c r="P117" i="4"/>
  <c r="V144" i="4"/>
  <c r="D144" i="4"/>
  <c r="P6" i="4"/>
  <c r="P10" i="4"/>
  <c r="P13" i="4"/>
  <c r="P16" i="4"/>
  <c r="P27" i="4"/>
  <c r="P25" i="4"/>
  <c r="P30" i="4"/>
  <c r="P37" i="4"/>
  <c r="P39" i="4"/>
  <c r="P42" i="4"/>
  <c r="P48" i="4"/>
  <c r="P46" i="4"/>
  <c r="P56" i="4"/>
  <c r="P62" i="4"/>
  <c r="P66" i="4"/>
  <c r="P67" i="4"/>
  <c r="P74" i="4"/>
  <c r="P75" i="4"/>
  <c r="P77" i="4"/>
  <c r="P71" i="4"/>
  <c r="P78" i="4"/>
  <c r="P81" i="4"/>
  <c r="P96" i="4"/>
  <c r="P95" i="4"/>
  <c r="P104" i="4"/>
  <c r="P127" i="4"/>
  <c r="P128" i="4"/>
  <c r="P134" i="4"/>
  <c r="V134" i="4"/>
  <c r="P131" i="4"/>
  <c r="V145" i="4"/>
  <c r="D145" i="4"/>
  <c r="V148" i="4"/>
  <c r="D148" i="4"/>
  <c r="P182" i="4"/>
  <c r="V178" i="4"/>
  <c r="D178" i="4"/>
  <c r="P199" i="4"/>
  <c r="P200" i="4"/>
  <c r="D197" i="4"/>
  <c r="V197" i="4"/>
  <c r="P204" i="4"/>
  <c r="V204" i="4"/>
  <c r="P123" i="4"/>
  <c r="V129" i="4"/>
  <c r="P132" i="4"/>
  <c r="P133" i="4"/>
  <c r="V139" i="4"/>
  <c r="D139" i="4"/>
  <c r="P157" i="4"/>
  <c r="V157" i="4"/>
  <c r="P160" i="4"/>
  <c r="V159" i="4"/>
  <c r="D159" i="4"/>
  <c r="P162" i="4"/>
  <c r="V162" i="4"/>
  <c r="V177" i="4"/>
  <c r="D177" i="4"/>
  <c r="V179" i="4"/>
  <c r="V186" i="4"/>
  <c r="D186" i="4"/>
  <c r="V198" i="4"/>
  <c r="D198" i="4"/>
  <c r="P205" i="4"/>
  <c r="V205" i="4"/>
  <c r="V211" i="4"/>
  <c r="D211" i="4"/>
  <c r="P22" i="4"/>
  <c r="P28" i="4"/>
  <c r="P36" i="4"/>
  <c r="P33" i="4"/>
  <c r="P40" i="4"/>
  <c r="P44" i="4"/>
  <c r="P49" i="4"/>
  <c r="P50" i="4"/>
  <c r="P55" i="4"/>
  <c r="P58" i="4"/>
  <c r="P65" i="4"/>
  <c r="P69" i="4"/>
  <c r="P68" i="4"/>
  <c r="P80" i="4"/>
  <c r="P83" i="4"/>
  <c r="P85" i="4"/>
  <c r="P86" i="4"/>
  <c r="P87" i="4"/>
  <c r="P92" i="4"/>
  <c r="P93" i="4"/>
  <c r="P100" i="4"/>
  <c r="P103" i="4"/>
  <c r="P106" i="4"/>
  <c r="P107" i="4"/>
  <c r="P108" i="4"/>
  <c r="P124" i="4"/>
  <c r="P149" i="4"/>
  <c r="D163" i="4"/>
  <c r="V163" i="4"/>
  <c r="D194" i="4"/>
  <c r="V194" i="4"/>
  <c r="D158" i="4"/>
  <c r="V158" i="4"/>
  <c r="V175" i="4"/>
  <c r="D175" i="4"/>
  <c r="V193" i="4"/>
  <c r="D193" i="4"/>
  <c r="P91" i="4"/>
  <c r="P109" i="4"/>
  <c r="P121" i="4"/>
  <c r="P120" i="4"/>
  <c r="P126" i="4"/>
  <c r="P139" i="4"/>
  <c r="P138" i="4"/>
  <c r="P137" i="4"/>
  <c r="P142" i="4"/>
  <c r="P148" i="4"/>
  <c r="P146" i="4"/>
  <c r="P155" i="4"/>
  <c r="P151" i="4"/>
  <c r="P153" i="4"/>
  <c r="P177" i="4"/>
  <c r="P176" i="4"/>
  <c r="P178" i="4"/>
  <c r="P193" i="4"/>
  <c r="P192" i="4"/>
  <c r="P198" i="4"/>
  <c r="P196" i="4"/>
  <c r="P210" i="4"/>
  <c r="P203" i="4"/>
  <c r="P211" i="4"/>
  <c r="P212" i="4"/>
  <c r="P122" i="4"/>
  <c r="P135" i="4"/>
  <c r="P136" i="4"/>
  <c r="P141" i="4"/>
  <c r="P156" i="4"/>
  <c r="P163" i="4"/>
  <c r="P166" i="4"/>
  <c r="P168" i="4"/>
  <c r="P164" i="4"/>
  <c r="P170" i="4"/>
  <c r="P194" i="4"/>
  <c r="P195" i="4"/>
  <c r="P197" i="4"/>
  <c r="P208" i="4"/>
  <c r="P209" i="4"/>
  <c r="D99" i="4"/>
  <c r="V99" i="4"/>
  <c r="V104" i="4"/>
  <c r="P125" i="4"/>
  <c r="D112" i="4"/>
  <c r="V112" i="4"/>
  <c r="V121" i="4"/>
  <c r="D121" i="4"/>
  <c r="D128" i="4"/>
  <c r="V128" i="4"/>
  <c r="V102" i="4"/>
  <c r="D102" i="4"/>
  <c r="P110" i="4"/>
  <c r="P116" i="4"/>
  <c r="P99" i="4"/>
  <c r="V114" i="4"/>
  <c r="D114" i="4"/>
  <c r="D119" i="4"/>
  <c r="V119" i="4"/>
  <c r="D185" i="4"/>
  <c r="V185" i="4"/>
  <c r="P191" i="4"/>
  <c r="D132" i="4"/>
  <c r="V138" i="4"/>
  <c r="D135" i="4"/>
  <c r="P140" i="4"/>
  <c r="V140" i="4"/>
  <c r="P147" i="4"/>
  <c r="V155" i="4"/>
  <c r="D155" i="4"/>
  <c r="V160" i="4"/>
  <c r="D160" i="4"/>
  <c r="V174" i="4"/>
  <c r="D174" i="4"/>
  <c r="P171" i="4"/>
  <c r="V187" i="4"/>
  <c r="D187" i="4"/>
  <c r="V110" i="4"/>
  <c r="D109" i="4"/>
  <c r="V116" i="4"/>
  <c r="D118" i="4"/>
  <c r="V125" i="4"/>
  <c r="D122" i="4"/>
  <c r="V131" i="4"/>
  <c r="D133" i="4"/>
  <c r="P152" i="4"/>
  <c r="V168" i="4"/>
  <c r="D168" i="4"/>
  <c r="P172" i="4"/>
  <c r="V184" i="4"/>
  <c r="D184" i="4"/>
  <c r="V189" i="4"/>
  <c r="D189" i="4"/>
  <c r="P145" i="4"/>
  <c r="P158" i="4"/>
  <c r="P173" i="4"/>
  <c r="P183" i="4"/>
  <c r="V182" i="4"/>
  <c r="D182" i="4"/>
  <c r="V188" i="4"/>
  <c r="D188" i="4"/>
  <c r="P165" i="4"/>
  <c r="P184" i="4"/>
  <c r="P190" i="4"/>
  <c r="P175" i="4"/>
  <c r="V173" i="4"/>
  <c r="D173" i="4"/>
  <c r="P174" i="4"/>
  <c r="P188" i="4"/>
  <c r="P186" i="4"/>
  <c r="V190" i="4"/>
  <c r="D190" i="4"/>
  <c r="P189" i="4"/>
  <c r="P206" i="4"/>
  <c r="P207" i="4"/>
  <c r="V176" i="4"/>
  <c r="D176" i="4"/>
  <c r="V181" i="4"/>
  <c r="D181" i="4"/>
  <c r="V192" i="4"/>
  <c r="D192" i="4"/>
  <c r="V171" i="4"/>
  <c r="D171" i="4"/>
  <c r="P179" i="4"/>
  <c r="V180" i="4"/>
  <c r="D180" i="4"/>
  <c r="P185" i="4"/>
  <c r="V191" i="4"/>
  <c r="D191" i="4"/>
  <c r="V201" i="4"/>
  <c r="D195" i="4"/>
  <c r="D196" i="4"/>
  <c r="D200" i="4"/>
  <c r="D139" i="5"/>
  <c r="G176" i="29"/>
  <c r="E126" i="29"/>
  <c r="I176" i="29"/>
  <c r="J176" i="29" s="1"/>
  <c r="A126" i="29"/>
  <c r="E120" i="29"/>
  <c r="K231" i="29"/>
  <c r="C95" i="29"/>
  <c r="D95" i="29" s="1"/>
  <c r="I222" i="29"/>
  <c r="J222" i="29" s="1"/>
  <c r="K222" i="29"/>
  <c r="K190" i="29"/>
  <c r="C94" i="29"/>
  <c r="D94" i="29" s="1"/>
  <c r="E118" i="29"/>
  <c r="K132" i="29"/>
  <c r="K156" i="29"/>
  <c r="G164" i="29"/>
  <c r="K186" i="29"/>
  <c r="J212" i="29"/>
  <c r="C16" i="29"/>
  <c r="D16" i="29" s="1"/>
  <c r="C88" i="29"/>
  <c r="D88" i="29" s="1"/>
  <c r="C89" i="29"/>
  <c r="D89" i="29" s="1"/>
  <c r="E116" i="29"/>
  <c r="A118" i="29"/>
  <c r="I130" i="29"/>
  <c r="J130" i="29" s="1"/>
  <c r="I154" i="29"/>
  <c r="J154" i="29" s="1"/>
  <c r="G156" i="29"/>
  <c r="K164" i="29"/>
  <c r="E214" i="29"/>
  <c r="C214" i="29"/>
  <c r="D214" i="29" s="1"/>
  <c r="E192" i="29"/>
  <c r="C192" i="29"/>
  <c r="D192" i="29" s="1"/>
  <c r="A192" i="29"/>
  <c r="E202" i="29"/>
  <c r="A202" i="29"/>
  <c r="C202" i="29"/>
  <c r="D202" i="29" s="1"/>
  <c r="E208" i="29"/>
  <c r="C208" i="29"/>
  <c r="D208" i="29" s="1"/>
  <c r="I200" i="29"/>
  <c r="J200" i="29" s="1"/>
  <c r="K200" i="29"/>
  <c r="G200" i="29"/>
  <c r="I202" i="29"/>
  <c r="J202" i="29" s="1"/>
  <c r="I206" i="29"/>
  <c r="J206" i="29" s="1"/>
  <c r="K206" i="29"/>
  <c r="G206" i="29"/>
  <c r="E212" i="29"/>
  <c r="A212" i="29"/>
  <c r="C212" i="29"/>
  <c r="D212" i="29" s="1"/>
  <c r="I138" i="29"/>
  <c r="J138" i="29" s="1"/>
  <c r="G140" i="29"/>
  <c r="J141" i="29"/>
  <c r="K144" i="29"/>
  <c r="J153" i="29"/>
  <c r="K160" i="29"/>
  <c r="I166" i="29"/>
  <c r="J166" i="29" s="1"/>
  <c r="I174" i="29"/>
  <c r="J174" i="29" s="1"/>
  <c r="I175" i="29"/>
  <c r="J175" i="29" s="1"/>
  <c r="K181" i="29"/>
  <c r="K182" i="29"/>
  <c r="I183" i="29"/>
  <c r="J183" i="29" s="1"/>
  <c r="K185" i="29"/>
  <c r="K189" i="29"/>
  <c r="J216" i="29"/>
  <c r="C222" i="29"/>
  <c r="D222" i="29" s="1"/>
  <c r="I226" i="29"/>
  <c r="J226" i="29" s="1"/>
  <c r="I162" i="29"/>
  <c r="J162" i="29" s="1"/>
  <c r="I168" i="29"/>
  <c r="J168" i="29" s="1"/>
  <c r="K183" i="29"/>
  <c r="G216" i="29"/>
  <c r="K216" i="29"/>
  <c r="A222" i="29"/>
  <c r="I224" i="29"/>
  <c r="J224" i="29" s="1"/>
  <c r="J227" i="29"/>
  <c r="I228" i="29"/>
  <c r="J228" i="29" s="1"/>
  <c r="I95" i="29"/>
  <c r="J95" i="29" s="1"/>
  <c r="C104" i="29"/>
  <c r="D104" i="29" s="1"/>
  <c r="A106" i="29"/>
  <c r="A114" i="29"/>
  <c r="I134" i="29"/>
  <c r="J134" i="29" s="1"/>
  <c r="G136" i="29"/>
  <c r="I158" i="29"/>
  <c r="J158" i="29" s="1"/>
  <c r="G160" i="29"/>
  <c r="I179" i="29"/>
  <c r="J179" i="29" s="1"/>
  <c r="G182" i="29"/>
  <c r="C183" i="29"/>
  <c r="D183" i="29" s="1"/>
  <c r="I187" i="29"/>
  <c r="J187" i="29" s="1"/>
  <c r="K224" i="29"/>
  <c r="K227" i="29"/>
  <c r="E4" i="29"/>
  <c r="E12" i="29"/>
  <c r="C12" i="29"/>
  <c r="D12" i="29" s="1"/>
  <c r="E7" i="29"/>
  <c r="C7" i="29"/>
  <c r="D7" i="29" s="1"/>
  <c r="E8" i="29"/>
  <c r="C8" i="29"/>
  <c r="D8" i="29" s="1"/>
  <c r="E92" i="29"/>
  <c r="C92" i="29"/>
  <c r="D92" i="29" s="1"/>
  <c r="K94" i="29"/>
  <c r="I94" i="29"/>
  <c r="J94" i="29" s="1"/>
  <c r="E103" i="29"/>
  <c r="C103" i="29"/>
  <c r="D103" i="29" s="1"/>
  <c r="E129" i="29"/>
  <c r="C129" i="29"/>
  <c r="D129" i="29" s="1"/>
  <c r="C133" i="29"/>
  <c r="D133" i="29" s="1"/>
  <c r="E133" i="29"/>
  <c r="E138" i="29"/>
  <c r="C138" i="29"/>
  <c r="D138" i="29" s="1"/>
  <c r="I204" i="29"/>
  <c r="J204" i="29" s="1"/>
  <c r="K204" i="29"/>
  <c r="G204" i="29"/>
  <c r="E233" i="29"/>
  <c r="C233" i="29"/>
  <c r="D233" i="29" s="1"/>
  <c r="E91" i="29"/>
  <c r="C91" i="29"/>
  <c r="D91" i="29" s="1"/>
  <c r="E200" i="29"/>
  <c r="A200" i="29"/>
  <c r="C200" i="29"/>
  <c r="D200" i="29" s="1"/>
  <c r="E237" i="29"/>
  <c r="C237" i="29"/>
  <c r="D237" i="29" s="1"/>
  <c r="E90" i="29"/>
  <c r="C90" i="29"/>
  <c r="D90" i="29" s="1"/>
  <c r="E102" i="29"/>
  <c r="A102" i="29"/>
  <c r="C102" i="29"/>
  <c r="D102" i="29" s="1"/>
  <c r="K103" i="29"/>
  <c r="I103" i="29"/>
  <c r="J103" i="29" s="1"/>
  <c r="E134" i="29"/>
  <c r="C134" i="29"/>
  <c r="D134" i="29" s="1"/>
  <c r="E216" i="29"/>
  <c r="A216" i="29"/>
  <c r="C216" i="29"/>
  <c r="D216" i="29" s="1"/>
  <c r="C11" i="29"/>
  <c r="D11" i="29" s="1"/>
  <c r="K102" i="29"/>
  <c r="I102" i="29"/>
  <c r="J102" i="29" s="1"/>
  <c r="E142" i="29"/>
  <c r="C142" i="29"/>
  <c r="D142" i="29" s="1"/>
  <c r="E206" i="29"/>
  <c r="A206" i="29"/>
  <c r="C206" i="29"/>
  <c r="D206" i="29" s="1"/>
  <c r="I210" i="29"/>
  <c r="J210" i="29" s="1"/>
  <c r="K210" i="29"/>
  <c r="G210" i="29"/>
  <c r="C110" i="29"/>
  <c r="D110" i="29" s="1"/>
  <c r="I128" i="29"/>
  <c r="J128" i="29" s="1"/>
  <c r="I129" i="29"/>
  <c r="J129" i="29" s="1"/>
  <c r="C130" i="29"/>
  <c r="D130" i="29" s="1"/>
  <c r="I142" i="29"/>
  <c r="J142" i="29" s="1"/>
  <c r="J157" i="29"/>
  <c r="J161" i="29"/>
  <c r="J165" i="29"/>
  <c r="G168" i="29"/>
  <c r="I178" i="29"/>
  <c r="J178" i="29" s="1"/>
  <c r="G179" i="29"/>
  <c r="G186" i="29"/>
  <c r="C187" i="29"/>
  <c r="D187" i="29" s="1"/>
  <c r="K187" i="29"/>
  <c r="C198" i="29"/>
  <c r="D198" i="29" s="1"/>
  <c r="J198" i="29"/>
  <c r="G202" i="29"/>
  <c r="K202" i="29"/>
  <c r="C204" i="29"/>
  <c r="D204" i="29" s="1"/>
  <c r="A208" i="29"/>
  <c r="J208" i="29"/>
  <c r="C210" i="29"/>
  <c r="D210" i="29" s="1"/>
  <c r="G212" i="29"/>
  <c r="K212" i="29"/>
  <c r="A214" i="29"/>
  <c r="J214" i="29"/>
  <c r="K226" i="29"/>
  <c r="G227" i="29"/>
  <c r="C229" i="29"/>
  <c r="D229" i="29" s="1"/>
  <c r="C232" i="29"/>
  <c r="D232" i="29" s="1"/>
  <c r="I232" i="29"/>
  <c r="J232" i="29" s="1"/>
  <c r="I233" i="29"/>
  <c r="J233" i="29" s="1"/>
  <c r="C236" i="29"/>
  <c r="D236" i="29" s="1"/>
  <c r="I236" i="29"/>
  <c r="J236" i="29" s="1"/>
  <c r="I238" i="29"/>
  <c r="J238" i="29" s="1"/>
  <c r="A94" i="29"/>
  <c r="C96" i="29"/>
  <c r="D96" i="29" s="1"/>
  <c r="C106" i="29"/>
  <c r="D106" i="29" s="1"/>
  <c r="C108" i="29"/>
  <c r="D108" i="29" s="1"/>
  <c r="E110" i="29"/>
  <c r="C112" i="29"/>
  <c r="D112" i="29" s="1"/>
  <c r="C114" i="29"/>
  <c r="D114" i="29" s="1"/>
  <c r="I132" i="29"/>
  <c r="J132" i="29" s="1"/>
  <c r="I133" i="29"/>
  <c r="J133" i="29" s="1"/>
  <c r="I152" i="29"/>
  <c r="J152" i="29" s="1"/>
  <c r="G180" i="29"/>
  <c r="G190" i="29"/>
  <c r="A198" i="29"/>
  <c r="G198" i="29"/>
  <c r="K198" i="29"/>
  <c r="A204" i="29"/>
  <c r="G208" i="29"/>
  <c r="K208" i="29"/>
  <c r="A210" i="29"/>
  <c r="G214" i="29"/>
  <c r="K214" i="29"/>
  <c r="G228" i="29"/>
  <c r="E112" i="29"/>
  <c r="C116" i="29"/>
  <c r="D116" i="29" s="1"/>
  <c r="C120" i="29"/>
  <c r="D120" i="29" s="1"/>
  <c r="G128" i="29"/>
  <c r="I150" i="29"/>
  <c r="J150" i="29" s="1"/>
  <c r="K152" i="29"/>
  <c r="G232" i="29"/>
  <c r="G236" i="29"/>
  <c r="G238" i="29"/>
  <c r="V115" i="3"/>
  <c r="V114" i="3"/>
  <c r="A6" i="29"/>
  <c r="A10" i="29"/>
  <c r="A14" i="29"/>
  <c r="C15" i="29"/>
  <c r="D15" i="29" s="1"/>
  <c r="E29" i="29"/>
  <c r="A29" i="29"/>
  <c r="C29" i="29"/>
  <c r="D29" i="29" s="1"/>
  <c r="E31" i="29"/>
  <c r="A31" i="29"/>
  <c r="C31" i="29"/>
  <c r="D31" i="29" s="1"/>
  <c r="E33" i="29"/>
  <c r="A33" i="29"/>
  <c r="C33" i="29"/>
  <c r="D33" i="29" s="1"/>
  <c r="E35" i="29"/>
  <c r="A35" i="29"/>
  <c r="C35" i="29"/>
  <c r="D35" i="29" s="1"/>
  <c r="E37" i="29"/>
  <c r="A37" i="29"/>
  <c r="C37" i="29"/>
  <c r="D37" i="29" s="1"/>
  <c r="E39" i="29"/>
  <c r="A39" i="29"/>
  <c r="C39" i="29"/>
  <c r="D39" i="29" s="1"/>
  <c r="E41" i="29"/>
  <c r="A41" i="29"/>
  <c r="C41" i="29"/>
  <c r="D41" i="29" s="1"/>
  <c r="E43" i="29"/>
  <c r="A43" i="29"/>
  <c r="C43" i="29"/>
  <c r="D43" i="29" s="1"/>
  <c r="E45" i="29"/>
  <c r="A45" i="29"/>
  <c r="C45" i="29"/>
  <c r="D45" i="29" s="1"/>
  <c r="E47" i="29"/>
  <c r="A47" i="29"/>
  <c r="C47" i="29"/>
  <c r="D47" i="29" s="1"/>
  <c r="E53" i="29"/>
  <c r="A53" i="29"/>
  <c r="C53" i="29"/>
  <c r="D53" i="29" s="1"/>
  <c r="E55" i="29"/>
  <c r="A55" i="29"/>
  <c r="C55" i="29"/>
  <c r="D55" i="29" s="1"/>
  <c r="E57" i="29"/>
  <c r="A57" i="29"/>
  <c r="C57" i="29"/>
  <c r="D57" i="29" s="1"/>
  <c r="E59" i="29"/>
  <c r="A59" i="29"/>
  <c r="C59" i="29"/>
  <c r="D59" i="29" s="1"/>
  <c r="E61" i="29"/>
  <c r="A61" i="29"/>
  <c r="C61" i="29"/>
  <c r="D61" i="29" s="1"/>
  <c r="E63" i="29"/>
  <c r="A63" i="29"/>
  <c r="C63" i="29"/>
  <c r="D63" i="29" s="1"/>
  <c r="E65" i="29"/>
  <c r="A65" i="29"/>
  <c r="C65" i="29"/>
  <c r="D65" i="29" s="1"/>
  <c r="E67" i="29"/>
  <c r="A67" i="29"/>
  <c r="C67" i="29"/>
  <c r="D67" i="29" s="1"/>
  <c r="E69" i="29"/>
  <c r="A69" i="29"/>
  <c r="C69" i="29"/>
  <c r="D69" i="29" s="1"/>
  <c r="E71" i="29"/>
  <c r="A71" i="29"/>
  <c r="C71" i="29"/>
  <c r="D71" i="29" s="1"/>
  <c r="E77" i="29"/>
  <c r="A77" i="29"/>
  <c r="C77" i="29"/>
  <c r="D77" i="29" s="1"/>
  <c r="E79" i="29"/>
  <c r="A79" i="29"/>
  <c r="C79" i="29"/>
  <c r="D79" i="29" s="1"/>
  <c r="E81" i="29"/>
  <c r="A81" i="29"/>
  <c r="C81" i="29"/>
  <c r="D81" i="29" s="1"/>
  <c r="E83" i="29"/>
  <c r="A83" i="29"/>
  <c r="C83" i="29"/>
  <c r="D83" i="29" s="1"/>
  <c r="E85" i="29"/>
  <c r="A85" i="29"/>
  <c r="C85" i="29"/>
  <c r="D85" i="29" s="1"/>
  <c r="E87" i="29"/>
  <c r="A87" i="29"/>
  <c r="C87" i="29"/>
  <c r="D87" i="29" s="1"/>
  <c r="G93" i="29"/>
  <c r="K93" i="29"/>
  <c r="I93" i="29"/>
  <c r="J93" i="29" s="1"/>
  <c r="A5" i="29"/>
  <c r="C6" i="29"/>
  <c r="D6" i="29" s="1"/>
  <c r="A9" i="29"/>
  <c r="C10" i="29"/>
  <c r="D10" i="29" s="1"/>
  <c r="A13" i="29"/>
  <c r="C14" i="29"/>
  <c r="D14" i="29" s="1"/>
  <c r="E17" i="29"/>
  <c r="D17" i="29"/>
  <c r="A17" i="29"/>
  <c r="E19" i="29"/>
  <c r="D19" i="29"/>
  <c r="A19" i="29"/>
  <c r="E21" i="29"/>
  <c r="D21" i="29"/>
  <c r="A21" i="29"/>
  <c r="G29" i="29"/>
  <c r="G31" i="29"/>
  <c r="I31" i="29"/>
  <c r="J31" i="29" s="1"/>
  <c r="K31" i="29"/>
  <c r="G33" i="29"/>
  <c r="I33" i="29"/>
  <c r="J33" i="29" s="1"/>
  <c r="K33" i="29"/>
  <c r="G35" i="29"/>
  <c r="I35" i="29"/>
  <c r="J35" i="29" s="1"/>
  <c r="K35" i="29"/>
  <c r="G37" i="29"/>
  <c r="I37" i="29"/>
  <c r="J37" i="29" s="1"/>
  <c r="K37" i="29"/>
  <c r="G39" i="29"/>
  <c r="I39" i="29"/>
  <c r="J39" i="29" s="1"/>
  <c r="K39" i="29"/>
  <c r="G41" i="29"/>
  <c r="I41" i="29"/>
  <c r="J41" i="29" s="1"/>
  <c r="K41" i="29"/>
  <c r="G43" i="29"/>
  <c r="I43" i="29"/>
  <c r="J43" i="29" s="1"/>
  <c r="K43" i="29"/>
  <c r="G45" i="29"/>
  <c r="I45" i="29"/>
  <c r="J45" i="29" s="1"/>
  <c r="K45" i="29"/>
  <c r="G47" i="29"/>
  <c r="I47" i="29"/>
  <c r="J47" i="29" s="1"/>
  <c r="K47" i="29"/>
  <c r="G53" i="29"/>
  <c r="I53" i="29"/>
  <c r="J53" i="29" s="1"/>
  <c r="K53" i="29"/>
  <c r="G55" i="29"/>
  <c r="I55" i="29"/>
  <c r="J55" i="29" s="1"/>
  <c r="K55" i="29"/>
  <c r="G57" i="29"/>
  <c r="I57" i="29"/>
  <c r="J57" i="29" s="1"/>
  <c r="K57" i="29"/>
  <c r="G59" i="29"/>
  <c r="I59" i="29"/>
  <c r="J59" i="29" s="1"/>
  <c r="K59" i="29"/>
  <c r="G61" i="29"/>
  <c r="I61" i="29"/>
  <c r="J61" i="29" s="1"/>
  <c r="K61" i="29"/>
  <c r="G63" i="29"/>
  <c r="I63" i="29"/>
  <c r="J63" i="29" s="1"/>
  <c r="K63" i="29"/>
  <c r="G65" i="29"/>
  <c r="I65" i="29"/>
  <c r="J65" i="29" s="1"/>
  <c r="K65" i="29"/>
  <c r="G67" i="29"/>
  <c r="I67" i="29"/>
  <c r="J67" i="29" s="1"/>
  <c r="K67" i="29"/>
  <c r="G69" i="29"/>
  <c r="I69" i="29"/>
  <c r="J69" i="29" s="1"/>
  <c r="K69" i="29"/>
  <c r="G71" i="29"/>
  <c r="I71" i="29"/>
  <c r="J71" i="29" s="1"/>
  <c r="K71" i="29"/>
  <c r="G77" i="29"/>
  <c r="I77" i="29"/>
  <c r="J77" i="29" s="1"/>
  <c r="K77" i="29"/>
  <c r="G79" i="29"/>
  <c r="I79" i="29"/>
  <c r="J79" i="29" s="1"/>
  <c r="K79" i="29"/>
  <c r="G81" i="29"/>
  <c r="I81" i="29"/>
  <c r="J81" i="29" s="1"/>
  <c r="K81" i="29"/>
  <c r="G83" i="29"/>
  <c r="I83" i="29"/>
  <c r="J83" i="29" s="1"/>
  <c r="K83" i="29"/>
  <c r="G85" i="29"/>
  <c r="I85" i="29"/>
  <c r="J85" i="29" s="1"/>
  <c r="K85" i="29"/>
  <c r="G87" i="29"/>
  <c r="I87" i="29"/>
  <c r="J87" i="29" s="1"/>
  <c r="K87" i="29"/>
  <c r="G88" i="29"/>
  <c r="I88" i="29"/>
  <c r="J88" i="29" s="1"/>
  <c r="K88" i="29"/>
  <c r="G89" i="29"/>
  <c r="I89" i="29"/>
  <c r="J89" i="29" s="1"/>
  <c r="K89" i="29"/>
  <c r="G90" i="29"/>
  <c r="I90" i="29"/>
  <c r="J90" i="29" s="1"/>
  <c r="K90" i="29"/>
  <c r="G91" i="29"/>
  <c r="I91" i="29"/>
  <c r="J91" i="29" s="1"/>
  <c r="K91" i="29"/>
  <c r="G101" i="29"/>
  <c r="K101" i="29"/>
  <c r="I101" i="29"/>
  <c r="J101" i="29" s="1"/>
  <c r="G109" i="29"/>
  <c r="K109" i="29"/>
  <c r="I109" i="29"/>
  <c r="J109" i="29" s="1"/>
  <c r="D4" i="29"/>
  <c r="A4" i="29"/>
  <c r="C5" i="29"/>
  <c r="D5" i="29" s="1"/>
  <c r="E6" i="29"/>
  <c r="A8" i="29"/>
  <c r="C9" i="29"/>
  <c r="D9" i="29" s="1"/>
  <c r="E10" i="29"/>
  <c r="A12" i="29"/>
  <c r="C13" i="29"/>
  <c r="D13" i="29" s="1"/>
  <c r="E14" i="29"/>
  <c r="A16" i="29"/>
  <c r="E30" i="29"/>
  <c r="A30" i="29"/>
  <c r="C30" i="29"/>
  <c r="D30" i="29" s="1"/>
  <c r="E32" i="29"/>
  <c r="A32" i="29"/>
  <c r="C32" i="29"/>
  <c r="D32" i="29" s="1"/>
  <c r="E34" i="29"/>
  <c r="A34" i="29"/>
  <c r="C34" i="29"/>
  <c r="D34" i="29" s="1"/>
  <c r="E36" i="29"/>
  <c r="A36" i="29"/>
  <c r="C36" i="29"/>
  <c r="D36" i="29" s="1"/>
  <c r="E38" i="29"/>
  <c r="A38" i="29"/>
  <c r="C38" i="29"/>
  <c r="D38" i="29" s="1"/>
  <c r="E40" i="29"/>
  <c r="A40" i="29"/>
  <c r="C40" i="29"/>
  <c r="D40" i="29" s="1"/>
  <c r="E42" i="29"/>
  <c r="A42" i="29"/>
  <c r="C42" i="29"/>
  <c r="D42" i="29" s="1"/>
  <c r="E44" i="29"/>
  <c r="A44" i="29"/>
  <c r="C44" i="29"/>
  <c r="D44" i="29" s="1"/>
  <c r="E46" i="29"/>
  <c r="A46" i="29"/>
  <c r="C46" i="29"/>
  <c r="D46" i="29" s="1"/>
  <c r="E48" i="29"/>
  <c r="A48" i="29"/>
  <c r="C48" i="29"/>
  <c r="D48" i="29" s="1"/>
  <c r="E54" i="29"/>
  <c r="A54" i="29"/>
  <c r="C54" i="29"/>
  <c r="D54" i="29" s="1"/>
  <c r="E56" i="29"/>
  <c r="A56" i="29"/>
  <c r="C56" i="29"/>
  <c r="D56" i="29" s="1"/>
  <c r="E58" i="29"/>
  <c r="A58" i="29"/>
  <c r="C58" i="29"/>
  <c r="D58" i="29" s="1"/>
  <c r="E60" i="29"/>
  <c r="A60" i="29"/>
  <c r="C60" i="29"/>
  <c r="D60" i="29" s="1"/>
  <c r="E62" i="29"/>
  <c r="A62" i="29"/>
  <c r="C62" i="29"/>
  <c r="D62" i="29" s="1"/>
  <c r="E64" i="29"/>
  <c r="A64" i="29"/>
  <c r="C64" i="29"/>
  <c r="D64" i="29" s="1"/>
  <c r="E66" i="29"/>
  <c r="A66" i="29"/>
  <c r="C66" i="29"/>
  <c r="D66" i="29" s="1"/>
  <c r="E68" i="29"/>
  <c r="A68" i="29"/>
  <c r="C68" i="29"/>
  <c r="D68" i="29" s="1"/>
  <c r="E70" i="29"/>
  <c r="A70" i="29"/>
  <c r="C70" i="29"/>
  <c r="D70" i="29" s="1"/>
  <c r="E72" i="29"/>
  <c r="A72" i="29"/>
  <c r="C72" i="29"/>
  <c r="D72" i="29" s="1"/>
  <c r="E78" i="29"/>
  <c r="A78" i="29"/>
  <c r="C78" i="29"/>
  <c r="D78" i="29" s="1"/>
  <c r="E80" i="29"/>
  <c r="A80" i="29"/>
  <c r="C80" i="29"/>
  <c r="D80" i="29" s="1"/>
  <c r="E82" i="29"/>
  <c r="A82" i="29"/>
  <c r="C82" i="29"/>
  <c r="D82" i="29" s="1"/>
  <c r="E84" i="29"/>
  <c r="A84" i="29"/>
  <c r="C84" i="29"/>
  <c r="D84" i="29" s="1"/>
  <c r="E86" i="29"/>
  <c r="A86" i="29"/>
  <c r="C86" i="29"/>
  <c r="D86" i="29" s="1"/>
  <c r="G105" i="29"/>
  <c r="K105" i="29"/>
  <c r="I105" i="29"/>
  <c r="J105" i="29" s="1"/>
  <c r="G111" i="29"/>
  <c r="K111" i="29"/>
  <c r="I111" i="29"/>
  <c r="J111" i="29" s="1"/>
  <c r="G113" i="29"/>
  <c r="K113" i="29"/>
  <c r="I113" i="29"/>
  <c r="J113" i="29" s="1"/>
  <c r="A3" i="29"/>
  <c r="A7" i="29"/>
  <c r="A11" i="29"/>
  <c r="A15" i="29"/>
  <c r="A18" i="29"/>
  <c r="C18" i="29"/>
  <c r="D18" i="29" s="1"/>
  <c r="A20" i="29"/>
  <c r="C20" i="29"/>
  <c r="D20" i="29" s="1"/>
  <c r="A22" i="29"/>
  <c r="C22" i="29"/>
  <c r="D22" i="29" s="1"/>
  <c r="E22" i="29"/>
  <c r="G30" i="29"/>
  <c r="G32" i="29"/>
  <c r="I32" i="29"/>
  <c r="J32" i="29" s="1"/>
  <c r="K32" i="29"/>
  <c r="G34" i="29"/>
  <c r="I34" i="29"/>
  <c r="J34" i="29" s="1"/>
  <c r="K34" i="29"/>
  <c r="G36" i="29"/>
  <c r="I36" i="29"/>
  <c r="J36" i="29" s="1"/>
  <c r="K36" i="29"/>
  <c r="G38" i="29"/>
  <c r="I38" i="29"/>
  <c r="J38" i="29" s="1"/>
  <c r="K38" i="29"/>
  <c r="G40" i="29"/>
  <c r="I40" i="29"/>
  <c r="J40" i="29" s="1"/>
  <c r="K40" i="29"/>
  <c r="G42" i="29"/>
  <c r="I42" i="29"/>
  <c r="J42" i="29" s="1"/>
  <c r="K42" i="29"/>
  <c r="G44" i="29"/>
  <c r="I44" i="29"/>
  <c r="J44" i="29" s="1"/>
  <c r="K44" i="29"/>
  <c r="G46" i="29"/>
  <c r="I46" i="29"/>
  <c r="J46" i="29" s="1"/>
  <c r="K46" i="29"/>
  <c r="G48" i="29"/>
  <c r="I48" i="29"/>
  <c r="J48" i="29" s="1"/>
  <c r="K48" i="29"/>
  <c r="G54" i="29"/>
  <c r="I54" i="29"/>
  <c r="J54" i="29" s="1"/>
  <c r="K54" i="29"/>
  <c r="G56" i="29"/>
  <c r="I56" i="29"/>
  <c r="J56" i="29" s="1"/>
  <c r="K56" i="29"/>
  <c r="G58" i="29"/>
  <c r="I58" i="29"/>
  <c r="J58" i="29" s="1"/>
  <c r="K58" i="29"/>
  <c r="G60" i="29"/>
  <c r="I60" i="29"/>
  <c r="J60" i="29" s="1"/>
  <c r="K60" i="29"/>
  <c r="G62" i="29"/>
  <c r="I62" i="29"/>
  <c r="J62" i="29" s="1"/>
  <c r="K62" i="29"/>
  <c r="G64" i="29"/>
  <c r="I64" i="29"/>
  <c r="J64" i="29" s="1"/>
  <c r="K64" i="29"/>
  <c r="G66" i="29"/>
  <c r="I66" i="29"/>
  <c r="J66" i="29" s="1"/>
  <c r="K66" i="29"/>
  <c r="G68" i="29"/>
  <c r="I68" i="29"/>
  <c r="J68" i="29" s="1"/>
  <c r="K68" i="29"/>
  <c r="G70" i="29"/>
  <c r="I70" i="29"/>
  <c r="J70" i="29" s="1"/>
  <c r="K70" i="29"/>
  <c r="G72" i="29"/>
  <c r="I72" i="29"/>
  <c r="J72" i="29" s="1"/>
  <c r="K72" i="29"/>
  <c r="G78" i="29"/>
  <c r="I78" i="29"/>
  <c r="J78" i="29" s="1"/>
  <c r="K78" i="29"/>
  <c r="G80" i="29"/>
  <c r="I80" i="29"/>
  <c r="J80" i="29" s="1"/>
  <c r="K80" i="29"/>
  <c r="G82" i="29"/>
  <c r="I82" i="29"/>
  <c r="J82" i="29" s="1"/>
  <c r="K82" i="29"/>
  <c r="G84" i="29"/>
  <c r="I84" i="29"/>
  <c r="J84" i="29" s="1"/>
  <c r="K84" i="29"/>
  <c r="G86" i="29"/>
  <c r="I86" i="29"/>
  <c r="J86" i="29" s="1"/>
  <c r="K86" i="29"/>
  <c r="G107" i="29"/>
  <c r="K107" i="29"/>
  <c r="I107" i="29"/>
  <c r="J107" i="29" s="1"/>
  <c r="G115" i="29"/>
  <c r="K115" i="29"/>
  <c r="I115" i="29"/>
  <c r="J115" i="29" s="1"/>
  <c r="G117" i="29"/>
  <c r="K117" i="29"/>
  <c r="I117" i="29"/>
  <c r="J117" i="29" s="1"/>
  <c r="G119" i="29"/>
  <c r="K119" i="29"/>
  <c r="I119" i="29"/>
  <c r="J119" i="29" s="1"/>
  <c r="G125" i="29"/>
  <c r="K125" i="29"/>
  <c r="I125" i="29"/>
  <c r="J125" i="29" s="1"/>
  <c r="G92" i="29"/>
  <c r="G96" i="29"/>
  <c r="G104" i="29"/>
  <c r="G108" i="29"/>
  <c r="G112" i="29"/>
  <c r="G116" i="29"/>
  <c r="D119" i="29"/>
  <c r="G120" i="29"/>
  <c r="A132" i="29"/>
  <c r="E132" i="29"/>
  <c r="C132" i="29"/>
  <c r="D132" i="29" s="1"/>
  <c r="K135" i="29"/>
  <c r="G135" i="29"/>
  <c r="I135" i="29"/>
  <c r="J135" i="29" s="1"/>
  <c r="A139" i="29"/>
  <c r="E139" i="29"/>
  <c r="C139" i="29"/>
  <c r="D139" i="29" s="1"/>
  <c r="A150" i="29"/>
  <c r="E150" i="29"/>
  <c r="A156" i="29"/>
  <c r="E156" i="29"/>
  <c r="C156" i="29"/>
  <c r="D156" i="29" s="1"/>
  <c r="K159" i="29"/>
  <c r="G159" i="29"/>
  <c r="I159" i="29"/>
  <c r="J159" i="29" s="1"/>
  <c r="A163" i="29"/>
  <c r="E163" i="29"/>
  <c r="C163" i="29"/>
  <c r="D163" i="29" s="1"/>
  <c r="A166" i="29"/>
  <c r="E166" i="29"/>
  <c r="A173" i="29"/>
  <c r="C173" i="29"/>
  <c r="D173" i="29" s="1"/>
  <c r="E173" i="29"/>
  <c r="K177" i="29"/>
  <c r="G177" i="29"/>
  <c r="I177" i="29"/>
  <c r="J177" i="29" s="1"/>
  <c r="A180" i="29"/>
  <c r="C180" i="29"/>
  <c r="D180" i="29" s="1"/>
  <c r="E180" i="29"/>
  <c r="A185" i="29"/>
  <c r="E185" i="29"/>
  <c r="C185" i="29"/>
  <c r="D185" i="29" s="1"/>
  <c r="I192" i="29"/>
  <c r="J192" i="29" s="1"/>
  <c r="K192" i="29"/>
  <c r="G192" i="29"/>
  <c r="I197" i="29"/>
  <c r="J197" i="29" s="1"/>
  <c r="G197" i="29"/>
  <c r="K197" i="29"/>
  <c r="I203" i="29"/>
  <c r="J203" i="29" s="1"/>
  <c r="K203" i="29"/>
  <c r="G203" i="29"/>
  <c r="I209" i="29"/>
  <c r="J209" i="29" s="1"/>
  <c r="K209" i="29"/>
  <c r="G209" i="29"/>
  <c r="G230" i="29"/>
  <c r="K230" i="29"/>
  <c r="I230" i="29"/>
  <c r="J230" i="29" s="1"/>
  <c r="E247" i="29"/>
  <c r="A247" i="29"/>
  <c r="C247" i="29"/>
  <c r="D247" i="29" s="1"/>
  <c r="A88" i="29"/>
  <c r="A89" i="29"/>
  <c r="A90" i="29"/>
  <c r="A91" i="29"/>
  <c r="A92" i="29"/>
  <c r="I92" i="29"/>
  <c r="J92" i="29" s="1"/>
  <c r="C93" i="29"/>
  <c r="D93" i="29" s="1"/>
  <c r="A95" i="29"/>
  <c r="I96" i="29"/>
  <c r="J96" i="29" s="1"/>
  <c r="C101" i="29"/>
  <c r="D101" i="29" s="1"/>
  <c r="A103" i="29"/>
  <c r="I104" i="29"/>
  <c r="J104" i="29" s="1"/>
  <c r="C105" i="29"/>
  <c r="D105" i="29" s="1"/>
  <c r="A107" i="29"/>
  <c r="E107" i="29"/>
  <c r="I108" i="29"/>
  <c r="J108" i="29" s="1"/>
  <c r="C109" i="29"/>
  <c r="D109" i="29" s="1"/>
  <c r="A111" i="29"/>
  <c r="E111" i="29"/>
  <c r="I112" i="29"/>
  <c r="J112" i="29" s="1"/>
  <c r="C113" i="29"/>
  <c r="D113" i="29" s="1"/>
  <c r="A115" i="29"/>
  <c r="E115" i="29"/>
  <c r="I116" i="29"/>
  <c r="J116" i="29" s="1"/>
  <c r="C117" i="29"/>
  <c r="D117" i="29" s="1"/>
  <c r="A119" i="29"/>
  <c r="E119" i="29"/>
  <c r="I120" i="29"/>
  <c r="J120" i="29" s="1"/>
  <c r="C125" i="29"/>
  <c r="D125" i="29" s="1"/>
  <c r="A127" i="29"/>
  <c r="E127" i="29"/>
  <c r="C127" i="29"/>
  <c r="D127" i="29" s="1"/>
  <c r="A136" i="29"/>
  <c r="E136" i="29"/>
  <c r="C136" i="29"/>
  <c r="D136" i="29" s="1"/>
  <c r="K139" i="29"/>
  <c r="G139" i="29"/>
  <c r="I139" i="29"/>
  <c r="J139" i="29" s="1"/>
  <c r="A143" i="29"/>
  <c r="E143" i="29"/>
  <c r="C143" i="29"/>
  <c r="D143" i="29" s="1"/>
  <c r="C150" i="29"/>
  <c r="D150" i="29" s="1"/>
  <c r="A151" i="29"/>
  <c r="E151" i="29"/>
  <c r="C151" i="29"/>
  <c r="D151" i="29" s="1"/>
  <c r="D154" i="29"/>
  <c r="A154" i="29"/>
  <c r="E154" i="29"/>
  <c r="A160" i="29"/>
  <c r="E160" i="29"/>
  <c r="C160" i="29"/>
  <c r="D160" i="29" s="1"/>
  <c r="K163" i="29"/>
  <c r="G163" i="29"/>
  <c r="I163" i="29"/>
  <c r="J163" i="29" s="1"/>
  <c r="C166" i="29"/>
  <c r="D166" i="29" s="1"/>
  <c r="A167" i="29"/>
  <c r="E167" i="29"/>
  <c r="C167" i="29"/>
  <c r="D167" i="29" s="1"/>
  <c r="K173" i="29"/>
  <c r="G173" i="29"/>
  <c r="I173" i="29"/>
  <c r="J173" i="29" s="1"/>
  <c r="A184" i="29"/>
  <c r="E184" i="29"/>
  <c r="C184" i="29"/>
  <c r="D184" i="29" s="1"/>
  <c r="A189" i="29"/>
  <c r="E189" i="29"/>
  <c r="C189" i="29"/>
  <c r="D189" i="29" s="1"/>
  <c r="K92" i="29"/>
  <c r="G94" i="29"/>
  <c r="A96" i="29"/>
  <c r="K96" i="29"/>
  <c r="G102" i="29"/>
  <c r="A104" i="29"/>
  <c r="K104" i="29"/>
  <c r="G106" i="29"/>
  <c r="A108" i="29"/>
  <c r="K108" i="29"/>
  <c r="G110" i="29"/>
  <c r="K112" i="29"/>
  <c r="G114" i="29"/>
  <c r="K116" i="29"/>
  <c r="G118" i="29"/>
  <c r="K120" i="29"/>
  <c r="K126" i="29"/>
  <c r="G126" i="29"/>
  <c r="K127" i="29"/>
  <c r="G127" i="29"/>
  <c r="I127" i="29"/>
  <c r="J127" i="29" s="1"/>
  <c r="A131" i="29"/>
  <c r="E131" i="29"/>
  <c r="C131" i="29"/>
  <c r="D131" i="29" s="1"/>
  <c r="A140" i="29"/>
  <c r="E140" i="29"/>
  <c r="C140" i="29"/>
  <c r="D140" i="29" s="1"/>
  <c r="K143" i="29"/>
  <c r="G143" i="29"/>
  <c r="I143" i="29"/>
  <c r="J143" i="29" s="1"/>
  <c r="K151" i="29"/>
  <c r="G151" i="29"/>
  <c r="I151" i="29"/>
  <c r="J151" i="29" s="1"/>
  <c r="A155" i="29"/>
  <c r="E155" i="29"/>
  <c r="C155" i="29"/>
  <c r="D155" i="29" s="1"/>
  <c r="A158" i="29"/>
  <c r="E158" i="29"/>
  <c r="A164" i="29"/>
  <c r="E164" i="29"/>
  <c r="C164" i="29"/>
  <c r="D164" i="29" s="1"/>
  <c r="K167" i="29"/>
  <c r="G167" i="29"/>
  <c r="I167" i="29"/>
  <c r="J167" i="29" s="1"/>
  <c r="A178" i="29"/>
  <c r="C178" i="29"/>
  <c r="D178" i="29" s="1"/>
  <c r="E178" i="29"/>
  <c r="A188" i="29"/>
  <c r="E188" i="29"/>
  <c r="C188" i="29"/>
  <c r="D188" i="29" s="1"/>
  <c r="A93" i="29"/>
  <c r="G95" i="29"/>
  <c r="A101" i="29"/>
  <c r="G103" i="29"/>
  <c r="A105" i="29"/>
  <c r="I106" i="29"/>
  <c r="J106" i="29" s="1"/>
  <c r="A109" i="29"/>
  <c r="I110" i="29"/>
  <c r="J110" i="29" s="1"/>
  <c r="A113" i="29"/>
  <c r="I114" i="29"/>
  <c r="J114" i="29" s="1"/>
  <c r="A117" i="29"/>
  <c r="I118" i="29"/>
  <c r="J118" i="29" s="1"/>
  <c r="A125" i="29"/>
  <c r="I126" i="29"/>
  <c r="J126" i="29" s="1"/>
  <c r="A128" i="29"/>
  <c r="E128" i="29"/>
  <c r="C128" i="29"/>
  <c r="D128" i="29" s="1"/>
  <c r="K131" i="29"/>
  <c r="G131" i="29"/>
  <c r="I131" i="29"/>
  <c r="J131" i="29" s="1"/>
  <c r="A135" i="29"/>
  <c r="E135" i="29"/>
  <c r="C135" i="29"/>
  <c r="D135" i="29" s="1"/>
  <c r="A144" i="29"/>
  <c r="E144" i="29"/>
  <c r="C144" i="29"/>
  <c r="D144" i="29" s="1"/>
  <c r="A152" i="29"/>
  <c r="E152" i="29"/>
  <c r="C152" i="29"/>
  <c r="D152" i="29" s="1"/>
  <c r="K155" i="29"/>
  <c r="G155" i="29"/>
  <c r="I155" i="29"/>
  <c r="J155" i="29" s="1"/>
  <c r="C158" i="29"/>
  <c r="D158" i="29" s="1"/>
  <c r="A159" i="29"/>
  <c r="E159" i="29"/>
  <c r="C159" i="29"/>
  <c r="D159" i="29" s="1"/>
  <c r="D162" i="29"/>
  <c r="A162" i="29"/>
  <c r="E162" i="29"/>
  <c r="A168" i="29"/>
  <c r="E168" i="29"/>
  <c r="C168" i="29"/>
  <c r="D168" i="29" s="1"/>
  <c r="A174" i="29"/>
  <c r="C174" i="29"/>
  <c r="D174" i="29" s="1"/>
  <c r="E174" i="29"/>
  <c r="A177" i="29"/>
  <c r="C177" i="29"/>
  <c r="D177" i="29" s="1"/>
  <c r="E177" i="29"/>
  <c r="E181" i="29"/>
  <c r="A181" i="29"/>
  <c r="C181" i="29"/>
  <c r="D181" i="29" s="1"/>
  <c r="G129" i="29"/>
  <c r="G133" i="29"/>
  <c r="G137" i="29"/>
  <c r="K137" i="29"/>
  <c r="G141" i="29"/>
  <c r="K141" i="29"/>
  <c r="G149" i="29"/>
  <c r="K149" i="29"/>
  <c r="G153" i="29"/>
  <c r="K153" i="29"/>
  <c r="G157" i="29"/>
  <c r="K157" i="29"/>
  <c r="G161" i="29"/>
  <c r="K161" i="29"/>
  <c r="G165" i="29"/>
  <c r="K165" i="29"/>
  <c r="G175" i="29"/>
  <c r="A182" i="29"/>
  <c r="C182" i="29"/>
  <c r="D182" i="29" s="1"/>
  <c r="A186" i="29"/>
  <c r="C186" i="29"/>
  <c r="D186" i="29" s="1"/>
  <c r="A190" i="29"/>
  <c r="C190" i="29"/>
  <c r="D190" i="29" s="1"/>
  <c r="I191" i="29"/>
  <c r="J191" i="29" s="1"/>
  <c r="G191" i="29"/>
  <c r="I199" i="29"/>
  <c r="J199" i="29" s="1"/>
  <c r="K199" i="29"/>
  <c r="G199" i="29"/>
  <c r="E201" i="29"/>
  <c r="A201" i="29"/>
  <c r="C201" i="29"/>
  <c r="D201" i="29" s="1"/>
  <c r="I205" i="29"/>
  <c r="J205" i="29" s="1"/>
  <c r="K205" i="29"/>
  <c r="G205" i="29"/>
  <c r="I215" i="29"/>
  <c r="J215" i="29" s="1"/>
  <c r="K215" i="29"/>
  <c r="G215" i="29"/>
  <c r="E221" i="29"/>
  <c r="A221" i="29"/>
  <c r="C221" i="29"/>
  <c r="D221" i="29" s="1"/>
  <c r="A235" i="29"/>
  <c r="C235" i="29"/>
  <c r="D235" i="29" s="1"/>
  <c r="E235" i="29"/>
  <c r="A129" i="29"/>
  <c r="G130" i="29"/>
  <c r="A133" i="29"/>
  <c r="G134" i="29"/>
  <c r="I136" i="29"/>
  <c r="J136" i="29" s="1"/>
  <c r="A137" i="29"/>
  <c r="G138" i="29"/>
  <c r="I140" i="29"/>
  <c r="J140" i="29" s="1"/>
  <c r="A141" i="29"/>
  <c r="G142" i="29"/>
  <c r="I144" i="29"/>
  <c r="J144" i="29" s="1"/>
  <c r="A149" i="29"/>
  <c r="G150" i="29"/>
  <c r="A153" i="29"/>
  <c r="G154" i="29"/>
  <c r="A157" i="29"/>
  <c r="G158" i="29"/>
  <c r="A161" i="29"/>
  <c r="G162" i="29"/>
  <c r="A165" i="29"/>
  <c r="G166" i="29"/>
  <c r="G174" i="29"/>
  <c r="A176" i="29"/>
  <c r="C176" i="29"/>
  <c r="D176" i="29" s="1"/>
  <c r="G178" i="29"/>
  <c r="I180" i="29"/>
  <c r="J180" i="29" s="1"/>
  <c r="E182" i="29"/>
  <c r="K184" i="29"/>
  <c r="G184" i="29"/>
  <c r="J184" i="29"/>
  <c r="E186" i="29"/>
  <c r="K188" i="29"/>
  <c r="G188" i="29"/>
  <c r="J188" i="29"/>
  <c r="E190" i="29"/>
  <c r="K191" i="29"/>
  <c r="E197" i="29"/>
  <c r="A197" i="29"/>
  <c r="C197" i="29"/>
  <c r="D197" i="29" s="1"/>
  <c r="I201" i="29"/>
  <c r="J201" i="29" s="1"/>
  <c r="K201" i="29"/>
  <c r="G201" i="29"/>
  <c r="I211" i="29"/>
  <c r="J211" i="29" s="1"/>
  <c r="K211" i="29"/>
  <c r="G211" i="29"/>
  <c r="I221" i="29"/>
  <c r="J221" i="29" s="1"/>
  <c r="K221" i="29"/>
  <c r="G221" i="29"/>
  <c r="K225" i="29"/>
  <c r="G225" i="29"/>
  <c r="I225" i="29"/>
  <c r="J225" i="29" s="1"/>
  <c r="I235" i="29"/>
  <c r="J235" i="29" s="1"/>
  <c r="G235" i="29"/>
  <c r="K235" i="29"/>
  <c r="A130" i="29"/>
  <c r="A134" i="29"/>
  <c r="C137" i="29"/>
  <c r="D137" i="29" s="1"/>
  <c r="A138" i="29"/>
  <c r="C141" i="29"/>
  <c r="D141" i="29" s="1"/>
  <c r="A142" i="29"/>
  <c r="C149" i="29"/>
  <c r="D149" i="29" s="1"/>
  <c r="C153" i="29"/>
  <c r="D153" i="29" s="1"/>
  <c r="C157" i="29"/>
  <c r="D157" i="29" s="1"/>
  <c r="C161" i="29"/>
  <c r="D161" i="29" s="1"/>
  <c r="C165" i="29"/>
  <c r="D165" i="29" s="1"/>
  <c r="A175" i="29"/>
  <c r="C175" i="29"/>
  <c r="D175" i="29" s="1"/>
  <c r="A179" i="29"/>
  <c r="C179" i="29"/>
  <c r="D179" i="29" s="1"/>
  <c r="I181" i="29"/>
  <c r="J181" i="29" s="1"/>
  <c r="A183" i="29"/>
  <c r="I185" i="29"/>
  <c r="J185" i="29" s="1"/>
  <c r="A187" i="29"/>
  <c r="I189" i="29"/>
  <c r="J189" i="29" s="1"/>
  <c r="E191" i="29"/>
  <c r="D191" i="29"/>
  <c r="A191" i="29"/>
  <c r="I207" i="29"/>
  <c r="J207" i="29" s="1"/>
  <c r="K207" i="29"/>
  <c r="G207" i="29"/>
  <c r="E209" i="29"/>
  <c r="A209" i="29"/>
  <c r="C209" i="29"/>
  <c r="D209" i="29" s="1"/>
  <c r="I213" i="29"/>
  <c r="J213" i="29" s="1"/>
  <c r="K213" i="29"/>
  <c r="G213" i="29"/>
  <c r="A224" i="29"/>
  <c r="E224" i="29"/>
  <c r="C224" i="29"/>
  <c r="D224" i="29" s="1"/>
  <c r="A230" i="29"/>
  <c r="E230" i="29"/>
  <c r="C230" i="29"/>
  <c r="D230" i="29" s="1"/>
  <c r="E199" i="29"/>
  <c r="A199" i="29"/>
  <c r="E207" i="29"/>
  <c r="A207" i="29"/>
  <c r="E215" i="29"/>
  <c r="A215" i="29"/>
  <c r="A223" i="29"/>
  <c r="C223" i="29"/>
  <c r="D223" i="29" s="1"/>
  <c r="E223" i="29"/>
  <c r="K229" i="29"/>
  <c r="G229" i="29"/>
  <c r="I229" i="29"/>
  <c r="J229" i="29" s="1"/>
  <c r="K234" i="29"/>
  <c r="I234" i="29"/>
  <c r="J234" i="29" s="1"/>
  <c r="E240" i="29"/>
  <c r="A240" i="29"/>
  <c r="C240" i="29"/>
  <c r="D240" i="29" s="1"/>
  <c r="E259" i="29"/>
  <c r="A259" i="29"/>
  <c r="C259" i="29"/>
  <c r="D259" i="29" s="1"/>
  <c r="C199" i="29"/>
  <c r="D199" i="29" s="1"/>
  <c r="E205" i="29"/>
  <c r="A205" i="29"/>
  <c r="C207" i="29"/>
  <c r="D207" i="29" s="1"/>
  <c r="E213" i="29"/>
  <c r="A213" i="29"/>
  <c r="C215" i="29"/>
  <c r="D215" i="29" s="1"/>
  <c r="E255" i="29"/>
  <c r="A255" i="29"/>
  <c r="C255" i="29"/>
  <c r="D255" i="29" s="1"/>
  <c r="E203" i="29"/>
  <c r="D203" i="29"/>
  <c r="A203" i="29"/>
  <c r="C205" i="29"/>
  <c r="D205" i="29" s="1"/>
  <c r="E211" i="29"/>
  <c r="D211" i="29"/>
  <c r="A211" i="29"/>
  <c r="C213" i="29"/>
  <c r="D213" i="29" s="1"/>
  <c r="I223" i="29"/>
  <c r="J223" i="29" s="1"/>
  <c r="K223" i="29"/>
  <c r="A225" i="29"/>
  <c r="E225" i="29"/>
  <c r="C225" i="29"/>
  <c r="D225" i="29" s="1"/>
  <c r="D226" i="29"/>
  <c r="A226" i="29"/>
  <c r="E226" i="29"/>
  <c r="A228" i="29"/>
  <c r="E228" i="29"/>
  <c r="C228" i="29"/>
  <c r="D228" i="29" s="1"/>
  <c r="A231" i="29"/>
  <c r="C231" i="29"/>
  <c r="D231" i="29" s="1"/>
  <c r="A234" i="29"/>
  <c r="E234" i="29"/>
  <c r="C234" i="29"/>
  <c r="D234" i="29" s="1"/>
  <c r="E251" i="29"/>
  <c r="A251" i="29"/>
  <c r="C251" i="29"/>
  <c r="D251" i="29" s="1"/>
  <c r="A229" i="29"/>
  <c r="G231" i="29"/>
  <c r="A232" i="29"/>
  <c r="K233" i="29"/>
  <c r="G233" i="29"/>
  <c r="K239" i="29"/>
  <c r="G239" i="29"/>
  <c r="I239" i="29"/>
  <c r="J239" i="29" s="1"/>
  <c r="I240" i="29"/>
  <c r="J240" i="29" s="1"/>
  <c r="K240" i="29"/>
  <c r="G240" i="29"/>
  <c r="C248" i="29"/>
  <c r="D248" i="29" s="1"/>
  <c r="E248" i="29"/>
  <c r="A248" i="29"/>
  <c r="C252" i="29"/>
  <c r="D252" i="29" s="1"/>
  <c r="E252" i="29"/>
  <c r="A252" i="29"/>
  <c r="C256" i="29"/>
  <c r="D256" i="29" s="1"/>
  <c r="E256" i="29"/>
  <c r="A256" i="29"/>
  <c r="C260" i="29"/>
  <c r="D260" i="29" s="1"/>
  <c r="E260" i="29"/>
  <c r="A260" i="29"/>
  <c r="C264" i="29"/>
  <c r="D264" i="29" s="1"/>
  <c r="E264" i="29"/>
  <c r="A264" i="29"/>
  <c r="A227" i="29"/>
  <c r="C227" i="29"/>
  <c r="D227" i="29" s="1"/>
  <c r="A233" i="29"/>
  <c r="A236" i="29"/>
  <c r="K237" i="29"/>
  <c r="G237" i="29"/>
  <c r="A238" i="29"/>
  <c r="E238" i="29"/>
  <c r="A237" i="29"/>
  <c r="I237" i="29"/>
  <c r="J237" i="29" s="1"/>
  <c r="C238" i="29"/>
  <c r="D238" i="29" s="1"/>
  <c r="A239" i="29"/>
  <c r="C239" i="29"/>
  <c r="D239" i="29" s="1"/>
  <c r="E245" i="29"/>
  <c r="A245" i="29"/>
  <c r="C245" i="29"/>
  <c r="D245" i="29" s="1"/>
  <c r="C250" i="29"/>
  <c r="D250" i="29" s="1"/>
  <c r="E250" i="29"/>
  <c r="E253" i="29"/>
  <c r="A253" i="29"/>
  <c r="C253" i="29"/>
  <c r="D253" i="29" s="1"/>
  <c r="C258" i="29"/>
  <c r="D258" i="29" s="1"/>
  <c r="E258" i="29"/>
  <c r="E261" i="29"/>
  <c r="A261" i="29"/>
  <c r="C261" i="29"/>
  <c r="D261" i="29" s="1"/>
  <c r="E263" i="29"/>
  <c r="A263" i="29"/>
  <c r="C263" i="29"/>
  <c r="D263" i="29" s="1"/>
  <c r="C246" i="29"/>
  <c r="D246" i="29" s="1"/>
  <c r="E246" i="29"/>
  <c r="E249" i="29"/>
  <c r="A249" i="29"/>
  <c r="C249" i="29"/>
  <c r="D249" i="29" s="1"/>
  <c r="C254" i="29"/>
  <c r="D254" i="29" s="1"/>
  <c r="E254" i="29"/>
  <c r="E257" i="29"/>
  <c r="A257" i="29"/>
  <c r="C257" i="29"/>
  <c r="D257" i="29" s="1"/>
  <c r="C262" i="29"/>
  <c r="D262" i="29" s="1"/>
  <c r="E262" i="29"/>
  <c r="P114" i="3"/>
  <c r="P115" i="3"/>
  <c r="I435" i="32"/>
  <c r="G30" i="2" l="1"/>
  <c r="H30" i="2"/>
  <c r="I30" i="2"/>
  <c r="J30" i="2"/>
  <c r="K30" i="2"/>
  <c r="L30" i="2"/>
  <c r="M30" i="2"/>
  <c r="N30" i="2"/>
  <c r="O30" i="2"/>
  <c r="I34" i="5"/>
  <c r="I156" i="32" l="1"/>
  <c r="I320" i="32"/>
  <c r="I361" i="32"/>
  <c r="I419" i="32"/>
  <c r="G271" i="7"/>
  <c r="K271" i="7"/>
  <c r="G194" i="7"/>
  <c r="K194" i="7"/>
  <c r="G162" i="7"/>
  <c r="K162" i="7"/>
  <c r="G78" i="7"/>
  <c r="K78" i="7"/>
  <c r="G426" i="7"/>
  <c r="K426" i="7"/>
  <c r="G437" i="7"/>
  <c r="K437" i="7"/>
  <c r="G89" i="7"/>
  <c r="K89" i="7"/>
  <c r="G594" i="7"/>
  <c r="K594" i="7"/>
  <c r="G65" i="7"/>
  <c r="K65" i="7"/>
  <c r="G81" i="7"/>
  <c r="K81" i="7"/>
  <c r="G598" i="7"/>
  <c r="K598" i="7"/>
  <c r="G473" i="7"/>
  <c r="K473" i="7"/>
  <c r="G220" i="7"/>
  <c r="K220" i="7"/>
  <c r="G67" i="7"/>
  <c r="K67" i="7"/>
  <c r="G415" i="7"/>
  <c r="K415" i="7"/>
  <c r="G535" i="7"/>
  <c r="K535" i="7"/>
  <c r="G44" i="7"/>
  <c r="K44" i="7"/>
  <c r="G513" i="7"/>
  <c r="K513" i="7"/>
  <c r="G246" i="7"/>
  <c r="K246" i="7"/>
  <c r="G306" i="7"/>
  <c r="K306" i="7"/>
  <c r="G231" i="7"/>
  <c r="K231" i="7"/>
  <c r="G317" i="7"/>
  <c r="K317" i="7"/>
  <c r="G251" i="7"/>
  <c r="K251" i="7"/>
  <c r="G588" i="7"/>
  <c r="K588" i="7"/>
  <c r="G446" i="7"/>
  <c r="K446" i="7"/>
  <c r="G298" i="7"/>
  <c r="K298" i="7"/>
  <c r="G200" i="7"/>
  <c r="K200" i="7"/>
  <c r="G531" i="7"/>
  <c r="K531" i="7"/>
  <c r="G417" i="7"/>
  <c r="K417" i="7"/>
  <c r="G184" i="7"/>
  <c r="K184" i="7"/>
  <c r="G586" i="7"/>
  <c r="K586" i="7"/>
  <c r="G244" i="7"/>
  <c r="K244" i="7"/>
  <c r="G312" i="7"/>
  <c r="K312" i="7"/>
  <c r="G504" i="7"/>
  <c r="K504" i="7"/>
  <c r="G157" i="7"/>
  <c r="K157" i="7"/>
  <c r="G225" i="7"/>
  <c r="K225" i="7"/>
  <c r="G549" i="7"/>
  <c r="K549" i="7"/>
  <c r="G13" i="7"/>
  <c r="K13" i="7"/>
  <c r="G570" i="7"/>
  <c r="K570" i="7"/>
  <c r="G611" i="7"/>
  <c r="K611" i="7"/>
  <c r="G366" i="7"/>
  <c r="K366" i="7"/>
  <c r="G94" i="7"/>
  <c r="K94" i="7"/>
  <c r="G412" i="7"/>
  <c r="K412" i="7"/>
  <c r="G438" i="7"/>
  <c r="K438" i="7"/>
  <c r="G310" i="7"/>
  <c r="K310" i="7"/>
  <c r="B49" i="2"/>
  <c r="F49" i="2"/>
  <c r="E49" i="2" s="1"/>
  <c r="G49" i="2"/>
  <c r="H49" i="2"/>
  <c r="I49" i="2"/>
  <c r="J49" i="2"/>
  <c r="K49" i="2"/>
  <c r="L49" i="2"/>
  <c r="M49" i="2"/>
  <c r="N49" i="2"/>
  <c r="O49" i="2"/>
  <c r="B51" i="2"/>
  <c r="V51" i="2" s="1"/>
  <c r="F51" i="2"/>
  <c r="E51" i="2" s="1"/>
  <c r="G51" i="2"/>
  <c r="H51" i="2"/>
  <c r="I51" i="2"/>
  <c r="J51" i="2"/>
  <c r="K51" i="2"/>
  <c r="L51" i="2"/>
  <c r="M51" i="2"/>
  <c r="N51" i="2"/>
  <c r="O51" i="2"/>
  <c r="B50" i="2"/>
  <c r="V50" i="2" s="1"/>
  <c r="F50" i="2"/>
  <c r="E50" i="2" s="1"/>
  <c r="G50" i="2"/>
  <c r="H50" i="2"/>
  <c r="I50" i="2"/>
  <c r="J50" i="2"/>
  <c r="K50" i="2"/>
  <c r="L50" i="2"/>
  <c r="M50" i="2"/>
  <c r="N50" i="2"/>
  <c r="O50" i="2"/>
  <c r="B52" i="2"/>
  <c r="V52" i="2" s="1"/>
  <c r="F52" i="2"/>
  <c r="E52" i="2" s="1"/>
  <c r="G52" i="2"/>
  <c r="H52" i="2"/>
  <c r="I52" i="2"/>
  <c r="J52" i="2"/>
  <c r="K52" i="2"/>
  <c r="L52" i="2"/>
  <c r="M52" i="2"/>
  <c r="N52" i="2"/>
  <c r="O52" i="2"/>
  <c r="B53" i="2"/>
  <c r="V53" i="2" s="1"/>
  <c r="F53" i="2"/>
  <c r="E53" i="2" s="1"/>
  <c r="G53" i="2"/>
  <c r="H53" i="2"/>
  <c r="I53" i="2"/>
  <c r="J53" i="2"/>
  <c r="K53" i="2"/>
  <c r="L53" i="2"/>
  <c r="M53" i="2"/>
  <c r="N53" i="2"/>
  <c r="O53" i="2"/>
  <c r="B54" i="2"/>
  <c r="V54" i="2" s="1"/>
  <c r="F54" i="2"/>
  <c r="E54" i="2" s="1"/>
  <c r="G54" i="2"/>
  <c r="H54" i="2"/>
  <c r="I54" i="2"/>
  <c r="J54" i="2"/>
  <c r="K54" i="2"/>
  <c r="L54" i="2"/>
  <c r="M54" i="2"/>
  <c r="N54" i="2"/>
  <c r="O54" i="2"/>
  <c r="B55" i="2"/>
  <c r="F55" i="2"/>
  <c r="E55" i="2" s="1"/>
  <c r="G55" i="2"/>
  <c r="H55" i="2"/>
  <c r="I55" i="2"/>
  <c r="J55" i="2"/>
  <c r="K55" i="2"/>
  <c r="L55" i="2"/>
  <c r="M55" i="2"/>
  <c r="N55" i="2"/>
  <c r="O55" i="2"/>
  <c r="B56" i="2"/>
  <c r="V56" i="2" s="1"/>
  <c r="F56" i="2"/>
  <c r="E56" i="2" s="1"/>
  <c r="G56" i="2"/>
  <c r="H56" i="2"/>
  <c r="I56" i="2"/>
  <c r="J56" i="2"/>
  <c r="K56" i="2"/>
  <c r="L56" i="2"/>
  <c r="M56" i="2"/>
  <c r="N56" i="2"/>
  <c r="O56" i="2"/>
  <c r="B57" i="2"/>
  <c r="V57" i="2" s="1"/>
  <c r="F57" i="2"/>
  <c r="E57" i="2" s="1"/>
  <c r="G57" i="2"/>
  <c r="H57" i="2"/>
  <c r="I57" i="2"/>
  <c r="J57" i="2"/>
  <c r="K57" i="2"/>
  <c r="L57" i="2"/>
  <c r="M57" i="2"/>
  <c r="N57" i="2"/>
  <c r="O57" i="2"/>
  <c r="B58" i="2"/>
  <c r="V58" i="2" s="1"/>
  <c r="F58" i="2"/>
  <c r="E58" i="2" s="1"/>
  <c r="G58" i="2"/>
  <c r="H58" i="2"/>
  <c r="I58" i="2"/>
  <c r="J58" i="2"/>
  <c r="K58" i="2"/>
  <c r="L58" i="2"/>
  <c r="M58" i="2"/>
  <c r="N58" i="2"/>
  <c r="O58" i="2"/>
  <c r="B59" i="2"/>
  <c r="V59" i="2" s="1"/>
  <c r="F59" i="2"/>
  <c r="E59" i="2" s="1"/>
  <c r="G59" i="2"/>
  <c r="H59" i="2"/>
  <c r="I59" i="2"/>
  <c r="J59" i="2"/>
  <c r="K59" i="2"/>
  <c r="L59" i="2"/>
  <c r="M59" i="2"/>
  <c r="N59" i="2"/>
  <c r="O59" i="2"/>
  <c r="B60" i="2"/>
  <c r="F60" i="2"/>
  <c r="E60" i="2" s="1"/>
  <c r="G60" i="2"/>
  <c r="H60" i="2"/>
  <c r="I60" i="2"/>
  <c r="J60" i="2"/>
  <c r="K60" i="2"/>
  <c r="L60" i="2"/>
  <c r="M60" i="2"/>
  <c r="N60" i="2"/>
  <c r="O60" i="2"/>
  <c r="B63" i="2"/>
  <c r="V63" i="2" s="1"/>
  <c r="F63" i="2"/>
  <c r="E63" i="2" s="1"/>
  <c r="G63" i="2"/>
  <c r="H63" i="2"/>
  <c r="I63" i="2"/>
  <c r="J63" i="2"/>
  <c r="K63" i="2"/>
  <c r="L63" i="2"/>
  <c r="M63" i="2"/>
  <c r="N63" i="2"/>
  <c r="O63" i="2"/>
  <c r="B64" i="2"/>
  <c r="V64" i="2" s="1"/>
  <c r="F64" i="2"/>
  <c r="E64" i="2" s="1"/>
  <c r="G64" i="2"/>
  <c r="H64" i="2"/>
  <c r="I64" i="2"/>
  <c r="J64" i="2"/>
  <c r="K64" i="2"/>
  <c r="L64" i="2"/>
  <c r="M64" i="2"/>
  <c r="N64" i="2"/>
  <c r="O64" i="2"/>
  <c r="B61" i="2"/>
  <c r="F61" i="2"/>
  <c r="E61" i="2" s="1"/>
  <c r="G61" i="2"/>
  <c r="H61" i="2"/>
  <c r="I61" i="2"/>
  <c r="J61" i="2"/>
  <c r="K61" i="2"/>
  <c r="L61" i="2"/>
  <c r="M61" i="2"/>
  <c r="N61" i="2"/>
  <c r="O61" i="2"/>
  <c r="B62" i="2"/>
  <c r="V62" i="2" s="1"/>
  <c r="F62" i="2"/>
  <c r="E62" i="2" s="1"/>
  <c r="G62" i="2"/>
  <c r="H62" i="2"/>
  <c r="I62" i="2"/>
  <c r="J62" i="2"/>
  <c r="K62" i="2"/>
  <c r="L62" i="2"/>
  <c r="M62" i="2"/>
  <c r="N62" i="2"/>
  <c r="O62" i="2"/>
  <c r="B65" i="2"/>
  <c r="V65" i="2" s="1"/>
  <c r="F65" i="2"/>
  <c r="E65" i="2" s="1"/>
  <c r="G65" i="2"/>
  <c r="H65" i="2"/>
  <c r="I65" i="2"/>
  <c r="J65" i="2"/>
  <c r="K65" i="2"/>
  <c r="L65" i="2"/>
  <c r="M65" i="2"/>
  <c r="N65" i="2"/>
  <c r="O65" i="2"/>
  <c r="B66" i="2"/>
  <c r="V66" i="2" s="1"/>
  <c r="F66" i="2"/>
  <c r="E66" i="2" s="1"/>
  <c r="G66" i="2"/>
  <c r="H66" i="2"/>
  <c r="I66" i="2"/>
  <c r="J66" i="2"/>
  <c r="K66" i="2"/>
  <c r="L66" i="2"/>
  <c r="M66" i="2"/>
  <c r="N66" i="2"/>
  <c r="O66" i="2"/>
  <c r="B67" i="2"/>
  <c r="F67" i="2"/>
  <c r="E67" i="2" s="1"/>
  <c r="G67" i="2"/>
  <c r="H67" i="2"/>
  <c r="I67" i="2"/>
  <c r="J67" i="2"/>
  <c r="K67" i="2"/>
  <c r="L67" i="2"/>
  <c r="M67" i="2"/>
  <c r="N67" i="2"/>
  <c r="O67" i="2"/>
  <c r="B68" i="2"/>
  <c r="V68" i="2" s="1"/>
  <c r="F68" i="2"/>
  <c r="E68" i="2" s="1"/>
  <c r="G68" i="2"/>
  <c r="H68" i="2"/>
  <c r="I68" i="2"/>
  <c r="J68" i="2"/>
  <c r="K68" i="2"/>
  <c r="L68" i="2"/>
  <c r="M68" i="2"/>
  <c r="N68" i="2"/>
  <c r="O68" i="2"/>
  <c r="B70" i="2"/>
  <c r="V70" i="2" s="1"/>
  <c r="F70" i="2"/>
  <c r="E70" i="2" s="1"/>
  <c r="G70" i="2"/>
  <c r="H70" i="2"/>
  <c r="I70" i="2"/>
  <c r="J70" i="2"/>
  <c r="K70" i="2"/>
  <c r="L70" i="2"/>
  <c r="M70" i="2"/>
  <c r="N70" i="2"/>
  <c r="O70" i="2"/>
  <c r="B69" i="2"/>
  <c r="V69" i="2" s="1"/>
  <c r="F69" i="2"/>
  <c r="E69" i="2" s="1"/>
  <c r="G69" i="2"/>
  <c r="H69" i="2"/>
  <c r="I69" i="2"/>
  <c r="J69" i="2"/>
  <c r="K69" i="2"/>
  <c r="L69" i="2"/>
  <c r="M69" i="2"/>
  <c r="N69" i="2"/>
  <c r="O69" i="2"/>
  <c r="B71" i="2"/>
  <c r="F71" i="2"/>
  <c r="E71" i="2" s="1"/>
  <c r="G71" i="2"/>
  <c r="H71" i="2"/>
  <c r="I71" i="2"/>
  <c r="J71" i="2"/>
  <c r="K71" i="2"/>
  <c r="L71" i="2"/>
  <c r="M71" i="2"/>
  <c r="N71" i="2"/>
  <c r="O71" i="2"/>
  <c r="B72" i="2"/>
  <c r="V72" i="2" s="1"/>
  <c r="F72" i="2"/>
  <c r="E72" i="2" s="1"/>
  <c r="G72" i="2"/>
  <c r="H72" i="2"/>
  <c r="I72" i="2"/>
  <c r="J72" i="2"/>
  <c r="K72" i="2"/>
  <c r="L72" i="2"/>
  <c r="M72" i="2"/>
  <c r="N72" i="2"/>
  <c r="O72" i="2"/>
  <c r="B73" i="2"/>
  <c r="V73" i="2" s="1"/>
  <c r="F73" i="2"/>
  <c r="E73" i="2" s="1"/>
  <c r="G73" i="2"/>
  <c r="H73" i="2"/>
  <c r="I73" i="2"/>
  <c r="J73" i="2"/>
  <c r="K73" i="2"/>
  <c r="L73" i="2"/>
  <c r="M73" i="2"/>
  <c r="N73" i="2"/>
  <c r="O73" i="2"/>
  <c r="B74" i="2"/>
  <c r="V74" i="2" s="1"/>
  <c r="F74" i="2"/>
  <c r="E74" i="2" s="1"/>
  <c r="G74" i="2"/>
  <c r="H74" i="2"/>
  <c r="I74" i="2"/>
  <c r="J74" i="2"/>
  <c r="K74" i="2"/>
  <c r="L74" i="2"/>
  <c r="M74" i="2"/>
  <c r="N74" i="2"/>
  <c r="O74" i="2"/>
  <c r="B75" i="2"/>
  <c r="V75" i="2" s="1"/>
  <c r="F75" i="2"/>
  <c r="E75" i="2" s="1"/>
  <c r="G75" i="2"/>
  <c r="H75" i="2"/>
  <c r="I75" i="2"/>
  <c r="J75" i="2"/>
  <c r="K75" i="2"/>
  <c r="L75" i="2"/>
  <c r="M75" i="2"/>
  <c r="N75" i="2"/>
  <c r="O75" i="2"/>
  <c r="B76" i="2"/>
  <c r="V76" i="2" s="1"/>
  <c r="F76" i="2"/>
  <c r="E76" i="2" s="1"/>
  <c r="G76" i="2"/>
  <c r="H76" i="2"/>
  <c r="I76" i="2"/>
  <c r="J76" i="2"/>
  <c r="K76" i="2"/>
  <c r="L76" i="2"/>
  <c r="M76" i="2"/>
  <c r="N76" i="2"/>
  <c r="O76" i="2"/>
  <c r="B77" i="2"/>
  <c r="V77" i="2" s="1"/>
  <c r="F77" i="2"/>
  <c r="E77" i="2" s="1"/>
  <c r="G77" i="2"/>
  <c r="H77" i="2"/>
  <c r="I77" i="2"/>
  <c r="J77" i="2"/>
  <c r="K77" i="2"/>
  <c r="L77" i="2"/>
  <c r="M77" i="2"/>
  <c r="N77" i="2"/>
  <c r="O77" i="2"/>
  <c r="B78" i="2"/>
  <c r="V78" i="2" s="1"/>
  <c r="F78" i="2"/>
  <c r="E78" i="2" s="1"/>
  <c r="G78" i="2"/>
  <c r="H78" i="2"/>
  <c r="I78" i="2"/>
  <c r="J78" i="2"/>
  <c r="K78" i="2"/>
  <c r="L78" i="2"/>
  <c r="M78" i="2"/>
  <c r="N78" i="2"/>
  <c r="O78" i="2"/>
  <c r="B79" i="2"/>
  <c r="V79" i="2" s="1"/>
  <c r="F79" i="2"/>
  <c r="E79" i="2" s="1"/>
  <c r="G79" i="2"/>
  <c r="H79" i="2"/>
  <c r="I79" i="2"/>
  <c r="J79" i="2"/>
  <c r="K79" i="2"/>
  <c r="L79" i="2"/>
  <c r="M79" i="2"/>
  <c r="N79" i="2"/>
  <c r="O79" i="2"/>
  <c r="B80" i="2"/>
  <c r="V80" i="2" s="1"/>
  <c r="F80" i="2"/>
  <c r="E80" i="2" s="1"/>
  <c r="G80" i="2"/>
  <c r="H80" i="2"/>
  <c r="I80" i="2"/>
  <c r="J80" i="2"/>
  <c r="K80" i="2"/>
  <c r="L80" i="2"/>
  <c r="M80" i="2"/>
  <c r="N80" i="2"/>
  <c r="O80" i="2"/>
  <c r="B81" i="2"/>
  <c r="F81" i="2"/>
  <c r="E81" i="2" s="1"/>
  <c r="G81" i="2"/>
  <c r="H81" i="2"/>
  <c r="I81" i="2"/>
  <c r="J81" i="2"/>
  <c r="K81" i="2"/>
  <c r="L81" i="2"/>
  <c r="M81" i="2"/>
  <c r="N81" i="2"/>
  <c r="O81" i="2"/>
  <c r="D71" i="2" l="1"/>
  <c r="V71" i="2"/>
  <c r="D67" i="2"/>
  <c r="V67" i="2"/>
  <c r="D61" i="2"/>
  <c r="V61" i="2"/>
  <c r="D55" i="2"/>
  <c r="V55" i="2"/>
  <c r="D60" i="2"/>
  <c r="V60" i="2"/>
  <c r="D81" i="2"/>
  <c r="V81" i="2"/>
  <c r="D49" i="2"/>
  <c r="V49" i="2"/>
  <c r="D52" i="2"/>
  <c r="D72" i="2"/>
  <c r="D50" i="2"/>
  <c r="D62" i="2"/>
  <c r="D80" i="2"/>
  <c r="D78" i="2"/>
  <c r="D76" i="2"/>
  <c r="D74" i="2"/>
  <c r="D68" i="2"/>
  <c r="D56" i="2"/>
  <c r="D69" i="2"/>
  <c r="D59" i="2"/>
  <c r="D51" i="2"/>
  <c r="D66" i="2"/>
  <c r="D54" i="2"/>
  <c r="D64" i="2"/>
  <c r="D58" i="2"/>
  <c r="D79" i="2" l="1"/>
  <c r="D77" i="2"/>
  <c r="D75" i="2"/>
  <c r="D65" i="2"/>
  <c r="D70" i="2"/>
  <c r="D57" i="2"/>
  <c r="D73" i="2"/>
  <c r="D63" i="2"/>
  <c r="D53" i="2"/>
  <c r="A1" i="29" l="1"/>
  <c r="S3" i="1" l="1"/>
  <c r="G300" i="7" l="1"/>
  <c r="K300" i="7"/>
  <c r="G523" i="7"/>
  <c r="K523" i="7"/>
  <c r="G274" i="7"/>
  <c r="K274" i="7"/>
  <c r="G175" i="7"/>
  <c r="K175" i="7"/>
  <c r="G483" i="7"/>
  <c r="K483" i="7"/>
  <c r="G68" i="7"/>
  <c r="K68" i="7"/>
  <c r="G532" i="7"/>
  <c r="K532" i="7"/>
  <c r="G191" i="7"/>
  <c r="K191" i="7"/>
  <c r="B39" i="2"/>
  <c r="V39" i="2" s="1"/>
  <c r="F39" i="2"/>
  <c r="E39" i="2" s="1"/>
  <c r="G39" i="2"/>
  <c r="H39" i="2"/>
  <c r="I39" i="2"/>
  <c r="J39" i="2"/>
  <c r="K39" i="2"/>
  <c r="L39" i="2"/>
  <c r="M39" i="2"/>
  <c r="N39" i="2"/>
  <c r="O39" i="2"/>
  <c r="B40" i="2"/>
  <c r="V40" i="2" s="1"/>
  <c r="F40" i="2"/>
  <c r="E40" i="2" s="1"/>
  <c r="G40" i="2"/>
  <c r="H40" i="2"/>
  <c r="I40" i="2"/>
  <c r="J40" i="2"/>
  <c r="K40" i="2"/>
  <c r="L40" i="2"/>
  <c r="M40" i="2"/>
  <c r="N40" i="2"/>
  <c r="O40" i="2"/>
  <c r="B41" i="2"/>
  <c r="V41" i="2" s="1"/>
  <c r="F41" i="2"/>
  <c r="E41" i="2" s="1"/>
  <c r="G41" i="2"/>
  <c r="H41" i="2"/>
  <c r="I41" i="2"/>
  <c r="J41" i="2"/>
  <c r="K41" i="2"/>
  <c r="L41" i="2"/>
  <c r="M41" i="2"/>
  <c r="N41" i="2"/>
  <c r="O41" i="2"/>
  <c r="B43" i="2"/>
  <c r="V43" i="2" s="1"/>
  <c r="F43" i="2"/>
  <c r="E43" i="2" s="1"/>
  <c r="G43" i="2"/>
  <c r="H43" i="2"/>
  <c r="I43" i="2"/>
  <c r="J43" i="2"/>
  <c r="K43" i="2"/>
  <c r="L43" i="2"/>
  <c r="M43" i="2"/>
  <c r="N43" i="2"/>
  <c r="O43" i="2"/>
  <c r="B42" i="2"/>
  <c r="V42" i="2" s="1"/>
  <c r="F42" i="2"/>
  <c r="E42" i="2" s="1"/>
  <c r="G42" i="2"/>
  <c r="H42" i="2"/>
  <c r="I42" i="2"/>
  <c r="J42" i="2"/>
  <c r="K42" i="2"/>
  <c r="L42" i="2"/>
  <c r="M42" i="2"/>
  <c r="N42" i="2"/>
  <c r="O42" i="2"/>
  <c r="B44" i="2"/>
  <c r="V44" i="2" s="1"/>
  <c r="F44" i="2"/>
  <c r="E44" i="2" s="1"/>
  <c r="G44" i="2"/>
  <c r="H44" i="2"/>
  <c r="I44" i="2"/>
  <c r="J44" i="2"/>
  <c r="K44" i="2"/>
  <c r="L44" i="2"/>
  <c r="M44" i="2"/>
  <c r="N44" i="2"/>
  <c r="O44" i="2"/>
  <c r="B45" i="2"/>
  <c r="V45" i="2" s="1"/>
  <c r="F45" i="2"/>
  <c r="E45" i="2" s="1"/>
  <c r="G45" i="2"/>
  <c r="H45" i="2"/>
  <c r="I45" i="2"/>
  <c r="J45" i="2"/>
  <c r="K45" i="2"/>
  <c r="L45" i="2"/>
  <c r="M45" i="2"/>
  <c r="N45" i="2"/>
  <c r="O45" i="2"/>
  <c r="B46" i="2"/>
  <c r="V46" i="2" s="1"/>
  <c r="F46" i="2"/>
  <c r="E46" i="2" s="1"/>
  <c r="G46" i="2"/>
  <c r="H46" i="2"/>
  <c r="I46" i="2"/>
  <c r="J46" i="2"/>
  <c r="K46" i="2"/>
  <c r="L46" i="2"/>
  <c r="M46" i="2"/>
  <c r="N46" i="2"/>
  <c r="O46" i="2"/>
  <c r="B47" i="2"/>
  <c r="V47" i="2" s="1"/>
  <c r="F47" i="2"/>
  <c r="E47" i="2" s="1"/>
  <c r="G47" i="2"/>
  <c r="H47" i="2"/>
  <c r="I47" i="2"/>
  <c r="J47" i="2"/>
  <c r="K47" i="2"/>
  <c r="L47" i="2"/>
  <c r="M47" i="2"/>
  <c r="N47" i="2"/>
  <c r="O47" i="2"/>
  <c r="B48" i="2"/>
  <c r="V48" i="2" s="1"/>
  <c r="F48" i="2"/>
  <c r="E48" i="2" s="1"/>
  <c r="G48" i="2"/>
  <c r="H48" i="2"/>
  <c r="I48" i="2"/>
  <c r="J48" i="2"/>
  <c r="K48" i="2"/>
  <c r="L48" i="2"/>
  <c r="M48" i="2"/>
  <c r="N48" i="2"/>
  <c r="O48" i="2"/>
  <c r="D48" i="2" l="1"/>
  <c r="D44" i="2"/>
  <c r="D45" i="2"/>
  <c r="D41" i="2"/>
  <c r="D40" i="2"/>
  <c r="D46" i="2"/>
  <c r="D43" i="2"/>
  <c r="D47" i="2"/>
  <c r="D42" i="2"/>
  <c r="D39" i="2"/>
  <c r="K142" i="7" l="1"/>
  <c r="K469" i="7"/>
  <c r="K603" i="7"/>
  <c r="K372" i="7"/>
  <c r="K304" i="7"/>
  <c r="K277" i="7"/>
  <c r="K123" i="7"/>
  <c r="K111" i="7"/>
  <c r="K188" i="7"/>
  <c r="K322" i="7"/>
  <c r="K458" i="7"/>
  <c r="K203" i="7"/>
  <c r="K325" i="7"/>
  <c r="K291" i="7"/>
  <c r="K515" i="7"/>
  <c r="K497" i="7"/>
  <c r="K212" i="7"/>
  <c r="K418" i="7"/>
  <c r="K457" i="7"/>
  <c r="K256" i="7"/>
  <c r="K421" i="7"/>
  <c r="K278" i="7"/>
  <c r="K595" i="7"/>
  <c r="K547" i="7"/>
  <c r="K602" i="7"/>
  <c r="K401" i="7"/>
  <c r="K508" i="7"/>
  <c r="K252" i="7"/>
  <c r="K22" i="7"/>
  <c r="K490" i="7"/>
  <c r="K229" i="7"/>
  <c r="K145" i="7"/>
  <c r="K134" i="7"/>
  <c r="K352" i="7"/>
  <c r="K566" i="7"/>
  <c r="K556" i="7"/>
  <c r="K236" i="7"/>
  <c r="K247" i="7"/>
  <c r="K384" i="7"/>
  <c r="K596" i="7"/>
  <c r="K83" i="7"/>
  <c r="K139" i="7"/>
  <c r="K266" i="7"/>
  <c r="K499" i="7"/>
  <c r="K493" i="7"/>
  <c r="K150" i="7"/>
  <c r="K600" i="7"/>
  <c r="K440" i="7"/>
  <c r="K452" i="7"/>
  <c r="K453" i="7"/>
  <c r="K77" i="7"/>
  <c r="K109" i="7"/>
  <c r="K474" i="7"/>
  <c r="K391" i="7"/>
  <c r="K196" i="7"/>
  <c r="K177" i="7"/>
  <c r="K559" i="7"/>
  <c r="K206" i="7"/>
  <c r="K573" i="7"/>
  <c r="K461" i="7"/>
  <c r="K15" i="7"/>
  <c r="K485" i="7"/>
  <c r="K495" i="7"/>
  <c r="K597" i="7"/>
  <c r="K530" i="7"/>
  <c r="K502" i="7"/>
  <c r="K528" i="7"/>
  <c r="K593" i="7"/>
  <c r="K462" i="7"/>
  <c r="K297" i="7"/>
  <c r="K406" i="7"/>
  <c r="K568" i="7"/>
  <c r="K604" i="7"/>
  <c r="K408" i="7"/>
  <c r="K562" i="7"/>
  <c r="K539" i="7"/>
  <c r="K146" i="7"/>
  <c r="K477" i="7"/>
  <c r="K378" i="7"/>
  <c r="K385" i="7"/>
  <c r="K346" i="7"/>
  <c r="K579" i="7"/>
  <c r="K309" i="7"/>
  <c r="K402" i="7"/>
  <c r="K487" i="7"/>
  <c r="K173" i="7"/>
  <c r="K555" i="7"/>
  <c r="K136" i="7"/>
  <c r="K32" i="7"/>
  <c r="K102" i="7"/>
  <c r="K553" i="7"/>
  <c r="K329" i="7"/>
  <c r="K74" i="7"/>
  <c r="K355" i="7"/>
  <c r="K128" i="7"/>
  <c r="K311" i="7"/>
  <c r="K186" i="7"/>
  <c r="K293" i="7"/>
  <c r="K260" i="7"/>
  <c r="K503" i="7"/>
  <c r="K368" i="7"/>
  <c r="K581" i="7"/>
  <c r="K259" i="7"/>
  <c r="K433" i="7"/>
  <c r="K72" i="7"/>
  <c r="K572" i="7"/>
  <c r="K205" i="7"/>
  <c r="K264" i="7"/>
  <c r="K516" i="7"/>
  <c r="K444" i="7"/>
  <c r="K164" i="7"/>
  <c r="K521" i="7"/>
  <c r="K91" i="7"/>
  <c r="K41" i="7"/>
  <c r="K464" i="7"/>
  <c r="K479" i="7"/>
  <c r="K127" i="7"/>
  <c r="K174" i="7"/>
  <c r="K130" i="7"/>
  <c r="K234" i="7"/>
  <c r="K29" i="7"/>
  <c r="K561" i="7"/>
  <c r="K344" i="7"/>
  <c r="K319" i="7"/>
  <c r="K232" i="7"/>
  <c r="K365" i="7"/>
  <c r="K583" i="7"/>
  <c r="K197" i="7"/>
  <c r="K110" i="7"/>
  <c r="K397" i="7"/>
  <c r="K442" i="7"/>
  <c r="K373" i="7"/>
  <c r="K101" i="7"/>
  <c r="K152" i="7"/>
  <c r="K386" i="7"/>
  <c r="K370" i="7"/>
  <c r="K320" i="7"/>
  <c r="K37" i="7"/>
  <c r="K575" i="7"/>
  <c r="K313" i="7"/>
  <c r="K253" i="7"/>
  <c r="K362" i="7"/>
  <c r="K471" i="7"/>
  <c r="K199" i="7"/>
  <c r="K254" i="7"/>
  <c r="K216" i="7"/>
  <c r="K472" i="7"/>
  <c r="K159" i="7"/>
  <c r="K436" i="7"/>
  <c r="K601" i="7"/>
  <c r="K354" i="7"/>
  <c r="K394" i="7"/>
  <c r="K481" i="7"/>
  <c r="K460" i="7"/>
  <c r="K420" i="7"/>
  <c r="K250" i="7"/>
  <c r="K239" i="7"/>
  <c r="K540" i="7"/>
  <c r="K23" i="7"/>
  <c r="K48" i="7"/>
  <c r="K496" i="7"/>
  <c r="K388" i="7"/>
  <c r="K154" i="7"/>
  <c r="K284" i="7"/>
  <c r="K463" i="7"/>
  <c r="K522" i="7"/>
  <c r="K75" i="7"/>
  <c r="K25" i="7"/>
  <c r="K398" i="7"/>
  <c r="K382" i="7"/>
  <c r="K45" i="7"/>
  <c r="K489" i="7"/>
  <c r="K272" i="7"/>
  <c r="K337" i="7"/>
  <c r="K599" i="7"/>
  <c r="K482" i="7"/>
  <c r="K149" i="7"/>
  <c r="K137" i="7"/>
  <c r="K403" i="7"/>
  <c r="K84" i="7"/>
  <c r="K88" i="7"/>
  <c r="K227" i="7"/>
  <c r="K267" i="7"/>
  <c r="K18" i="7"/>
  <c r="K201" i="7"/>
  <c r="K333" i="7"/>
  <c r="K156" i="7"/>
  <c r="K62" i="7"/>
  <c r="K185" i="7"/>
  <c r="K235" i="7"/>
  <c r="K347" i="7"/>
  <c r="K361" i="7"/>
  <c r="K217" i="7"/>
  <c r="K427" i="7"/>
  <c r="K263" i="7"/>
  <c r="K321" i="7"/>
  <c r="K466" i="7"/>
  <c r="K543" i="7"/>
  <c r="K335" i="7"/>
  <c r="K584" i="7"/>
  <c r="K336" i="7"/>
  <c r="K141" i="7"/>
  <c r="K605" i="7"/>
  <c r="K237" i="7"/>
  <c r="K172" i="7"/>
  <c r="K93" i="7"/>
  <c r="K318" i="7"/>
  <c r="K407" i="7"/>
  <c r="K613" i="7"/>
  <c r="K242" i="7"/>
  <c r="K380" i="7"/>
  <c r="K445" i="7"/>
  <c r="K50" i="7"/>
  <c r="K514" i="7"/>
  <c r="K450" i="7"/>
  <c r="K519" i="7"/>
  <c r="K268" i="7"/>
  <c r="K181" i="7"/>
  <c r="K36" i="7"/>
  <c r="K569" i="7"/>
  <c r="K413" i="7"/>
  <c r="K507" i="7"/>
  <c r="K301" i="7"/>
  <c r="K390" i="7"/>
  <c r="K565" i="7"/>
  <c r="K40" i="7"/>
  <c r="K342" i="7"/>
  <c r="K60" i="7"/>
  <c r="K82" i="7"/>
  <c r="K116" i="7"/>
  <c r="K210" i="7"/>
  <c r="K589" i="7"/>
  <c r="K314" i="7"/>
  <c r="K360" i="7"/>
  <c r="K422" i="7"/>
  <c r="K405" i="7"/>
  <c r="K345" i="7"/>
  <c r="K30" i="7"/>
  <c r="K350" i="7"/>
  <c r="K470" i="7"/>
  <c r="K290" i="7"/>
  <c r="K238" i="7"/>
  <c r="K66" i="7"/>
  <c r="K249" i="7"/>
  <c r="K484" i="7"/>
  <c r="K195" i="7"/>
  <c r="K609" i="7"/>
  <c r="K359" i="7"/>
  <c r="K207" i="7"/>
  <c r="K218" i="7"/>
  <c r="K28" i="7"/>
  <c r="K582" i="7"/>
  <c r="K467" i="7"/>
  <c r="K435" i="7"/>
  <c r="K208" i="7"/>
  <c r="K107" i="7"/>
  <c r="K608" i="7"/>
  <c r="K307" i="7"/>
  <c r="K52" i="7"/>
  <c r="K560" i="7"/>
  <c r="K326" i="7"/>
  <c r="K592" i="7"/>
  <c r="K161" i="7"/>
  <c r="K35" i="7"/>
  <c r="K431" i="7"/>
  <c r="K53" i="7"/>
  <c r="K240" i="7"/>
  <c r="K140" i="7"/>
  <c r="K389" i="7"/>
  <c r="K554" i="7"/>
  <c r="K296" i="7"/>
  <c r="K285" i="7"/>
  <c r="K468" i="7"/>
  <c r="K21" i="7"/>
  <c r="K541" i="7"/>
  <c r="K509" i="7"/>
  <c r="K248" i="7"/>
  <c r="K303" i="7"/>
  <c r="K449" i="7"/>
  <c r="K491" i="7"/>
  <c r="K591" i="7"/>
  <c r="K563" i="7"/>
  <c r="K340" i="7"/>
  <c r="K376" i="7"/>
  <c r="K170" i="7"/>
  <c r="K414" i="7"/>
  <c r="K213" i="7"/>
  <c r="K132" i="7"/>
  <c r="K105" i="7"/>
  <c r="K178" i="7"/>
  <c r="K343" i="7"/>
  <c r="K241" i="7"/>
  <c r="K564" i="7"/>
  <c r="K428" i="7"/>
  <c r="K270" i="7"/>
  <c r="K20" i="7"/>
  <c r="K42" i="7"/>
  <c r="K327" i="7"/>
  <c r="K419" i="7"/>
  <c r="K383" i="7"/>
  <c r="K80" i="7"/>
  <c r="K305" i="7"/>
  <c r="K118" i="7"/>
  <c r="K219" i="7"/>
  <c r="K510" i="7"/>
  <c r="K334" i="7"/>
  <c r="K255" i="7"/>
  <c r="K585" i="7"/>
  <c r="K498" i="7"/>
  <c r="K129" i="7"/>
  <c r="K280" i="7"/>
  <c r="K131" i="7"/>
  <c r="K475" i="7"/>
  <c r="K395" i="7"/>
  <c r="K315" i="7"/>
  <c r="K281" i="7"/>
  <c r="K233" i="7"/>
  <c r="K478" i="7"/>
  <c r="K545" i="7"/>
  <c r="K138" i="7"/>
  <c r="K517" i="7"/>
  <c r="K610" i="7"/>
  <c r="K112" i="7"/>
  <c r="K58" i="7"/>
  <c r="K98" i="7"/>
  <c r="K276" i="7"/>
  <c r="K351" i="7"/>
  <c r="K96" i="7"/>
  <c r="K410" i="7"/>
  <c r="K348" i="7"/>
  <c r="K167" i="7"/>
  <c r="K92" i="7"/>
  <c r="K533" i="7"/>
  <c r="K90" i="7"/>
  <c r="K180" i="7"/>
  <c r="K400" i="7"/>
  <c r="K202" i="7"/>
  <c r="K430" i="7"/>
  <c r="K121" i="7"/>
  <c r="K113" i="7"/>
  <c r="K536" i="7"/>
  <c r="K39" i="7"/>
  <c r="K222" i="7"/>
  <c r="K158" i="7"/>
  <c r="K224" i="7"/>
  <c r="K537" i="7"/>
  <c r="K578" i="7"/>
  <c r="K580" i="7"/>
  <c r="K416" i="7"/>
  <c r="K529" i="7"/>
  <c r="K396" i="7"/>
  <c r="K506" i="7"/>
  <c r="K228" i="7"/>
  <c r="K214" i="7"/>
  <c r="K95" i="7"/>
  <c r="K524" i="7"/>
  <c r="K381" i="7"/>
  <c r="K27" i="7"/>
  <c r="K338" i="7"/>
  <c r="K122" i="7"/>
  <c r="K192" i="7"/>
  <c r="K576" i="7"/>
  <c r="K26" i="7"/>
  <c r="K518" i="7"/>
  <c r="K288" i="7"/>
  <c r="K451" i="7"/>
  <c r="K87" i="7"/>
  <c r="K424" i="7"/>
  <c r="K54" i="7"/>
  <c r="K226" i="7"/>
  <c r="K392" i="7"/>
  <c r="K269" i="7"/>
  <c r="K374" i="7"/>
  <c r="K125" i="7"/>
  <c r="K527" i="7"/>
  <c r="K551" i="7"/>
  <c r="K367" i="7"/>
  <c r="K79" i="7"/>
  <c r="K287" i="7"/>
  <c r="K443" i="7"/>
  <c r="K69" i="7"/>
  <c r="K163" i="7"/>
  <c r="K399" i="7"/>
  <c r="K230" i="7"/>
  <c r="K168" i="7"/>
  <c r="K100" i="7"/>
  <c r="K323" i="7"/>
  <c r="K447" i="7"/>
  <c r="K148" i="7"/>
  <c r="K607" i="7"/>
  <c r="K492" i="7"/>
  <c r="K526" i="7"/>
  <c r="K171" i="7"/>
  <c r="K282" i="7"/>
  <c r="K544" i="7"/>
  <c r="K550" i="7"/>
  <c r="K377" i="7"/>
  <c r="K456" i="7"/>
  <c r="K33" i="7"/>
  <c r="K552" i="7"/>
  <c r="K160" i="7"/>
  <c r="K47" i="7"/>
  <c r="K500" i="7"/>
  <c r="K135" i="7"/>
  <c r="K548" i="7"/>
  <c r="K448" i="7"/>
  <c r="K587" i="7"/>
  <c r="K357" i="7"/>
  <c r="K55" i="7"/>
  <c r="K289" i="7"/>
  <c r="K34" i="7"/>
  <c r="K46" i="7"/>
  <c r="K590" i="7"/>
  <c r="K505" i="7"/>
  <c r="K143" i="7"/>
  <c r="K577" i="7"/>
  <c r="K455" i="7"/>
  <c r="K316" i="7"/>
  <c r="K292" i="7"/>
  <c r="K379" i="7"/>
  <c r="K557" i="7"/>
  <c r="K71" i="7"/>
  <c r="K480" i="7"/>
  <c r="K108" i="7"/>
  <c r="B8" i="1" l="1"/>
  <c r="B7" i="1"/>
  <c r="O38" i="2" l="1"/>
  <c r="N38" i="2"/>
  <c r="M38" i="2"/>
  <c r="L38" i="2"/>
  <c r="K38" i="2"/>
  <c r="J38" i="2"/>
  <c r="I38" i="2"/>
  <c r="H38" i="2"/>
  <c r="G38" i="2"/>
  <c r="F38" i="2"/>
  <c r="E38" i="2" s="1"/>
  <c r="B38" i="2"/>
  <c r="V38" i="2" s="1"/>
  <c r="O37" i="2"/>
  <c r="N37" i="2"/>
  <c r="M37" i="2"/>
  <c r="L37" i="2"/>
  <c r="K37" i="2"/>
  <c r="J37" i="2"/>
  <c r="I37" i="2"/>
  <c r="H37" i="2"/>
  <c r="G37" i="2"/>
  <c r="F37" i="2"/>
  <c r="E37" i="2" s="1"/>
  <c r="B37" i="2"/>
  <c r="V37" i="2" s="1"/>
  <c r="O36" i="2"/>
  <c r="N36" i="2"/>
  <c r="M36" i="2"/>
  <c r="L36" i="2"/>
  <c r="K36" i="2"/>
  <c r="J36" i="2"/>
  <c r="I36" i="2"/>
  <c r="H36" i="2"/>
  <c r="G36" i="2"/>
  <c r="F36" i="2"/>
  <c r="E36" i="2" s="1"/>
  <c r="B36" i="2"/>
  <c r="V36" i="2" s="1"/>
  <c r="O35" i="2"/>
  <c r="N35" i="2"/>
  <c r="M35" i="2"/>
  <c r="L35" i="2"/>
  <c r="K35" i="2"/>
  <c r="J35" i="2"/>
  <c r="I35" i="2"/>
  <c r="H35" i="2"/>
  <c r="G35" i="2"/>
  <c r="F35" i="2"/>
  <c r="E35" i="2" s="1"/>
  <c r="B35" i="2"/>
  <c r="V35" i="2" s="1"/>
  <c r="O34" i="2"/>
  <c r="N34" i="2"/>
  <c r="M34" i="2"/>
  <c r="L34" i="2"/>
  <c r="K34" i="2"/>
  <c r="J34" i="2"/>
  <c r="I34" i="2"/>
  <c r="H34" i="2"/>
  <c r="G34" i="2"/>
  <c r="F34" i="2"/>
  <c r="E34" i="2" s="1"/>
  <c r="B34" i="2"/>
  <c r="V34" i="2" s="1"/>
  <c r="O33" i="2"/>
  <c r="N33" i="2"/>
  <c r="M33" i="2"/>
  <c r="L33" i="2"/>
  <c r="K33" i="2"/>
  <c r="J33" i="2"/>
  <c r="I33" i="2"/>
  <c r="H33" i="2"/>
  <c r="G33" i="2"/>
  <c r="F33" i="2"/>
  <c r="E33" i="2" s="1"/>
  <c r="B33" i="2"/>
  <c r="V33" i="2" s="1"/>
  <c r="O32" i="2"/>
  <c r="N32" i="2"/>
  <c r="M32" i="2"/>
  <c r="L32" i="2"/>
  <c r="K32" i="2"/>
  <c r="J32" i="2"/>
  <c r="I32" i="2"/>
  <c r="H32" i="2"/>
  <c r="G32" i="2"/>
  <c r="F32" i="2"/>
  <c r="E32" i="2" s="1"/>
  <c r="B32" i="2"/>
  <c r="V32" i="2" s="1"/>
  <c r="O31" i="2"/>
  <c r="N31" i="2"/>
  <c r="M31" i="2"/>
  <c r="L31" i="2"/>
  <c r="K31" i="2"/>
  <c r="J31" i="2"/>
  <c r="I31" i="2"/>
  <c r="H31" i="2"/>
  <c r="G31" i="2"/>
  <c r="F31" i="2"/>
  <c r="E31" i="2" s="1"/>
  <c r="B31" i="2"/>
  <c r="V31" i="2" s="1"/>
  <c r="F30" i="2"/>
  <c r="E30" i="2" s="1"/>
  <c r="B30" i="2"/>
  <c r="V30" i="2" s="1"/>
  <c r="O29" i="2"/>
  <c r="N29" i="2"/>
  <c r="M29" i="2"/>
  <c r="L29" i="2"/>
  <c r="K29" i="2"/>
  <c r="J29" i="2"/>
  <c r="I29" i="2"/>
  <c r="H29" i="2"/>
  <c r="G29" i="2"/>
  <c r="F29" i="2"/>
  <c r="E29" i="2" s="1"/>
  <c r="B29" i="2"/>
  <c r="V29" i="2" s="1"/>
  <c r="O28" i="2"/>
  <c r="N28" i="2"/>
  <c r="M28" i="2"/>
  <c r="L28" i="2"/>
  <c r="K28" i="2"/>
  <c r="J28" i="2"/>
  <c r="I28" i="2"/>
  <c r="H28" i="2"/>
  <c r="G28" i="2"/>
  <c r="F28" i="2"/>
  <c r="E28" i="2" s="1"/>
  <c r="B28" i="2"/>
  <c r="V28" i="2" s="1"/>
  <c r="O27" i="2"/>
  <c r="N27" i="2"/>
  <c r="M27" i="2"/>
  <c r="L27" i="2"/>
  <c r="K27" i="2"/>
  <c r="J27" i="2"/>
  <c r="I27" i="2"/>
  <c r="H27" i="2"/>
  <c r="G27" i="2"/>
  <c r="F27" i="2"/>
  <c r="E27" i="2" s="1"/>
  <c r="B27" i="2"/>
  <c r="V27" i="2" s="1"/>
  <c r="O26" i="2"/>
  <c r="N26" i="2"/>
  <c r="M26" i="2"/>
  <c r="L26" i="2"/>
  <c r="K26" i="2"/>
  <c r="J26" i="2"/>
  <c r="I26" i="2"/>
  <c r="H26" i="2"/>
  <c r="G26" i="2"/>
  <c r="F26" i="2"/>
  <c r="E26" i="2" s="1"/>
  <c r="B26" i="2"/>
  <c r="V26" i="2" s="1"/>
  <c r="O25" i="2"/>
  <c r="N25" i="2"/>
  <c r="M25" i="2"/>
  <c r="L25" i="2"/>
  <c r="K25" i="2"/>
  <c r="J25" i="2"/>
  <c r="I25" i="2"/>
  <c r="H25" i="2"/>
  <c r="G25" i="2"/>
  <c r="F25" i="2"/>
  <c r="E25" i="2" s="1"/>
  <c r="B25" i="2"/>
  <c r="V25" i="2" s="1"/>
  <c r="O24" i="2"/>
  <c r="N24" i="2"/>
  <c r="M24" i="2"/>
  <c r="L24" i="2"/>
  <c r="K24" i="2"/>
  <c r="J24" i="2"/>
  <c r="I24" i="2"/>
  <c r="H24" i="2"/>
  <c r="G24" i="2"/>
  <c r="F24" i="2"/>
  <c r="E24" i="2" s="1"/>
  <c r="B24" i="2"/>
  <c r="V24" i="2" s="1"/>
  <c r="O23" i="2"/>
  <c r="N23" i="2"/>
  <c r="M23" i="2"/>
  <c r="L23" i="2"/>
  <c r="K23" i="2"/>
  <c r="J23" i="2"/>
  <c r="I23" i="2"/>
  <c r="H23" i="2"/>
  <c r="G23" i="2"/>
  <c r="F23" i="2"/>
  <c r="E23" i="2" s="1"/>
  <c r="B23" i="2"/>
  <c r="V23" i="2" s="1"/>
  <c r="O22" i="2"/>
  <c r="N22" i="2"/>
  <c r="M22" i="2"/>
  <c r="L22" i="2"/>
  <c r="K22" i="2"/>
  <c r="J22" i="2"/>
  <c r="I22" i="2"/>
  <c r="H22" i="2"/>
  <c r="G22" i="2"/>
  <c r="F22" i="2"/>
  <c r="E22" i="2" s="1"/>
  <c r="B22" i="2"/>
  <c r="V22" i="2" s="1"/>
  <c r="O21" i="2"/>
  <c r="N21" i="2"/>
  <c r="M21" i="2"/>
  <c r="L21" i="2"/>
  <c r="K21" i="2"/>
  <c r="J21" i="2"/>
  <c r="I21" i="2"/>
  <c r="H21" i="2"/>
  <c r="G21" i="2"/>
  <c r="F21" i="2"/>
  <c r="E21" i="2" s="1"/>
  <c r="B21" i="2"/>
  <c r="V21" i="2" s="1"/>
  <c r="O20" i="2"/>
  <c r="N20" i="2"/>
  <c r="M20" i="2"/>
  <c r="L20" i="2"/>
  <c r="K20" i="2"/>
  <c r="J20" i="2"/>
  <c r="I20" i="2"/>
  <c r="H20" i="2"/>
  <c r="G20" i="2"/>
  <c r="F20" i="2"/>
  <c r="E20" i="2" s="1"/>
  <c r="B20" i="2"/>
  <c r="V20" i="2" s="1"/>
  <c r="O19" i="2"/>
  <c r="N19" i="2"/>
  <c r="M19" i="2"/>
  <c r="L19" i="2"/>
  <c r="K19" i="2"/>
  <c r="J19" i="2"/>
  <c r="I19" i="2"/>
  <c r="H19" i="2"/>
  <c r="G19" i="2"/>
  <c r="F19" i="2"/>
  <c r="E19" i="2" s="1"/>
  <c r="B19" i="2"/>
  <c r="V19" i="2" s="1"/>
  <c r="O18" i="2"/>
  <c r="N18" i="2"/>
  <c r="M18" i="2"/>
  <c r="L18" i="2"/>
  <c r="K18" i="2"/>
  <c r="J18" i="2"/>
  <c r="I18" i="2"/>
  <c r="H18" i="2"/>
  <c r="G18" i="2"/>
  <c r="F18" i="2"/>
  <c r="E18" i="2" s="1"/>
  <c r="B18" i="2"/>
  <c r="V18" i="2" s="1"/>
  <c r="O17" i="2"/>
  <c r="N17" i="2"/>
  <c r="M17" i="2"/>
  <c r="L17" i="2"/>
  <c r="K17" i="2"/>
  <c r="J17" i="2"/>
  <c r="I17" i="2"/>
  <c r="H17" i="2"/>
  <c r="G17" i="2"/>
  <c r="F17" i="2"/>
  <c r="E17" i="2" s="1"/>
  <c r="B17" i="2"/>
  <c r="V17" i="2" s="1"/>
  <c r="O16" i="2"/>
  <c r="N16" i="2"/>
  <c r="M16" i="2"/>
  <c r="L16" i="2"/>
  <c r="K16" i="2"/>
  <c r="J16" i="2"/>
  <c r="I16" i="2"/>
  <c r="H16" i="2"/>
  <c r="G16" i="2"/>
  <c r="F16" i="2"/>
  <c r="E16" i="2" s="1"/>
  <c r="B16" i="2"/>
  <c r="V16" i="2" s="1"/>
  <c r="O15" i="2"/>
  <c r="N15" i="2"/>
  <c r="M15" i="2"/>
  <c r="L15" i="2"/>
  <c r="K15" i="2"/>
  <c r="J15" i="2"/>
  <c r="I15" i="2"/>
  <c r="H15" i="2"/>
  <c r="G15" i="2"/>
  <c r="F15" i="2"/>
  <c r="E15" i="2" s="1"/>
  <c r="B15" i="2"/>
  <c r="V15" i="2" s="1"/>
  <c r="O14" i="2"/>
  <c r="N14" i="2"/>
  <c r="M14" i="2"/>
  <c r="L14" i="2"/>
  <c r="K14" i="2"/>
  <c r="J14" i="2"/>
  <c r="I14" i="2"/>
  <c r="H14" i="2"/>
  <c r="G14" i="2"/>
  <c r="F14" i="2"/>
  <c r="E14" i="2" s="1"/>
  <c r="B14" i="2"/>
  <c r="V14" i="2" s="1"/>
  <c r="O13" i="2"/>
  <c r="N13" i="2"/>
  <c r="M13" i="2"/>
  <c r="L13" i="2"/>
  <c r="K13" i="2"/>
  <c r="J13" i="2"/>
  <c r="I13" i="2"/>
  <c r="H13" i="2"/>
  <c r="G13" i="2"/>
  <c r="F13" i="2"/>
  <c r="E13" i="2" s="1"/>
  <c r="B13" i="2"/>
  <c r="V13" i="2" s="1"/>
  <c r="O12" i="2"/>
  <c r="N12" i="2"/>
  <c r="M12" i="2"/>
  <c r="L12" i="2"/>
  <c r="K12" i="2"/>
  <c r="J12" i="2"/>
  <c r="I12" i="2"/>
  <c r="H12" i="2"/>
  <c r="G12" i="2"/>
  <c r="F12" i="2"/>
  <c r="E12" i="2" s="1"/>
  <c r="B12" i="2"/>
  <c r="V12" i="2" s="1"/>
  <c r="O11" i="2"/>
  <c r="N11" i="2"/>
  <c r="M11" i="2"/>
  <c r="L11" i="2"/>
  <c r="K11" i="2"/>
  <c r="J11" i="2"/>
  <c r="I11" i="2"/>
  <c r="H11" i="2"/>
  <c r="G11" i="2"/>
  <c r="F11" i="2"/>
  <c r="E11" i="2" s="1"/>
  <c r="B11" i="2"/>
  <c r="V11" i="2" s="1"/>
  <c r="O10" i="2"/>
  <c r="N10" i="2"/>
  <c r="M10" i="2"/>
  <c r="L10" i="2"/>
  <c r="K10" i="2"/>
  <c r="J10" i="2"/>
  <c r="I10" i="2"/>
  <c r="H10" i="2"/>
  <c r="G10" i="2"/>
  <c r="F10" i="2"/>
  <c r="E10" i="2" s="1"/>
  <c r="B10" i="2"/>
  <c r="V10" i="2" s="1"/>
  <c r="O9" i="2"/>
  <c r="N9" i="2"/>
  <c r="M9" i="2"/>
  <c r="L9" i="2"/>
  <c r="K9" i="2"/>
  <c r="J9" i="2"/>
  <c r="I9" i="2"/>
  <c r="H9" i="2"/>
  <c r="G9" i="2"/>
  <c r="F9" i="2"/>
  <c r="E9" i="2" s="1"/>
  <c r="B9" i="2"/>
  <c r="V9" i="2" s="1"/>
  <c r="O8" i="2"/>
  <c r="N8" i="2"/>
  <c r="M8" i="2"/>
  <c r="L8" i="2"/>
  <c r="K8" i="2"/>
  <c r="J8" i="2"/>
  <c r="I8" i="2"/>
  <c r="H8" i="2"/>
  <c r="G8" i="2"/>
  <c r="F8" i="2"/>
  <c r="E8" i="2" s="1"/>
  <c r="B8" i="2"/>
  <c r="V8" i="2" s="1"/>
  <c r="O7" i="2"/>
  <c r="N7" i="2"/>
  <c r="M7" i="2"/>
  <c r="L7" i="2"/>
  <c r="K7" i="2"/>
  <c r="J7" i="2"/>
  <c r="I7" i="2"/>
  <c r="H7" i="2"/>
  <c r="G7" i="2"/>
  <c r="F7" i="2"/>
  <c r="E7" i="2" s="1"/>
  <c r="B7" i="2"/>
  <c r="V7" i="2" s="1"/>
  <c r="O6" i="2"/>
  <c r="N6" i="2"/>
  <c r="M6" i="2"/>
  <c r="L6" i="2"/>
  <c r="K6" i="2"/>
  <c r="J6" i="2"/>
  <c r="I6" i="2"/>
  <c r="H6" i="2"/>
  <c r="G6" i="2"/>
  <c r="F6" i="2"/>
  <c r="E6" i="2" s="1"/>
  <c r="B6" i="2"/>
  <c r="V6" i="2" s="1"/>
  <c r="O5" i="2"/>
  <c r="N5" i="2"/>
  <c r="M5" i="2"/>
  <c r="L5" i="2"/>
  <c r="K5" i="2"/>
  <c r="J5" i="2"/>
  <c r="I5" i="2"/>
  <c r="H5" i="2"/>
  <c r="G5" i="2"/>
  <c r="F5" i="2"/>
  <c r="E5" i="2" s="1"/>
  <c r="B5" i="2"/>
  <c r="V5" i="2" s="1"/>
  <c r="O4" i="2"/>
  <c r="N4" i="2"/>
  <c r="M4" i="2"/>
  <c r="L4" i="2"/>
  <c r="K4" i="2"/>
  <c r="J4" i="2"/>
  <c r="I4" i="2"/>
  <c r="H4" i="2"/>
  <c r="G4" i="2"/>
  <c r="F4" i="2"/>
  <c r="E4" i="2" s="1"/>
  <c r="B4" i="2"/>
  <c r="V4" i="2" s="1"/>
  <c r="O3" i="2"/>
  <c r="N3" i="2"/>
  <c r="M3" i="2"/>
  <c r="L3" i="2"/>
  <c r="K3" i="2"/>
  <c r="J3" i="2"/>
  <c r="I3" i="2"/>
  <c r="H3" i="2"/>
  <c r="G3" i="2"/>
  <c r="F3" i="2"/>
  <c r="E3" i="2" s="1"/>
  <c r="B3" i="2"/>
  <c r="O138" i="5"/>
  <c r="N138" i="5"/>
  <c r="M138" i="5"/>
  <c r="L138" i="5"/>
  <c r="K138" i="5"/>
  <c r="J138" i="5"/>
  <c r="I138" i="5"/>
  <c r="F138" i="5"/>
  <c r="E138" i="5" s="1"/>
  <c r="B138" i="5"/>
  <c r="V138" i="5" s="1"/>
  <c r="O136" i="5"/>
  <c r="N136" i="5"/>
  <c r="M136" i="5"/>
  <c r="L136" i="5"/>
  <c r="K136" i="5"/>
  <c r="J136" i="5"/>
  <c r="I136" i="5"/>
  <c r="F136" i="5"/>
  <c r="E136" i="5" s="1"/>
  <c r="B136" i="5"/>
  <c r="V136" i="5" s="1"/>
  <c r="O137" i="5"/>
  <c r="N137" i="5"/>
  <c r="M137" i="5"/>
  <c r="L137" i="5"/>
  <c r="K137" i="5"/>
  <c r="J137" i="5"/>
  <c r="I137" i="5"/>
  <c r="F137" i="5"/>
  <c r="E137" i="5" s="1"/>
  <c r="B137" i="5"/>
  <c r="V137" i="5" s="1"/>
  <c r="O133" i="5"/>
  <c r="N133" i="5"/>
  <c r="M133" i="5"/>
  <c r="L133" i="5"/>
  <c r="K133" i="5"/>
  <c r="J133" i="5"/>
  <c r="I133" i="5"/>
  <c r="F133" i="5"/>
  <c r="E133" i="5" s="1"/>
  <c r="B133" i="5"/>
  <c r="V133" i="5" s="1"/>
  <c r="O134" i="5"/>
  <c r="N134" i="5"/>
  <c r="M134" i="5"/>
  <c r="L134" i="5"/>
  <c r="K134" i="5"/>
  <c r="J134" i="5"/>
  <c r="I134" i="5"/>
  <c r="F134" i="5"/>
  <c r="E134" i="5" s="1"/>
  <c r="B134" i="5"/>
  <c r="V134" i="5" s="1"/>
  <c r="O131" i="5"/>
  <c r="N131" i="5"/>
  <c r="M131" i="5"/>
  <c r="L131" i="5"/>
  <c r="K131" i="5"/>
  <c r="J131" i="5"/>
  <c r="I131" i="5"/>
  <c r="F131" i="5"/>
  <c r="E131" i="5" s="1"/>
  <c r="B131" i="5"/>
  <c r="V131" i="5" s="1"/>
  <c r="O123" i="5"/>
  <c r="N123" i="5"/>
  <c r="M123" i="5"/>
  <c r="L123" i="5"/>
  <c r="K123" i="5"/>
  <c r="J123" i="5"/>
  <c r="I123" i="5"/>
  <c r="F123" i="5"/>
  <c r="E123" i="5" s="1"/>
  <c r="B123" i="5"/>
  <c r="V123" i="5" s="1"/>
  <c r="O132" i="5"/>
  <c r="N132" i="5"/>
  <c r="M132" i="5"/>
  <c r="L132" i="5"/>
  <c r="K132" i="5"/>
  <c r="J132" i="5"/>
  <c r="I132" i="5"/>
  <c r="F132" i="5"/>
  <c r="E132" i="5" s="1"/>
  <c r="B132" i="5"/>
  <c r="V132" i="5" s="1"/>
  <c r="O127" i="5"/>
  <c r="N127" i="5"/>
  <c r="M127" i="5"/>
  <c r="L127" i="5"/>
  <c r="K127" i="5"/>
  <c r="J127" i="5"/>
  <c r="I127" i="5"/>
  <c r="F127" i="5"/>
  <c r="E127" i="5" s="1"/>
  <c r="B127" i="5"/>
  <c r="V127" i="5" s="1"/>
  <c r="O135" i="5"/>
  <c r="N135" i="5"/>
  <c r="M135" i="5"/>
  <c r="L135" i="5"/>
  <c r="K135" i="5"/>
  <c r="J135" i="5"/>
  <c r="I135" i="5"/>
  <c r="F135" i="5"/>
  <c r="E135" i="5" s="1"/>
  <c r="B135" i="5"/>
  <c r="V135" i="5" s="1"/>
  <c r="O128" i="5"/>
  <c r="N128" i="5"/>
  <c r="M128" i="5"/>
  <c r="L128" i="5"/>
  <c r="K128" i="5"/>
  <c r="J128" i="5"/>
  <c r="I128" i="5"/>
  <c r="F128" i="5"/>
  <c r="E128" i="5" s="1"/>
  <c r="B128" i="5"/>
  <c r="V128" i="5" s="1"/>
  <c r="O126" i="5"/>
  <c r="N126" i="5"/>
  <c r="M126" i="5"/>
  <c r="L126" i="5"/>
  <c r="K126" i="5"/>
  <c r="J126" i="5"/>
  <c r="I126" i="5"/>
  <c r="F126" i="5"/>
  <c r="E126" i="5" s="1"/>
  <c r="B126" i="5"/>
  <c r="V126" i="5" s="1"/>
  <c r="O130" i="5"/>
  <c r="N130" i="5"/>
  <c r="M130" i="5"/>
  <c r="L130" i="5"/>
  <c r="K130" i="5"/>
  <c r="J130" i="5"/>
  <c r="I130" i="5"/>
  <c r="F130" i="5"/>
  <c r="E130" i="5" s="1"/>
  <c r="B130" i="5"/>
  <c r="V130" i="5" s="1"/>
  <c r="O122" i="5"/>
  <c r="N122" i="5"/>
  <c r="M122" i="5"/>
  <c r="L122" i="5"/>
  <c r="K122" i="5"/>
  <c r="J122" i="5"/>
  <c r="I122" i="5"/>
  <c r="F122" i="5"/>
  <c r="E122" i="5" s="1"/>
  <c r="B122" i="5"/>
  <c r="V122" i="5" s="1"/>
  <c r="O125" i="5"/>
  <c r="N125" i="5"/>
  <c r="M125" i="5"/>
  <c r="L125" i="5"/>
  <c r="K125" i="5"/>
  <c r="J125" i="5"/>
  <c r="I125" i="5"/>
  <c r="F125" i="5"/>
  <c r="E125" i="5" s="1"/>
  <c r="B125" i="5"/>
  <c r="V125" i="5" s="1"/>
  <c r="O129" i="5"/>
  <c r="N129" i="5"/>
  <c r="M129" i="5"/>
  <c r="L129" i="5"/>
  <c r="K129" i="5"/>
  <c r="J129" i="5"/>
  <c r="I129" i="5"/>
  <c r="F129" i="5"/>
  <c r="E129" i="5" s="1"/>
  <c r="B129" i="5"/>
  <c r="V129" i="5" s="1"/>
  <c r="O112" i="5"/>
  <c r="N112" i="5"/>
  <c r="M112" i="5"/>
  <c r="L112" i="5"/>
  <c r="K112" i="5"/>
  <c r="J112" i="5"/>
  <c r="I112" i="5"/>
  <c r="F112" i="5"/>
  <c r="E112" i="5" s="1"/>
  <c r="B112" i="5"/>
  <c r="V112" i="5" s="1"/>
  <c r="O124" i="5"/>
  <c r="N124" i="5"/>
  <c r="M124" i="5"/>
  <c r="L124" i="5"/>
  <c r="K124" i="5"/>
  <c r="J124" i="5"/>
  <c r="I124" i="5"/>
  <c r="F124" i="5"/>
  <c r="E124" i="5" s="1"/>
  <c r="B124" i="5"/>
  <c r="V124" i="5" s="1"/>
  <c r="O121" i="5"/>
  <c r="N121" i="5"/>
  <c r="M121" i="5"/>
  <c r="L121" i="5"/>
  <c r="K121" i="5"/>
  <c r="J121" i="5"/>
  <c r="I121" i="5"/>
  <c r="F121" i="5"/>
  <c r="E121" i="5" s="1"/>
  <c r="B121" i="5"/>
  <c r="V121" i="5" s="1"/>
  <c r="O118" i="5"/>
  <c r="N118" i="5"/>
  <c r="M118" i="5"/>
  <c r="L118" i="5"/>
  <c r="K118" i="5"/>
  <c r="J118" i="5"/>
  <c r="I118" i="5"/>
  <c r="F118" i="5"/>
  <c r="E118" i="5" s="1"/>
  <c r="B118" i="5"/>
  <c r="V118" i="5" s="1"/>
  <c r="O115" i="5"/>
  <c r="N115" i="5"/>
  <c r="M115" i="5"/>
  <c r="L115" i="5"/>
  <c r="K115" i="5"/>
  <c r="J115" i="5"/>
  <c r="I115" i="5"/>
  <c r="F115" i="5"/>
  <c r="E115" i="5" s="1"/>
  <c r="B115" i="5"/>
  <c r="V115" i="5" s="1"/>
  <c r="O117" i="5"/>
  <c r="N117" i="5"/>
  <c r="M117" i="5"/>
  <c r="L117" i="5"/>
  <c r="K117" i="5"/>
  <c r="J117" i="5"/>
  <c r="I117" i="5"/>
  <c r="F117" i="5"/>
  <c r="E117" i="5" s="1"/>
  <c r="B117" i="5"/>
  <c r="V117" i="5" s="1"/>
  <c r="O119" i="5"/>
  <c r="N119" i="5"/>
  <c r="M119" i="5"/>
  <c r="L119" i="5"/>
  <c r="K119" i="5"/>
  <c r="J119" i="5"/>
  <c r="I119" i="5"/>
  <c r="F119" i="5"/>
  <c r="E119" i="5" s="1"/>
  <c r="B119" i="5"/>
  <c r="V119" i="5" s="1"/>
  <c r="O116" i="5"/>
  <c r="N116" i="5"/>
  <c r="M116" i="5"/>
  <c r="L116" i="5"/>
  <c r="K116" i="5"/>
  <c r="J116" i="5"/>
  <c r="I116" i="5"/>
  <c r="F116" i="5"/>
  <c r="E116" i="5" s="1"/>
  <c r="B116" i="5"/>
  <c r="V116" i="5" s="1"/>
  <c r="O120" i="5"/>
  <c r="N120" i="5"/>
  <c r="M120" i="5"/>
  <c r="L120" i="5"/>
  <c r="K120" i="5"/>
  <c r="J120" i="5"/>
  <c r="I120" i="5"/>
  <c r="F120" i="5"/>
  <c r="E120" i="5" s="1"/>
  <c r="B120" i="5"/>
  <c r="V120" i="5" s="1"/>
  <c r="O113" i="5"/>
  <c r="N113" i="5"/>
  <c r="M113" i="5"/>
  <c r="L113" i="5"/>
  <c r="K113" i="5"/>
  <c r="J113" i="5"/>
  <c r="I113" i="5"/>
  <c r="F113" i="5"/>
  <c r="E113" i="5" s="1"/>
  <c r="B113" i="5"/>
  <c r="V113" i="5" s="1"/>
  <c r="O110" i="5"/>
  <c r="N110" i="5"/>
  <c r="M110" i="5"/>
  <c r="L110" i="5"/>
  <c r="K110" i="5"/>
  <c r="J110" i="5"/>
  <c r="I110" i="5"/>
  <c r="F110" i="5"/>
  <c r="E110" i="5" s="1"/>
  <c r="B110" i="5"/>
  <c r="V110" i="5" s="1"/>
  <c r="O114" i="5"/>
  <c r="N114" i="5"/>
  <c r="M114" i="5"/>
  <c r="L114" i="5"/>
  <c r="K114" i="5"/>
  <c r="J114" i="5"/>
  <c r="I114" i="5"/>
  <c r="F114" i="5"/>
  <c r="E114" i="5" s="1"/>
  <c r="B114" i="5"/>
  <c r="V114" i="5" s="1"/>
  <c r="O111" i="5"/>
  <c r="N111" i="5"/>
  <c r="M111" i="5"/>
  <c r="L111" i="5"/>
  <c r="K111" i="5"/>
  <c r="J111" i="5"/>
  <c r="I111" i="5"/>
  <c r="F111" i="5"/>
  <c r="E111" i="5" s="1"/>
  <c r="B111" i="5"/>
  <c r="V111" i="5" s="1"/>
  <c r="O106" i="5"/>
  <c r="N106" i="5"/>
  <c r="M106" i="5"/>
  <c r="L106" i="5"/>
  <c r="K106" i="5"/>
  <c r="J106" i="5"/>
  <c r="I106" i="5"/>
  <c r="F106" i="5"/>
  <c r="E106" i="5" s="1"/>
  <c r="B106" i="5"/>
  <c r="V106" i="5" s="1"/>
  <c r="O109" i="5"/>
  <c r="N109" i="5"/>
  <c r="M109" i="5"/>
  <c r="L109" i="5"/>
  <c r="K109" i="5"/>
  <c r="J109" i="5"/>
  <c r="I109" i="5"/>
  <c r="F109" i="5"/>
  <c r="E109" i="5" s="1"/>
  <c r="B109" i="5"/>
  <c r="V109" i="5" s="1"/>
  <c r="O96" i="5"/>
  <c r="N96" i="5"/>
  <c r="M96" i="5"/>
  <c r="L96" i="5"/>
  <c r="K96" i="5"/>
  <c r="J96" i="5"/>
  <c r="I96" i="5"/>
  <c r="F96" i="5"/>
  <c r="E96" i="5" s="1"/>
  <c r="B96" i="5"/>
  <c r="V96" i="5" s="1"/>
  <c r="O108" i="5"/>
  <c r="N108" i="5"/>
  <c r="M108" i="5"/>
  <c r="L108" i="5"/>
  <c r="K108" i="5"/>
  <c r="J108" i="5"/>
  <c r="I108" i="5"/>
  <c r="F108" i="5"/>
  <c r="E108" i="5" s="1"/>
  <c r="B108" i="5"/>
  <c r="V108" i="5" s="1"/>
  <c r="O101" i="5"/>
  <c r="N101" i="5"/>
  <c r="M101" i="5"/>
  <c r="L101" i="5"/>
  <c r="K101" i="5"/>
  <c r="J101" i="5"/>
  <c r="I101" i="5"/>
  <c r="F101" i="5"/>
  <c r="E101" i="5" s="1"/>
  <c r="B101" i="5"/>
  <c r="V101" i="5" s="1"/>
  <c r="O105" i="5"/>
  <c r="N105" i="5"/>
  <c r="M105" i="5"/>
  <c r="L105" i="5"/>
  <c r="K105" i="5"/>
  <c r="J105" i="5"/>
  <c r="I105" i="5"/>
  <c r="F105" i="5"/>
  <c r="E105" i="5" s="1"/>
  <c r="B105" i="5"/>
  <c r="V105" i="5" s="1"/>
  <c r="O107" i="5"/>
  <c r="N107" i="5"/>
  <c r="M107" i="5"/>
  <c r="L107" i="5"/>
  <c r="K107" i="5"/>
  <c r="J107" i="5"/>
  <c r="I107" i="5"/>
  <c r="F107" i="5"/>
  <c r="E107" i="5" s="1"/>
  <c r="B107" i="5"/>
  <c r="V107" i="5" s="1"/>
  <c r="O104" i="5"/>
  <c r="N104" i="5"/>
  <c r="M104" i="5"/>
  <c r="L104" i="5"/>
  <c r="K104" i="5"/>
  <c r="J104" i="5"/>
  <c r="I104" i="5"/>
  <c r="F104" i="5"/>
  <c r="E104" i="5" s="1"/>
  <c r="B104" i="5"/>
  <c r="V104" i="5" s="1"/>
  <c r="O103" i="5"/>
  <c r="N103" i="5"/>
  <c r="M103" i="5"/>
  <c r="L103" i="5"/>
  <c r="K103" i="5"/>
  <c r="J103" i="5"/>
  <c r="I103" i="5"/>
  <c r="F103" i="5"/>
  <c r="E103" i="5" s="1"/>
  <c r="B103" i="5"/>
  <c r="V103" i="5" s="1"/>
  <c r="O102" i="5"/>
  <c r="N102" i="5"/>
  <c r="M102" i="5"/>
  <c r="L102" i="5"/>
  <c r="K102" i="5"/>
  <c r="J102" i="5"/>
  <c r="I102" i="5"/>
  <c r="F102" i="5"/>
  <c r="E102" i="5" s="1"/>
  <c r="B102" i="5"/>
  <c r="V102" i="5" s="1"/>
  <c r="O100" i="5"/>
  <c r="N100" i="5"/>
  <c r="M100" i="5"/>
  <c r="L100" i="5"/>
  <c r="K100" i="5"/>
  <c r="J100" i="5"/>
  <c r="I100" i="5"/>
  <c r="F100" i="5"/>
  <c r="E100" i="5" s="1"/>
  <c r="B100" i="5"/>
  <c r="V100" i="5" s="1"/>
  <c r="O99" i="5"/>
  <c r="N99" i="5"/>
  <c r="M99" i="5"/>
  <c r="L99" i="5"/>
  <c r="K99" i="5"/>
  <c r="J99" i="5"/>
  <c r="I99" i="5"/>
  <c r="F99" i="5"/>
  <c r="E99" i="5" s="1"/>
  <c r="B99" i="5"/>
  <c r="V99" i="5" s="1"/>
  <c r="O95" i="5"/>
  <c r="N95" i="5"/>
  <c r="M95" i="5"/>
  <c r="L95" i="5"/>
  <c r="K95" i="5"/>
  <c r="J95" i="5"/>
  <c r="I95" i="5"/>
  <c r="F95" i="5"/>
  <c r="E95" i="5" s="1"/>
  <c r="B95" i="5"/>
  <c r="V95" i="5" s="1"/>
  <c r="O94" i="5"/>
  <c r="N94" i="5"/>
  <c r="M94" i="5"/>
  <c r="L94" i="5"/>
  <c r="K94" i="5"/>
  <c r="J94" i="5"/>
  <c r="I94" i="5"/>
  <c r="F94" i="5"/>
  <c r="E94" i="5" s="1"/>
  <c r="B94" i="5"/>
  <c r="V94" i="5" s="1"/>
  <c r="O97" i="5"/>
  <c r="N97" i="5"/>
  <c r="M97" i="5"/>
  <c r="L97" i="5"/>
  <c r="K97" i="5"/>
  <c r="J97" i="5"/>
  <c r="I97" i="5"/>
  <c r="F97" i="5"/>
  <c r="E97" i="5" s="1"/>
  <c r="B97" i="5"/>
  <c r="V97" i="5" s="1"/>
  <c r="O98" i="5"/>
  <c r="N98" i="5"/>
  <c r="M98" i="5"/>
  <c r="L98" i="5"/>
  <c r="K98" i="5"/>
  <c r="J98" i="5"/>
  <c r="I98" i="5"/>
  <c r="F98" i="5"/>
  <c r="E98" i="5" s="1"/>
  <c r="B98" i="5"/>
  <c r="V98" i="5" s="1"/>
  <c r="O87" i="5"/>
  <c r="N87" i="5"/>
  <c r="M87" i="5"/>
  <c r="L87" i="5"/>
  <c r="K87" i="5"/>
  <c r="J87" i="5"/>
  <c r="I87" i="5"/>
  <c r="F87" i="5"/>
  <c r="E87" i="5" s="1"/>
  <c r="B87" i="5"/>
  <c r="V87" i="5" s="1"/>
  <c r="O86" i="5"/>
  <c r="N86" i="5"/>
  <c r="M86" i="5"/>
  <c r="L86" i="5"/>
  <c r="K86" i="5"/>
  <c r="J86" i="5"/>
  <c r="I86" i="5"/>
  <c r="F86" i="5"/>
  <c r="E86" i="5" s="1"/>
  <c r="B86" i="5"/>
  <c r="V86" i="5" s="1"/>
  <c r="O93" i="5"/>
  <c r="N93" i="5"/>
  <c r="M93" i="5"/>
  <c r="L93" i="5"/>
  <c r="K93" i="5"/>
  <c r="J93" i="5"/>
  <c r="I93" i="5"/>
  <c r="F93" i="5"/>
  <c r="E93" i="5" s="1"/>
  <c r="B93" i="5"/>
  <c r="V93" i="5" s="1"/>
  <c r="O89" i="5"/>
  <c r="N89" i="5"/>
  <c r="M89" i="5"/>
  <c r="L89" i="5"/>
  <c r="K89" i="5"/>
  <c r="J89" i="5"/>
  <c r="I89" i="5"/>
  <c r="F89" i="5"/>
  <c r="E89" i="5" s="1"/>
  <c r="B89" i="5"/>
  <c r="V89" i="5" s="1"/>
  <c r="O92" i="5"/>
  <c r="N92" i="5"/>
  <c r="M92" i="5"/>
  <c r="L92" i="5"/>
  <c r="K92" i="5"/>
  <c r="J92" i="5"/>
  <c r="I92" i="5"/>
  <c r="F92" i="5"/>
  <c r="E92" i="5" s="1"/>
  <c r="B92" i="5"/>
  <c r="V92" i="5" s="1"/>
  <c r="O88" i="5"/>
  <c r="N88" i="5"/>
  <c r="M88" i="5"/>
  <c r="L88" i="5"/>
  <c r="K88" i="5"/>
  <c r="J88" i="5"/>
  <c r="I88" i="5"/>
  <c r="F88" i="5"/>
  <c r="E88" i="5" s="1"/>
  <c r="B88" i="5"/>
  <c r="V88" i="5" s="1"/>
  <c r="O91" i="5"/>
  <c r="N91" i="5"/>
  <c r="M91" i="5"/>
  <c r="L91" i="5"/>
  <c r="K91" i="5"/>
  <c r="J91" i="5"/>
  <c r="I91" i="5"/>
  <c r="F91" i="5"/>
  <c r="E91" i="5" s="1"/>
  <c r="B91" i="5"/>
  <c r="V91" i="5" s="1"/>
  <c r="O90" i="5"/>
  <c r="N90" i="5"/>
  <c r="M90" i="5"/>
  <c r="L90" i="5"/>
  <c r="K90" i="5"/>
  <c r="J90" i="5"/>
  <c r="I90" i="5"/>
  <c r="F90" i="5"/>
  <c r="E90" i="5" s="1"/>
  <c r="B90" i="5"/>
  <c r="V90" i="5" s="1"/>
  <c r="O77" i="5"/>
  <c r="N77" i="5"/>
  <c r="M77" i="5"/>
  <c r="L77" i="5"/>
  <c r="K77" i="5"/>
  <c r="J77" i="5"/>
  <c r="I77" i="5"/>
  <c r="F77" i="5"/>
  <c r="E77" i="5" s="1"/>
  <c r="B77" i="5"/>
  <c r="V77" i="5" s="1"/>
  <c r="O83" i="5"/>
  <c r="N83" i="5"/>
  <c r="M83" i="5"/>
  <c r="L83" i="5"/>
  <c r="K83" i="5"/>
  <c r="J83" i="5"/>
  <c r="I83" i="5"/>
  <c r="F83" i="5"/>
  <c r="E83" i="5" s="1"/>
  <c r="B83" i="5"/>
  <c r="V83" i="5" s="1"/>
  <c r="O85" i="5"/>
  <c r="N85" i="5"/>
  <c r="M85" i="5"/>
  <c r="L85" i="5"/>
  <c r="K85" i="5"/>
  <c r="J85" i="5"/>
  <c r="I85" i="5"/>
  <c r="F85" i="5"/>
  <c r="E85" i="5" s="1"/>
  <c r="B85" i="5"/>
  <c r="V85" i="5" s="1"/>
  <c r="O82" i="5"/>
  <c r="N82" i="5"/>
  <c r="M82" i="5"/>
  <c r="L82" i="5"/>
  <c r="K82" i="5"/>
  <c r="J82" i="5"/>
  <c r="I82" i="5"/>
  <c r="F82" i="5"/>
  <c r="E82" i="5" s="1"/>
  <c r="B82" i="5"/>
  <c r="V82" i="5" s="1"/>
  <c r="O81" i="5"/>
  <c r="N81" i="5"/>
  <c r="M81" i="5"/>
  <c r="L81" i="5"/>
  <c r="K81" i="5"/>
  <c r="J81" i="5"/>
  <c r="I81" i="5"/>
  <c r="F81" i="5"/>
  <c r="E81" i="5" s="1"/>
  <c r="B81" i="5"/>
  <c r="V81" i="5" s="1"/>
  <c r="O84" i="5"/>
  <c r="N84" i="5"/>
  <c r="M84" i="5"/>
  <c r="L84" i="5"/>
  <c r="K84" i="5"/>
  <c r="J84" i="5"/>
  <c r="I84" i="5"/>
  <c r="F84" i="5"/>
  <c r="E84" i="5" s="1"/>
  <c r="B84" i="5"/>
  <c r="V84" i="5" s="1"/>
  <c r="O80" i="5"/>
  <c r="N80" i="5"/>
  <c r="M80" i="5"/>
  <c r="L80" i="5"/>
  <c r="K80" i="5"/>
  <c r="J80" i="5"/>
  <c r="I80" i="5"/>
  <c r="F80" i="5"/>
  <c r="E80" i="5" s="1"/>
  <c r="B80" i="5"/>
  <c r="V80" i="5" s="1"/>
  <c r="O79" i="5"/>
  <c r="N79" i="5"/>
  <c r="M79" i="5"/>
  <c r="L79" i="5"/>
  <c r="K79" i="5"/>
  <c r="J79" i="5"/>
  <c r="I79" i="5"/>
  <c r="F79" i="5"/>
  <c r="E79" i="5" s="1"/>
  <c r="B79" i="5"/>
  <c r="V79" i="5" s="1"/>
  <c r="O78" i="5"/>
  <c r="N78" i="5"/>
  <c r="M78" i="5"/>
  <c r="L78" i="5"/>
  <c r="K78" i="5"/>
  <c r="J78" i="5"/>
  <c r="I78" i="5"/>
  <c r="F78" i="5"/>
  <c r="E78" i="5" s="1"/>
  <c r="B78" i="5"/>
  <c r="V78" i="5" s="1"/>
  <c r="O76" i="5"/>
  <c r="N76" i="5"/>
  <c r="M76" i="5"/>
  <c r="L76" i="5"/>
  <c r="K76" i="5"/>
  <c r="J76" i="5"/>
  <c r="I76" i="5"/>
  <c r="F76" i="5"/>
  <c r="E76" i="5" s="1"/>
  <c r="B76" i="5"/>
  <c r="V76" i="5" s="1"/>
  <c r="O73" i="5"/>
  <c r="N73" i="5"/>
  <c r="M73" i="5"/>
  <c r="L73" i="5"/>
  <c r="K73" i="5"/>
  <c r="J73" i="5"/>
  <c r="I73" i="5"/>
  <c r="F73" i="5"/>
  <c r="E73" i="5" s="1"/>
  <c r="B73" i="5"/>
  <c r="V73" i="5" s="1"/>
  <c r="O75" i="5"/>
  <c r="N75" i="5"/>
  <c r="M75" i="5"/>
  <c r="L75" i="5"/>
  <c r="K75" i="5"/>
  <c r="J75" i="5"/>
  <c r="I75" i="5"/>
  <c r="F75" i="5"/>
  <c r="E75" i="5" s="1"/>
  <c r="B75" i="5"/>
  <c r="V75" i="5" s="1"/>
  <c r="O74" i="5"/>
  <c r="N74" i="5"/>
  <c r="M74" i="5"/>
  <c r="L74" i="5"/>
  <c r="K74" i="5"/>
  <c r="J74" i="5"/>
  <c r="I74" i="5"/>
  <c r="F74" i="5"/>
  <c r="E74" i="5" s="1"/>
  <c r="B74" i="5"/>
  <c r="V74" i="5" s="1"/>
  <c r="O71" i="5"/>
  <c r="N71" i="5"/>
  <c r="M71" i="5"/>
  <c r="L71" i="5"/>
  <c r="K71" i="5"/>
  <c r="J71" i="5"/>
  <c r="I71" i="5"/>
  <c r="F71" i="5"/>
  <c r="E71" i="5" s="1"/>
  <c r="B71" i="5"/>
  <c r="V71" i="5" s="1"/>
  <c r="O72" i="5"/>
  <c r="N72" i="5"/>
  <c r="M72" i="5"/>
  <c r="L72" i="5"/>
  <c r="K72" i="5"/>
  <c r="J72" i="5"/>
  <c r="I72" i="5"/>
  <c r="F72" i="5"/>
  <c r="E72" i="5" s="1"/>
  <c r="B72" i="5"/>
  <c r="V72" i="5" s="1"/>
  <c r="O67" i="5"/>
  <c r="N67" i="5"/>
  <c r="M67" i="5"/>
  <c r="L67" i="5"/>
  <c r="K67" i="5"/>
  <c r="J67" i="5"/>
  <c r="I67" i="5"/>
  <c r="F67" i="5"/>
  <c r="E67" i="5" s="1"/>
  <c r="B67" i="5"/>
  <c r="V67" i="5" s="1"/>
  <c r="O69" i="5"/>
  <c r="N69" i="5"/>
  <c r="M69" i="5"/>
  <c r="L69" i="5"/>
  <c r="K69" i="5"/>
  <c r="J69" i="5"/>
  <c r="I69" i="5"/>
  <c r="F69" i="5"/>
  <c r="E69" i="5" s="1"/>
  <c r="B69" i="5"/>
  <c r="V69" i="5" s="1"/>
  <c r="O70" i="5"/>
  <c r="N70" i="5"/>
  <c r="M70" i="5"/>
  <c r="L70" i="5"/>
  <c r="K70" i="5"/>
  <c r="J70" i="5"/>
  <c r="I70" i="5"/>
  <c r="F70" i="5"/>
  <c r="E70" i="5" s="1"/>
  <c r="B70" i="5"/>
  <c r="V70" i="5" s="1"/>
  <c r="O66" i="5"/>
  <c r="N66" i="5"/>
  <c r="M66" i="5"/>
  <c r="L66" i="5"/>
  <c r="K66" i="5"/>
  <c r="J66" i="5"/>
  <c r="I66" i="5"/>
  <c r="F66" i="5"/>
  <c r="E66" i="5" s="1"/>
  <c r="B66" i="5"/>
  <c r="V66" i="5" s="1"/>
  <c r="O62" i="5"/>
  <c r="N62" i="5"/>
  <c r="M62" i="5"/>
  <c r="L62" i="5"/>
  <c r="K62" i="5"/>
  <c r="J62" i="5"/>
  <c r="I62" i="5"/>
  <c r="F62" i="5"/>
  <c r="E62" i="5" s="1"/>
  <c r="B62" i="5"/>
  <c r="V62" i="5" s="1"/>
  <c r="O68" i="5"/>
  <c r="N68" i="5"/>
  <c r="M68" i="5"/>
  <c r="L68" i="5"/>
  <c r="K68" i="5"/>
  <c r="J68" i="5"/>
  <c r="I68" i="5"/>
  <c r="F68" i="5"/>
  <c r="E68" i="5" s="1"/>
  <c r="B68" i="5"/>
  <c r="V68" i="5" s="1"/>
  <c r="O60" i="5"/>
  <c r="N60" i="5"/>
  <c r="M60" i="5"/>
  <c r="L60" i="5"/>
  <c r="K60" i="5"/>
  <c r="J60" i="5"/>
  <c r="I60" i="5"/>
  <c r="F60" i="5"/>
  <c r="E60" i="5" s="1"/>
  <c r="B60" i="5"/>
  <c r="V60" i="5" s="1"/>
  <c r="O65" i="5"/>
  <c r="N65" i="5"/>
  <c r="M65" i="5"/>
  <c r="L65" i="5"/>
  <c r="K65" i="5"/>
  <c r="J65" i="5"/>
  <c r="I65" i="5"/>
  <c r="F65" i="5"/>
  <c r="E65" i="5" s="1"/>
  <c r="B65" i="5"/>
  <c r="V65" i="5" s="1"/>
  <c r="O64" i="5"/>
  <c r="N64" i="5"/>
  <c r="M64" i="5"/>
  <c r="L64" i="5"/>
  <c r="K64" i="5"/>
  <c r="J64" i="5"/>
  <c r="I64" i="5"/>
  <c r="F64" i="5"/>
  <c r="E64" i="5" s="1"/>
  <c r="B64" i="5"/>
  <c r="V64" i="5" s="1"/>
  <c r="O61" i="5"/>
  <c r="N61" i="5"/>
  <c r="M61" i="5"/>
  <c r="L61" i="5"/>
  <c r="K61" i="5"/>
  <c r="J61" i="5"/>
  <c r="I61" i="5"/>
  <c r="F61" i="5"/>
  <c r="E61" i="5" s="1"/>
  <c r="B61" i="5"/>
  <c r="V61" i="5" s="1"/>
  <c r="O63" i="5"/>
  <c r="N63" i="5"/>
  <c r="M63" i="5"/>
  <c r="L63" i="5"/>
  <c r="K63" i="5"/>
  <c r="J63" i="5"/>
  <c r="I63" i="5"/>
  <c r="F63" i="5"/>
  <c r="E63" i="5" s="1"/>
  <c r="B63" i="5"/>
  <c r="V63" i="5" s="1"/>
  <c r="O57" i="5"/>
  <c r="N57" i="5"/>
  <c r="M57" i="5"/>
  <c r="L57" i="5"/>
  <c r="K57" i="5"/>
  <c r="J57" i="5"/>
  <c r="I57" i="5"/>
  <c r="F57" i="5"/>
  <c r="E57" i="5" s="1"/>
  <c r="B57" i="5"/>
  <c r="V57" i="5" s="1"/>
  <c r="O58" i="5"/>
  <c r="N58" i="5"/>
  <c r="M58" i="5"/>
  <c r="L58" i="5"/>
  <c r="K58" i="5"/>
  <c r="J58" i="5"/>
  <c r="I58" i="5"/>
  <c r="F58" i="5"/>
  <c r="E58" i="5" s="1"/>
  <c r="B58" i="5"/>
  <c r="V58" i="5" s="1"/>
  <c r="O59" i="5"/>
  <c r="N59" i="5"/>
  <c r="M59" i="5"/>
  <c r="L59" i="5"/>
  <c r="K59" i="5"/>
  <c r="J59" i="5"/>
  <c r="I59" i="5"/>
  <c r="F59" i="5"/>
  <c r="E59" i="5" s="1"/>
  <c r="B59" i="5"/>
  <c r="V59" i="5" s="1"/>
  <c r="O56" i="5"/>
  <c r="N56" i="5"/>
  <c r="M56" i="5"/>
  <c r="L56" i="5"/>
  <c r="K56" i="5"/>
  <c r="J56" i="5"/>
  <c r="I56" i="5"/>
  <c r="F56" i="5"/>
  <c r="E56" i="5" s="1"/>
  <c r="B56" i="5"/>
  <c r="V56" i="5" s="1"/>
  <c r="O54" i="5"/>
  <c r="N54" i="5"/>
  <c r="M54" i="5"/>
  <c r="L54" i="5"/>
  <c r="K54" i="5"/>
  <c r="J54" i="5"/>
  <c r="I54" i="5"/>
  <c r="F54" i="5"/>
  <c r="E54" i="5" s="1"/>
  <c r="B54" i="5"/>
  <c r="V54" i="5" s="1"/>
  <c r="O55" i="5"/>
  <c r="N55" i="5"/>
  <c r="M55" i="5"/>
  <c r="L55" i="5"/>
  <c r="K55" i="5"/>
  <c r="J55" i="5"/>
  <c r="I55" i="5"/>
  <c r="F55" i="5"/>
  <c r="E55" i="5" s="1"/>
  <c r="B55" i="5"/>
  <c r="V55" i="5" s="1"/>
  <c r="O50" i="5"/>
  <c r="N50" i="5"/>
  <c r="M50" i="5"/>
  <c r="L50" i="5"/>
  <c r="K50" i="5"/>
  <c r="J50" i="5"/>
  <c r="I50" i="5"/>
  <c r="F50" i="5"/>
  <c r="E50" i="5" s="1"/>
  <c r="B50" i="5"/>
  <c r="V50" i="5" s="1"/>
  <c r="O53" i="5"/>
  <c r="N53" i="5"/>
  <c r="M53" i="5"/>
  <c r="L53" i="5"/>
  <c r="K53" i="5"/>
  <c r="J53" i="5"/>
  <c r="I53" i="5"/>
  <c r="F53" i="5"/>
  <c r="E53" i="5" s="1"/>
  <c r="B53" i="5"/>
  <c r="V53" i="5" s="1"/>
  <c r="O52" i="5"/>
  <c r="N52" i="5"/>
  <c r="M52" i="5"/>
  <c r="L52" i="5"/>
  <c r="K52" i="5"/>
  <c r="J52" i="5"/>
  <c r="I52" i="5"/>
  <c r="F52" i="5"/>
  <c r="E52" i="5" s="1"/>
  <c r="B52" i="5"/>
  <c r="V52" i="5" s="1"/>
  <c r="O51" i="5"/>
  <c r="N51" i="5"/>
  <c r="M51" i="5"/>
  <c r="L51" i="5"/>
  <c r="K51" i="5"/>
  <c r="J51" i="5"/>
  <c r="I51" i="5"/>
  <c r="F51" i="5"/>
  <c r="E51" i="5" s="1"/>
  <c r="B51" i="5"/>
  <c r="V51" i="5" s="1"/>
  <c r="O46" i="5"/>
  <c r="N46" i="5"/>
  <c r="M46" i="5"/>
  <c r="L46" i="5"/>
  <c r="K46" i="5"/>
  <c r="J46" i="5"/>
  <c r="I46" i="5"/>
  <c r="F46" i="5"/>
  <c r="E46" i="5" s="1"/>
  <c r="B46" i="5"/>
  <c r="V46" i="5" s="1"/>
  <c r="O48" i="5"/>
  <c r="N48" i="5"/>
  <c r="M48" i="5"/>
  <c r="L48" i="5"/>
  <c r="K48" i="5"/>
  <c r="J48" i="5"/>
  <c r="I48" i="5"/>
  <c r="F48" i="5"/>
  <c r="E48" i="5" s="1"/>
  <c r="B48" i="5"/>
  <c r="V48" i="5" s="1"/>
  <c r="O49" i="5"/>
  <c r="N49" i="5"/>
  <c r="M49" i="5"/>
  <c r="L49" i="5"/>
  <c r="K49" i="5"/>
  <c r="J49" i="5"/>
  <c r="I49" i="5"/>
  <c r="F49" i="5"/>
  <c r="E49" i="5" s="1"/>
  <c r="B49" i="5"/>
  <c r="V49" i="5" s="1"/>
  <c r="O47" i="5"/>
  <c r="N47" i="5"/>
  <c r="M47" i="5"/>
  <c r="L47" i="5"/>
  <c r="K47" i="5"/>
  <c r="J47" i="5"/>
  <c r="I47" i="5"/>
  <c r="F47" i="5"/>
  <c r="E47" i="5" s="1"/>
  <c r="B47" i="5"/>
  <c r="V47" i="5" s="1"/>
  <c r="O42" i="5"/>
  <c r="N42" i="5"/>
  <c r="M42" i="5"/>
  <c r="L42" i="5"/>
  <c r="K42" i="5"/>
  <c r="J42" i="5"/>
  <c r="I42" i="5"/>
  <c r="F42" i="5"/>
  <c r="E42" i="5" s="1"/>
  <c r="B42" i="5"/>
  <c r="V42" i="5" s="1"/>
  <c r="O45" i="5"/>
  <c r="N45" i="5"/>
  <c r="M45" i="5"/>
  <c r="L45" i="5"/>
  <c r="K45" i="5"/>
  <c r="J45" i="5"/>
  <c r="I45" i="5"/>
  <c r="F45" i="5"/>
  <c r="E45" i="5" s="1"/>
  <c r="B45" i="5"/>
  <c r="V45" i="5" s="1"/>
  <c r="O44" i="5"/>
  <c r="N44" i="5"/>
  <c r="M44" i="5"/>
  <c r="L44" i="5"/>
  <c r="K44" i="5"/>
  <c r="J44" i="5"/>
  <c r="I44" i="5"/>
  <c r="F44" i="5"/>
  <c r="E44" i="5" s="1"/>
  <c r="B44" i="5"/>
  <c r="V44" i="5" s="1"/>
  <c r="O43" i="5"/>
  <c r="N43" i="5"/>
  <c r="M43" i="5"/>
  <c r="L43" i="5"/>
  <c r="K43" i="5"/>
  <c r="J43" i="5"/>
  <c r="I43" i="5"/>
  <c r="F43" i="5"/>
  <c r="E43" i="5" s="1"/>
  <c r="B43" i="5"/>
  <c r="V43" i="5" s="1"/>
  <c r="O41" i="5"/>
  <c r="N41" i="5"/>
  <c r="M41" i="5"/>
  <c r="L41" i="5"/>
  <c r="K41" i="5"/>
  <c r="J41" i="5"/>
  <c r="I41" i="5"/>
  <c r="F41" i="5"/>
  <c r="E41" i="5" s="1"/>
  <c r="B41" i="5"/>
  <c r="V41" i="5" s="1"/>
  <c r="O39" i="5"/>
  <c r="N39" i="5"/>
  <c r="M39" i="5"/>
  <c r="L39" i="5"/>
  <c r="K39" i="5"/>
  <c r="J39" i="5"/>
  <c r="I39" i="5"/>
  <c r="F39" i="5"/>
  <c r="E39" i="5" s="1"/>
  <c r="B39" i="5"/>
  <c r="V39" i="5" s="1"/>
  <c r="O38" i="5"/>
  <c r="N38" i="5"/>
  <c r="M38" i="5"/>
  <c r="L38" i="5"/>
  <c r="K38" i="5"/>
  <c r="J38" i="5"/>
  <c r="I38" i="5"/>
  <c r="F38" i="5"/>
  <c r="E38" i="5" s="1"/>
  <c r="B38" i="5"/>
  <c r="V38" i="5" s="1"/>
  <c r="O40" i="5"/>
  <c r="N40" i="5"/>
  <c r="M40" i="5"/>
  <c r="L40" i="5"/>
  <c r="K40" i="5"/>
  <c r="J40" i="5"/>
  <c r="I40" i="5"/>
  <c r="F40" i="5"/>
  <c r="E40" i="5" s="1"/>
  <c r="B40" i="5"/>
  <c r="V40" i="5" s="1"/>
  <c r="O35" i="5"/>
  <c r="N35" i="5"/>
  <c r="M35" i="5"/>
  <c r="L35" i="5"/>
  <c r="K35" i="5"/>
  <c r="J35" i="5"/>
  <c r="I35" i="5"/>
  <c r="F35" i="5"/>
  <c r="E35" i="5" s="1"/>
  <c r="B35" i="5"/>
  <c r="V35" i="5" s="1"/>
  <c r="O34" i="5"/>
  <c r="N34" i="5"/>
  <c r="M34" i="5"/>
  <c r="L34" i="5"/>
  <c r="K34" i="5"/>
  <c r="J34" i="5"/>
  <c r="F34" i="5"/>
  <c r="E34" i="5" s="1"/>
  <c r="B34" i="5"/>
  <c r="V34" i="5" s="1"/>
  <c r="O37" i="5"/>
  <c r="N37" i="5"/>
  <c r="M37" i="5"/>
  <c r="L37" i="5"/>
  <c r="K37" i="5"/>
  <c r="J37" i="5"/>
  <c r="I37" i="5"/>
  <c r="F37" i="5"/>
  <c r="E37" i="5" s="1"/>
  <c r="B37" i="5"/>
  <c r="V37" i="5" s="1"/>
  <c r="O29" i="5"/>
  <c r="N29" i="5"/>
  <c r="M29" i="5"/>
  <c r="L29" i="5"/>
  <c r="K29" i="5"/>
  <c r="J29" i="5"/>
  <c r="I29" i="5"/>
  <c r="F29" i="5"/>
  <c r="E29" i="5" s="1"/>
  <c r="B29" i="5"/>
  <c r="V29" i="5" s="1"/>
  <c r="O33" i="5"/>
  <c r="N33" i="5"/>
  <c r="M33" i="5"/>
  <c r="L33" i="5"/>
  <c r="K33" i="5"/>
  <c r="J33" i="5"/>
  <c r="I33" i="5"/>
  <c r="F33" i="5"/>
  <c r="E33" i="5" s="1"/>
  <c r="B33" i="5"/>
  <c r="V33" i="5" s="1"/>
  <c r="O32" i="5"/>
  <c r="N32" i="5"/>
  <c r="M32" i="5"/>
  <c r="L32" i="5"/>
  <c r="K32" i="5"/>
  <c r="J32" i="5"/>
  <c r="I32" i="5"/>
  <c r="F32" i="5"/>
  <c r="E32" i="5" s="1"/>
  <c r="B32" i="5"/>
  <c r="V32" i="5" s="1"/>
  <c r="O31" i="5"/>
  <c r="N31" i="5"/>
  <c r="M31" i="5"/>
  <c r="L31" i="5"/>
  <c r="K31" i="5"/>
  <c r="J31" i="5"/>
  <c r="I31" i="5"/>
  <c r="F31" i="5"/>
  <c r="E31" i="5" s="1"/>
  <c r="B31" i="5"/>
  <c r="V31" i="5" s="1"/>
  <c r="O36" i="5"/>
  <c r="N36" i="5"/>
  <c r="M36" i="5"/>
  <c r="L36" i="5"/>
  <c r="K36" i="5"/>
  <c r="J36" i="5"/>
  <c r="I36" i="5"/>
  <c r="F36" i="5"/>
  <c r="E36" i="5" s="1"/>
  <c r="B36" i="5"/>
  <c r="V36" i="5" s="1"/>
  <c r="O30" i="5"/>
  <c r="N30" i="5"/>
  <c r="M30" i="5"/>
  <c r="L30" i="5"/>
  <c r="K30" i="5"/>
  <c r="J30" i="5"/>
  <c r="I30" i="5"/>
  <c r="F30" i="5"/>
  <c r="E30" i="5" s="1"/>
  <c r="B30" i="5"/>
  <c r="V30" i="5" s="1"/>
  <c r="O28" i="5"/>
  <c r="N28" i="5"/>
  <c r="M28" i="5"/>
  <c r="L28" i="5"/>
  <c r="K28" i="5"/>
  <c r="J28" i="5"/>
  <c r="I28" i="5"/>
  <c r="F28" i="5"/>
  <c r="E28" i="5" s="1"/>
  <c r="B28" i="5"/>
  <c r="V28" i="5" s="1"/>
  <c r="O27" i="5"/>
  <c r="N27" i="5"/>
  <c r="M27" i="5"/>
  <c r="L27" i="5"/>
  <c r="K27" i="5"/>
  <c r="J27" i="5"/>
  <c r="I27" i="5"/>
  <c r="F27" i="5"/>
  <c r="E27" i="5" s="1"/>
  <c r="B27" i="5"/>
  <c r="V27" i="5" s="1"/>
  <c r="O26" i="5"/>
  <c r="N26" i="5"/>
  <c r="M26" i="5"/>
  <c r="L26" i="5"/>
  <c r="K26" i="5"/>
  <c r="J26" i="5"/>
  <c r="I26" i="5"/>
  <c r="F26" i="5"/>
  <c r="E26" i="5" s="1"/>
  <c r="B26" i="5"/>
  <c r="V26" i="5" s="1"/>
  <c r="O20" i="5"/>
  <c r="N20" i="5"/>
  <c r="M20" i="5"/>
  <c r="L20" i="5"/>
  <c r="K20" i="5"/>
  <c r="J20" i="5"/>
  <c r="I20" i="5"/>
  <c r="F20" i="5"/>
  <c r="E20" i="5" s="1"/>
  <c r="B20" i="5"/>
  <c r="V20" i="5" s="1"/>
  <c r="O23" i="5"/>
  <c r="N23" i="5"/>
  <c r="M23" i="5"/>
  <c r="L23" i="5"/>
  <c r="K23" i="5"/>
  <c r="J23" i="5"/>
  <c r="I23" i="5"/>
  <c r="F23" i="5"/>
  <c r="E23" i="5" s="1"/>
  <c r="B23" i="5"/>
  <c r="V23" i="5" s="1"/>
  <c r="O22" i="5"/>
  <c r="N22" i="5"/>
  <c r="M22" i="5"/>
  <c r="L22" i="5"/>
  <c r="K22" i="5"/>
  <c r="J22" i="5"/>
  <c r="I22" i="5"/>
  <c r="F22" i="5"/>
  <c r="E22" i="5" s="1"/>
  <c r="B22" i="5"/>
  <c r="V22" i="5" s="1"/>
  <c r="O24" i="5"/>
  <c r="N24" i="5"/>
  <c r="M24" i="5"/>
  <c r="L24" i="5"/>
  <c r="K24" i="5"/>
  <c r="J24" i="5"/>
  <c r="I24" i="5"/>
  <c r="F24" i="5"/>
  <c r="E24" i="5" s="1"/>
  <c r="B24" i="5"/>
  <c r="V24" i="5" s="1"/>
  <c r="O25" i="5"/>
  <c r="N25" i="5"/>
  <c r="M25" i="5"/>
  <c r="L25" i="5"/>
  <c r="K25" i="5"/>
  <c r="J25" i="5"/>
  <c r="I25" i="5"/>
  <c r="F25" i="5"/>
  <c r="E25" i="5" s="1"/>
  <c r="B25" i="5"/>
  <c r="V25" i="5" s="1"/>
  <c r="O21" i="5"/>
  <c r="N21" i="5"/>
  <c r="M21" i="5"/>
  <c r="L21" i="5"/>
  <c r="K21" i="5"/>
  <c r="J21" i="5"/>
  <c r="I21" i="5"/>
  <c r="F21" i="5"/>
  <c r="E21" i="5" s="1"/>
  <c r="B21" i="5"/>
  <c r="V21" i="5" s="1"/>
  <c r="O19" i="5"/>
  <c r="N19" i="5"/>
  <c r="M19" i="5"/>
  <c r="L19" i="5"/>
  <c r="K19" i="5"/>
  <c r="J19" i="5"/>
  <c r="I19" i="5"/>
  <c r="F19" i="5"/>
  <c r="E19" i="5" s="1"/>
  <c r="B19" i="5"/>
  <c r="V19" i="5" s="1"/>
  <c r="O18" i="5"/>
  <c r="N18" i="5"/>
  <c r="M18" i="5"/>
  <c r="L18" i="5"/>
  <c r="K18" i="5"/>
  <c r="J18" i="5"/>
  <c r="I18" i="5"/>
  <c r="F18" i="5"/>
  <c r="E18" i="5" s="1"/>
  <c r="B18" i="5"/>
  <c r="V18" i="5" s="1"/>
  <c r="O13" i="5"/>
  <c r="N13" i="5"/>
  <c r="M13" i="5"/>
  <c r="L13" i="5"/>
  <c r="K13" i="5"/>
  <c r="J13" i="5"/>
  <c r="I13" i="5"/>
  <c r="F13" i="5"/>
  <c r="E13" i="5" s="1"/>
  <c r="B13" i="5"/>
  <c r="V13" i="5" s="1"/>
  <c r="O14" i="5"/>
  <c r="N14" i="5"/>
  <c r="M14" i="5"/>
  <c r="L14" i="5"/>
  <c r="K14" i="5"/>
  <c r="J14" i="5"/>
  <c r="I14" i="5"/>
  <c r="F14" i="5"/>
  <c r="E14" i="5" s="1"/>
  <c r="B14" i="5"/>
  <c r="V14" i="5" s="1"/>
  <c r="O16" i="5"/>
  <c r="N16" i="5"/>
  <c r="M16" i="5"/>
  <c r="L16" i="5"/>
  <c r="K16" i="5"/>
  <c r="J16" i="5"/>
  <c r="I16" i="5"/>
  <c r="F16" i="5"/>
  <c r="E16" i="5" s="1"/>
  <c r="B16" i="5"/>
  <c r="V16" i="5" s="1"/>
  <c r="O17" i="5"/>
  <c r="N17" i="5"/>
  <c r="M17" i="5"/>
  <c r="L17" i="5"/>
  <c r="K17" i="5"/>
  <c r="J17" i="5"/>
  <c r="I17" i="5"/>
  <c r="F17" i="5"/>
  <c r="E17" i="5" s="1"/>
  <c r="B17" i="5"/>
  <c r="V17" i="5" s="1"/>
  <c r="O15" i="5"/>
  <c r="N15" i="5"/>
  <c r="M15" i="5"/>
  <c r="L15" i="5"/>
  <c r="K15" i="5"/>
  <c r="J15" i="5"/>
  <c r="I15" i="5"/>
  <c r="F15" i="5"/>
  <c r="E15" i="5" s="1"/>
  <c r="B15" i="5"/>
  <c r="V15" i="5" s="1"/>
  <c r="O12" i="5"/>
  <c r="N12" i="5"/>
  <c r="M12" i="5"/>
  <c r="L12" i="5"/>
  <c r="K12" i="5"/>
  <c r="J12" i="5"/>
  <c r="I12" i="5"/>
  <c r="F12" i="5"/>
  <c r="E12" i="5" s="1"/>
  <c r="B12" i="5"/>
  <c r="V12" i="5" s="1"/>
  <c r="O11" i="5"/>
  <c r="N11" i="5"/>
  <c r="M11" i="5"/>
  <c r="L11" i="5"/>
  <c r="K11" i="5"/>
  <c r="J11" i="5"/>
  <c r="I11" i="5"/>
  <c r="F11" i="5"/>
  <c r="E11" i="5" s="1"/>
  <c r="B11" i="5"/>
  <c r="V11" i="5" s="1"/>
  <c r="O9" i="5"/>
  <c r="N9" i="5"/>
  <c r="M9" i="5"/>
  <c r="L9" i="5"/>
  <c r="K9" i="5"/>
  <c r="J9" i="5"/>
  <c r="I9" i="5"/>
  <c r="F9" i="5"/>
  <c r="E9" i="5" s="1"/>
  <c r="B9" i="5"/>
  <c r="V9" i="5" s="1"/>
  <c r="O7" i="5"/>
  <c r="N7" i="5"/>
  <c r="M7" i="5"/>
  <c r="L7" i="5"/>
  <c r="K7" i="5"/>
  <c r="J7" i="5"/>
  <c r="I7" i="5"/>
  <c r="F7" i="5"/>
  <c r="E7" i="5" s="1"/>
  <c r="B7" i="5"/>
  <c r="V7" i="5" s="1"/>
  <c r="O10" i="5"/>
  <c r="N10" i="5"/>
  <c r="M10" i="5"/>
  <c r="L10" i="5"/>
  <c r="K10" i="5"/>
  <c r="J10" i="5"/>
  <c r="I10" i="5"/>
  <c r="F10" i="5"/>
  <c r="E10" i="5" s="1"/>
  <c r="B10" i="5"/>
  <c r="V10" i="5" s="1"/>
  <c r="O8" i="5"/>
  <c r="N8" i="5"/>
  <c r="M8" i="5"/>
  <c r="L8" i="5"/>
  <c r="K8" i="5"/>
  <c r="J8" i="5"/>
  <c r="I8" i="5"/>
  <c r="F8" i="5"/>
  <c r="E8" i="5" s="1"/>
  <c r="B8" i="5"/>
  <c r="V8" i="5" s="1"/>
  <c r="O5" i="5"/>
  <c r="N5" i="5"/>
  <c r="M5" i="5"/>
  <c r="L5" i="5"/>
  <c r="K5" i="5"/>
  <c r="J5" i="5"/>
  <c r="I5" i="5"/>
  <c r="F5" i="5"/>
  <c r="E5" i="5" s="1"/>
  <c r="B5" i="5"/>
  <c r="V5" i="5" s="1"/>
  <c r="O4" i="5"/>
  <c r="N4" i="5"/>
  <c r="M4" i="5"/>
  <c r="L4" i="5"/>
  <c r="K4" i="5"/>
  <c r="J4" i="5"/>
  <c r="I4" i="5"/>
  <c r="F4" i="5"/>
  <c r="E4" i="5" s="1"/>
  <c r="B4" i="5"/>
  <c r="V4" i="5" s="1"/>
  <c r="O6" i="5"/>
  <c r="N6" i="5"/>
  <c r="M6" i="5"/>
  <c r="L6" i="5"/>
  <c r="K6" i="5"/>
  <c r="J6" i="5"/>
  <c r="I6" i="5"/>
  <c r="F6" i="5"/>
  <c r="E6" i="5" s="1"/>
  <c r="B6" i="5"/>
  <c r="V6" i="5" s="1"/>
  <c r="O3" i="5"/>
  <c r="N3" i="5"/>
  <c r="M3" i="5"/>
  <c r="L3" i="5"/>
  <c r="K3" i="5"/>
  <c r="J3" i="5"/>
  <c r="I3" i="5"/>
  <c r="F3" i="5"/>
  <c r="E3" i="5" s="1"/>
  <c r="B3" i="5"/>
  <c r="O3" i="4"/>
  <c r="K3" i="4"/>
  <c r="J3" i="4"/>
  <c r="I3" i="4"/>
  <c r="N3" i="4"/>
  <c r="M3" i="4"/>
  <c r="L3" i="4"/>
  <c r="F3" i="4"/>
  <c r="E3" i="4" s="1"/>
  <c r="B3" i="4"/>
  <c r="O113" i="3"/>
  <c r="O112" i="3"/>
  <c r="O110" i="3"/>
  <c r="O111" i="3"/>
  <c r="O109" i="3"/>
  <c r="O107" i="3"/>
  <c r="O106" i="3"/>
  <c r="O108" i="3"/>
  <c r="O101" i="3"/>
  <c r="O105" i="3"/>
  <c r="O104" i="3"/>
  <c r="O102" i="3"/>
  <c r="O100" i="3"/>
  <c r="O99" i="3"/>
  <c r="O103" i="3"/>
  <c r="O98" i="3"/>
  <c r="O93" i="3"/>
  <c r="O97" i="3"/>
  <c r="O94" i="3"/>
  <c r="O96" i="3"/>
  <c r="O91" i="3"/>
  <c r="O95" i="3"/>
  <c r="O92" i="3"/>
  <c r="O89" i="3"/>
  <c r="O90" i="3"/>
  <c r="O88" i="3"/>
  <c r="O87" i="3"/>
  <c r="O86" i="3"/>
  <c r="O85" i="3"/>
  <c r="O82" i="3"/>
  <c r="O81" i="3"/>
  <c r="O83" i="3"/>
  <c r="O79" i="3"/>
  <c r="O84" i="3"/>
  <c r="O77" i="3"/>
  <c r="O80" i="3"/>
  <c r="O74" i="3"/>
  <c r="O75" i="3"/>
  <c r="O78" i="3"/>
  <c r="O76" i="3"/>
  <c r="O73" i="3"/>
  <c r="O72" i="3"/>
  <c r="O71" i="3"/>
  <c r="O70" i="3"/>
  <c r="O69" i="3"/>
  <c r="O68" i="3"/>
  <c r="O67" i="3"/>
  <c r="O66" i="3"/>
  <c r="O65" i="3"/>
  <c r="O64" i="3"/>
  <c r="O63" i="3"/>
  <c r="O62" i="3"/>
  <c r="O61" i="3"/>
  <c r="O60" i="3"/>
  <c r="O58" i="3"/>
  <c r="O59" i="3"/>
  <c r="O57" i="3"/>
  <c r="O56" i="3"/>
  <c r="O51" i="3"/>
  <c r="O55" i="3"/>
  <c r="O54" i="3"/>
  <c r="O53" i="3"/>
  <c r="O52" i="3"/>
  <c r="O50" i="3"/>
  <c r="O49" i="3"/>
  <c r="O45" i="3"/>
  <c r="O48" i="3"/>
  <c r="O47" i="3"/>
  <c r="O46" i="3"/>
  <c r="O44" i="3"/>
  <c r="O43" i="3"/>
  <c r="O41" i="3"/>
  <c r="O42" i="3"/>
  <c r="O40" i="3"/>
  <c r="O37" i="3"/>
  <c r="O39" i="3"/>
  <c r="O36" i="3"/>
  <c r="O38" i="3"/>
  <c r="O35" i="3"/>
  <c r="O34" i="3"/>
  <c r="O33" i="3"/>
  <c r="O30" i="3"/>
  <c r="O32" i="3"/>
  <c r="O31" i="3"/>
  <c r="O29" i="3"/>
  <c r="O28" i="3"/>
  <c r="O27" i="3"/>
  <c r="O26" i="3"/>
  <c r="O25" i="3"/>
  <c r="O22" i="3"/>
  <c r="O23" i="3"/>
  <c r="O24" i="3"/>
  <c r="O20" i="3"/>
  <c r="O21" i="3"/>
  <c r="O19" i="3"/>
  <c r="O18" i="3"/>
  <c r="O17" i="3"/>
  <c r="O16" i="3"/>
  <c r="O15" i="3"/>
  <c r="O14" i="3"/>
  <c r="O11" i="3"/>
  <c r="O12" i="3"/>
  <c r="O13" i="3"/>
  <c r="O10" i="3"/>
  <c r="O9" i="3"/>
  <c r="O7" i="3"/>
  <c r="O8" i="3"/>
  <c r="O6" i="3"/>
  <c r="O5" i="3"/>
  <c r="O4" i="3"/>
  <c r="O3" i="3"/>
  <c r="N113" i="3"/>
  <c r="N112" i="3"/>
  <c r="N110" i="3"/>
  <c r="N111" i="3"/>
  <c r="N109" i="3"/>
  <c r="N107" i="3"/>
  <c r="N106" i="3"/>
  <c r="N108" i="3"/>
  <c r="N101" i="3"/>
  <c r="N105" i="3"/>
  <c r="N104" i="3"/>
  <c r="N102" i="3"/>
  <c r="N100" i="3"/>
  <c r="N99" i="3"/>
  <c r="N103" i="3"/>
  <c r="N98" i="3"/>
  <c r="N93" i="3"/>
  <c r="N97" i="3"/>
  <c r="N94" i="3"/>
  <c r="N96" i="3"/>
  <c r="N91" i="3"/>
  <c r="N95" i="3"/>
  <c r="N92" i="3"/>
  <c r="N89" i="3"/>
  <c r="N90" i="3"/>
  <c r="N88" i="3"/>
  <c r="N87" i="3"/>
  <c r="N86" i="3"/>
  <c r="N85" i="3"/>
  <c r="N82" i="3"/>
  <c r="N81" i="3"/>
  <c r="N83" i="3"/>
  <c r="N79" i="3"/>
  <c r="N84" i="3"/>
  <c r="N77" i="3"/>
  <c r="N80" i="3"/>
  <c r="N74" i="3"/>
  <c r="N75" i="3"/>
  <c r="N78" i="3"/>
  <c r="N76" i="3"/>
  <c r="N73" i="3"/>
  <c r="N72" i="3"/>
  <c r="N71" i="3"/>
  <c r="N70" i="3"/>
  <c r="N69" i="3"/>
  <c r="N68" i="3"/>
  <c r="N67" i="3"/>
  <c r="N66" i="3"/>
  <c r="N65" i="3"/>
  <c r="N64" i="3"/>
  <c r="N63" i="3"/>
  <c r="N62" i="3"/>
  <c r="N61" i="3"/>
  <c r="N60" i="3"/>
  <c r="N58" i="3"/>
  <c r="N59" i="3"/>
  <c r="N57" i="3"/>
  <c r="N56" i="3"/>
  <c r="N51" i="3"/>
  <c r="N55" i="3"/>
  <c r="N54" i="3"/>
  <c r="N53" i="3"/>
  <c r="N52" i="3"/>
  <c r="N50" i="3"/>
  <c r="N49" i="3"/>
  <c r="N45" i="3"/>
  <c r="N48" i="3"/>
  <c r="N47" i="3"/>
  <c r="N46" i="3"/>
  <c r="N44" i="3"/>
  <c r="N43" i="3"/>
  <c r="N41" i="3"/>
  <c r="N42" i="3"/>
  <c r="N40" i="3"/>
  <c r="N37" i="3"/>
  <c r="N39" i="3"/>
  <c r="N36" i="3"/>
  <c r="N38" i="3"/>
  <c r="N35" i="3"/>
  <c r="N34" i="3"/>
  <c r="N33" i="3"/>
  <c r="N30" i="3"/>
  <c r="N32" i="3"/>
  <c r="N31" i="3"/>
  <c r="N29" i="3"/>
  <c r="N28" i="3"/>
  <c r="N27" i="3"/>
  <c r="N26" i="3"/>
  <c r="N25" i="3"/>
  <c r="N22" i="3"/>
  <c r="N23" i="3"/>
  <c r="N24" i="3"/>
  <c r="N20" i="3"/>
  <c r="N21" i="3"/>
  <c r="N19" i="3"/>
  <c r="N18" i="3"/>
  <c r="N17" i="3"/>
  <c r="N16" i="3"/>
  <c r="N15" i="3"/>
  <c r="N14" i="3"/>
  <c r="N11" i="3"/>
  <c r="N12" i="3"/>
  <c r="N13" i="3"/>
  <c r="N10" i="3"/>
  <c r="N9" i="3"/>
  <c r="N7" i="3"/>
  <c r="N8" i="3"/>
  <c r="N6" i="3"/>
  <c r="N5" i="3"/>
  <c r="N4" i="3"/>
  <c r="N3" i="3"/>
  <c r="L113" i="3"/>
  <c r="L112" i="3"/>
  <c r="L110" i="3"/>
  <c r="L111" i="3"/>
  <c r="L109" i="3"/>
  <c r="L107" i="3"/>
  <c r="L106" i="3"/>
  <c r="L108" i="3"/>
  <c r="L101" i="3"/>
  <c r="L105" i="3"/>
  <c r="L104" i="3"/>
  <c r="L102" i="3"/>
  <c r="L100" i="3"/>
  <c r="L99" i="3"/>
  <c r="L103" i="3"/>
  <c r="L98" i="3"/>
  <c r="L93" i="3"/>
  <c r="L97" i="3"/>
  <c r="L94" i="3"/>
  <c r="L96" i="3"/>
  <c r="L91" i="3"/>
  <c r="L95" i="3"/>
  <c r="L92" i="3"/>
  <c r="L89" i="3"/>
  <c r="L90" i="3"/>
  <c r="L88" i="3"/>
  <c r="L87" i="3"/>
  <c r="L86" i="3"/>
  <c r="L85" i="3"/>
  <c r="L82" i="3"/>
  <c r="L81" i="3"/>
  <c r="L83" i="3"/>
  <c r="L79" i="3"/>
  <c r="L84" i="3"/>
  <c r="L77" i="3"/>
  <c r="L80" i="3"/>
  <c r="L74" i="3"/>
  <c r="L75" i="3"/>
  <c r="L78" i="3"/>
  <c r="L76" i="3"/>
  <c r="L73" i="3"/>
  <c r="L72" i="3"/>
  <c r="L71" i="3"/>
  <c r="L70" i="3"/>
  <c r="L69" i="3"/>
  <c r="L68" i="3"/>
  <c r="L67" i="3"/>
  <c r="L66" i="3"/>
  <c r="L65" i="3"/>
  <c r="L64" i="3"/>
  <c r="L63" i="3"/>
  <c r="L62" i="3"/>
  <c r="L61" i="3"/>
  <c r="L60" i="3"/>
  <c r="L58" i="3"/>
  <c r="L59" i="3"/>
  <c r="L57" i="3"/>
  <c r="L56" i="3"/>
  <c r="L51" i="3"/>
  <c r="L55" i="3"/>
  <c r="L54" i="3"/>
  <c r="L53" i="3"/>
  <c r="L52" i="3"/>
  <c r="L50" i="3"/>
  <c r="L49" i="3"/>
  <c r="L45" i="3"/>
  <c r="L48" i="3"/>
  <c r="L47" i="3"/>
  <c r="L46" i="3"/>
  <c r="L44" i="3"/>
  <c r="L43" i="3"/>
  <c r="L41" i="3"/>
  <c r="L42" i="3"/>
  <c r="L40" i="3"/>
  <c r="L37" i="3"/>
  <c r="L39" i="3"/>
  <c r="L36" i="3"/>
  <c r="L38" i="3"/>
  <c r="L35" i="3"/>
  <c r="L34" i="3"/>
  <c r="L33" i="3"/>
  <c r="L30" i="3"/>
  <c r="L32" i="3"/>
  <c r="L31" i="3"/>
  <c r="L29" i="3"/>
  <c r="L28" i="3"/>
  <c r="L27" i="3"/>
  <c r="L26" i="3"/>
  <c r="L25" i="3"/>
  <c r="L22" i="3"/>
  <c r="L23" i="3"/>
  <c r="L24" i="3"/>
  <c r="L20" i="3"/>
  <c r="L21" i="3"/>
  <c r="L19" i="3"/>
  <c r="L18" i="3"/>
  <c r="L17" i="3"/>
  <c r="L16" i="3"/>
  <c r="L15" i="3"/>
  <c r="L14" i="3"/>
  <c r="L11" i="3"/>
  <c r="L12" i="3"/>
  <c r="L13" i="3"/>
  <c r="L10" i="3"/>
  <c r="L9" i="3"/>
  <c r="L7" i="3"/>
  <c r="L8" i="3"/>
  <c r="L6" i="3"/>
  <c r="L5" i="3"/>
  <c r="L4" i="3"/>
  <c r="L3" i="3"/>
  <c r="M113" i="3"/>
  <c r="M112" i="3"/>
  <c r="M110" i="3"/>
  <c r="M111" i="3"/>
  <c r="M109" i="3"/>
  <c r="M107" i="3"/>
  <c r="M106" i="3"/>
  <c r="M108" i="3"/>
  <c r="M101" i="3"/>
  <c r="M105" i="3"/>
  <c r="M104" i="3"/>
  <c r="M102" i="3"/>
  <c r="M100" i="3"/>
  <c r="M99" i="3"/>
  <c r="M103" i="3"/>
  <c r="M98" i="3"/>
  <c r="M93" i="3"/>
  <c r="M97" i="3"/>
  <c r="M94" i="3"/>
  <c r="M96" i="3"/>
  <c r="M91" i="3"/>
  <c r="M95" i="3"/>
  <c r="M92" i="3"/>
  <c r="M89" i="3"/>
  <c r="M90" i="3"/>
  <c r="M88" i="3"/>
  <c r="M87" i="3"/>
  <c r="M86" i="3"/>
  <c r="M85" i="3"/>
  <c r="M82" i="3"/>
  <c r="M81" i="3"/>
  <c r="M83" i="3"/>
  <c r="M79" i="3"/>
  <c r="M84" i="3"/>
  <c r="M77" i="3"/>
  <c r="M80" i="3"/>
  <c r="M74" i="3"/>
  <c r="M75" i="3"/>
  <c r="M78" i="3"/>
  <c r="M76" i="3"/>
  <c r="M73" i="3"/>
  <c r="M72" i="3"/>
  <c r="M71" i="3"/>
  <c r="M70" i="3"/>
  <c r="M69" i="3"/>
  <c r="M68" i="3"/>
  <c r="M67" i="3"/>
  <c r="M66" i="3"/>
  <c r="M65" i="3"/>
  <c r="M64" i="3"/>
  <c r="M63" i="3"/>
  <c r="M62" i="3"/>
  <c r="M61" i="3"/>
  <c r="M60" i="3"/>
  <c r="M58" i="3"/>
  <c r="M59" i="3"/>
  <c r="M57" i="3"/>
  <c r="M56" i="3"/>
  <c r="M51" i="3"/>
  <c r="M55" i="3"/>
  <c r="M54" i="3"/>
  <c r="M53" i="3"/>
  <c r="M52" i="3"/>
  <c r="M50" i="3"/>
  <c r="M49" i="3"/>
  <c r="M45" i="3"/>
  <c r="M48" i="3"/>
  <c r="M47" i="3"/>
  <c r="M46" i="3"/>
  <c r="M44" i="3"/>
  <c r="M43" i="3"/>
  <c r="M41" i="3"/>
  <c r="M42" i="3"/>
  <c r="M40" i="3"/>
  <c r="M37" i="3"/>
  <c r="M39" i="3"/>
  <c r="M36" i="3"/>
  <c r="M38" i="3"/>
  <c r="M35" i="3"/>
  <c r="M34" i="3"/>
  <c r="M33" i="3"/>
  <c r="M30" i="3"/>
  <c r="M32" i="3"/>
  <c r="M31" i="3"/>
  <c r="M29" i="3"/>
  <c r="M28" i="3"/>
  <c r="M27" i="3"/>
  <c r="M26" i="3"/>
  <c r="M25" i="3"/>
  <c r="M22" i="3"/>
  <c r="M23" i="3"/>
  <c r="M24" i="3"/>
  <c r="M20" i="3"/>
  <c r="M21" i="3"/>
  <c r="M19" i="3"/>
  <c r="M18" i="3"/>
  <c r="M17" i="3"/>
  <c r="M16" i="3"/>
  <c r="M15" i="3"/>
  <c r="M14" i="3"/>
  <c r="M11" i="3"/>
  <c r="M12" i="3"/>
  <c r="M13" i="3"/>
  <c r="M10" i="3"/>
  <c r="M9" i="3"/>
  <c r="M7" i="3"/>
  <c r="M8" i="3"/>
  <c r="M6" i="3"/>
  <c r="M5" i="3"/>
  <c r="M4" i="3"/>
  <c r="M3" i="3"/>
  <c r="F4" i="3"/>
  <c r="E4" i="3" s="1"/>
  <c r="F5" i="3"/>
  <c r="E5" i="3" s="1"/>
  <c r="F6" i="3"/>
  <c r="E6" i="3" s="1"/>
  <c r="F8" i="3"/>
  <c r="E8" i="3" s="1"/>
  <c r="F7" i="3"/>
  <c r="E7" i="3" s="1"/>
  <c r="F9" i="3"/>
  <c r="E9" i="3" s="1"/>
  <c r="F10" i="3"/>
  <c r="E10" i="3" s="1"/>
  <c r="F13" i="3"/>
  <c r="E13" i="3" s="1"/>
  <c r="F12" i="3"/>
  <c r="E12" i="3" s="1"/>
  <c r="F11" i="3"/>
  <c r="E11" i="3" s="1"/>
  <c r="F14" i="3"/>
  <c r="E14" i="3" s="1"/>
  <c r="F15" i="3"/>
  <c r="E15" i="3" s="1"/>
  <c r="F16" i="3"/>
  <c r="E16" i="3" s="1"/>
  <c r="F17" i="3"/>
  <c r="E17" i="3" s="1"/>
  <c r="F18" i="3"/>
  <c r="E18" i="3" s="1"/>
  <c r="F19" i="3"/>
  <c r="E19" i="3" s="1"/>
  <c r="F21" i="3"/>
  <c r="E21" i="3" s="1"/>
  <c r="F20" i="3"/>
  <c r="E20" i="3" s="1"/>
  <c r="F24" i="3"/>
  <c r="E24" i="3" s="1"/>
  <c r="F23" i="3"/>
  <c r="E23" i="3" s="1"/>
  <c r="F22" i="3"/>
  <c r="E22" i="3" s="1"/>
  <c r="F25" i="3"/>
  <c r="E25" i="3" s="1"/>
  <c r="F26" i="3"/>
  <c r="E26" i="3" s="1"/>
  <c r="F27" i="3"/>
  <c r="E27" i="3" s="1"/>
  <c r="F28" i="3"/>
  <c r="E28" i="3" s="1"/>
  <c r="F29" i="3"/>
  <c r="E29" i="3" s="1"/>
  <c r="F31" i="3"/>
  <c r="E31" i="3" s="1"/>
  <c r="F32" i="3"/>
  <c r="E32" i="3" s="1"/>
  <c r="F30" i="3"/>
  <c r="E30" i="3" s="1"/>
  <c r="F33" i="3"/>
  <c r="E33" i="3" s="1"/>
  <c r="F34" i="3"/>
  <c r="E34" i="3" s="1"/>
  <c r="F35" i="3"/>
  <c r="E35" i="3" s="1"/>
  <c r="F38" i="3"/>
  <c r="E38" i="3" s="1"/>
  <c r="F36" i="3"/>
  <c r="E36" i="3" s="1"/>
  <c r="F39" i="3"/>
  <c r="E39" i="3" s="1"/>
  <c r="F37" i="3"/>
  <c r="E37" i="3" s="1"/>
  <c r="F40" i="3"/>
  <c r="E40" i="3" s="1"/>
  <c r="F42" i="3"/>
  <c r="E42" i="3" s="1"/>
  <c r="F41" i="3"/>
  <c r="E41" i="3" s="1"/>
  <c r="F43" i="3"/>
  <c r="E43" i="3" s="1"/>
  <c r="F44" i="3"/>
  <c r="E44" i="3" s="1"/>
  <c r="F46" i="3"/>
  <c r="E46" i="3" s="1"/>
  <c r="F47" i="3"/>
  <c r="E47" i="3" s="1"/>
  <c r="F48" i="3"/>
  <c r="E48" i="3" s="1"/>
  <c r="F45" i="3"/>
  <c r="E45" i="3" s="1"/>
  <c r="F49" i="3"/>
  <c r="E49" i="3" s="1"/>
  <c r="F50" i="3"/>
  <c r="E50" i="3" s="1"/>
  <c r="F52" i="3"/>
  <c r="E52" i="3" s="1"/>
  <c r="F53" i="3"/>
  <c r="E53" i="3" s="1"/>
  <c r="F54" i="3"/>
  <c r="E54" i="3" s="1"/>
  <c r="F55" i="3"/>
  <c r="E55" i="3" s="1"/>
  <c r="F51" i="3"/>
  <c r="E51" i="3" s="1"/>
  <c r="F56" i="3"/>
  <c r="E56" i="3" s="1"/>
  <c r="F57" i="3"/>
  <c r="E57" i="3" s="1"/>
  <c r="F59" i="3"/>
  <c r="E59" i="3" s="1"/>
  <c r="F58" i="3"/>
  <c r="E58" i="3" s="1"/>
  <c r="F60" i="3"/>
  <c r="E60" i="3" s="1"/>
  <c r="F61" i="3"/>
  <c r="E61" i="3" s="1"/>
  <c r="F62" i="3"/>
  <c r="E62" i="3" s="1"/>
  <c r="F63" i="3"/>
  <c r="E63" i="3" s="1"/>
  <c r="F64" i="3"/>
  <c r="E64" i="3" s="1"/>
  <c r="F65" i="3"/>
  <c r="E65" i="3" s="1"/>
  <c r="F66" i="3"/>
  <c r="E66" i="3" s="1"/>
  <c r="F67" i="3"/>
  <c r="E67" i="3" s="1"/>
  <c r="F68" i="3"/>
  <c r="E68" i="3" s="1"/>
  <c r="F69" i="3"/>
  <c r="E69" i="3" s="1"/>
  <c r="F70" i="3"/>
  <c r="E70" i="3" s="1"/>
  <c r="F71" i="3"/>
  <c r="E71" i="3" s="1"/>
  <c r="F72" i="3"/>
  <c r="E72" i="3" s="1"/>
  <c r="F73" i="3"/>
  <c r="E73" i="3" s="1"/>
  <c r="F76" i="3"/>
  <c r="E76" i="3" s="1"/>
  <c r="F78" i="3"/>
  <c r="E78" i="3" s="1"/>
  <c r="F75" i="3"/>
  <c r="E75" i="3" s="1"/>
  <c r="F74" i="3"/>
  <c r="E74" i="3" s="1"/>
  <c r="F80" i="3"/>
  <c r="E80" i="3" s="1"/>
  <c r="F77" i="3"/>
  <c r="E77" i="3" s="1"/>
  <c r="F84" i="3"/>
  <c r="E84" i="3" s="1"/>
  <c r="F79" i="3"/>
  <c r="E79" i="3" s="1"/>
  <c r="F83" i="3"/>
  <c r="E83" i="3" s="1"/>
  <c r="F81" i="3"/>
  <c r="E81" i="3" s="1"/>
  <c r="F82" i="3"/>
  <c r="E82" i="3" s="1"/>
  <c r="F85" i="3"/>
  <c r="E85" i="3" s="1"/>
  <c r="F86" i="3"/>
  <c r="E86" i="3" s="1"/>
  <c r="F87" i="3"/>
  <c r="E87" i="3" s="1"/>
  <c r="F88" i="3"/>
  <c r="E88" i="3" s="1"/>
  <c r="F90" i="3"/>
  <c r="E90" i="3" s="1"/>
  <c r="F89" i="3"/>
  <c r="E89" i="3" s="1"/>
  <c r="F92" i="3"/>
  <c r="E92" i="3" s="1"/>
  <c r="F95" i="3"/>
  <c r="E95" i="3" s="1"/>
  <c r="F91" i="3"/>
  <c r="E91" i="3" s="1"/>
  <c r="F96" i="3"/>
  <c r="E96" i="3" s="1"/>
  <c r="F94" i="3"/>
  <c r="E94" i="3" s="1"/>
  <c r="F97" i="3"/>
  <c r="E97" i="3" s="1"/>
  <c r="F93" i="3"/>
  <c r="E93" i="3" s="1"/>
  <c r="F98" i="3"/>
  <c r="E98" i="3" s="1"/>
  <c r="F103" i="3"/>
  <c r="E103" i="3" s="1"/>
  <c r="F99" i="3"/>
  <c r="E99" i="3" s="1"/>
  <c r="F100" i="3"/>
  <c r="E100" i="3" s="1"/>
  <c r="F102" i="3"/>
  <c r="E102" i="3" s="1"/>
  <c r="F104" i="3"/>
  <c r="E104" i="3" s="1"/>
  <c r="F105" i="3"/>
  <c r="E105" i="3" s="1"/>
  <c r="F101" i="3"/>
  <c r="E101" i="3" s="1"/>
  <c r="F108" i="3"/>
  <c r="E108" i="3" s="1"/>
  <c r="F106" i="3"/>
  <c r="E106" i="3" s="1"/>
  <c r="F107" i="3"/>
  <c r="E107" i="3" s="1"/>
  <c r="F109" i="3"/>
  <c r="E109" i="3" s="1"/>
  <c r="F111" i="3"/>
  <c r="E111" i="3" s="1"/>
  <c r="F110" i="3"/>
  <c r="E110" i="3" s="1"/>
  <c r="F112" i="3"/>
  <c r="E112" i="3" s="1"/>
  <c r="F113" i="3"/>
  <c r="E113" i="3" s="1"/>
  <c r="F3" i="3"/>
  <c r="E3" i="3" s="1"/>
  <c r="B4" i="3"/>
  <c r="V4" i="3" s="1"/>
  <c r="B5" i="3"/>
  <c r="V5" i="3" s="1"/>
  <c r="B6" i="3"/>
  <c r="V6" i="3" s="1"/>
  <c r="B8" i="3"/>
  <c r="V8" i="3" s="1"/>
  <c r="B7" i="3"/>
  <c r="V7" i="3" s="1"/>
  <c r="B9" i="3"/>
  <c r="V9" i="3" s="1"/>
  <c r="B10" i="3"/>
  <c r="V10" i="3" s="1"/>
  <c r="B13" i="3"/>
  <c r="V13" i="3" s="1"/>
  <c r="B12" i="3"/>
  <c r="V12" i="3" s="1"/>
  <c r="B11" i="3"/>
  <c r="V11" i="3" s="1"/>
  <c r="B14" i="3"/>
  <c r="V14" i="3" s="1"/>
  <c r="B15" i="3"/>
  <c r="V15" i="3" s="1"/>
  <c r="B16" i="3"/>
  <c r="V16" i="3" s="1"/>
  <c r="B17" i="3"/>
  <c r="V17" i="3" s="1"/>
  <c r="B18" i="3"/>
  <c r="V18" i="3" s="1"/>
  <c r="B19" i="3"/>
  <c r="V19" i="3" s="1"/>
  <c r="B21" i="3"/>
  <c r="V21" i="3" s="1"/>
  <c r="B20" i="3"/>
  <c r="V20" i="3" s="1"/>
  <c r="B24" i="3"/>
  <c r="V24" i="3" s="1"/>
  <c r="B23" i="3"/>
  <c r="V23" i="3" s="1"/>
  <c r="B22" i="3"/>
  <c r="V22" i="3" s="1"/>
  <c r="B25" i="3"/>
  <c r="V25" i="3" s="1"/>
  <c r="B26" i="3"/>
  <c r="V26" i="3" s="1"/>
  <c r="B27" i="3"/>
  <c r="V27" i="3" s="1"/>
  <c r="B28" i="3"/>
  <c r="V28" i="3" s="1"/>
  <c r="B29" i="3"/>
  <c r="V29" i="3" s="1"/>
  <c r="B31" i="3"/>
  <c r="V31" i="3" s="1"/>
  <c r="B32" i="3"/>
  <c r="V32" i="3" s="1"/>
  <c r="B30" i="3"/>
  <c r="V30" i="3" s="1"/>
  <c r="B33" i="3"/>
  <c r="V33" i="3" s="1"/>
  <c r="B34" i="3"/>
  <c r="V34" i="3" s="1"/>
  <c r="B35" i="3"/>
  <c r="V35" i="3" s="1"/>
  <c r="B38" i="3"/>
  <c r="V38" i="3" s="1"/>
  <c r="B36" i="3"/>
  <c r="V36" i="3" s="1"/>
  <c r="B39" i="3"/>
  <c r="V39" i="3" s="1"/>
  <c r="B37" i="3"/>
  <c r="V37" i="3" s="1"/>
  <c r="B40" i="3"/>
  <c r="V40" i="3" s="1"/>
  <c r="B42" i="3"/>
  <c r="V42" i="3" s="1"/>
  <c r="B41" i="3"/>
  <c r="V41" i="3" s="1"/>
  <c r="B43" i="3"/>
  <c r="V43" i="3" s="1"/>
  <c r="B44" i="3"/>
  <c r="V44" i="3" s="1"/>
  <c r="B46" i="3"/>
  <c r="V46" i="3" s="1"/>
  <c r="B47" i="3"/>
  <c r="V47" i="3" s="1"/>
  <c r="B48" i="3"/>
  <c r="V48" i="3" s="1"/>
  <c r="B45" i="3"/>
  <c r="V45" i="3" s="1"/>
  <c r="B49" i="3"/>
  <c r="V49" i="3" s="1"/>
  <c r="B50" i="3"/>
  <c r="V50" i="3" s="1"/>
  <c r="B52" i="3"/>
  <c r="V52" i="3" s="1"/>
  <c r="B53" i="3"/>
  <c r="V53" i="3" s="1"/>
  <c r="B54" i="3"/>
  <c r="V54" i="3" s="1"/>
  <c r="B55" i="3"/>
  <c r="V55" i="3" s="1"/>
  <c r="B51" i="3"/>
  <c r="V51" i="3" s="1"/>
  <c r="B56" i="3"/>
  <c r="V56" i="3" s="1"/>
  <c r="B57" i="3"/>
  <c r="V57" i="3" s="1"/>
  <c r="B59" i="3"/>
  <c r="V59" i="3" s="1"/>
  <c r="B58" i="3"/>
  <c r="V58" i="3" s="1"/>
  <c r="B60" i="3"/>
  <c r="V60" i="3" s="1"/>
  <c r="B61" i="3"/>
  <c r="V61" i="3" s="1"/>
  <c r="B62" i="3"/>
  <c r="V62" i="3" s="1"/>
  <c r="B63" i="3"/>
  <c r="V63" i="3" s="1"/>
  <c r="B64" i="3"/>
  <c r="V64" i="3" s="1"/>
  <c r="B65" i="3"/>
  <c r="V65" i="3" s="1"/>
  <c r="B66" i="3"/>
  <c r="V66" i="3" s="1"/>
  <c r="B67" i="3"/>
  <c r="V67" i="3" s="1"/>
  <c r="B68" i="3"/>
  <c r="V68" i="3" s="1"/>
  <c r="B69" i="3"/>
  <c r="V69" i="3" s="1"/>
  <c r="B70" i="3"/>
  <c r="V70" i="3" s="1"/>
  <c r="B71" i="3"/>
  <c r="V71" i="3" s="1"/>
  <c r="B72" i="3"/>
  <c r="V72" i="3" s="1"/>
  <c r="B73" i="3"/>
  <c r="V73" i="3" s="1"/>
  <c r="B76" i="3"/>
  <c r="V76" i="3" s="1"/>
  <c r="B78" i="3"/>
  <c r="V78" i="3" s="1"/>
  <c r="B75" i="3"/>
  <c r="V75" i="3" s="1"/>
  <c r="B74" i="3"/>
  <c r="V74" i="3" s="1"/>
  <c r="B80" i="3"/>
  <c r="V80" i="3" s="1"/>
  <c r="B77" i="3"/>
  <c r="V77" i="3" s="1"/>
  <c r="B84" i="3"/>
  <c r="V84" i="3" s="1"/>
  <c r="B79" i="3"/>
  <c r="V79" i="3" s="1"/>
  <c r="B83" i="3"/>
  <c r="V83" i="3" s="1"/>
  <c r="B81" i="3"/>
  <c r="V81" i="3" s="1"/>
  <c r="B82" i="3"/>
  <c r="V82" i="3" s="1"/>
  <c r="B85" i="3"/>
  <c r="V85" i="3" s="1"/>
  <c r="B86" i="3"/>
  <c r="V86" i="3" s="1"/>
  <c r="B87" i="3"/>
  <c r="V87" i="3" s="1"/>
  <c r="B88" i="3"/>
  <c r="V88" i="3" s="1"/>
  <c r="B90" i="3"/>
  <c r="V90" i="3" s="1"/>
  <c r="B89" i="3"/>
  <c r="V89" i="3" s="1"/>
  <c r="B92" i="3"/>
  <c r="V92" i="3" s="1"/>
  <c r="B95" i="3"/>
  <c r="V95" i="3" s="1"/>
  <c r="B91" i="3"/>
  <c r="V91" i="3" s="1"/>
  <c r="B96" i="3"/>
  <c r="V96" i="3" s="1"/>
  <c r="B94" i="3"/>
  <c r="V94" i="3" s="1"/>
  <c r="B97" i="3"/>
  <c r="V97" i="3" s="1"/>
  <c r="B93" i="3"/>
  <c r="V93" i="3" s="1"/>
  <c r="B98" i="3"/>
  <c r="V98" i="3" s="1"/>
  <c r="B103" i="3"/>
  <c r="V103" i="3" s="1"/>
  <c r="B99" i="3"/>
  <c r="V99" i="3" s="1"/>
  <c r="B100" i="3"/>
  <c r="V100" i="3" s="1"/>
  <c r="B102" i="3"/>
  <c r="V102" i="3" s="1"/>
  <c r="B104" i="3"/>
  <c r="V104" i="3" s="1"/>
  <c r="B105" i="3"/>
  <c r="V105" i="3" s="1"/>
  <c r="B101" i="3"/>
  <c r="V101" i="3" s="1"/>
  <c r="B108" i="3"/>
  <c r="V108" i="3" s="1"/>
  <c r="B106" i="3"/>
  <c r="V106" i="3" s="1"/>
  <c r="B107" i="3"/>
  <c r="V107" i="3" s="1"/>
  <c r="B109" i="3"/>
  <c r="V109" i="3" s="1"/>
  <c r="B111" i="3"/>
  <c r="V111" i="3" s="1"/>
  <c r="B110" i="3"/>
  <c r="V110" i="3" s="1"/>
  <c r="B112" i="3"/>
  <c r="V112" i="3" s="1"/>
  <c r="B113" i="3"/>
  <c r="V113" i="3" s="1"/>
  <c r="B3" i="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2" i="18"/>
  <c r="I3" i="18"/>
  <c r="I4" i="18"/>
  <c r="I5" i="18"/>
  <c r="I6"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2" i="18"/>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2" i="18"/>
  <c r="G3" i="18"/>
  <c r="G4" i="18"/>
  <c r="G5" i="18"/>
  <c r="G6" i="18"/>
  <c r="G7" i="18"/>
  <c r="G8" i="18"/>
  <c r="G9" i="18"/>
  <c r="G10" i="18"/>
  <c r="G11" i="18"/>
  <c r="G12" i="18"/>
  <c r="G13" i="18"/>
  <c r="G14" i="18"/>
  <c r="G15" i="18"/>
  <c r="G16" i="18"/>
  <c r="G17" i="18"/>
  <c r="G18" i="18"/>
  <c r="G19" i="18"/>
  <c r="G20" i="18"/>
  <c r="G21" i="18"/>
  <c r="G22" i="18"/>
  <c r="G23" i="18"/>
  <c r="G24" i="18"/>
  <c r="G25" i="18"/>
  <c r="G26" i="18"/>
  <c r="G27" i="18"/>
  <c r="G28" i="18"/>
  <c r="G29" i="18"/>
  <c r="G30" i="18"/>
  <c r="G31" i="18"/>
  <c r="G32" i="18"/>
  <c r="G33" i="18"/>
  <c r="G2" i="18"/>
  <c r="F3" i="18"/>
  <c r="E3" i="18" s="1"/>
  <c r="F4" i="18"/>
  <c r="E4" i="18" s="1"/>
  <c r="F5" i="18"/>
  <c r="E5" i="18" s="1"/>
  <c r="F6" i="18"/>
  <c r="E6" i="18" s="1"/>
  <c r="F7" i="18"/>
  <c r="E7" i="18" s="1"/>
  <c r="F8" i="18"/>
  <c r="E8" i="18" s="1"/>
  <c r="F9" i="18"/>
  <c r="E9" i="18" s="1"/>
  <c r="F10" i="18"/>
  <c r="E10" i="18" s="1"/>
  <c r="F11" i="18"/>
  <c r="E11" i="18" s="1"/>
  <c r="F12" i="18"/>
  <c r="E12" i="18" s="1"/>
  <c r="F13" i="18"/>
  <c r="E13" i="18" s="1"/>
  <c r="F14" i="18"/>
  <c r="E14" i="18" s="1"/>
  <c r="F15" i="18"/>
  <c r="E15" i="18" s="1"/>
  <c r="F16" i="18"/>
  <c r="E16" i="18" s="1"/>
  <c r="F17" i="18"/>
  <c r="E17" i="18" s="1"/>
  <c r="F18" i="18"/>
  <c r="E18" i="18" s="1"/>
  <c r="F19" i="18"/>
  <c r="E19" i="18" s="1"/>
  <c r="F20" i="18"/>
  <c r="E20" i="18" s="1"/>
  <c r="F21" i="18"/>
  <c r="E21" i="18" s="1"/>
  <c r="F22" i="18"/>
  <c r="E22" i="18" s="1"/>
  <c r="F23" i="18"/>
  <c r="E23" i="18" s="1"/>
  <c r="F24" i="18"/>
  <c r="F25" i="18"/>
  <c r="E25" i="18" s="1"/>
  <c r="F26" i="18"/>
  <c r="E26" i="18" s="1"/>
  <c r="F27" i="18"/>
  <c r="E27" i="18" s="1"/>
  <c r="F28" i="18"/>
  <c r="E28" i="18" s="1"/>
  <c r="F29" i="18"/>
  <c r="E29" i="18" s="1"/>
  <c r="F30" i="18"/>
  <c r="E30" i="18" s="1"/>
  <c r="F31" i="18"/>
  <c r="E31" i="18" s="1"/>
  <c r="F32" i="18"/>
  <c r="E32" i="18" s="1"/>
  <c r="F33" i="18"/>
  <c r="E33" i="18" s="1"/>
  <c r="F2" i="18"/>
  <c r="E2" i="18" s="1"/>
  <c r="E24" i="18"/>
  <c r="B3" i="18"/>
  <c r="U3" i="18" s="1"/>
  <c r="B4" i="18"/>
  <c r="U4" i="18" s="1"/>
  <c r="B5" i="18"/>
  <c r="U5" i="18" s="1"/>
  <c r="B6" i="18"/>
  <c r="U6" i="18" s="1"/>
  <c r="B7" i="18"/>
  <c r="U7" i="18" s="1"/>
  <c r="B8" i="18"/>
  <c r="U8" i="18" s="1"/>
  <c r="B9" i="18"/>
  <c r="U9" i="18" s="1"/>
  <c r="B10" i="18"/>
  <c r="U10" i="18" s="1"/>
  <c r="B11" i="18"/>
  <c r="U11" i="18" s="1"/>
  <c r="B12" i="18"/>
  <c r="U12" i="18" s="1"/>
  <c r="B13" i="18"/>
  <c r="U13" i="18" s="1"/>
  <c r="B14" i="18"/>
  <c r="U14" i="18" s="1"/>
  <c r="B15" i="18"/>
  <c r="U15" i="18" s="1"/>
  <c r="B16" i="18"/>
  <c r="U16" i="18" s="1"/>
  <c r="B17" i="18"/>
  <c r="U17" i="18" s="1"/>
  <c r="B18" i="18"/>
  <c r="U18" i="18" s="1"/>
  <c r="B19" i="18"/>
  <c r="U19" i="18" s="1"/>
  <c r="B20" i="18"/>
  <c r="U20" i="18" s="1"/>
  <c r="B21" i="18"/>
  <c r="U21" i="18" s="1"/>
  <c r="B22" i="18"/>
  <c r="U22" i="18" s="1"/>
  <c r="B23" i="18"/>
  <c r="U23" i="18" s="1"/>
  <c r="B24" i="18"/>
  <c r="U24" i="18" s="1"/>
  <c r="B25" i="18"/>
  <c r="U25" i="18" s="1"/>
  <c r="B26" i="18"/>
  <c r="U26" i="18" s="1"/>
  <c r="B27" i="18"/>
  <c r="U27" i="18" s="1"/>
  <c r="B28" i="18"/>
  <c r="U28" i="18" s="1"/>
  <c r="B29" i="18"/>
  <c r="U29" i="18" s="1"/>
  <c r="B30" i="18"/>
  <c r="U30" i="18" s="1"/>
  <c r="B31" i="18"/>
  <c r="U31" i="18" s="1"/>
  <c r="B32" i="18"/>
  <c r="U32" i="18" s="1"/>
  <c r="B33" i="18"/>
  <c r="U33" i="18" s="1"/>
  <c r="B2" i="18"/>
  <c r="U2" i="18" s="1"/>
  <c r="B3" i="25"/>
  <c r="V3" i="25" s="1"/>
  <c r="B4" i="25"/>
  <c r="V4" i="25" s="1"/>
  <c r="B5" i="25"/>
  <c r="V5" i="25" s="1"/>
  <c r="B6" i="25"/>
  <c r="V6" i="25" s="1"/>
  <c r="B7" i="25"/>
  <c r="V7" i="25" s="1"/>
  <c r="B8" i="25"/>
  <c r="V8" i="25" s="1"/>
  <c r="B9" i="25"/>
  <c r="V9" i="25" s="1"/>
  <c r="B10" i="25"/>
  <c r="V10" i="25" s="1"/>
  <c r="B11" i="25"/>
  <c r="V11" i="25" s="1"/>
  <c r="B12" i="25"/>
  <c r="V12" i="25" s="1"/>
  <c r="B13" i="25"/>
  <c r="V13" i="25" s="1"/>
  <c r="B14" i="25"/>
  <c r="V14" i="25" s="1"/>
  <c r="B15" i="25"/>
  <c r="V15" i="25" s="1"/>
  <c r="B16" i="25"/>
  <c r="V16" i="25" s="1"/>
  <c r="B17" i="25"/>
  <c r="V17" i="25" s="1"/>
  <c r="B18" i="25"/>
  <c r="V18" i="25" s="1"/>
  <c r="B19" i="25"/>
  <c r="V19" i="25" s="1"/>
  <c r="B20" i="25"/>
  <c r="V20" i="25" s="1"/>
  <c r="B21" i="25"/>
  <c r="V21" i="25" s="1"/>
  <c r="B22" i="25"/>
  <c r="V22" i="25" s="1"/>
  <c r="B23" i="25"/>
  <c r="V23" i="25" s="1"/>
  <c r="B24" i="25"/>
  <c r="V24" i="25" s="1"/>
  <c r="B25" i="25"/>
  <c r="V25" i="25" s="1"/>
  <c r="B26" i="25"/>
  <c r="V26" i="25" s="1"/>
  <c r="B27" i="25"/>
  <c r="V27" i="25" s="1"/>
  <c r="B28" i="25"/>
  <c r="V28" i="25" s="1"/>
  <c r="B29" i="25"/>
  <c r="V29" i="25" s="1"/>
  <c r="B30" i="25"/>
  <c r="V30" i="25" s="1"/>
  <c r="B31" i="25"/>
  <c r="V31" i="25" s="1"/>
  <c r="B32" i="25"/>
  <c r="V32" i="25" s="1"/>
  <c r="B33" i="25"/>
  <c r="V33" i="25" s="1"/>
  <c r="B2" i="25"/>
  <c r="G343" i="7"/>
  <c r="G527" i="7"/>
  <c r="G370" i="7"/>
  <c r="G136" i="7"/>
  <c r="G540" i="7"/>
  <c r="G32" i="7"/>
  <c r="G146" i="7"/>
  <c r="G576" i="7"/>
  <c r="G161" i="7"/>
  <c r="G323" i="7"/>
  <c r="G508" i="7"/>
  <c r="G158" i="7"/>
  <c r="G329" i="7"/>
  <c r="G159" i="7"/>
  <c r="G420" i="7"/>
  <c r="I197" i="31"/>
  <c r="I242" i="31"/>
  <c r="I159" i="30"/>
  <c r="I205" i="30"/>
  <c r="I253" i="30"/>
  <c r="G69" i="7"/>
  <c r="G374" i="7"/>
  <c r="G413" i="7"/>
  <c r="G403" i="7"/>
  <c r="G128" i="7"/>
  <c r="G449" i="7"/>
  <c r="G539" i="7"/>
  <c r="G125" i="7"/>
  <c r="G433" i="7"/>
  <c r="G391" i="7"/>
  <c r="G596" i="7"/>
  <c r="G284" i="7"/>
  <c r="G96" i="7"/>
  <c r="G132" i="7"/>
  <c r="G232" i="7"/>
  <c r="G443" i="7"/>
  <c r="G291" i="7"/>
  <c r="G591" i="7"/>
  <c r="G398" i="7"/>
  <c r="G474" i="7"/>
  <c r="G354" i="7"/>
  <c r="G40" i="7"/>
  <c r="G218" i="7"/>
  <c r="G15" i="7"/>
  <c r="G507" i="7"/>
  <c r="G256" i="7"/>
  <c r="G399" i="7"/>
  <c r="I234" i="30"/>
  <c r="I146" i="30"/>
  <c r="I331" i="30"/>
  <c r="I295" i="30"/>
  <c r="I357" i="30"/>
  <c r="I148" i="30"/>
  <c r="I350" i="30"/>
  <c r="I391" i="30"/>
  <c r="I145" i="30"/>
  <c r="I321" i="30"/>
  <c r="I312" i="30"/>
  <c r="I339" i="30"/>
  <c r="I32" i="30"/>
  <c r="I167" i="30"/>
  <c r="I257" i="30"/>
  <c r="I219" i="30"/>
  <c r="I333" i="30"/>
  <c r="I299" i="31"/>
  <c r="I151" i="31"/>
  <c r="I66" i="31"/>
  <c r="I68" i="31"/>
  <c r="I173" i="31"/>
  <c r="I102" i="31"/>
  <c r="I314" i="31"/>
  <c r="I336" i="31"/>
  <c r="I330" i="31"/>
  <c r="I135" i="31"/>
  <c r="I3" i="31"/>
  <c r="I110" i="31"/>
  <c r="I286" i="31"/>
  <c r="I296" i="31"/>
  <c r="I63" i="31"/>
  <c r="I261" i="31"/>
  <c r="I30" i="31"/>
  <c r="I198" i="31"/>
  <c r="I234" i="31"/>
  <c r="I399" i="32"/>
  <c r="I129" i="32"/>
  <c r="I146" i="32"/>
  <c r="I28" i="32"/>
  <c r="I251" i="30"/>
  <c r="I207" i="30"/>
  <c r="I360" i="30"/>
  <c r="I449" i="30"/>
  <c r="I126" i="30"/>
  <c r="T30" i="25"/>
  <c r="G436" i="7"/>
  <c r="G414" i="7"/>
  <c r="G288" i="7"/>
  <c r="G80" i="7"/>
  <c r="G550" i="7"/>
  <c r="G551" i="7"/>
  <c r="I156" i="30"/>
  <c r="I422" i="30"/>
  <c r="I439" i="30"/>
  <c r="I460" i="30"/>
  <c r="I404" i="30"/>
  <c r="I444" i="30"/>
  <c r="I291" i="30"/>
  <c r="I455" i="30"/>
  <c r="I35" i="30"/>
  <c r="I164" i="30"/>
  <c r="I121" i="30"/>
  <c r="G260" i="7"/>
  <c r="G267" i="7"/>
  <c r="G326" i="7"/>
  <c r="G42" i="7"/>
  <c r="G521" i="7"/>
  <c r="G545" i="7"/>
  <c r="G259" i="7"/>
  <c r="G26" i="7"/>
  <c r="G613" i="7"/>
  <c r="C3" i="29" s="1"/>
  <c r="G573" i="7"/>
  <c r="G462" i="7"/>
  <c r="I18" i="30"/>
  <c r="I71" i="30"/>
  <c r="I323" i="30"/>
  <c r="I436" i="30"/>
  <c r="I102" i="30"/>
  <c r="D15" i="1"/>
  <c r="G537" i="7"/>
  <c r="G453" i="7"/>
  <c r="G185" i="7"/>
  <c r="G293" i="7"/>
  <c r="G207" i="7"/>
  <c r="G285" i="7"/>
  <c r="G583" i="7"/>
  <c r="G214" i="7"/>
  <c r="G255" i="7"/>
  <c r="G195" i="7"/>
  <c r="G478" i="7"/>
  <c r="G510" i="7"/>
  <c r="G237" i="7"/>
  <c r="G335" i="7"/>
  <c r="G196" i="7"/>
  <c r="G362" i="7"/>
  <c r="G170" i="7"/>
  <c r="G461" i="7"/>
  <c r="G466" i="7"/>
  <c r="G509" i="7"/>
  <c r="G249" i="7"/>
  <c r="G92" i="7"/>
  <c r="G480" i="7"/>
  <c r="G526" i="7"/>
  <c r="G276" i="7"/>
  <c r="G202" i="7"/>
  <c r="G177" i="7"/>
  <c r="G74" i="7"/>
  <c r="G421" i="7"/>
  <c r="G307" i="7"/>
  <c r="G280" i="7"/>
  <c r="G48" i="7"/>
  <c r="G138" i="7"/>
  <c r="G580" i="7"/>
  <c r="G428" i="7"/>
  <c r="G140" i="7"/>
  <c r="G20" i="7"/>
  <c r="G254" i="7"/>
  <c r="G318" i="7"/>
  <c r="G564" i="7"/>
  <c r="G252" i="7"/>
  <c r="G373" i="7"/>
  <c r="G556" i="7"/>
  <c r="G327" i="7"/>
  <c r="G148" i="7"/>
  <c r="G452" i="7"/>
  <c r="G272" i="7"/>
  <c r="G519" i="7"/>
  <c r="G250" i="7"/>
  <c r="G277" i="7"/>
  <c r="G268" i="7"/>
  <c r="G210" i="7"/>
  <c r="G503" i="7"/>
  <c r="G402" i="7"/>
  <c r="G582" i="7"/>
  <c r="G445" i="7"/>
  <c r="G90" i="7"/>
  <c r="G608" i="7"/>
  <c r="G224" i="7"/>
  <c r="G264" i="7"/>
  <c r="G604" i="7"/>
  <c r="G584" i="7"/>
  <c r="G234" i="7"/>
  <c r="G601" i="7"/>
  <c r="G50" i="7"/>
  <c r="G543" i="7"/>
  <c r="G206" i="7"/>
  <c r="G592" i="7"/>
  <c r="G422" i="7"/>
  <c r="G490" i="7"/>
  <c r="G400" i="7"/>
  <c r="G55" i="7"/>
  <c r="G58" i="7"/>
  <c r="G62" i="7"/>
  <c r="G313" i="7"/>
  <c r="G342" i="7"/>
  <c r="G230" i="7"/>
  <c r="G35" i="7"/>
  <c r="G492" i="7"/>
  <c r="G305" i="7"/>
  <c r="G600" i="7"/>
  <c r="G39" i="7"/>
  <c r="G240" i="7"/>
  <c r="G529" i="7"/>
  <c r="G482" i="7"/>
  <c r="G563" i="7"/>
  <c r="G348" i="7"/>
  <c r="G388" i="7"/>
  <c r="G105" i="7"/>
  <c r="G45" i="7"/>
  <c r="G84" i="7"/>
  <c r="G562" i="7"/>
  <c r="G53" i="7"/>
  <c r="G71" i="7"/>
  <c r="G322" i="7"/>
  <c r="G110" i="7"/>
  <c r="G444" i="7"/>
  <c r="G554" i="7"/>
  <c r="G321" i="7"/>
  <c r="G52" i="7"/>
  <c r="G134" i="7"/>
  <c r="G168" i="7"/>
  <c r="G572" i="7"/>
  <c r="G213" i="7"/>
  <c r="G156" i="7"/>
  <c r="G181" i="7"/>
  <c r="G430" i="7"/>
  <c r="G113" i="7"/>
  <c r="G338" i="7"/>
  <c r="G376" i="7"/>
  <c r="G130" i="7"/>
  <c r="G142" i="7"/>
  <c r="G406" i="7"/>
  <c r="G173" i="7"/>
  <c r="G290" i="7"/>
  <c r="G383" i="7"/>
  <c r="G514" i="7"/>
  <c r="G320" i="7"/>
  <c r="G607" i="7"/>
  <c r="G152" i="7"/>
  <c r="G101" i="7"/>
  <c r="G319" i="7"/>
  <c r="G100" i="7"/>
  <c r="G397" i="7"/>
  <c r="G333" i="7"/>
  <c r="G566" i="7"/>
  <c r="G463" i="7"/>
  <c r="G390" i="7"/>
  <c r="G33" i="7"/>
  <c r="G88" i="7"/>
  <c r="G346" i="7"/>
  <c r="G121" i="7"/>
  <c r="G498" i="7"/>
  <c r="G247" i="7"/>
  <c r="G522" i="7"/>
  <c r="G311" i="7"/>
  <c r="G384" i="7"/>
  <c r="G578" i="7"/>
  <c r="G605" i="7"/>
  <c r="G238" i="7"/>
  <c r="G517" i="7"/>
  <c r="G379" i="7"/>
  <c r="G135" i="7"/>
  <c r="G515" i="7"/>
  <c r="G116" i="7"/>
  <c r="G544" i="7"/>
  <c r="G66" i="7"/>
  <c r="G386" i="7"/>
  <c r="G123" i="7"/>
  <c r="G129" i="7"/>
  <c r="G21" i="7"/>
  <c r="G382" i="7"/>
  <c r="G381" i="7"/>
  <c r="G314" i="7"/>
  <c r="G178" i="7"/>
  <c r="G281" i="7"/>
  <c r="G41" i="7"/>
  <c r="G361" i="7"/>
  <c r="G145" i="7"/>
  <c r="G579" i="7"/>
  <c r="G589" i="7"/>
  <c r="G188" i="7"/>
  <c r="G467" i="7"/>
  <c r="G72" i="7"/>
  <c r="G435" i="7"/>
  <c r="G518" i="7"/>
  <c r="G83" i="7"/>
  <c r="G111" i="7"/>
  <c r="G91" i="7"/>
  <c r="G419" i="7"/>
  <c r="G360" i="7"/>
  <c r="G233" i="7"/>
  <c r="G344" i="7"/>
  <c r="G282" i="7"/>
  <c r="G599" i="7"/>
  <c r="G316" i="7"/>
  <c r="G34" i="7"/>
  <c r="G394" i="7"/>
  <c r="G149" i="7"/>
  <c r="G109" i="7"/>
  <c r="G309" i="7"/>
  <c r="G226" i="7"/>
  <c r="G557" i="7"/>
  <c r="G395" i="7"/>
  <c r="G227" i="7"/>
  <c r="G352" i="7"/>
  <c r="G497" i="7"/>
  <c r="G296" i="7"/>
  <c r="G505" i="7"/>
  <c r="G239" i="7"/>
  <c r="G337" i="7"/>
  <c r="G458" i="7"/>
  <c r="G489" i="7"/>
  <c r="G424" i="7"/>
  <c r="G287" i="7"/>
  <c r="G297" i="7"/>
  <c r="G30" i="7"/>
  <c r="G541" i="7"/>
  <c r="G228" i="7"/>
  <c r="G201" i="7"/>
  <c r="G269" i="7"/>
  <c r="G475" i="7"/>
  <c r="G82" i="7"/>
  <c r="G587" i="7"/>
  <c r="G502" i="7"/>
  <c r="G569" i="7"/>
  <c r="G479" i="7"/>
  <c r="G416" i="7"/>
  <c r="G77" i="7"/>
  <c r="G263" i="7"/>
  <c r="G516" i="7"/>
  <c r="G87" i="7"/>
  <c r="G357" i="7"/>
  <c r="G289" i="7"/>
  <c r="G164" i="7"/>
  <c r="G472" i="7"/>
  <c r="G304" i="7"/>
  <c r="G208" i="7"/>
  <c r="G555" i="7"/>
  <c r="G131" i="7"/>
  <c r="G464" i="7"/>
  <c r="G351" i="7"/>
  <c r="G553" i="7"/>
  <c r="G47" i="7"/>
  <c r="G447" i="7"/>
  <c r="G484" i="7"/>
  <c r="G372" i="7"/>
  <c r="G401" i="7"/>
  <c r="G407" i="7"/>
  <c r="G137" i="7"/>
  <c r="G365" i="7"/>
  <c r="G457" i="7"/>
  <c r="G602" i="7"/>
  <c r="G229" i="7"/>
  <c r="G380" i="7"/>
  <c r="G528" i="7"/>
  <c r="G450" i="7"/>
  <c r="G95" i="7"/>
  <c r="G389" i="7"/>
  <c r="G451" i="7"/>
  <c r="G485" i="7"/>
  <c r="G292" i="7"/>
  <c r="G266" i="7"/>
  <c r="G559" i="7"/>
  <c r="G192" i="7"/>
  <c r="G431" i="7"/>
  <c r="G481" i="7"/>
  <c r="G18" i="7"/>
  <c r="G500" i="7"/>
  <c r="G585" i="7"/>
  <c r="G418" i="7"/>
  <c r="G248" i="7"/>
  <c r="G122" i="7"/>
  <c r="G98" i="7"/>
  <c r="G347" i="7"/>
  <c r="G27" i="7"/>
  <c r="G340" i="7"/>
  <c r="G345" i="7"/>
  <c r="G487" i="7"/>
  <c r="G315" i="7"/>
  <c r="G75" i="7"/>
  <c r="G241" i="7"/>
  <c r="G378" i="7"/>
  <c r="G154" i="7"/>
  <c r="G392" i="7"/>
  <c r="G46" i="7"/>
  <c r="G581" i="7"/>
  <c r="G127" i="7"/>
  <c r="G107" i="7"/>
  <c r="G396" i="7"/>
  <c r="G216" i="7"/>
  <c r="G22" i="7"/>
  <c r="G174" i="7"/>
  <c r="G242" i="7"/>
  <c r="G595" i="7"/>
  <c r="G163" i="7"/>
  <c r="G143" i="7"/>
  <c r="G577" i="7"/>
  <c r="G405" i="7"/>
  <c r="G547" i="7"/>
  <c r="G36" i="7"/>
  <c r="G469" i="7"/>
  <c r="G93" i="7"/>
  <c r="G610" i="7"/>
  <c r="G506" i="7"/>
  <c r="G180" i="7"/>
  <c r="G60" i="7"/>
  <c r="G28" i="7"/>
  <c r="G493" i="7"/>
  <c r="G565" i="7"/>
  <c r="G25" i="7"/>
  <c r="G205" i="7"/>
  <c r="G609" i="7"/>
  <c r="G427" i="7"/>
  <c r="G236" i="7"/>
  <c r="G253" i="7"/>
  <c r="G172" i="7"/>
  <c r="G167" i="7"/>
  <c r="G455" i="7"/>
  <c r="G350" i="7"/>
  <c r="G524" i="7"/>
  <c r="G470" i="7"/>
  <c r="G54" i="7"/>
  <c r="G560" i="7"/>
  <c r="G37" i="7"/>
  <c r="G471" i="7"/>
  <c r="G496" i="7"/>
  <c r="I340" i="30"/>
  <c r="I284" i="30"/>
  <c r="I143" i="30"/>
  <c r="I356" i="30"/>
  <c r="I345" i="30"/>
  <c r="I432" i="30"/>
  <c r="I150" i="30"/>
  <c r="I153" i="30"/>
  <c r="I194" i="30"/>
  <c r="I346" i="30"/>
  <c r="I201" i="30"/>
  <c r="I307" i="30"/>
  <c r="I181" i="30"/>
  <c r="I426" i="30"/>
  <c r="I140" i="30"/>
  <c r="I261" i="30"/>
  <c r="I210" i="30"/>
  <c r="I250" i="30"/>
  <c r="I270" i="30"/>
  <c r="I385" i="30"/>
  <c r="I75" i="30"/>
  <c r="I384" i="30"/>
  <c r="I166" i="30"/>
  <c r="I297" i="30"/>
  <c r="I29" i="30"/>
  <c r="I134" i="30"/>
  <c r="I344" i="30"/>
  <c r="I458" i="30"/>
  <c r="I420" i="30"/>
  <c r="I25" i="30"/>
  <c r="I452" i="30"/>
  <c r="I170" i="30"/>
  <c r="I28" i="30"/>
  <c r="I111" i="30"/>
  <c r="I249" i="30"/>
  <c r="I124" i="30"/>
  <c r="I64" i="30"/>
  <c r="I58" i="30"/>
  <c r="I188" i="30"/>
  <c r="I437" i="30"/>
  <c r="I342" i="30"/>
  <c r="I93" i="30"/>
  <c r="I103" i="30"/>
  <c r="I154" i="30"/>
  <c r="I90" i="30"/>
  <c r="I292" i="30"/>
  <c r="I435" i="30"/>
  <c r="I56" i="30"/>
  <c r="I245" i="30"/>
  <c r="I461" i="30"/>
  <c r="I77" i="30"/>
  <c r="I179" i="30"/>
  <c r="I189" i="30"/>
  <c r="I317" i="30"/>
  <c r="I264" i="30"/>
  <c r="I115" i="30"/>
  <c r="I39" i="30"/>
  <c r="I101" i="30"/>
  <c r="I390" i="30"/>
  <c r="I31" i="30"/>
  <c r="I21" i="30"/>
  <c r="I14" i="30"/>
  <c r="I160" i="30"/>
  <c r="I276" i="30"/>
  <c r="I73" i="30"/>
  <c r="I119" i="30"/>
  <c r="I175" i="30"/>
  <c r="I161" i="30"/>
  <c r="I13" i="30"/>
  <c r="I232" i="30"/>
  <c r="I123" i="30"/>
  <c r="I381" i="30"/>
  <c r="I364" i="30"/>
  <c r="I318" i="30"/>
  <c r="I199" i="30"/>
  <c r="I349" i="30"/>
  <c r="I255" i="30"/>
  <c r="I380" i="30"/>
  <c r="I235" i="30"/>
  <c r="I72" i="30"/>
  <c r="I280" i="30"/>
  <c r="I144" i="30"/>
  <c r="I209" i="30"/>
  <c r="I17" i="30"/>
  <c r="I152" i="30"/>
  <c r="I88" i="30"/>
  <c r="I81" i="30"/>
  <c r="I208" i="30"/>
  <c r="I417" i="30"/>
  <c r="I214" i="30"/>
  <c r="I355" i="30"/>
  <c r="I309" i="30"/>
  <c r="I171" i="30"/>
  <c r="I200" i="30"/>
  <c r="I382" i="30"/>
  <c r="I305" i="30"/>
  <c r="I227" i="30"/>
  <c r="I206" i="30"/>
  <c r="I301" i="30"/>
  <c r="I405" i="30"/>
  <c r="I184" i="30"/>
  <c r="I281" i="30"/>
  <c r="I431" i="30"/>
  <c r="I316" i="30"/>
  <c r="I98" i="30"/>
  <c r="I203" i="30"/>
  <c r="I52" i="30"/>
  <c r="I84" i="30"/>
  <c r="I224" i="30"/>
  <c r="I48" i="30"/>
  <c r="I226" i="30"/>
  <c r="I362" i="30"/>
  <c r="I268" i="30"/>
  <c r="I296" i="30"/>
  <c r="I138" i="30"/>
  <c r="I116" i="30"/>
  <c r="I423" i="30"/>
  <c r="I67" i="30"/>
  <c r="I38" i="30"/>
  <c r="I338" i="30"/>
  <c r="I120" i="30"/>
  <c r="I293" i="30"/>
  <c r="I198" i="30"/>
  <c r="I373" i="30"/>
  <c r="I195" i="30"/>
  <c r="I215" i="30"/>
  <c r="I256" i="30"/>
  <c r="I322" i="30"/>
  <c r="I395" i="30"/>
  <c r="I79" i="30"/>
  <c r="I279" i="30"/>
  <c r="I211" i="30"/>
  <c r="I212" i="30"/>
  <c r="I303" i="30"/>
  <c r="I42" i="30"/>
  <c r="I248" i="30"/>
  <c r="I429" i="30"/>
  <c r="I204" i="30"/>
  <c r="I173" i="30"/>
  <c r="I19" i="30"/>
  <c r="I6" i="30"/>
  <c r="I361" i="30"/>
  <c r="I74" i="30"/>
  <c r="I326" i="30"/>
  <c r="I233" i="30"/>
  <c r="I2" i="30"/>
  <c r="I336" i="30"/>
  <c r="I223" i="30"/>
  <c r="I448" i="30"/>
  <c r="I76" i="30"/>
  <c r="I285" i="30"/>
  <c r="I259" i="30"/>
  <c r="I427" i="30"/>
  <c r="I247" i="30"/>
  <c r="I57" i="30"/>
  <c r="I122" i="30"/>
  <c r="I286" i="30"/>
  <c r="I403" i="30"/>
  <c r="I183" i="30"/>
  <c r="I341" i="30"/>
  <c r="I378" i="30"/>
  <c r="I149" i="30"/>
  <c r="I230" i="30"/>
  <c r="I51" i="30"/>
  <c r="I366" i="30"/>
  <c r="I387" i="30"/>
  <c r="I237" i="30"/>
  <c r="I397" i="30"/>
  <c r="I85" i="30"/>
  <c r="I158" i="30"/>
  <c r="I162" i="30"/>
  <c r="I151" i="30"/>
  <c r="I447" i="30"/>
  <c r="I20" i="30"/>
  <c r="I54" i="30"/>
  <c r="I87" i="30"/>
  <c r="I372" i="30"/>
  <c r="I401" i="30"/>
  <c r="I392" i="30"/>
  <c r="I217" i="30"/>
  <c r="I456" i="30"/>
  <c r="I269" i="30"/>
  <c r="I147" i="30"/>
  <c r="I218" i="30"/>
  <c r="I365" i="30"/>
  <c r="I258" i="30"/>
  <c r="I408" i="30"/>
  <c r="I327" i="30"/>
  <c r="I304" i="30"/>
  <c r="I172" i="30"/>
  <c r="I7" i="30"/>
  <c r="I325" i="30"/>
  <c r="I319" i="30"/>
  <c r="I283" i="30"/>
  <c r="I5" i="30"/>
  <c r="I371" i="30"/>
  <c r="I109" i="30"/>
  <c r="I34" i="30"/>
  <c r="I221" i="30"/>
  <c r="I354" i="30"/>
  <c r="I60" i="30"/>
  <c r="I62" i="30"/>
  <c r="I398" i="30"/>
  <c r="I133" i="30"/>
  <c r="I68" i="30"/>
  <c r="I359" i="30"/>
  <c r="I104" i="30"/>
  <c r="I127" i="30"/>
  <c r="I182" i="30"/>
  <c r="I61" i="30"/>
  <c r="I313" i="30"/>
  <c r="I174" i="30"/>
  <c r="I348" i="30"/>
  <c r="I130" i="30"/>
  <c r="I96" i="30"/>
  <c r="I454" i="30"/>
  <c r="I3" i="30"/>
  <c r="I314" i="30"/>
  <c r="I37" i="30"/>
  <c r="I332" i="30"/>
  <c r="I441" i="30"/>
  <c r="I352" i="30"/>
  <c r="I118" i="30"/>
  <c r="I329" i="30"/>
  <c r="I139" i="30"/>
  <c r="I400" i="30"/>
  <c r="I262" i="30"/>
  <c r="I414" i="30"/>
  <c r="I434" i="30"/>
  <c r="I155" i="30"/>
  <c r="I12" i="30"/>
  <c r="I334" i="30"/>
  <c r="I450" i="30"/>
  <c r="I374" i="30"/>
  <c r="I418" i="30"/>
  <c r="I406" i="30"/>
  <c r="I273" i="30"/>
  <c r="I389" i="30"/>
  <c r="I278" i="30"/>
  <c r="I324" i="30"/>
  <c r="I193" i="30"/>
  <c r="I176" i="30"/>
  <c r="I47" i="30"/>
  <c r="I36" i="30"/>
  <c r="I229" i="30"/>
  <c r="I180" i="30"/>
  <c r="I216" i="30"/>
  <c r="I298" i="30"/>
  <c r="I10" i="30"/>
  <c r="I451" i="30"/>
  <c r="I4" i="30"/>
  <c r="I306" i="30"/>
  <c r="I409" i="30"/>
  <c r="I413" i="30"/>
  <c r="I142" i="30"/>
  <c r="I288" i="30"/>
  <c r="I243" i="30"/>
  <c r="I386" i="30"/>
  <c r="I377" i="30"/>
  <c r="I228" i="30"/>
  <c r="I393" i="30"/>
  <c r="I410" i="30"/>
  <c r="I241" i="30"/>
  <c r="I22" i="30"/>
  <c r="I363" i="30"/>
  <c r="I239" i="30"/>
  <c r="I242" i="30"/>
  <c r="I78" i="30"/>
  <c r="I310" i="30"/>
  <c r="I125" i="30"/>
  <c r="I95" i="30"/>
  <c r="I9" i="30"/>
  <c r="I45" i="30"/>
  <c r="I107" i="30"/>
  <c r="I282" i="30"/>
  <c r="I294" i="30"/>
  <c r="I16" i="30"/>
  <c r="I11" i="30"/>
  <c r="I27" i="30"/>
  <c r="I343" i="30"/>
  <c r="I26" i="30"/>
  <c r="I23" i="30"/>
  <c r="I94" i="30"/>
  <c r="I117" i="30"/>
  <c r="I274" i="30"/>
  <c r="I114" i="30"/>
  <c r="I275" i="30"/>
  <c r="I287" i="30"/>
  <c r="I15" i="30"/>
  <c r="I407" i="30"/>
  <c r="I370" i="30"/>
  <c r="I440" i="30"/>
  <c r="I91" i="30"/>
  <c r="I55" i="30"/>
  <c r="I190" i="30"/>
  <c r="I267" i="30"/>
  <c r="I445" i="30"/>
  <c r="I430" i="30"/>
  <c r="I328" i="30"/>
  <c r="I83" i="30"/>
  <c r="I433" i="30"/>
  <c r="I194" i="31"/>
  <c r="I294" i="31"/>
  <c r="I106" i="31"/>
  <c r="I291" i="31"/>
  <c r="I346" i="31"/>
  <c r="I266" i="31"/>
  <c r="I87" i="31"/>
  <c r="I51" i="31"/>
  <c r="I200" i="31"/>
  <c r="I34" i="31"/>
  <c r="I161" i="31"/>
  <c r="I218" i="31"/>
  <c r="I248" i="31"/>
  <c r="I96" i="31"/>
  <c r="I320" i="31"/>
  <c r="I221" i="31"/>
  <c r="I103" i="31"/>
  <c r="I120" i="31"/>
  <c r="I182" i="31"/>
  <c r="I31" i="31"/>
  <c r="I18" i="31"/>
  <c r="I109" i="31"/>
  <c r="I156" i="31"/>
  <c r="I17" i="31"/>
  <c r="I244" i="31"/>
  <c r="I148" i="31"/>
  <c r="I186" i="31"/>
  <c r="I147" i="31"/>
  <c r="I178" i="31"/>
  <c r="I28" i="31"/>
  <c r="I53" i="31"/>
  <c r="I232" i="31"/>
  <c r="I265" i="31"/>
  <c r="I111" i="31"/>
  <c r="I55" i="31"/>
  <c r="I78" i="31"/>
  <c r="I213" i="31"/>
  <c r="I71" i="31"/>
  <c r="I239" i="31"/>
  <c r="I52" i="31"/>
  <c r="I207" i="31"/>
  <c r="I129" i="31"/>
  <c r="I230" i="31"/>
  <c r="I76" i="31"/>
  <c r="I297" i="31"/>
  <c r="I118" i="31"/>
  <c r="I342" i="31"/>
  <c r="I85" i="31"/>
  <c r="I128" i="31"/>
  <c r="I289" i="31"/>
  <c r="I203" i="31"/>
  <c r="I210" i="31"/>
  <c r="I257" i="31"/>
  <c r="I216" i="31"/>
  <c r="I132" i="31"/>
  <c r="I159" i="31"/>
  <c r="I290" i="31"/>
  <c r="I162" i="31"/>
  <c r="I214" i="31"/>
  <c r="I136" i="31"/>
  <c r="I157" i="31"/>
  <c r="I116" i="31"/>
  <c r="I317" i="31"/>
  <c r="I347" i="31"/>
  <c r="I199" i="31"/>
  <c r="I20" i="31"/>
  <c r="I12" i="31"/>
  <c r="I175" i="31"/>
  <c r="I204" i="31"/>
  <c r="I160" i="31"/>
  <c r="I56" i="31"/>
  <c r="I252" i="31"/>
  <c r="I170" i="31"/>
  <c r="I309" i="31"/>
  <c r="I233" i="31"/>
  <c r="I79" i="31"/>
  <c r="I29" i="31"/>
  <c r="I300" i="31"/>
  <c r="I141" i="31"/>
  <c r="I154" i="31"/>
  <c r="I308" i="31"/>
  <c r="I272" i="31"/>
  <c r="I325" i="31"/>
  <c r="I59" i="31"/>
  <c r="I164" i="31"/>
  <c r="I206" i="31"/>
  <c r="I260" i="31"/>
  <c r="I246" i="31"/>
  <c r="I220" i="31"/>
  <c r="I201" i="31"/>
  <c r="I305" i="31"/>
  <c r="I285" i="31"/>
  <c r="I303" i="31"/>
  <c r="I14" i="31"/>
  <c r="I236" i="31"/>
  <c r="I211" i="31"/>
  <c r="I344" i="31"/>
  <c r="I92" i="31"/>
  <c r="I219" i="31"/>
  <c r="I167" i="31"/>
  <c r="I84" i="31"/>
  <c r="I249" i="31"/>
  <c r="I293" i="31"/>
  <c r="I339" i="31"/>
  <c r="I112" i="31"/>
  <c r="I311" i="31"/>
  <c r="I181" i="31"/>
  <c r="I263" i="31"/>
  <c r="I45" i="31"/>
  <c r="I255" i="31"/>
  <c r="I119" i="31"/>
  <c r="I19" i="31"/>
  <c r="I229" i="31"/>
  <c r="I90" i="31"/>
  <c r="I77" i="31"/>
  <c r="I15" i="31"/>
  <c r="I188" i="31"/>
  <c r="I35" i="31"/>
  <c r="I192" i="31"/>
  <c r="I27" i="31"/>
  <c r="I334" i="31"/>
  <c r="I4" i="31"/>
  <c r="I105" i="31"/>
  <c r="I7" i="31"/>
  <c r="I130" i="31"/>
  <c r="I322" i="31"/>
  <c r="I262" i="31"/>
  <c r="I97" i="31"/>
  <c r="I5" i="31"/>
  <c r="I39" i="31"/>
  <c r="I2" i="31"/>
  <c r="I168" i="31"/>
  <c r="I13" i="31"/>
  <c r="I277" i="31"/>
  <c r="I47" i="31"/>
  <c r="I315" i="31"/>
  <c r="I243" i="31"/>
  <c r="I11" i="31"/>
  <c r="I195" i="31"/>
  <c r="I169" i="31"/>
  <c r="I172" i="31"/>
  <c r="I23" i="31"/>
  <c r="I240" i="31"/>
  <c r="I217" i="31"/>
  <c r="I93" i="31"/>
  <c r="I301" i="31"/>
  <c r="I57" i="31"/>
  <c r="I247" i="31"/>
  <c r="I223" i="31"/>
  <c r="I104" i="31"/>
  <c r="I54" i="31"/>
  <c r="I88" i="31"/>
  <c r="I331" i="31"/>
  <c r="I134" i="31"/>
  <c r="I304" i="31"/>
  <c r="I312" i="31"/>
  <c r="I62" i="31"/>
  <c r="I335" i="31"/>
  <c r="I193" i="31"/>
  <c r="I6" i="31"/>
  <c r="I302" i="31"/>
  <c r="I316" i="31"/>
  <c r="I115" i="31"/>
  <c r="I50" i="31"/>
  <c r="I326" i="31"/>
  <c r="I86" i="31"/>
  <c r="I270" i="31"/>
  <c r="I267" i="31"/>
  <c r="I227" i="31"/>
  <c r="I123" i="31"/>
  <c r="I235" i="31"/>
  <c r="I343" i="31"/>
  <c r="I33" i="31"/>
  <c r="I258" i="31"/>
  <c r="I224" i="31"/>
  <c r="I113" i="31"/>
  <c r="I131" i="31"/>
  <c r="I341" i="31"/>
  <c r="I259" i="31"/>
  <c r="I150" i="31"/>
  <c r="I58" i="31"/>
  <c r="I153" i="31"/>
  <c r="I253" i="31"/>
  <c r="I24" i="31"/>
  <c r="I25" i="31"/>
  <c r="I298" i="31"/>
  <c r="I140" i="31"/>
  <c r="I41" i="31"/>
  <c r="I83" i="31"/>
  <c r="I74" i="31"/>
  <c r="I324" i="31"/>
  <c r="I274" i="31"/>
  <c r="I183" i="31"/>
  <c r="I142" i="31"/>
  <c r="I99" i="31"/>
  <c r="I279" i="31"/>
  <c r="I231" i="31"/>
  <c r="I337" i="31"/>
  <c r="I202" i="31"/>
  <c r="I349" i="31"/>
  <c r="I139" i="31"/>
  <c r="I278" i="31"/>
  <c r="I37" i="31"/>
  <c r="I288" i="31"/>
  <c r="I127" i="31"/>
  <c r="I152" i="31"/>
  <c r="I166" i="31"/>
  <c r="I327" i="31"/>
  <c r="I171" i="31"/>
  <c r="I209" i="31"/>
  <c r="I143" i="31"/>
  <c r="I158" i="31"/>
  <c r="I40" i="31"/>
  <c r="I49" i="31"/>
  <c r="I196" i="31"/>
  <c r="I284" i="31"/>
  <c r="I114" i="31"/>
  <c r="I306" i="31"/>
  <c r="I184" i="31"/>
  <c r="I319" i="31"/>
  <c r="I117" i="31"/>
  <c r="I80" i="31"/>
  <c r="I328" i="31"/>
  <c r="I165" i="31"/>
  <c r="I44" i="31"/>
  <c r="I268" i="31"/>
  <c r="I292" i="31"/>
  <c r="I276" i="31"/>
  <c r="I98" i="31"/>
  <c r="I100" i="31"/>
  <c r="I228" i="31"/>
  <c r="I70" i="31"/>
  <c r="I22" i="31"/>
  <c r="I125" i="31"/>
  <c r="I133" i="31"/>
  <c r="I67" i="31"/>
  <c r="I191" i="31"/>
  <c r="I137" i="31"/>
  <c r="I21" i="31"/>
  <c r="I180" i="31"/>
  <c r="I179" i="31"/>
  <c r="I94" i="31"/>
  <c r="I283" i="31"/>
  <c r="I89" i="31"/>
  <c r="I101" i="31"/>
  <c r="I121" i="31"/>
  <c r="I144" i="31"/>
  <c r="I124" i="31"/>
  <c r="I190" i="31"/>
  <c r="I122" i="31"/>
  <c r="I245" i="31"/>
  <c r="I269" i="31"/>
  <c r="I237" i="31"/>
  <c r="I307" i="31"/>
  <c r="I256" i="31"/>
  <c r="I318" i="31"/>
  <c r="I332" i="31"/>
  <c r="I174" i="31"/>
  <c r="I64" i="31"/>
  <c r="I126" i="31"/>
  <c r="I282" i="31"/>
  <c r="I225" i="31"/>
  <c r="I95" i="31"/>
  <c r="I189" i="31"/>
  <c r="I9" i="31"/>
  <c r="I348" i="31"/>
  <c r="I198" i="32"/>
  <c r="I367" i="32"/>
  <c r="I446" i="32"/>
  <c r="I219" i="32"/>
  <c r="I493" i="32"/>
  <c r="I425" i="32"/>
  <c r="I163" i="32"/>
  <c r="I255" i="32"/>
  <c r="I179" i="32"/>
  <c r="I373" i="32"/>
  <c r="I374" i="32"/>
  <c r="I269" i="32"/>
  <c r="I470" i="32"/>
  <c r="I512" i="32"/>
  <c r="I169" i="32"/>
  <c r="I411" i="32"/>
  <c r="I78" i="32"/>
  <c r="I48" i="32"/>
  <c r="I40" i="32"/>
  <c r="I410" i="32"/>
  <c r="I292" i="32"/>
  <c r="I469" i="32"/>
  <c r="I220" i="32"/>
  <c r="I375" i="32"/>
  <c r="I406" i="32"/>
  <c r="I394" i="32"/>
  <c r="I21" i="32"/>
  <c r="I121" i="32"/>
  <c r="I468" i="32"/>
  <c r="I143" i="32"/>
  <c r="I257" i="32"/>
  <c r="I434" i="32"/>
  <c r="I532" i="32"/>
  <c r="I486" i="32"/>
  <c r="I457" i="32"/>
  <c r="I492" i="32"/>
  <c r="I217" i="32"/>
  <c r="I377" i="32"/>
  <c r="I205" i="32"/>
  <c r="I41" i="32"/>
  <c r="I337" i="32"/>
  <c r="I154" i="32"/>
  <c r="I66" i="32"/>
  <c r="I225" i="32"/>
  <c r="I534" i="32"/>
  <c r="I18" i="32"/>
  <c r="I194" i="32"/>
  <c r="I162" i="32"/>
  <c r="I418" i="32"/>
  <c r="I44" i="32"/>
  <c r="I253" i="32"/>
  <c r="I31" i="32"/>
  <c r="I46" i="32"/>
  <c r="I387" i="32"/>
  <c r="I274" i="32"/>
  <c r="I298" i="32"/>
  <c r="A243" i="29"/>
  <c r="G219" i="29"/>
  <c r="A219" i="29"/>
  <c r="G195" i="29"/>
  <c r="A195" i="29"/>
  <c r="G171" i="29"/>
  <c r="A171" i="29"/>
  <c r="G147" i="29"/>
  <c r="A147" i="29"/>
  <c r="G123" i="29"/>
  <c r="A123" i="29"/>
  <c r="G99" i="29"/>
  <c r="A99" i="29"/>
  <c r="G75" i="29"/>
  <c r="A75" i="29"/>
  <c r="G51" i="29"/>
  <c r="A51" i="29"/>
  <c r="G27" i="29"/>
  <c r="A27" i="29"/>
  <c r="D10" i="1"/>
  <c r="F4" i="1" s="1"/>
  <c r="H2" i="1"/>
  <c r="D11" i="1" s="1"/>
  <c r="C7" i="1"/>
  <c r="K12" i="7"/>
  <c r="A24" i="29"/>
  <c r="X9" i="29"/>
  <c r="X10" i="29"/>
  <c r="T23" i="25"/>
  <c r="U23" i="25" s="1"/>
  <c r="T9" i="25"/>
  <c r="U9" i="25" s="1"/>
  <c r="T16" i="25"/>
  <c r="U16" i="25" s="1"/>
  <c r="T8" i="25"/>
  <c r="U8" i="25" s="1"/>
  <c r="T6" i="25"/>
  <c r="U6" i="25" s="1"/>
  <c r="T5" i="25"/>
  <c r="U5" i="25" s="1"/>
  <c r="T11" i="25"/>
  <c r="U11" i="25" s="1"/>
  <c r="T12" i="25"/>
  <c r="U12" i="25" s="1"/>
  <c r="G367" i="7"/>
  <c r="G303" i="7"/>
  <c r="G408" i="7"/>
  <c r="G477" i="7"/>
  <c r="G410" i="7"/>
  <c r="G440" i="7"/>
  <c r="G199" i="7"/>
  <c r="G222" i="7"/>
  <c r="G460" i="7"/>
  <c r="G325" i="7"/>
  <c r="G336" i="7"/>
  <c r="G456" i="7"/>
  <c r="G575" i="7"/>
  <c r="G533" i="7"/>
  <c r="G102" i="7"/>
  <c r="G590" i="7"/>
  <c r="G108" i="7"/>
  <c r="G442" i="7"/>
  <c r="G217" i="7"/>
  <c r="G603" i="7"/>
  <c r="G597" i="7"/>
  <c r="G141" i="7"/>
  <c r="G385" i="7"/>
  <c r="G29" i="7"/>
  <c r="G593" i="7"/>
  <c r="G499" i="7"/>
  <c r="G112" i="7"/>
  <c r="G495" i="7"/>
  <c r="G23" i="7"/>
  <c r="G468" i="7"/>
  <c r="G491" i="7"/>
  <c r="G203" i="7"/>
  <c r="G530" i="7"/>
  <c r="G171" i="7"/>
  <c r="G150" i="7"/>
  <c r="G139" i="7"/>
  <c r="G355" i="7"/>
  <c r="T26" i="25"/>
  <c r="T28" i="25"/>
  <c r="T27" i="25"/>
  <c r="T33" i="25"/>
  <c r="T22" i="25"/>
  <c r="U22" i="25" s="1"/>
  <c r="T24" i="25"/>
  <c r="T3" i="25"/>
  <c r="U3" i="25" s="1"/>
  <c r="T2" i="25"/>
  <c r="U2" i="25" s="1"/>
  <c r="T4" i="25"/>
  <c r="U4" i="25" s="1"/>
  <c r="T21" i="25"/>
  <c r="U21" i="25" s="1"/>
  <c r="T15" i="25"/>
  <c r="U15" i="25" s="1"/>
  <c r="T29" i="25"/>
  <c r="T32" i="25"/>
  <c r="T14" i="25"/>
  <c r="U14" i="25" s="1"/>
  <c r="T19" i="25"/>
  <c r="U19" i="25" s="1"/>
  <c r="T18" i="25"/>
  <c r="U18" i="25" s="1"/>
  <c r="T20" i="25"/>
  <c r="U20" i="25" s="1"/>
  <c r="T13" i="25"/>
  <c r="U13" i="25" s="1"/>
  <c r="T31" i="25"/>
  <c r="T25" i="25"/>
  <c r="T17" i="25"/>
  <c r="U17" i="25" s="1"/>
  <c r="T7" i="25"/>
  <c r="U7" i="25" s="1"/>
  <c r="T10" i="25"/>
  <c r="U10" i="25" s="1"/>
  <c r="G334" i="7"/>
  <c r="G197" i="7"/>
  <c r="G270" i="7"/>
  <c r="J3" i="29" l="1"/>
  <c r="J5" i="29"/>
  <c r="J7" i="29"/>
  <c r="J9" i="29"/>
  <c r="J11" i="29"/>
  <c r="J13" i="29"/>
  <c r="J15" i="29"/>
  <c r="J17" i="29"/>
  <c r="J19" i="29"/>
  <c r="J21" i="29"/>
  <c r="J4" i="29"/>
  <c r="J6" i="29"/>
  <c r="J8" i="29"/>
  <c r="J10" i="29"/>
  <c r="J12" i="29"/>
  <c r="J14" i="29"/>
  <c r="J16" i="29"/>
  <c r="J18" i="29"/>
  <c r="J20" i="29"/>
  <c r="J22" i="29"/>
  <c r="V3" i="3"/>
  <c r="V3" i="4"/>
  <c r="V2" i="25"/>
  <c r="V3" i="5"/>
  <c r="V3" i="2"/>
  <c r="A32" i="18"/>
  <c r="A28" i="18"/>
  <c r="A24" i="18"/>
  <c r="A20" i="18"/>
  <c r="A16" i="18"/>
  <c r="A12" i="18"/>
  <c r="A8" i="18"/>
  <c r="A4" i="18"/>
  <c r="A31" i="18"/>
  <c r="A23" i="18"/>
  <c r="A15" i="18"/>
  <c r="A7" i="18"/>
  <c r="A30" i="18"/>
  <c r="A26" i="18"/>
  <c r="A22" i="18"/>
  <c r="A18" i="18"/>
  <c r="A14" i="18"/>
  <c r="A10" i="18"/>
  <c r="A6" i="18"/>
  <c r="A2" i="18"/>
  <c r="A27" i="18"/>
  <c r="A19" i="18"/>
  <c r="A11" i="18"/>
  <c r="A3" i="18"/>
  <c r="A33" i="18"/>
  <c r="A29" i="18"/>
  <c r="A25" i="18"/>
  <c r="A21" i="18"/>
  <c r="A17" i="18"/>
  <c r="A13" i="18"/>
  <c r="A9" i="18"/>
  <c r="A5" i="18"/>
  <c r="P54" i="2"/>
  <c r="P69" i="2"/>
  <c r="P53" i="2"/>
  <c r="P60" i="2"/>
  <c r="P76" i="2"/>
  <c r="P52" i="2"/>
  <c r="P64" i="2"/>
  <c r="P80" i="2"/>
  <c r="P74" i="2"/>
  <c r="P51" i="2"/>
  <c r="P49" i="2"/>
  <c r="P78" i="2"/>
  <c r="P73" i="2"/>
  <c r="P55" i="2"/>
  <c r="P72" i="2"/>
  <c r="P57" i="2"/>
  <c r="P68" i="2"/>
  <c r="P79" i="2"/>
  <c r="P66" i="2"/>
  <c r="P71" i="2"/>
  <c r="P56" i="2"/>
  <c r="P61" i="2"/>
  <c r="P67" i="2"/>
  <c r="P77" i="2"/>
  <c r="P65" i="2"/>
  <c r="P70" i="2"/>
  <c r="P75" i="2"/>
  <c r="P62" i="2"/>
  <c r="P81" i="2"/>
  <c r="P58" i="2"/>
  <c r="P59" i="2"/>
  <c r="P63" i="2"/>
  <c r="P50" i="2"/>
  <c r="P45" i="2"/>
  <c r="P44" i="2"/>
  <c r="P47" i="2"/>
  <c r="P41" i="2"/>
  <c r="P40" i="2"/>
  <c r="P43" i="2"/>
  <c r="P42" i="2"/>
  <c r="P48" i="2"/>
  <c r="P39" i="2"/>
  <c r="P46" i="2"/>
  <c r="D27" i="25" l="1"/>
  <c r="D32" i="18"/>
  <c r="D20" i="18"/>
  <c r="D16" i="18"/>
  <c r="D8" i="18"/>
  <c r="D31" i="18"/>
  <c r="D27" i="18"/>
  <c r="D23" i="18"/>
  <c r="D19" i="18"/>
  <c r="D15" i="18"/>
  <c r="D11" i="18"/>
  <c r="D7" i="18"/>
  <c r="D3" i="18"/>
  <c r="D113" i="3"/>
  <c r="D109" i="3"/>
  <c r="D101" i="3"/>
  <c r="D100" i="3"/>
  <c r="D93" i="3"/>
  <c r="D91" i="3"/>
  <c r="D90" i="3"/>
  <c r="D85" i="3"/>
  <c r="D79" i="3"/>
  <c r="D74" i="3"/>
  <c r="D73" i="3"/>
  <c r="D69" i="3"/>
  <c r="D65" i="3"/>
  <c r="D61" i="3"/>
  <c r="D57" i="3"/>
  <c r="D54" i="3"/>
  <c r="D49" i="3"/>
  <c r="D46" i="3"/>
  <c r="D42" i="3"/>
  <c r="D36" i="3"/>
  <c r="D33" i="3"/>
  <c r="D29" i="3"/>
  <c r="D25" i="3"/>
  <c r="D20" i="3"/>
  <c r="D17" i="3"/>
  <c r="D11" i="3"/>
  <c r="D9" i="3"/>
  <c r="D5" i="3"/>
  <c r="D6" i="5"/>
  <c r="D10" i="5"/>
  <c r="D12" i="5"/>
  <c r="D14" i="5"/>
  <c r="D21" i="5"/>
  <c r="D23" i="5"/>
  <c r="D28" i="5"/>
  <c r="D32" i="5"/>
  <c r="D34" i="5"/>
  <c r="D39" i="5"/>
  <c r="D45" i="5"/>
  <c r="D48" i="5"/>
  <c r="D53" i="5"/>
  <c r="D56" i="5"/>
  <c r="D63" i="5"/>
  <c r="D60" i="5"/>
  <c r="D70" i="5"/>
  <c r="D71" i="5"/>
  <c r="D76" i="5"/>
  <c r="D84" i="5"/>
  <c r="D83" i="5"/>
  <c r="D88" i="5"/>
  <c r="D86" i="5"/>
  <c r="D94" i="5"/>
  <c r="D102" i="5"/>
  <c r="D105" i="5"/>
  <c r="D109" i="5"/>
  <c r="D110" i="5"/>
  <c r="D119" i="5"/>
  <c r="D121" i="5"/>
  <c r="D125" i="5"/>
  <c r="D128" i="5"/>
  <c r="D123" i="5"/>
  <c r="D137" i="5"/>
  <c r="D7" i="2"/>
  <c r="D11" i="2"/>
  <c r="D15" i="2"/>
  <c r="D19" i="2"/>
  <c r="D23" i="2"/>
  <c r="D27" i="2"/>
  <c r="D31" i="2"/>
  <c r="D35" i="2"/>
  <c r="D28" i="18"/>
  <c r="D30" i="18"/>
  <c r="D26" i="18"/>
  <c r="D22" i="18"/>
  <c r="D18" i="18"/>
  <c r="D14" i="18"/>
  <c r="D10" i="18"/>
  <c r="D6" i="18"/>
  <c r="D112" i="3"/>
  <c r="D107" i="3"/>
  <c r="D105" i="3"/>
  <c r="D99" i="3"/>
  <c r="D97" i="3"/>
  <c r="D95" i="3"/>
  <c r="D88" i="3"/>
  <c r="D82" i="3"/>
  <c r="D84" i="3"/>
  <c r="D75" i="3"/>
  <c r="D72" i="3"/>
  <c r="D68" i="3"/>
  <c r="D64" i="3"/>
  <c r="D60" i="3"/>
  <c r="D56" i="3"/>
  <c r="D53" i="3"/>
  <c r="D45" i="3"/>
  <c r="D44" i="3"/>
  <c r="D40" i="3"/>
  <c r="D38" i="3"/>
  <c r="D30" i="3"/>
  <c r="D28" i="3"/>
  <c r="D22" i="3"/>
  <c r="D21" i="3"/>
  <c r="D16" i="3"/>
  <c r="D12" i="3"/>
  <c r="D7" i="3"/>
  <c r="D4" i="3"/>
  <c r="D4" i="5"/>
  <c r="D7" i="5"/>
  <c r="D15" i="5"/>
  <c r="D13" i="5"/>
  <c r="D25" i="5"/>
  <c r="D20" i="5"/>
  <c r="D30" i="5"/>
  <c r="D33" i="5"/>
  <c r="D35" i="5"/>
  <c r="D41" i="5"/>
  <c r="D42" i="5"/>
  <c r="D46" i="5"/>
  <c r="D50" i="5"/>
  <c r="D59" i="5"/>
  <c r="D61" i="5"/>
  <c r="D68" i="5"/>
  <c r="D69" i="5"/>
  <c r="D74" i="5"/>
  <c r="D78" i="5"/>
  <c r="D81" i="5"/>
  <c r="D77" i="5"/>
  <c r="D92" i="5"/>
  <c r="D87" i="5"/>
  <c r="D95" i="5"/>
  <c r="D103" i="5"/>
  <c r="D101" i="5"/>
  <c r="D106" i="5"/>
  <c r="D113" i="5"/>
  <c r="D117" i="5"/>
  <c r="D124" i="5"/>
  <c r="D122" i="5"/>
  <c r="D135" i="5"/>
  <c r="D131" i="5"/>
  <c r="D136" i="5"/>
  <c r="D6" i="2"/>
  <c r="D10" i="2"/>
  <c r="D14" i="2"/>
  <c r="D18" i="2"/>
  <c r="D22" i="2"/>
  <c r="D26" i="2"/>
  <c r="D30" i="2"/>
  <c r="D34" i="2"/>
  <c r="D38" i="2"/>
  <c r="D24" i="18"/>
  <c r="D12" i="18"/>
  <c r="D4" i="18"/>
  <c r="D33" i="18"/>
  <c r="D29" i="18"/>
  <c r="D25" i="18"/>
  <c r="D21" i="18"/>
  <c r="D17" i="18"/>
  <c r="D13" i="18"/>
  <c r="D9" i="18"/>
  <c r="D5" i="18"/>
  <c r="D110" i="3"/>
  <c r="D106" i="3"/>
  <c r="D104" i="3"/>
  <c r="D103" i="3"/>
  <c r="D94" i="3"/>
  <c r="D92" i="3"/>
  <c r="D87" i="3"/>
  <c r="D81" i="3"/>
  <c r="D77" i="3"/>
  <c r="D78" i="3"/>
  <c r="D71" i="3"/>
  <c r="D67" i="3"/>
  <c r="D63" i="3"/>
  <c r="D58" i="3"/>
  <c r="D51" i="3"/>
  <c r="D52" i="3"/>
  <c r="D48" i="3"/>
  <c r="D43" i="3"/>
  <c r="D37" i="3"/>
  <c r="D35" i="3"/>
  <c r="D32" i="3"/>
  <c r="D27" i="3"/>
  <c r="D23" i="3"/>
  <c r="D19" i="3"/>
  <c r="D15" i="3"/>
  <c r="D13" i="3"/>
  <c r="D8" i="3"/>
  <c r="D5" i="5"/>
  <c r="D9" i="5"/>
  <c r="D17" i="5"/>
  <c r="D18" i="5"/>
  <c r="D24" i="5"/>
  <c r="D26" i="5"/>
  <c r="D36" i="5"/>
  <c r="D29" i="5"/>
  <c r="D40" i="5"/>
  <c r="D43" i="5"/>
  <c r="D47" i="5"/>
  <c r="D51" i="5"/>
  <c r="D55" i="5"/>
  <c r="D58" i="5"/>
  <c r="D64" i="5"/>
  <c r="D62" i="5"/>
  <c r="D67" i="5"/>
  <c r="D75" i="5"/>
  <c r="D79" i="5"/>
  <c r="D82" i="5"/>
  <c r="D90" i="5"/>
  <c r="D89" i="5"/>
  <c r="D98" i="5"/>
  <c r="D99" i="5"/>
  <c r="D104" i="5"/>
  <c r="D108" i="5"/>
  <c r="D111" i="5"/>
  <c r="D120" i="5"/>
  <c r="D115" i="5"/>
  <c r="D112" i="5"/>
  <c r="D130" i="5"/>
  <c r="D127" i="5"/>
  <c r="D134" i="5"/>
  <c r="D138" i="5"/>
  <c r="D5" i="2"/>
  <c r="D9" i="2"/>
  <c r="D13" i="2"/>
  <c r="D17" i="2"/>
  <c r="D21" i="2"/>
  <c r="D25" i="2"/>
  <c r="D29" i="2"/>
  <c r="D33" i="2"/>
  <c r="D37" i="2"/>
  <c r="D111" i="3"/>
  <c r="D108" i="3"/>
  <c r="D102" i="3"/>
  <c r="D98" i="3"/>
  <c r="D96" i="3"/>
  <c r="D89" i="3"/>
  <c r="D86" i="3"/>
  <c r="D83" i="3"/>
  <c r="D80" i="3"/>
  <c r="D76" i="3"/>
  <c r="D70" i="3"/>
  <c r="D66" i="3"/>
  <c r="D62" i="3"/>
  <c r="D59" i="3"/>
  <c r="D55" i="3"/>
  <c r="D50" i="3"/>
  <c r="D47" i="3"/>
  <c r="D41" i="3"/>
  <c r="D39" i="3"/>
  <c r="D34" i="3"/>
  <c r="D31" i="3"/>
  <c r="D26" i="3"/>
  <c r="D24" i="3"/>
  <c r="D18" i="3"/>
  <c r="D14" i="3"/>
  <c r="D10" i="3"/>
  <c r="D6" i="3"/>
  <c r="D8" i="5"/>
  <c r="D11" i="5"/>
  <c r="D16" i="5"/>
  <c r="D19" i="5"/>
  <c r="D22" i="5"/>
  <c r="D27" i="5"/>
  <c r="D31" i="5"/>
  <c r="D37" i="5"/>
  <c r="D38" i="5"/>
  <c r="D44" i="5"/>
  <c r="D49" i="5"/>
  <c r="D52" i="5"/>
  <c r="D54" i="5"/>
  <c r="D57" i="5"/>
  <c r="D65" i="5"/>
  <c r="D66" i="5"/>
  <c r="D72" i="5"/>
  <c r="D73" i="5"/>
  <c r="D80" i="5"/>
  <c r="D85" i="5"/>
  <c r="D91" i="5"/>
  <c r="D93" i="5"/>
  <c r="D97" i="5"/>
  <c r="D100" i="5"/>
  <c r="D107" i="5"/>
  <c r="D96" i="5"/>
  <c r="D114" i="5"/>
  <c r="D116" i="5"/>
  <c r="D118" i="5"/>
  <c r="D129" i="5"/>
  <c r="D126" i="5"/>
  <c r="D132" i="5"/>
  <c r="D133" i="5"/>
  <c r="D4" i="2"/>
  <c r="D8" i="2"/>
  <c r="D12" i="2"/>
  <c r="D16" i="2"/>
  <c r="D20" i="2"/>
  <c r="D24" i="2"/>
  <c r="D28" i="2"/>
  <c r="D32" i="2"/>
  <c r="D36" i="2"/>
  <c r="D3" i="4"/>
  <c r="O169" i="7"/>
  <c r="D304" i="45"/>
  <c r="O363" i="7"/>
  <c r="D409" i="7"/>
  <c r="O349" i="7"/>
  <c r="O534" i="7"/>
  <c r="D540" i="32"/>
  <c r="D288" i="45"/>
  <c r="D286" i="45"/>
  <c r="D232" i="45"/>
  <c r="C409" i="7" l="1"/>
  <c r="O330" i="7"/>
  <c r="D512" i="7"/>
  <c r="D169" i="7"/>
  <c r="D106" i="7"/>
  <c r="O243" i="7"/>
  <c r="D59" i="7"/>
  <c r="O429" i="7"/>
  <c r="D126" i="7"/>
  <c r="O286" i="7"/>
  <c r="O432" i="7"/>
  <c r="D286" i="7"/>
  <c r="O183" i="7"/>
  <c r="O119" i="7"/>
  <c r="O179" i="7"/>
  <c r="D282" i="45"/>
  <c r="C169" i="7" l="1"/>
  <c r="C512" i="7"/>
  <c r="O423" i="7"/>
  <c r="O70" i="7"/>
  <c r="O324" i="7"/>
  <c r="O106" i="7"/>
  <c r="D258" i="7"/>
  <c r="D95" i="45"/>
  <c r="O215" i="7"/>
  <c r="O494" i="7"/>
  <c r="O295" i="7"/>
  <c r="O49" i="7"/>
  <c r="D541" i="32"/>
  <c r="O279" i="7"/>
  <c r="O17" i="7"/>
  <c r="O353" i="7"/>
  <c r="O393" i="7"/>
  <c r="O476" i="7"/>
  <c r="D325" i="45"/>
  <c r="D187" i="7"/>
  <c r="O126" i="7"/>
  <c r="O612" i="7"/>
  <c r="D275" i="7"/>
  <c r="O190" i="7"/>
  <c r="O189" i="7"/>
  <c r="O371" i="7"/>
  <c r="O76" i="7"/>
  <c r="O262" i="7"/>
  <c r="O43" i="7"/>
  <c r="O501" i="7"/>
  <c r="O245" i="7"/>
  <c r="O308" i="7"/>
  <c r="D315" i="45"/>
  <c r="C187" i="7" l="1"/>
  <c r="C126" i="7"/>
  <c r="C59" i="7"/>
  <c r="C286" i="7"/>
  <c r="C275" i="7"/>
  <c r="C106" i="7"/>
  <c r="C258" i="7"/>
  <c r="O223" i="7"/>
  <c r="O124" i="7"/>
  <c r="D209" i="7"/>
  <c r="D328" i="7"/>
  <c r="O258" i="7"/>
  <c r="O115" i="7"/>
  <c r="O204" i="7"/>
  <c r="O615" i="7"/>
  <c r="O187" i="7"/>
  <c r="O525" i="7"/>
  <c r="O59" i="7"/>
  <c r="O64" i="7"/>
  <c r="C328" i="7" l="1"/>
  <c r="C209" i="7"/>
  <c r="D275" i="45"/>
  <c r="O331" i="7"/>
  <c r="O31" i="7"/>
  <c r="O465" i="7"/>
  <c r="O339" i="7"/>
  <c r="O328" i="7"/>
  <c r="D61" i="45"/>
  <c r="D432" i="7"/>
  <c r="O454" i="7"/>
  <c r="O273" i="7"/>
  <c r="O193" i="7"/>
  <c r="O364" i="7"/>
  <c r="O332" i="7"/>
  <c r="O209" i="7"/>
  <c r="D321" i="45"/>
  <c r="C432" i="7" l="1"/>
  <c r="O147" i="7"/>
  <c r="O97" i="7"/>
  <c r="O409" i="7"/>
  <c r="D308" i="7"/>
  <c r="O512" i="7"/>
  <c r="C308" i="7" l="1"/>
  <c r="O616" i="7"/>
  <c r="D133" i="7"/>
  <c r="O275" i="7"/>
  <c r="O56" i="7"/>
  <c r="D330" i="7"/>
  <c r="D494" i="7"/>
  <c r="O614" i="7"/>
  <c r="O165" i="7"/>
  <c r="C494" i="7" l="1"/>
  <c r="C133" i="7"/>
  <c r="C330" i="7"/>
  <c r="U25" i="25" l="1"/>
  <c r="U24" i="25"/>
  <c r="U28" i="25"/>
  <c r="U32" i="25"/>
  <c r="U26" i="25"/>
  <c r="U29" i="25"/>
  <c r="U33" i="25"/>
  <c r="U31" i="25"/>
  <c r="U27" i="25"/>
  <c r="U30" i="25"/>
  <c r="U39" i="28"/>
  <c r="L8" i="28"/>
  <c r="P118" i="5"/>
  <c r="U29" i="28"/>
  <c r="T51" i="28"/>
  <c r="U36" i="28"/>
  <c r="T7" i="28"/>
  <c r="B7" i="28"/>
  <c r="P58" i="3"/>
  <c r="P103" i="3"/>
  <c r="P28" i="3"/>
  <c r="C49" i="28"/>
  <c r="U45" i="28"/>
  <c r="U21" i="28"/>
  <c r="U32" i="28"/>
  <c r="C45" i="28"/>
  <c r="T41" i="28"/>
  <c r="A6" i="7"/>
  <c r="T15" i="28"/>
  <c r="T61" i="28"/>
  <c r="P21" i="3"/>
  <c r="P75" i="3"/>
  <c r="P99" i="3"/>
  <c r="P105" i="3"/>
  <c r="P17" i="3"/>
  <c r="P85" i="3"/>
  <c r="P93" i="5"/>
  <c r="T29" i="28"/>
  <c r="T54" i="28"/>
  <c r="P50" i="3"/>
  <c r="P62" i="3"/>
  <c r="P8" i="3"/>
  <c r="P37" i="3"/>
  <c r="P78" i="3"/>
  <c r="C6" i="28"/>
  <c r="P12" i="2"/>
  <c r="P13" i="2"/>
  <c r="P18" i="2"/>
  <c r="P22" i="2"/>
  <c r="P16" i="3"/>
  <c r="P38" i="3"/>
  <c r="P44" i="3"/>
  <c r="P45" i="3"/>
  <c r="P56" i="3"/>
  <c r="P84" i="3"/>
  <c r="P88" i="3"/>
  <c r="P97" i="3"/>
  <c r="P107" i="3"/>
  <c r="P9" i="3"/>
  <c r="P11" i="3"/>
  <c r="P20" i="3"/>
  <c r="P25" i="3"/>
  <c r="P33" i="3"/>
  <c r="P49" i="3"/>
  <c r="P65" i="3"/>
  <c r="P69" i="3"/>
  <c r="P93" i="3"/>
  <c r="P109" i="3"/>
  <c r="P113" i="3"/>
  <c r="P119" i="5"/>
  <c r="P6" i="3"/>
  <c r="P26" i="3"/>
  <c r="P55" i="3"/>
  <c r="P59" i="3"/>
  <c r="P76" i="3"/>
  <c r="P98" i="3"/>
  <c r="P32" i="3"/>
  <c r="P52" i="3"/>
  <c r="P110" i="3"/>
  <c r="P138" i="5"/>
  <c r="P42" i="5"/>
  <c r="D19" i="1"/>
  <c r="P75" i="5"/>
  <c r="P34" i="2"/>
  <c r="F32" i="25"/>
  <c r="D32" i="25"/>
  <c r="F28" i="25"/>
  <c r="D28" i="25"/>
  <c r="F24" i="25"/>
  <c r="D24" i="25"/>
  <c r="F20" i="25"/>
  <c r="D20" i="25"/>
  <c r="F16" i="25"/>
  <c r="D16" i="25"/>
  <c r="F12" i="25"/>
  <c r="D12" i="25"/>
  <c r="F8" i="25"/>
  <c r="D8" i="25"/>
  <c r="F4" i="25"/>
  <c r="D4" i="25"/>
  <c r="C37" i="28"/>
  <c r="T52" i="28"/>
  <c r="F31" i="25"/>
  <c r="D31" i="25"/>
  <c r="F23" i="25"/>
  <c r="D23" i="25"/>
  <c r="F19" i="25"/>
  <c r="D19" i="25"/>
  <c r="F15" i="25"/>
  <c r="D15" i="25"/>
  <c r="F11" i="25"/>
  <c r="D11" i="25"/>
  <c r="F7" i="25"/>
  <c r="D7" i="25"/>
  <c r="F3" i="25"/>
  <c r="D3" i="25"/>
  <c r="D3" i="3"/>
  <c r="P41" i="3"/>
  <c r="P70" i="3"/>
  <c r="P83" i="3"/>
  <c r="P86" i="3"/>
  <c r="P3" i="3"/>
  <c r="P15" i="3"/>
  <c r="P27" i="3"/>
  <c r="P35" i="3"/>
  <c r="P63" i="3"/>
  <c r="P67" i="3"/>
  <c r="P104" i="3"/>
  <c r="P106" i="3"/>
  <c r="D3" i="5"/>
  <c r="P132" i="5"/>
  <c r="B61" i="28"/>
  <c r="F2" i="25"/>
  <c r="D2" i="25"/>
  <c r="F30" i="25"/>
  <c r="D30" i="25"/>
  <c r="F26" i="25"/>
  <c r="D26" i="25"/>
  <c r="F22" i="25"/>
  <c r="D22" i="25"/>
  <c r="F18" i="25"/>
  <c r="D18" i="25"/>
  <c r="F14" i="25"/>
  <c r="D14" i="25"/>
  <c r="F10" i="25"/>
  <c r="D10" i="25"/>
  <c r="F6" i="25"/>
  <c r="D6" i="25"/>
  <c r="D2" i="18"/>
  <c r="F33" i="25"/>
  <c r="D33" i="25"/>
  <c r="F29" i="25"/>
  <c r="D29" i="25"/>
  <c r="F25" i="25"/>
  <c r="D25" i="25"/>
  <c r="F21" i="25"/>
  <c r="D21" i="25"/>
  <c r="F17" i="25"/>
  <c r="D17" i="25"/>
  <c r="F13" i="25"/>
  <c r="D13" i="25"/>
  <c r="F9" i="25"/>
  <c r="D9" i="25"/>
  <c r="F5" i="25"/>
  <c r="D5" i="25"/>
  <c r="D3" i="2"/>
  <c r="B51" i="28"/>
  <c r="B62" i="28"/>
  <c r="C58" i="28"/>
  <c r="B44" i="28"/>
  <c r="B59" i="28"/>
  <c r="B40" i="28"/>
  <c r="C46" i="28"/>
  <c r="B38" i="28"/>
  <c r="B46" i="28"/>
  <c r="U55" i="28"/>
  <c r="U25" i="28"/>
  <c r="U41" i="28"/>
  <c r="U17" i="28"/>
  <c r="U11" i="28"/>
  <c r="U58" i="28"/>
  <c r="U51" i="28"/>
  <c r="U40" i="28"/>
  <c r="U57" i="28"/>
  <c r="U50" i="28"/>
  <c r="U54" i="28"/>
  <c r="U56" i="28"/>
  <c r="U28" i="28"/>
  <c r="U18" i="28"/>
  <c r="T13" i="28"/>
  <c r="T23" i="28"/>
  <c r="T35" i="28"/>
  <c r="T43" i="28"/>
  <c r="T42" i="28"/>
  <c r="U7" i="28"/>
  <c r="T59" i="28"/>
  <c r="T64" i="28"/>
  <c r="T63" i="28"/>
  <c r="T49" i="28"/>
  <c r="T48" i="28"/>
  <c r="T46" i="28"/>
  <c r="T40" i="28"/>
  <c r="T39" i="28"/>
  <c r="T38" i="28"/>
  <c r="T34" i="28"/>
  <c r="T28" i="28"/>
  <c r="T24" i="28"/>
  <c r="T20" i="28"/>
  <c r="T18" i="28"/>
  <c r="T12" i="28"/>
  <c r="T8" i="28"/>
  <c r="U30" i="28"/>
  <c r="U16" i="28"/>
  <c r="T56" i="28"/>
  <c r="T57" i="28"/>
  <c r="T55" i="28"/>
  <c r="T50" i="28"/>
  <c r="T44" i="28"/>
  <c r="T37" i="28"/>
  <c r="T36" i="28"/>
  <c r="T32" i="28"/>
  <c r="T27" i="28"/>
  <c r="T21" i="28"/>
  <c r="T16" i="28"/>
  <c r="T10" i="28"/>
  <c r="T6" i="28"/>
  <c r="U6" i="28"/>
  <c r="T62" i="28"/>
  <c r="T58" i="28"/>
  <c r="T47" i="28"/>
  <c r="T33" i="28"/>
  <c r="T30" i="28"/>
  <c r="T25" i="28"/>
  <c r="T19" i="28"/>
  <c r="T14" i="28"/>
  <c r="T9" i="28"/>
  <c r="U9" i="28"/>
  <c r="U13" i="28"/>
  <c r="U44" i="28"/>
  <c r="U48" i="28"/>
  <c r="U34" i="28"/>
  <c r="U63" i="28"/>
  <c r="U24" i="28"/>
  <c r="U8" i="28"/>
  <c r="U20" i="28"/>
  <c r="U23" i="28"/>
  <c r="U46" i="28"/>
  <c r="U42" i="28"/>
  <c r="U47" i="28"/>
  <c r="U64" i="28"/>
  <c r="U61" i="28"/>
  <c r="T11" i="28"/>
  <c r="T22" i="28"/>
  <c r="T31" i="28"/>
  <c r="T60" i="28"/>
  <c r="P3" i="4"/>
  <c r="U26" i="28"/>
  <c r="U14" i="28"/>
  <c r="U31" i="28"/>
  <c r="U22" i="28"/>
  <c r="U59" i="28"/>
  <c r="U52" i="28"/>
  <c r="U62" i="28"/>
  <c r="U19" i="28"/>
  <c r="U35" i="28"/>
  <c r="T5" i="28"/>
  <c r="T17" i="28"/>
  <c r="T26" i="28"/>
  <c r="T45" i="28"/>
  <c r="T53" i="28"/>
  <c r="U5" i="28"/>
  <c r="P5" i="5"/>
  <c r="P21" i="5"/>
  <c r="P27" i="5"/>
  <c r="P31" i="5"/>
  <c r="P29" i="5"/>
  <c r="P40" i="5"/>
  <c r="P38" i="5"/>
  <c r="P43" i="5"/>
  <c r="P45" i="5"/>
  <c r="P49" i="5"/>
  <c r="P53" i="5"/>
  <c r="P55" i="5"/>
  <c r="P54" i="5"/>
  <c r="P58" i="5"/>
  <c r="P64" i="5"/>
  <c r="P65" i="5"/>
  <c r="P66" i="5"/>
  <c r="C43" i="28"/>
  <c r="P67" i="5"/>
  <c r="P71" i="5"/>
  <c r="P73" i="5"/>
  <c r="P80" i="5"/>
  <c r="P82" i="5"/>
  <c r="P83" i="5"/>
  <c r="P90" i="5"/>
  <c r="P91" i="5"/>
  <c r="P89" i="5"/>
  <c r="P86" i="5"/>
  <c r="P98" i="5"/>
  <c r="P97" i="5"/>
  <c r="P94" i="5"/>
  <c r="P99" i="5"/>
  <c r="P100" i="5"/>
  <c r="P102" i="5"/>
  <c r="P104" i="5"/>
  <c r="P107" i="5"/>
  <c r="P105" i="5"/>
  <c r="P108" i="5"/>
  <c r="P96" i="5"/>
  <c r="P106" i="5"/>
  <c r="P111" i="5"/>
  <c r="P114" i="5"/>
  <c r="P113" i="5"/>
  <c r="P120" i="5"/>
  <c r="P116" i="5"/>
  <c r="P117" i="5"/>
  <c r="P115" i="5"/>
  <c r="P124" i="5"/>
  <c r="P112" i="5"/>
  <c r="P129" i="5"/>
  <c r="P122" i="5"/>
  <c r="P130" i="5"/>
  <c r="P126" i="5"/>
  <c r="P135" i="5"/>
  <c r="P127" i="5"/>
  <c r="P131" i="5"/>
  <c r="P134" i="5"/>
  <c r="P137" i="5"/>
  <c r="P136" i="5"/>
  <c r="P3" i="2"/>
  <c r="P4" i="2"/>
  <c r="P5" i="2"/>
  <c r="B33" i="28"/>
  <c r="P6" i="2"/>
  <c r="P7" i="2"/>
  <c r="P8" i="2"/>
  <c r="P9" i="2"/>
  <c r="P10" i="2"/>
  <c r="P11" i="2"/>
  <c r="P14" i="2"/>
  <c r="P15" i="2"/>
  <c r="P16" i="2"/>
  <c r="P17" i="2"/>
  <c r="P19" i="2"/>
  <c r="P20" i="2"/>
  <c r="P23" i="2"/>
  <c r="P24" i="2"/>
  <c r="P25" i="2"/>
  <c r="P26" i="2"/>
  <c r="P27" i="2"/>
  <c r="P28" i="2"/>
  <c r="P29" i="2"/>
  <c r="P30" i="2"/>
  <c r="P31" i="2"/>
  <c r="P32" i="2"/>
  <c r="P33" i="2"/>
  <c r="P35" i="2"/>
  <c r="P36" i="2"/>
  <c r="P37" i="2"/>
  <c r="P38" i="2"/>
  <c r="P10" i="3"/>
  <c r="P14" i="3"/>
  <c r="P18" i="3"/>
  <c r="P24" i="3"/>
  <c r="P31" i="3"/>
  <c r="P34" i="3"/>
  <c r="P39" i="3"/>
  <c r="P47" i="3"/>
  <c r="P66" i="3"/>
  <c r="P80" i="3"/>
  <c r="P89" i="3"/>
  <c r="P96" i="3"/>
  <c r="P102" i="3"/>
  <c r="P108" i="3"/>
  <c r="P111" i="3"/>
  <c r="P13" i="3"/>
  <c r="P19" i="3"/>
  <c r="P23" i="3"/>
  <c r="P43" i="3"/>
  <c r="P48" i="3"/>
  <c r="P51" i="3"/>
  <c r="P71" i="3"/>
  <c r="P77" i="3"/>
  <c r="P81" i="3"/>
  <c r="P87" i="3"/>
  <c r="P92" i="3"/>
  <c r="P94" i="3"/>
  <c r="S24" i="18"/>
  <c r="T24" i="18" s="1"/>
  <c r="AA26" i="18"/>
  <c r="B63" i="28"/>
  <c r="C38" i="28"/>
  <c r="P4" i="3"/>
  <c r="P7" i="3"/>
  <c r="P12" i="3"/>
  <c r="P22" i="3"/>
  <c r="P30" i="3"/>
  <c r="P40" i="3"/>
  <c r="P53" i="3"/>
  <c r="P60" i="3"/>
  <c r="P64" i="3"/>
  <c r="P68" i="3"/>
  <c r="P72" i="3"/>
  <c r="P82" i="3"/>
  <c r="P95" i="3"/>
  <c r="P112" i="3"/>
  <c r="P5" i="3"/>
  <c r="P29" i="3"/>
  <c r="P36" i="3"/>
  <c r="P42" i="3"/>
  <c r="P46" i="3"/>
  <c r="P54" i="3"/>
  <c r="P57" i="3"/>
  <c r="P61" i="3"/>
  <c r="P73" i="3"/>
  <c r="P74" i="3"/>
  <c r="P79" i="3"/>
  <c r="P90" i="3"/>
  <c r="P91" i="3"/>
  <c r="P100" i="3"/>
  <c r="P101" i="3"/>
  <c r="P77" i="5"/>
  <c r="P92" i="5"/>
  <c r="P95" i="5"/>
  <c r="P103" i="5"/>
  <c r="P121" i="5"/>
  <c r="P123" i="5"/>
  <c r="P13" i="5"/>
  <c r="P46" i="5"/>
  <c r="P59" i="5"/>
  <c r="P68" i="5"/>
  <c r="L44" i="28"/>
  <c r="B18" i="28"/>
  <c r="C50" i="28"/>
  <c r="C60" i="28"/>
  <c r="B42" i="28"/>
  <c r="B52" i="28"/>
  <c r="B53" i="28"/>
  <c r="C53" i="28"/>
  <c r="B48" i="28"/>
  <c r="B54" i="28"/>
  <c r="P81" i="5"/>
  <c r="P87" i="5"/>
  <c r="P101" i="5"/>
  <c r="P109" i="5"/>
  <c r="P110" i="5"/>
  <c r="P125" i="5"/>
  <c r="P128" i="5"/>
  <c r="P133" i="5"/>
  <c r="L5" i="28"/>
  <c r="P88" i="5"/>
  <c r="L26" i="28"/>
  <c r="L34" i="28"/>
  <c r="K38" i="28"/>
  <c r="K31" i="28"/>
  <c r="K41" i="28"/>
  <c r="K52" i="28"/>
  <c r="K55" i="28"/>
  <c r="K60" i="28"/>
  <c r="K58" i="28"/>
  <c r="K64" i="28"/>
  <c r="K59" i="28"/>
  <c r="K48" i="28"/>
  <c r="K56" i="28"/>
  <c r="K36" i="28"/>
  <c r="K34" i="28"/>
  <c r="K40" i="28"/>
  <c r="K28" i="28"/>
  <c r="K8" i="28"/>
  <c r="K29" i="28"/>
  <c r="K32" i="28"/>
  <c r="K21" i="28"/>
  <c r="K23" i="28"/>
  <c r="K17" i="28"/>
  <c r="K26" i="28"/>
  <c r="K14" i="28"/>
  <c r="K13" i="28"/>
  <c r="K10" i="28"/>
  <c r="K16" i="28"/>
  <c r="K9" i="28"/>
  <c r="K19" i="28"/>
  <c r="K62" i="28"/>
  <c r="L16" i="28"/>
  <c r="L51" i="28"/>
  <c r="L40" i="28"/>
  <c r="L62" i="28"/>
  <c r="L15" i="28"/>
  <c r="L64" i="28"/>
  <c r="L47" i="28"/>
  <c r="L38" i="28"/>
  <c r="L12" i="28"/>
  <c r="L24" i="28"/>
  <c r="L57" i="28"/>
  <c r="L6" i="28"/>
  <c r="K61" i="28"/>
  <c r="K54" i="28"/>
  <c r="K5" i="28"/>
  <c r="K53" i="28"/>
  <c r="K43" i="28"/>
  <c r="K63" i="28"/>
  <c r="K37" i="28"/>
  <c r="K45" i="28"/>
  <c r="K33" i="28"/>
  <c r="K27" i="28"/>
  <c r="K49" i="28"/>
  <c r="K35" i="28"/>
  <c r="K24" i="28"/>
  <c r="K22" i="28"/>
  <c r="K25" i="28"/>
  <c r="K18" i="28"/>
  <c r="K12" i="28"/>
  <c r="K20" i="28"/>
  <c r="K15" i="28"/>
  <c r="K11" i="28"/>
  <c r="K30" i="28"/>
  <c r="K6" i="28"/>
  <c r="K7" i="28"/>
  <c r="K44" i="28"/>
  <c r="L17" i="28"/>
  <c r="L60" i="28"/>
  <c r="L21" i="28"/>
  <c r="L59" i="28"/>
  <c r="L19" i="28"/>
  <c r="P33" i="5"/>
  <c r="L27" i="28"/>
  <c r="L33" i="28"/>
  <c r="L36" i="28"/>
  <c r="L41" i="28"/>
  <c r="L14" i="28"/>
  <c r="L13" i="28"/>
  <c r="L32" i="28"/>
  <c r="L54" i="28"/>
  <c r="L37" i="28"/>
  <c r="L30" i="28"/>
  <c r="K42" i="28"/>
  <c r="K39" i="28"/>
  <c r="K47" i="28"/>
  <c r="K51" i="28"/>
  <c r="K46" i="28"/>
  <c r="K57" i="28"/>
  <c r="K50" i="28"/>
  <c r="B28" i="28"/>
  <c r="S32" i="18"/>
  <c r="T32" i="18" s="1"/>
  <c r="L50" i="28"/>
  <c r="C27" i="28"/>
  <c r="B19" i="28"/>
  <c r="B32" i="28"/>
  <c r="C20" i="28"/>
  <c r="B21" i="28"/>
  <c r="B27" i="28"/>
  <c r="B31" i="28"/>
  <c r="U60" i="28"/>
  <c r="C52" i="28"/>
  <c r="C51" i="28"/>
  <c r="C62" i="28"/>
  <c r="C47" i="28"/>
  <c r="C41" i="28"/>
  <c r="B39" i="28"/>
  <c r="B43" i="28"/>
  <c r="B47" i="28"/>
  <c r="B56" i="28"/>
  <c r="B50" i="28"/>
  <c r="B64" i="28"/>
  <c r="B60" i="28"/>
  <c r="C44" i="28"/>
  <c r="C55" i="28"/>
  <c r="C54" i="28"/>
  <c r="C64" i="28"/>
  <c r="C61" i="28"/>
  <c r="B37" i="28"/>
  <c r="B41" i="28"/>
  <c r="B55" i="28"/>
  <c r="B45" i="28"/>
  <c r="B49" i="28"/>
  <c r="B57" i="28"/>
  <c r="B58" i="28"/>
  <c r="C39" i="28"/>
  <c r="P36" i="5"/>
  <c r="P32" i="5"/>
  <c r="P34" i="5"/>
  <c r="P39" i="5"/>
  <c r="P47" i="5"/>
  <c r="P51" i="5"/>
  <c r="P52" i="5"/>
  <c r="P50" i="5"/>
  <c r="P57" i="5"/>
  <c r="P61" i="5"/>
  <c r="P60" i="5"/>
  <c r="P62" i="5"/>
  <c r="P70" i="5"/>
  <c r="P69" i="5"/>
  <c r="P74" i="5"/>
  <c r="P76" i="5"/>
  <c r="P78" i="5"/>
  <c r="B8" i="28"/>
  <c r="B11" i="28"/>
  <c r="B14" i="28"/>
  <c r="B17" i="28"/>
  <c r="B25" i="28"/>
  <c r="B29" i="28"/>
  <c r="B34" i="28"/>
  <c r="C30" i="28"/>
  <c r="C26" i="28"/>
  <c r="C32" i="28"/>
  <c r="B10" i="28"/>
  <c r="B12" i="28"/>
  <c r="B15" i="28"/>
  <c r="B23" i="28"/>
  <c r="B22" i="28"/>
  <c r="B26" i="28"/>
  <c r="B5" i="28"/>
  <c r="C5" i="28"/>
  <c r="B6" i="28"/>
  <c r="B9" i="28"/>
  <c r="B13" i="28"/>
  <c r="B16" i="28"/>
  <c r="B20" i="28"/>
  <c r="B24" i="28"/>
  <c r="B30" i="28"/>
  <c r="AA18" i="18"/>
  <c r="S16" i="18"/>
  <c r="T16" i="18" s="1"/>
  <c r="AA10" i="18"/>
  <c r="S8" i="18"/>
  <c r="T8" i="18" s="1"/>
  <c r="C40" i="28"/>
  <c r="C56" i="28"/>
  <c r="C42" i="28"/>
  <c r="L49" i="28"/>
  <c r="P41" i="5"/>
  <c r="P48" i="5"/>
  <c r="P56" i="5"/>
  <c r="P63" i="5"/>
  <c r="P72" i="5"/>
  <c r="P14" i="5"/>
  <c r="P19" i="5"/>
  <c r="P25" i="5"/>
  <c r="P30" i="5"/>
  <c r="P3" i="5"/>
  <c r="P10" i="5"/>
  <c r="P7" i="5"/>
  <c r="P12" i="5"/>
  <c r="P79" i="5"/>
  <c r="P84" i="5"/>
  <c r="P85" i="5"/>
  <c r="U15" i="28"/>
  <c r="U37" i="28"/>
  <c r="U10" i="28"/>
  <c r="C57" i="28"/>
  <c r="C63" i="28"/>
  <c r="L39" i="28"/>
  <c r="L52" i="28"/>
  <c r="L9" i="28"/>
  <c r="L25" i="28"/>
  <c r="P28" i="5"/>
  <c r="S30" i="18"/>
  <c r="T30" i="18" s="1"/>
  <c r="S26" i="18"/>
  <c r="T26" i="18" s="1"/>
  <c r="S22" i="18"/>
  <c r="T22" i="18" s="1"/>
  <c r="S18" i="18"/>
  <c r="T18" i="18" s="1"/>
  <c r="S14" i="18"/>
  <c r="T14" i="18" s="1"/>
  <c r="S10" i="18"/>
  <c r="T10" i="18" s="1"/>
  <c r="S6" i="18"/>
  <c r="T6" i="18" s="1"/>
  <c r="AA31" i="18"/>
  <c r="AA23" i="18"/>
  <c r="AA15" i="18"/>
  <c r="AA7" i="18"/>
  <c r="S31" i="18"/>
  <c r="T31" i="18" s="1"/>
  <c r="S23" i="18"/>
  <c r="T23" i="18" s="1"/>
  <c r="S15" i="18"/>
  <c r="T15" i="18" s="1"/>
  <c r="S7" i="18"/>
  <c r="T7" i="18" s="1"/>
  <c r="AA30" i="18"/>
  <c r="AA22" i="18"/>
  <c r="AA14" i="18"/>
  <c r="AA6" i="18"/>
  <c r="S28" i="18"/>
  <c r="T28" i="18" s="1"/>
  <c r="S20" i="18"/>
  <c r="T20" i="18" s="1"/>
  <c r="S12" i="18"/>
  <c r="T12" i="18" s="1"/>
  <c r="S4" i="18"/>
  <c r="T4" i="18" s="1"/>
  <c r="AA2" i="18"/>
  <c r="AA27" i="18"/>
  <c r="AA19" i="18"/>
  <c r="AA11" i="18"/>
  <c r="AA3" i="18"/>
  <c r="S27" i="18"/>
  <c r="T27" i="18" s="1"/>
  <c r="S19" i="18"/>
  <c r="T19" i="18" s="1"/>
  <c r="S11" i="18"/>
  <c r="T11" i="18" s="1"/>
  <c r="S3" i="18"/>
  <c r="T3" i="18" s="1"/>
  <c r="S5" i="18"/>
  <c r="T5" i="18" s="1"/>
  <c r="F27" i="25"/>
  <c r="O23" i="29"/>
  <c r="M23" i="29"/>
  <c r="Q23" i="29"/>
  <c r="U23" i="29"/>
  <c r="N23" i="29"/>
  <c r="R23" i="29"/>
  <c r="K6" i="29"/>
  <c r="K7" i="29"/>
  <c r="K9" i="29"/>
  <c r="S23" i="29"/>
  <c r="K13" i="29"/>
  <c r="T23" i="29"/>
  <c r="K17" i="29"/>
  <c r="K18" i="29"/>
  <c r="K20" i="29"/>
  <c r="K14" i="29"/>
  <c r="K15" i="29"/>
  <c r="K16" i="29"/>
  <c r="K10" i="29"/>
  <c r="K11" i="29"/>
  <c r="K12" i="29"/>
  <c r="K21" i="29"/>
  <c r="L23" i="29"/>
  <c r="P23" i="29"/>
  <c r="K4" i="29"/>
  <c r="K5" i="29"/>
  <c r="K8" i="29"/>
  <c r="K19" i="29"/>
  <c r="K3" i="29"/>
  <c r="K22" i="29"/>
  <c r="C59" i="28"/>
  <c r="C48" i="28"/>
  <c r="U12" i="28"/>
  <c r="U43" i="28"/>
  <c r="U49" i="28"/>
  <c r="U27" i="28"/>
  <c r="U33" i="28"/>
  <c r="U53" i="28"/>
  <c r="U38" i="28"/>
  <c r="L7" i="28"/>
  <c r="P9" i="5"/>
  <c r="P11" i="5"/>
  <c r="L22" i="28"/>
  <c r="P24" i="5"/>
  <c r="P22" i="5"/>
  <c r="L45" i="28"/>
  <c r="L31" i="28"/>
  <c r="P44" i="5"/>
  <c r="L56" i="28"/>
  <c r="L11" i="28"/>
  <c r="L20" i="28"/>
  <c r="P18" i="5"/>
  <c r="L35" i="28"/>
  <c r="L63" i="28"/>
  <c r="L43" i="28"/>
  <c r="L58" i="28"/>
  <c r="P6" i="5"/>
  <c r="P4" i="5"/>
  <c r="P8" i="5"/>
  <c r="L18" i="28"/>
  <c r="L23" i="28"/>
  <c r="P26" i="5"/>
  <c r="L42" i="28"/>
  <c r="P35" i="5"/>
  <c r="L55" i="28"/>
  <c r="L46" i="28"/>
  <c r="L10" i="28"/>
  <c r="P15" i="5"/>
  <c r="P17" i="5"/>
  <c r="P16" i="5"/>
  <c r="L29" i="28"/>
  <c r="P23" i="5"/>
  <c r="P20" i="5"/>
  <c r="L28" i="28"/>
  <c r="P37" i="5"/>
  <c r="L53" i="28"/>
  <c r="L48" i="28"/>
  <c r="L61" i="28"/>
  <c r="C8" i="28"/>
  <c r="C11" i="28"/>
  <c r="C19" i="28"/>
  <c r="C23" i="28"/>
  <c r="C22" i="28"/>
  <c r="C10" i="28"/>
  <c r="C18" i="28"/>
  <c r="C16" i="28"/>
  <c r="C17" i="28"/>
  <c r="C25" i="28"/>
  <c r="C29" i="28"/>
  <c r="C34" i="28"/>
  <c r="C7" i="28"/>
  <c r="C9" i="28"/>
  <c r="C13" i="28"/>
  <c r="C12" i="28"/>
  <c r="C21" i="28"/>
  <c r="C31" i="28"/>
  <c r="C28" i="28"/>
  <c r="C14" i="28"/>
  <c r="C15" i="28"/>
  <c r="C24" i="28"/>
  <c r="C33" i="28"/>
  <c r="AA33" i="18"/>
  <c r="AA29" i="18"/>
  <c r="AA25" i="18"/>
  <c r="AA21" i="18"/>
  <c r="AA17" i="18"/>
  <c r="AA13" i="18"/>
  <c r="AA9" i="18"/>
  <c r="AA5" i="18"/>
  <c r="S2" i="18"/>
  <c r="T2" i="18" s="1"/>
  <c r="AA32" i="18"/>
  <c r="AA28" i="18"/>
  <c r="AA24" i="18"/>
  <c r="AA20" i="18"/>
  <c r="AA16" i="18"/>
  <c r="AA12" i="18"/>
  <c r="AA8" i="18"/>
  <c r="AA4" i="18"/>
  <c r="S33" i="18"/>
  <c r="T33" i="18" s="1"/>
  <c r="S29" i="18"/>
  <c r="T29" i="18" s="1"/>
  <c r="S25" i="18"/>
  <c r="T25" i="18" s="1"/>
  <c r="S21" i="18"/>
  <c r="T21" i="18" s="1"/>
  <c r="S17" i="18"/>
  <c r="T17" i="18" s="1"/>
  <c r="S13" i="18"/>
  <c r="T13" i="18" s="1"/>
  <c r="S9" i="18"/>
  <c r="T9" i="18" s="1"/>
  <c r="F6" i="1"/>
  <c r="P21" i="2"/>
  <c r="D97" i="7"/>
  <c r="D393" i="7"/>
  <c r="D165" i="7"/>
  <c r="D528" i="32"/>
  <c r="O182" i="7"/>
  <c r="D534" i="7"/>
  <c r="O261" i="7"/>
  <c r="D290" i="45"/>
  <c r="O511" i="7"/>
  <c r="D11" i="32"/>
  <c r="D31" i="7"/>
  <c r="D17" i="7"/>
  <c r="D117" i="7"/>
  <c r="D187" i="32"/>
  <c r="O425" i="7"/>
  <c r="O606" i="7"/>
  <c r="O299" i="7"/>
  <c r="D423" i="32"/>
  <c r="D526" i="32"/>
  <c r="D349" i="7"/>
  <c r="D352" i="32"/>
  <c r="D332" i="7"/>
  <c r="D183" i="32"/>
  <c r="D215" i="7"/>
  <c r="O387" i="7"/>
  <c r="O19" i="7"/>
  <c r="D245" i="7"/>
  <c r="O51" i="7"/>
  <c r="D525" i="7"/>
  <c r="O558" i="7"/>
  <c r="D558" i="7"/>
  <c r="D61" i="7"/>
  <c r="D20" i="32"/>
  <c r="D255" i="45"/>
  <c r="O283" i="7"/>
  <c r="D106" i="32"/>
  <c r="D259" i="45"/>
  <c r="O61" i="7"/>
  <c r="D454" i="7"/>
  <c r="O257" i="7"/>
  <c r="D295" i="7"/>
  <c r="D211" i="7"/>
  <c r="D218" i="32"/>
  <c r="O120" i="7"/>
  <c r="O221" i="7"/>
  <c r="D76" i="7"/>
  <c r="D243" i="7"/>
  <c r="D85" i="7"/>
  <c r="O358" i="7"/>
  <c r="D356" i="7"/>
  <c r="O542" i="7"/>
  <c r="D364" i="7"/>
  <c r="D120" i="45"/>
  <c r="D462" i="30"/>
  <c r="D167" i="32"/>
  <c r="O571" i="7"/>
  <c r="O166" i="7"/>
  <c r="D574" i="7"/>
  <c r="D422" i="32"/>
  <c r="D391" i="32"/>
  <c r="D301" i="32"/>
  <c r="O375" i="7"/>
  <c r="D325" i="32"/>
  <c r="D140" i="32"/>
  <c r="D323" i="32"/>
  <c r="C97" i="7" l="1"/>
  <c r="C165" i="7"/>
  <c r="C31" i="7"/>
  <c r="C534" i="7"/>
  <c r="C17" i="7"/>
  <c r="C525" i="7"/>
  <c r="C349" i="7"/>
  <c r="C393" i="7"/>
  <c r="C364" i="7"/>
  <c r="C558" i="7"/>
  <c r="C332" i="7"/>
  <c r="C245" i="7"/>
  <c r="C215" i="7"/>
  <c r="C243" i="7"/>
  <c r="C211" i="7"/>
  <c r="C85" i="7"/>
  <c r="C574" i="7"/>
  <c r="C356" i="7"/>
  <c r="C61" i="7"/>
  <c r="C117" i="7"/>
  <c r="C76" i="7"/>
  <c r="D324" i="7"/>
  <c r="D115" i="7"/>
  <c r="O574" i="7"/>
  <c r="D279" i="7"/>
  <c r="O104" i="7"/>
  <c r="D364" i="32"/>
  <c r="C279" i="7" l="1"/>
  <c r="C115" i="7"/>
  <c r="C324" i="7"/>
  <c r="O538" i="7"/>
  <c r="D386" i="32"/>
  <c r="O265" i="7"/>
  <c r="D63" i="7"/>
  <c r="O99" i="7"/>
  <c r="D73" i="7"/>
  <c r="D104" i="7"/>
  <c r="D70" i="7"/>
  <c r="O133" i="7"/>
  <c r="D331" i="7"/>
  <c r="D285" i="32"/>
  <c r="D516" i="32"/>
  <c r="C63" i="7" l="1"/>
  <c r="O356" i="7"/>
  <c r="D164" i="32"/>
  <c r="C70" i="7" l="1"/>
  <c r="C73" i="7"/>
  <c r="D151" i="7"/>
  <c r="D404" i="7"/>
  <c r="C151" i="7" l="1"/>
  <c r="C404" i="7"/>
  <c r="C331" i="7"/>
  <c r="C104" i="7"/>
  <c r="D238" i="32"/>
  <c r="D353" i="7"/>
  <c r="D378" i="32"/>
  <c r="D283" i="32"/>
  <c r="D49" i="7"/>
  <c r="D424" i="32"/>
  <c r="D94" i="32"/>
  <c r="D76" i="32"/>
  <c r="D246" i="32"/>
  <c r="D319" i="45"/>
  <c r="D8" i="32"/>
  <c r="D16" i="32"/>
  <c r="D474" i="32"/>
  <c r="D475" i="32"/>
  <c r="D258" i="32"/>
  <c r="D99" i="7"/>
  <c r="D67" i="32"/>
  <c r="D104" i="45"/>
  <c r="D318" i="32"/>
  <c r="D143" i="45"/>
  <c r="D501" i="7"/>
  <c r="D51" i="7"/>
  <c r="D510" i="32"/>
  <c r="D226" i="32"/>
  <c r="D243" i="32"/>
  <c r="D27" i="45"/>
  <c r="D458" i="32"/>
  <c r="D508" i="32"/>
  <c r="D266" i="32"/>
  <c r="D239" i="32"/>
  <c r="D408" i="32"/>
  <c r="D421" i="32"/>
  <c r="D329" i="32"/>
  <c r="D350" i="32"/>
  <c r="D284" i="45"/>
  <c r="D167" i="45"/>
  <c r="D529" i="32"/>
  <c r="D310" i="32"/>
  <c r="D407" i="32"/>
  <c r="D130" i="32"/>
  <c r="D299" i="32"/>
  <c r="D525" i="32"/>
  <c r="D10" i="32"/>
  <c r="D275" i="32"/>
  <c r="D260" i="45"/>
  <c r="D119" i="7"/>
  <c r="D450" i="32"/>
  <c r="C454" i="7" l="1"/>
  <c r="C295" i="7"/>
  <c r="A37" i="5" a="1"/>
  <c r="A37" i="5" s="1"/>
  <c r="C501" i="7"/>
  <c r="C99" i="7"/>
  <c r="A23" i="5" a="1"/>
  <c r="A23" i="5" s="1"/>
  <c r="A16" i="5" a="1"/>
  <c r="A16" i="5" s="1"/>
  <c r="A15" i="5" a="1"/>
  <c r="A15" i="5" s="1"/>
  <c r="A35" i="5" a="1"/>
  <c r="A35" i="5" s="1"/>
  <c r="A26" i="5" a="1"/>
  <c r="A26" i="5" s="1"/>
  <c r="A4" i="5" a="1"/>
  <c r="A4" i="5" s="1"/>
  <c r="A18" i="5" a="1"/>
  <c r="A18" i="5" s="1"/>
  <c r="A44" i="5" a="1"/>
  <c r="A44" i="5" s="1"/>
  <c r="A24" i="5" a="1"/>
  <c r="A24" i="5" s="1"/>
  <c r="A11" i="5" a="1"/>
  <c r="A11" i="5" s="1"/>
  <c r="A28" i="5" a="1"/>
  <c r="A28" i="5" s="1"/>
  <c r="A85" i="5" a="1"/>
  <c r="A85" i="5" s="1"/>
  <c r="A79" i="5" a="1"/>
  <c r="A79" i="5" s="1"/>
  <c r="A7" i="5" a="1"/>
  <c r="A7" i="5" s="1"/>
  <c r="A3" i="5" a="1"/>
  <c r="A3" i="5" s="1"/>
  <c r="A139" i="5" a="1"/>
  <c r="A139" i="5" s="1"/>
  <c r="A25" i="5" a="1"/>
  <c r="A25" i="5" s="1"/>
  <c r="A14" i="5" a="1"/>
  <c r="A14" i="5" s="1"/>
  <c r="A63" i="5" a="1"/>
  <c r="A63" i="5" s="1"/>
  <c r="A48" i="5" a="1"/>
  <c r="A48" i="5" s="1"/>
  <c r="A76" i="5" a="1"/>
  <c r="A76" i="5" s="1"/>
  <c r="A69" i="5" a="1"/>
  <c r="A69" i="5" s="1"/>
  <c r="A62" i="5" a="1"/>
  <c r="A62" i="5" s="1"/>
  <c r="A61" i="5" a="1"/>
  <c r="A61" i="5" s="1"/>
  <c r="A50" i="5" a="1"/>
  <c r="A50" i="5" s="1"/>
  <c r="A51" i="5" a="1"/>
  <c r="A51" i="5" s="1"/>
  <c r="A39" i="5" a="1"/>
  <c r="A39" i="5" s="1"/>
  <c r="A32" i="5" a="1"/>
  <c r="A32" i="5" s="1"/>
  <c r="A88" i="5" a="1"/>
  <c r="A88" i="5" s="1"/>
  <c r="A133" i="5" a="1"/>
  <c r="A133" i="5" s="1"/>
  <c r="A125" i="5" a="1"/>
  <c r="A125" i="5" s="1"/>
  <c r="A109" i="5" a="1"/>
  <c r="A109" i="5" s="1"/>
  <c r="A87" i="5" a="1"/>
  <c r="A87" i="5" s="1"/>
  <c r="A68" i="5" a="1"/>
  <c r="A68" i="5" s="1"/>
  <c r="A46" i="5" a="1"/>
  <c r="A46" i="5" s="1"/>
  <c r="A123" i="5" a="1"/>
  <c r="A123" i="5" s="1"/>
  <c r="A103" i="5" a="1"/>
  <c r="A103" i="5" s="1"/>
  <c r="A92" i="5" a="1"/>
  <c r="A92" i="5" s="1"/>
  <c r="A137" i="5" a="1"/>
  <c r="A137" i="5" s="1"/>
  <c r="A131" i="5" a="1"/>
  <c r="A131" i="5" s="1"/>
  <c r="A135" i="5" a="1"/>
  <c r="A135" i="5" s="1"/>
  <c r="A130" i="5" a="1"/>
  <c r="A130" i="5" s="1"/>
  <c r="A129" i="5" a="1"/>
  <c r="A129" i="5" s="1"/>
  <c r="A124" i="5" a="1"/>
  <c r="A124" i="5" s="1"/>
  <c r="A117" i="5" a="1"/>
  <c r="A117" i="5" s="1"/>
  <c r="A120" i="5" a="1"/>
  <c r="A120" i="5" s="1"/>
  <c r="A114" i="5" a="1"/>
  <c r="A114" i="5" s="1"/>
  <c r="A106" i="5" a="1"/>
  <c r="A106" i="5" s="1"/>
  <c r="A108" i="5" a="1"/>
  <c r="A108" i="5" s="1"/>
  <c r="A107" i="5" a="1"/>
  <c r="A107" i="5" s="1"/>
  <c r="A102" i="5" a="1"/>
  <c r="A102" i="5" s="1"/>
  <c r="A99" i="5" a="1"/>
  <c r="A99" i="5" s="1"/>
  <c r="A97" i="5" a="1"/>
  <c r="A97" i="5" s="1"/>
  <c r="A86" i="5" a="1"/>
  <c r="A86" i="5" s="1"/>
  <c r="A91" i="5" a="1"/>
  <c r="A91" i="5" s="1"/>
  <c r="A83" i="5" a="1"/>
  <c r="A83" i="5" s="1"/>
  <c r="A80" i="5" a="1"/>
  <c r="A80" i="5" s="1"/>
  <c r="A71" i="5" a="1"/>
  <c r="A71" i="5" s="1"/>
  <c r="A65" i="5" a="1"/>
  <c r="A65" i="5" s="1"/>
  <c r="A58" i="5" a="1"/>
  <c r="A58" i="5" s="1"/>
  <c r="A55" i="5" a="1"/>
  <c r="A55" i="5" s="1"/>
  <c r="A49" i="5" a="1"/>
  <c r="A49" i="5" s="1"/>
  <c r="A43" i="5" a="1"/>
  <c r="A43" i="5" s="1"/>
  <c r="A40" i="5" a="1"/>
  <c r="A40" i="5" s="1"/>
  <c r="A31" i="5" a="1"/>
  <c r="A31" i="5" s="1"/>
  <c r="A21" i="5" a="1"/>
  <c r="A21" i="5" s="1"/>
  <c r="A132" i="5" a="1"/>
  <c r="A132" i="5" s="1"/>
  <c r="A75" i="5" a="1"/>
  <c r="A75" i="5" s="1"/>
  <c r="A42" i="5" a="1"/>
  <c r="A42" i="5" s="1"/>
  <c r="A93" i="5" a="1"/>
  <c r="A93" i="5" s="1"/>
  <c r="A118" i="5" a="1"/>
  <c r="A118" i="5" s="1"/>
  <c r="A20" i="5" a="1"/>
  <c r="A20" i="5" s="1"/>
  <c r="A17" i="5" a="1"/>
  <c r="A17" i="5" s="1"/>
  <c r="A8" i="5" a="1"/>
  <c r="A8" i="5" s="1"/>
  <c r="A6" i="5" a="1"/>
  <c r="A6" i="5" s="1"/>
  <c r="A22" i="5" a="1"/>
  <c r="A22" i="5" s="1"/>
  <c r="A9" i="5" a="1"/>
  <c r="A9" i="5" s="1"/>
  <c r="A84" i="5" a="1"/>
  <c r="A84" i="5" s="1"/>
  <c r="A12" i="5" a="1"/>
  <c r="A12" i="5" s="1"/>
  <c r="A10" i="5" a="1"/>
  <c r="A10" i="5" s="1"/>
  <c r="A30" i="5" a="1"/>
  <c r="A30" i="5" s="1"/>
  <c r="A19" i="5" a="1"/>
  <c r="A19" i="5" s="1"/>
  <c r="A72" i="5" a="1"/>
  <c r="A72" i="5" s="1"/>
  <c r="A56" i="5" a="1"/>
  <c r="A56" i="5" s="1"/>
  <c r="A41" i="5" a="1"/>
  <c r="A41" i="5" s="1"/>
  <c r="A78" i="5" a="1"/>
  <c r="A78" i="5" s="1"/>
  <c r="A74" i="5" a="1"/>
  <c r="A74" i="5" s="1"/>
  <c r="A70" i="5" a="1"/>
  <c r="A70" i="5" s="1"/>
  <c r="A60" i="5" a="1"/>
  <c r="A60" i="5" s="1"/>
  <c r="A57" i="5" a="1"/>
  <c r="A57" i="5" s="1"/>
  <c r="A52" i="5" a="1"/>
  <c r="A52" i="5" s="1"/>
  <c r="A47" i="5" a="1"/>
  <c r="A47" i="5" s="1"/>
  <c r="A34" i="5" a="1"/>
  <c r="A34" i="5" s="1"/>
  <c r="A36" i="5" a="1"/>
  <c r="A36" i="5" s="1"/>
  <c r="A33" i="5" a="1"/>
  <c r="A33" i="5" s="1"/>
  <c r="A128" i="5" a="1"/>
  <c r="A128" i="5" s="1"/>
  <c r="A110" i="5" a="1"/>
  <c r="A110" i="5" s="1"/>
  <c r="A101" i="5" a="1"/>
  <c r="A101" i="5" s="1"/>
  <c r="A81" i="5" a="1"/>
  <c r="A81" i="5" s="1"/>
  <c r="A59" i="5" a="1"/>
  <c r="A59" i="5" s="1"/>
  <c r="A13" i="5" a="1"/>
  <c r="A13" i="5" s="1"/>
  <c r="A121" i="5" a="1"/>
  <c r="A121" i="5" s="1"/>
  <c r="A95" i="5" a="1"/>
  <c r="A95" i="5" s="1"/>
  <c r="A77" i="5" a="1"/>
  <c r="A77" i="5" s="1"/>
  <c r="A136" i="5" a="1"/>
  <c r="A136" i="5" s="1"/>
  <c r="A134" i="5" a="1"/>
  <c r="A134" i="5" s="1"/>
  <c r="A127" i="5" a="1"/>
  <c r="A127" i="5" s="1"/>
  <c r="A126" i="5" a="1"/>
  <c r="A126" i="5" s="1"/>
  <c r="A122" i="5" a="1"/>
  <c r="A122" i="5" s="1"/>
  <c r="A112" i="5" a="1"/>
  <c r="A112" i="5" s="1"/>
  <c r="A115" i="5" a="1"/>
  <c r="A115" i="5" s="1"/>
  <c r="A116" i="5" a="1"/>
  <c r="A116" i="5" s="1"/>
  <c r="A113" i="5" a="1"/>
  <c r="A113" i="5" s="1"/>
  <c r="A111" i="5" a="1"/>
  <c r="A111" i="5" s="1"/>
  <c r="A96" i="5" a="1"/>
  <c r="A96" i="5" s="1"/>
  <c r="A105" i="5" a="1"/>
  <c r="A105" i="5" s="1"/>
  <c r="A104" i="5" a="1"/>
  <c r="A104" i="5" s="1"/>
  <c r="A100" i="5" a="1"/>
  <c r="A100" i="5" s="1"/>
  <c r="A94" i="5" a="1"/>
  <c r="A94" i="5" s="1"/>
  <c r="A98" i="5" a="1"/>
  <c r="A98" i="5" s="1"/>
  <c r="A89" i="5" a="1"/>
  <c r="A89" i="5" s="1"/>
  <c r="A90" i="5" a="1"/>
  <c r="A90" i="5" s="1"/>
  <c r="A82" i="5" a="1"/>
  <c r="A82" i="5" s="1"/>
  <c r="A73" i="5" a="1"/>
  <c r="A73" i="5" s="1"/>
  <c r="A67" i="5" a="1"/>
  <c r="A67" i="5" s="1"/>
  <c r="A66" i="5" a="1"/>
  <c r="A66" i="5" s="1"/>
  <c r="A64" i="5" a="1"/>
  <c r="A64" i="5" s="1"/>
  <c r="A54" i="5" a="1"/>
  <c r="A54" i="5" s="1"/>
  <c r="A53" i="5" a="1"/>
  <c r="A53" i="5" s="1"/>
  <c r="A45" i="5" a="1"/>
  <c r="A45" i="5" s="1"/>
  <c r="A38" i="5" a="1"/>
  <c r="A38" i="5" s="1"/>
  <c r="A29" i="5" a="1"/>
  <c r="A29" i="5" s="1"/>
  <c r="A27" i="5" a="1"/>
  <c r="A27" i="5" s="1"/>
  <c r="A5" i="5" a="1"/>
  <c r="A5" i="5" s="1"/>
  <c r="A138" i="5" a="1"/>
  <c r="A138" i="5" s="1"/>
  <c r="A119" i="5" a="1"/>
  <c r="A119" i="5" s="1"/>
  <c r="C119" i="7"/>
  <c r="C51" i="7"/>
  <c r="C353" i="7"/>
  <c r="C49" i="7"/>
  <c r="A21" i="2"/>
  <c r="A35" i="2"/>
  <c r="A30" i="2"/>
  <c r="A26" i="2"/>
  <c r="A20" i="2"/>
  <c r="A15" i="2"/>
  <c r="A9" i="2"/>
  <c r="A12" i="2"/>
  <c r="A38" i="2"/>
  <c r="A33" i="2"/>
  <c r="A29" i="2"/>
  <c r="A25" i="2"/>
  <c r="A19" i="2"/>
  <c r="A14" i="2"/>
  <c r="A8" i="2"/>
  <c r="A5" i="2"/>
  <c r="A22" i="2"/>
  <c r="A37" i="2"/>
  <c r="A32" i="2"/>
  <c r="A28" i="2"/>
  <c r="A24" i="2"/>
  <c r="A17" i="2"/>
  <c r="A11" i="2"/>
  <c r="A7" i="2"/>
  <c r="A4" i="2"/>
  <c r="A34" i="2"/>
  <c r="A18" i="2"/>
  <c r="A36" i="2"/>
  <c r="A31" i="2"/>
  <c r="A27" i="2"/>
  <c r="A23" i="2"/>
  <c r="A16" i="2"/>
  <c r="A10" i="2"/>
  <c r="A6" i="2"/>
  <c r="A3" i="2"/>
  <c r="A44" i="2"/>
  <c r="A66" i="2"/>
  <c r="A53" i="2"/>
  <c r="A40" i="2"/>
  <c r="A61" i="2"/>
  <c r="A52" i="2"/>
  <c r="A50" i="2"/>
  <c r="A68" i="2"/>
  <c r="A54" i="2"/>
  <c r="A62" i="2"/>
  <c r="A78" i="2"/>
  <c r="A59" i="2"/>
  <c r="A72" i="2"/>
  <c r="A46" i="2"/>
  <c r="A45" i="2"/>
  <c r="A79" i="2"/>
  <c r="A69" i="2"/>
  <c r="A81" i="2"/>
  <c r="A73" i="2"/>
  <c r="A42" i="2"/>
  <c r="A77" i="2"/>
  <c r="A80" i="2"/>
  <c r="A75" i="2"/>
  <c r="A49" i="2"/>
  <c r="A43" i="2"/>
  <c r="A58" i="2"/>
  <c r="A55" i="2"/>
  <c r="A48" i="2"/>
  <c r="A65" i="2"/>
  <c r="A74" i="2"/>
  <c r="A47" i="2"/>
  <c r="A71" i="2"/>
  <c r="A60" i="2"/>
  <c r="A67" i="2"/>
  <c r="A64" i="2"/>
  <c r="A39" i="2"/>
  <c r="A70" i="2"/>
  <c r="A51" i="2"/>
  <c r="A41" i="2"/>
  <c r="A56" i="2"/>
  <c r="A76" i="2"/>
  <c r="A63" i="2"/>
  <c r="A57" i="2"/>
  <c r="A13" i="2"/>
  <c r="A3" i="4"/>
  <c r="A175" i="4"/>
  <c r="A136" i="4"/>
  <c r="A211" i="4"/>
  <c r="A155" i="4"/>
  <c r="A106" i="4"/>
  <c r="A49" i="4"/>
  <c r="A123" i="4"/>
  <c r="A67" i="4"/>
  <c r="A114" i="4"/>
  <c r="A61" i="4"/>
  <c r="A59" i="4"/>
  <c r="A190" i="4"/>
  <c r="A163" i="4"/>
  <c r="A177" i="4"/>
  <c r="A58" i="4"/>
  <c r="A133" i="4"/>
  <c r="A96" i="4"/>
  <c r="A30" i="4"/>
  <c r="A19" i="4"/>
  <c r="A161" i="4"/>
  <c r="A8" i="4"/>
  <c r="A185" i="4"/>
  <c r="A210" i="4"/>
  <c r="A86" i="4"/>
  <c r="A199" i="4"/>
  <c r="A144" i="4"/>
  <c r="A57" i="4"/>
  <c r="A183" i="4"/>
  <c r="A209" i="4"/>
  <c r="A137" i="4"/>
  <c r="A92" i="4"/>
  <c r="A36" i="4"/>
  <c r="A134" i="4"/>
  <c r="A46" i="4"/>
  <c r="A101" i="4"/>
  <c r="A129" i="4"/>
  <c r="A181" i="4"/>
  <c r="A202" i="4"/>
  <c r="A173" i="4"/>
  <c r="A135" i="4"/>
  <c r="A203" i="4"/>
  <c r="A146" i="4"/>
  <c r="A103" i="4"/>
  <c r="A44" i="4"/>
  <c r="A200" i="4"/>
  <c r="A77" i="4"/>
  <c r="A13" i="4"/>
  <c r="A51" i="4"/>
  <c r="A14" i="4"/>
  <c r="A89" i="4"/>
  <c r="A18" i="4"/>
  <c r="A169" i="4"/>
  <c r="A119" i="4"/>
  <c r="A207" i="4"/>
  <c r="A99" i="4"/>
  <c r="A164" i="4"/>
  <c r="A193" i="4"/>
  <c r="A189" i="4"/>
  <c r="A172" i="4"/>
  <c r="A194" i="4"/>
  <c r="A198" i="4"/>
  <c r="A120" i="4"/>
  <c r="A83" i="4"/>
  <c r="A205" i="4"/>
  <c r="A95" i="4"/>
  <c r="A37" i="4"/>
  <c r="A82" i="4"/>
  <c r="A34" i="4"/>
  <c r="A90" i="4"/>
  <c r="A23" i="4"/>
  <c r="A179" i="4"/>
  <c r="A147" i="4"/>
  <c r="A208" i="4"/>
  <c r="A138" i="4"/>
  <c r="A87" i="4"/>
  <c r="A28" i="4"/>
  <c r="A182" i="4"/>
  <c r="A66" i="4"/>
  <c r="A112" i="4"/>
  <c r="A47" i="4"/>
  <c r="A4" i="4"/>
  <c r="A72" i="4"/>
  <c r="A32" i="4"/>
  <c r="A54" i="4"/>
  <c r="A60" i="4"/>
  <c r="A184" i="4"/>
  <c r="A156" i="4"/>
  <c r="A153" i="4"/>
  <c r="A108" i="4"/>
  <c r="A55" i="4"/>
  <c r="A132" i="4"/>
  <c r="A127" i="4"/>
  <c r="A42" i="4"/>
  <c r="A111" i="4"/>
  <c r="A5" i="4"/>
  <c r="A167" i="4"/>
  <c r="A187" i="4"/>
  <c r="A143" i="4"/>
  <c r="A79" i="4"/>
  <c r="A165" i="4"/>
  <c r="A191" i="4"/>
  <c r="A195" i="4"/>
  <c r="A196" i="4"/>
  <c r="A126" i="4"/>
  <c r="A85" i="4"/>
  <c r="A104" i="4"/>
  <c r="A39" i="4"/>
  <c r="A102" i="4"/>
  <c r="A24" i="4"/>
  <c r="A76" i="4"/>
  <c r="A29" i="4"/>
  <c r="A118" i="4"/>
  <c r="A154" i="4"/>
  <c r="A64" i="4"/>
  <c r="A124" i="4"/>
  <c r="A84" i="4"/>
  <c r="A7" i="4"/>
  <c r="A201" i="4"/>
  <c r="A130" i="4"/>
  <c r="A197" i="4"/>
  <c r="A139" i="4"/>
  <c r="A22" i="4"/>
  <c r="A10" i="4"/>
  <c r="A26" i="4"/>
  <c r="A206" i="4"/>
  <c r="A188" i="4"/>
  <c r="A110" i="4"/>
  <c r="A166" i="4"/>
  <c r="A176" i="4"/>
  <c r="A149" i="4"/>
  <c r="A65" i="4"/>
  <c r="A160" i="4"/>
  <c r="A71" i="4"/>
  <c r="A16" i="4"/>
  <c r="A73" i="4"/>
  <c r="A88" i="4"/>
  <c r="A174" i="4"/>
  <c r="A125" i="4"/>
  <c r="A170" i="4"/>
  <c r="A192" i="4"/>
  <c r="A121" i="4"/>
  <c r="A80" i="4"/>
  <c r="A162" i="4"/>
  <c r="A128" i="4"/>
  <c r="A48" i="4"/>
  <c r="A94" i="4"/>
  <c r="A41" i="4"/>
  <c r="A17" i="4"/>
  <c r="A20" i="4"/>
  <c r="A158" i="4"/>
  <c r="A122" i="4"/>
  <c r="A148" i="4"/>
  <c r="A100" i="4"/>
  <c r="A40" i="4"/>
  <c r="A204" i="4"/>
  <c r="A81" i="4"/>
  <c r="A25" i="4"/>
  <c r="A97" i="4"/>
  <c r="A98" i="4"/>
  <c r="A150" i="4"/>
  <c r="A105" i="4"/>
  <c r="A145" i="4"/>
  <c r="A116" i="4"/>
  <c r="A168" i="4"/>
  <c r="A178" i="4"/>
  <c r="A91" i="4"/>
  <c r="A69" i="4"/>
  <c r="A78" i="4"/>
  <c r="A27" i="4"/>
  <c r="A52" i="4"/>
  <c r="A9" i="4"/>
  <c r="A63" i="4"/>
  <c r="A31" i="4"/>
  <c r="A45" i="4"/>
  <c r="A171" i="4"/>
  <c r="A75" i="4"/>
  <c r="A115" i="4"/>
  <c r="A35" i="4"/>
  <c r="A152" i="4"/>
  <c r="A157" i="4"/>
  <c r="A70" i="4"/>
  <c r="A186" i="4"/>
  <c r="A141" i="4"/>
  <c r="A151" i="4"/>
  <c r="A50" i="4"/>
  <c r="A6" i="4"/>
  <c r="A15" i="4"/>
  <c r="A107" i="4"/>
  <c r="A53" i="4"/>
  <c r="A117" i="4"/>
  <c r="A56" i="4"/>
  <c r="A213" i="4"/>
  <c r="A131" i="4"/>
  <c r="A43" i="4"/>
  <c r="A140" i="4"/>
  <c r="A142" i="4"/>
  <c r="A33" i="4"/>
  <c r="A113" i="4"/>
  <c r="A11" i="4"/>
  <c r="A180" i="4"/>
  <c r="A21" i="4"/>
  <c r="A109" i="4"/>
  <c r="A62" i="4"/>
  <c r="A212" i="4"/>
  <c r="A74" i="4"/>
  <c r="A12" i="4"/>
  <c r="A68" i="4"/>
  <c r="A93" i="4"/>
  <c r="A38" i="4"/>
  <c r="A159" i="4"/>
  <c r="O117" i="7"/>
  <c r="D115" i="32"/>
  <c r="D507" i="32"/>
  <c r="D125" i="32"/>
  <c r="A101" i="3" l="1"/>
  <c r="A79" i="3"/>
  <c r="A57" i="3"/>
  <c r="A36" i="3"/>
  <c r="A95" i="3"/>
  <c r="A64" i="3"/>
  <c r="A30" i="3"/>
  <c r="A4" i="3"/>
  <c r="A81" i="3"/>
  <c r="A48" i="3"/>
  <c r="A13" i="3"/>
  <c r="A96" i="3"/>
  <c r="A47" i="3"/>
  <c r="A24" i="3"/>
  <c r="A106" i="3"/>
  <c r="A35" i="3"/>
  <c r="A86" i="3"/>
  <c r="A52" i="3"/>
  <c r="A59" i="3"/>
  <c r="A109" i="3"/>
  <c r="A49" i="3"/>
  <c r="A11" i="3"/>
  <c r="A88" i="3"/>
  <c r="A44" i="3"/>
  <c r="A8" i="3"/>
  <c r="A85" i="3"/>
  <c r="A75" i="3"/>
  <c r="A58" i="3"/>
  <c r="A100" i="3"/>
  <c r="A74" i="3"/>
  <c r="A54" i="3"/>
  <c r="A29" i="3"/>
  <c r="A82" i="3"/>
  <c r="A60" i="3"/>
  <c r="A22" i="3"/>
  <c r="A94" i="3"/>
  <c r="A77" i="3"/>
  <c r="A43" i="3"/>
  <c r="A111" i="3"/>
  <c r="A89" i="3"/>
  <c r="A39" i="3"/>
  <c r="A18" i="3"/>
  <c r="A104" i="3"/>
  <c r="A27" i="3"/>
  <c r="A83" i="3"/>
  <c r="A32" i="3"/>
  <c r="A55" i="3"/>
  <c r="A93" i="3"/>
  <c r="A33" i="3"/>
  <c r="A9" i="3"/>
  <c r="A84" i="3"/>
  <c r="A38" i="3"/>
  <c r="A62" i="3"/>
  <c r="A17" i="3"/>
  <c r="A21" i="3"/>
  <c r="A28" i="3"/>
  <c r="A91" i="3"/>
  <c r="A73" i="3"/>
  <c r="A46" i="3"/>
  <c r="A5" i="3"/>
  <c r="A72" i="3"/>
  <c r="A53" i="3"/>
  <c r="A12" i="3"/>
  <c r="A92" i="3"/>
  <c r="A71" i="3"/>
  <c r="A23" i="3"/>
  <c r="A108" i="3"/>
  <c r="A80" i="3"/>
  <c r="A34" i="3"/>
  <c r="A14" i="3"/>
  <c r="A67" i="3"/>
  <c r="A15" i="3"/>
  <c r="A70" i="3"/>
  <c r="A98" i="3"/>
  <c r="A26" i="3"/>
  <c r="A69" i="3"/>
  <c r="A25" i="3"/>
  <c r="A107" i="3"/>
  <c r="A56" i="3"/>
  <c r="A16" i="3"/>
  <c r="A78" i="3"/>
  <c r="A50" i="3"/>
  <c r="A105" i="3"/>
  <c r="A90" i="3"/>
  <c r="A61" i="3"/>
  <c r="A42" i="3"/>
  <c r="A112" i="3"/>
  <c r="A68" i="3"/>
  <c r="A40" i="3"/>
  <c r="A7" i="3"/>
  <c r="A87" i="3"/>
  <c r="A51" i="3"/>
  <c r="A19" i="3"/>
  <c r="A102" i="3"/>
  <c r="A66" i="3"/>
  <c r="A31" i="3"/>
  <c r="A10" i="3"/>
  <c r="A63" i="3"/>
  <c r="A3" i="3"/>
  <c r="A114" i="3"/>
  <c r="A115" i="3"/>
  <c r="A41" i="3"/>
  <c r="A110" i="3"/>
  <c r="A76" i="3"/>
  <c r="A6" i="3"/>
  <c r="A113" i="3"/>
  <c r="A65" i="3"/>
  <c r="A20" i="3"/>
  <c r="A97" i="3"/>
  <c r="A45" i="3"/>
  <c r="A37" i="3"/>
  <c r="A99" i="3"/>
  <c r="A103" i="3"/>
  <c r="E5" i="25"/>
  <c r="E13" i="25"/>
  <c r="E21" i="25"/>
  <c r="E29" i="25"/>
  <c r="E3" i="25"/>
  <c r="E11" i="25"/>
  <c r="E19" i="25"/>
  <c r="E31" i="25"/>
  <c r="E6" i="25"/>
  <c r="E14" i="25"/>
  <c r="E22" i="25"/>
  <c r="E30" i="25"/>
  <c r="E4" i="25"/>
  <c r="E12" i="25"/>
  <c r="E20" i="25"/>
  <c r="E28" i="25"/>
  <c r="E9" i="25"/>
  <c r="E17" i="25"/>
  <c r="E25" i="25"/>
  <c r="E33" i="25"/>
  <c r="E7" i="25"/>
  <c r="E15" i="25"/>
  <c r="E23" i="25"/>
  <c r="E27" i="25"/>
  <c r="E10" i="25"/>
  <c r="E18" i="25"/>
  <c r="E26" i="25"/>
  <c r="E2" i="25"/>
  <c r="E8" i="25"/>
  <c r="E16" i="25"/>
  <c r="E24" i="25"/>
  <c r="E32" i="25"/>
  <c r="O103" i="7"/>
  <c r="D189" i="7"/>
  <c r="D371" i="7"/>
  <c r="D476" i="7"/>
  <c r="C476" i="7" l="1"/>
  <c r="C371" i="7"/>
  <c r="C189" i="7"/>
  <c r="K23" i="29"/>
  <c r="I121" i="29"/>
  <c r="C121" i="29"/>
  <c r="I73" i="29"/>
  <c r="J73" i="29"/>
  <c r="J217" i="29"/>
  <c r="J97" i="29"/>
  <c r="I97" i="29"/>
  <c r="J121" i="29"/>
  <c r="I217" i="29"/>
  <c r="J145" i="29"/>
  <c r="I145" i="29"/>
  <c r="C241" i="29"/>
  <c r="I169" i="29"/>
  <c r="J169" i="29"/>
  <c r="Y6" i="29"/>
  <c r="Z6" i="29" s="1"/>
  <c r="Y8" i="29"/>
  <c r="Z8" i="29" s="1"/>
  <c r="Y7" i="29"/>
  <c r="Z7" i="29" s="1"/>
  <c r="D339" i="32"/>
  <c r="D26" i="32"/>
  <c r="D265" i="29" l="1"/>
  <c r="D169" i="29"/>
  <c r="D121" i="29"/>
  <c r="D97" i="29"/>
  <c r="C97" i="29"/>
  <c r="C217" i="29"/>
  <c r="D241" i="29"/>
  <c r="C265" i="29"/>
  <c r="D145" i="29"/>
  <c r="J241" i="29"/>
  <c r="I241" i="29"/>
  <c r="C145" i="29"/>
  <c r="D193" i="29"/>
  <c r="C193" i="29"/>
  <c r="D217" i="29"/>
  <c r="D43" i="45"/>
  <c r="D208" i="45"/>
  <c r="D464" i="32"/>
  <c r="C169" i="29" l="1"/>
  <c r="I193" i="29"/>
  <c r="J193" i="29"/>
  <c r="D147" i="7"/>
  <c r="C147" i="7" l="1"/>
  <c r="G79" i="7"/>
  <c r="G561" i="7"/>
  <c r="G359" i="7"/>
  <c r="C73" i="29" s="1"/>
  <c r="D73" i="29" l="1"/>
  <c r="G301" i="7" l="1"/>
  <c r="G278" i="7" l="1"/>
  <c r="G212" i="7"/>
  <c r="G536" i="7"/>
  <c r="G368" i="7"/>
  <c r="G160" i="7"/>
  <c r="G448" i="7"/>
  <c r="G219" i="7"/>
  <c r="G552" i="7"/>
  <c r="G548" i="7"/>
  <c r="C49" i="29" l="1"/>
  <c r="Y3" i="29"/>
  <c r="Z3" i="29" s="1"/>
  <c r="D49" i="29" l="1"/>
  <c r="Y5" i="29"/>
  <c r="Z5" i="29" s="1"/>
  <c r="G235" i="7" l="1"/>
  <c r="G118" i="7"/>
  <c r="G186" i="7" l="1"/>
  <c r="A4" i="7" l="1"/>
  <c r="A8" i="7" s="1"/>
  <c r="Y4" i="29"/>
  <c r="C23" i="29"/>
  <c r="Z4" i="29" l="1"/>
  <c r="Z9" i="29" s="1"/>
  <c r="Y9" i="29"/>
  <c r="D3" i="29" l="1"/>
  <c r="D23" i="29" s="1"/>
  <c r="B4" i="7" l="1"/>
  <c r="G377" i="7"/>
  <c r="I30" i="29" s="1"/>
  <c r="B2" i="7"/>
  <c r="G568" i="7"/>
  <c r="I29" i="29" s="1"/>
  <c r="I49" i="29" l="1"/>
  <c r="J30" i="29" l="1"/>
  <c r="J29" i="29"/>
  <c r="J49" i="29" l="1"/>
  <c r="H510" i="32"/>
  <c r="D183" i="7"/>
  <c r="D25" i="32"/>
  <c r="D188" i="32"/>
  <c r="D259" i="32"/>
  <c r="D100" i="32"/>
  <c r="O155" i="7"/>
  <c r="O151" i="7"/>
  <c r="H502" i="32"/>
  <c r="D254" i="30"/>
  <c r="H79" i="32"/>
  <c r="D174" i="32"/>
  <c r="H293" i="32"/>
  <c r="H345" i="32"/>
  <c r="H297" i="32"/>
  <c r="D268" i="32"/>
  <c r="D488" i="32"/>
  <c r="D75" i="32"/>
  <c r="D113" i="32"/>
  <c r="D312" i="32"/>
  <c r="D195" i="32"/>
  <c r="D116" i="32"/>
  <c r="D414" i="32"/>
  <c r="H188" i="32"/>
  <c r="H259" i="45"/>
  <c r="D118" i="32"/>
  <c r="O369" i="7"/>
  <c r="H112" i="32"/>
  <c r="H463" i="32"/>
  <c r="D199" i="32"/>
  <c r="D314" i="32"/>
  <c r="H27" i="32"/>
  <c r="D221" i="32"/>
  <c r="H106" i="32"/>
  <c r="H505" i="32"/>
  <c r="D173" i="32"/>
  <c r="D490" i="32"/>
  <c r="D124" i="32"/>
  <c r="D341" i="7"/>
  <c r="D96" i="32"/>
  <c r="D370" i="32"/>
  <c r="D461" i="32"/>
  <c r="D110" i="32"/>
  <c r="D222" i="32"/>
  <c r="D71" i="32"/>
  <c r="D73" i="32"/>
  <c r="H441" i="32"/>
  <c r="D288" i="32"/>
  <c r="D445" i="32"/>
  <c r="D42" i="32"/>
  <c r="D535" i="32"/>
  <c r="H55" i="32"/>
  <c r="D328" i="32"/>
  <c r="H86" i="32"/>
  <c r="O16" i="7"/>
  <c r="H132" i="32"/>
  <c r="D166" i="32"/>
  <c r="D19" i="32"/>
  <c r="D280" i="32"/>
  <c r="D181" i="32"/>
  <c r="D62" i="32"/>
  <c r="D80" i="32"/>
  <c r="H369" i="32"/>
  <c r="D429" i="32"/>
  <c r="D278" i="32"/>
  <c r="D447" i="32"/>
  <c r="H396" i="32"/>
  <c r="D136" i="32"/>
  <c r="D204" i="7"/>
  <c r="H376" i="32"/>
  <c r="D501" i="32"/>
  <c r="D112" i="32"/>
  <c r="H33" i="30"/>
  <c r="O459" i="7"/>
  <c r="D451" i="32"/>
  <c r="H181" i="32"/>
  <c r="D135" i="32"/>
  <c r="D92" i="32"/>
  <c r="D223" i="32"/>
  <c r="D260" i="32"/>
  <c r="D33" i="32"/>
  <c r="H295" i="32"/>
  <c r="D498" i="32"/>
  <c r="D308" i="32"/>
  <c r="D297" i="32"/>
  <c r="D304" i="32"/>
  <c r="D17" i="32"/>
  <c r="H135" i="32"/>
  <c r="D313" i="32"/>
  <c r="H347" i="32"/>
  <c r="D145" i="32"/>
  <c r="H442" i="32"/>
  <c r="D567" i="7"/>
  <c r="H35" i="32"/>
  <c r="H239" i="32"/>
  <c r="D455" i="32"/>
  <c r="H329" i="32"/>
  <c r="H454" i="32"/>
  <c r="D459" i="32"/>
  <c r="H23" i="32"/>
  <c r="H282" i="32"/>
  <c r="H326" i="32"/>
  <c r="H423" i="32"/>
  <c r="H524" i="32"/>
  <c r="D452" i="32"/>
  <c r="H221" i="32"/>
  <c r="H58" i="32"/>
  <c r="H137" i="32"/>
  <c r="H237" i="32"/>
  <c r="D486" i="7"/>
  <c r="D134" i="32"/>
  <c r="D509" i="32"/>
  <c r="D615" i="7"/>
  <c r="H178" i="30"/>
  <c r="H193" i="32"/>
  <c r="H250" i="32"/>
  <c r="H372" i="32"/>
  <c r="H228" i="32"/>
  <c r="D448" i="32"/>
  <c r="D103" i="7"/>
  <c r="D437" i="32"/>
  <c r="H462" i="30"/>
  <c r="H328" i="32"/>
  <c r="D228" i="32"/>
  <c r="D481" i="32"/>
  <c r="D244" i="32"/>
  <c r="D5" i="32"/>
  <c r="H506" i="32"/>
  <c r="D346" i="32"/>
  <c r="D338" i="32"/>
  <c r="H175" i="32"/>
  <c r="H305" i="32"/>
  <c r="D484" i="32"/>
  <c r="H260" i="32"/>
  <c r="H540" i="32"/>
  <c r="D294" i="32"/>
  <c r="D295" i="32"/>
  <c r="D380" i="32"/>
  <c r="D70" i="32"/>
  <c r="D206" i="45"/>
  <c r="D415" i="32"/>
  <c r="H355" i="32"/>
  <c r="D355" i="32"/>
  <c r="D8" i="30"/>
  <c r="D232" i="32"/>
  <c r="D139" i="32"/>
  <c r="D209" i="32"/>
  <c r="D392" i="32"/>
  <c r="D335" i="32"/>
  <c r="O434" i="7"/>
  <c r="H214" i="32"/>
  <c r="D369" i="7"/>
  <c r="D26" i="31"/>
  <c r="D286" i="32"/>
  <c r="D144" i="32"/>
  <c r="H538" i="32"/>
  <c r="D122" i="32"/>
  <c r="O114" i="7"/>
  <c r="D359" i="32"/>
  <c r="H273" i="32"/>
  <c r="D389" i="32"/>
  <c r="D199" i="45"/>
  <c r="D303" i="32"/>
  <c r="H115" i="32"/>
  <c r="H290" i="32"/>
  <c r="D148" i="32"/>
  <c r="H184" i="32"/>
  <c r="H537" i="32"/>
  <c r="D196" i="32"/>
  <c r="D190" i="7"/>
  <c r="D212" i="32"/>
  <c r="D202" i="30"/>
  <c r="D500" i="32"/>
  <c r="H266" i="32"/>
  <c r="D409" i="32"/>
  <c r="D109" i="32"/>
  <c r="H531" i="32"/>
  <c r="D132" i="32"/>
  <c r="D120" i="32"/>
  <c r="H263" i="32"/>
  <c r="H254" i="30"/>
  <c r="D236" i="32"/>
  <c r="D38" i="45"/>
  <c r="D515" i="32"/>
  <c r="D4" i="32"/>
  <c r="D114" i="32"/>
  <c r="D402" i="32"/>
  <c r="D465" i="32"/>
  <c r="D306" i="32"/>
  <c r="H448" i="32"/>
  <c r="D524" i="32"/>
  <c r="D24" i="32"/>
  <c r="D37" i="32"/>
  <c r="D472" i="32"/>
  <c r="D233" i="32"/>
  <c r="D517" i="32"/>
  <c r="H96" i="32"/>
  <c r="D124" i="7"/>
  <c r="H268" i="32"/>
  <c r="D384" i="32"/>
  <c r="D329" i="31"/>
  <c r="D482" i="32"/>
  <c r="H429" i="32"/>
  <c r="D59" i="30"/>
  <c r="H476" i="32"/>
  <c r="H170" i="32"/>
  <c r="H49" i="32"/>
  <c r="H272" i="32"/>
  <c r="H222" i="30"/>
  <c r="D395" i="32"/>
  <c r="D263" i="32"/>
  <c r="D273" i="32"/>
  <c r="D165" i="32"/>
  <c r="D53" i="32"/>
  <c r="H93" i="32"/>
  <c r="H261" i="32"/>
  <c r="H388" i="30"/>
  <c r="H360" i="32"/>
  <c r="H235" i="32"/>
  <c r="D198" i="7"/>
  <c r="D133" i="45"/>
  <c r="D221" i="7"/>
  <c r="D289" i="32"/>
  <c r="D247" i="32"/>
  <c r="H244" i="32"/>
  <c r="H357" i="32"/>
  <c r="D56" i="7"/>
  <c r="H288" i="32"/>
  <c r="H172" i="32"/>
  <c r="D416" i="32"/>
  <c r="H380" i="32"/>
  <c r="D270" i="45"/>
  <c r="D234" i="32"/>
  <c r="H462" i="32"/>
  <c r="H140" i="32"/>
  <c r="D367" i="30"/>
  <c r="D12" i="32"/>
  <c r="H521" i="32"/>
  <c r="H427" i="32"/>
  <c r="H346" i="32"/>
  <c r="D499" i="32"/>
  <c r="D249" i="32"/>
  <c r="D538" i="7"/>
  <c r="O439" i="7"/>
  <c r="D432" i="32"/>
  <c r="H213" i="32"/>
  <c r="H159" i="32"/>
  <c r="D358" i="32"/>
  <c r="H343" i="32"/>
  <c r="H262" i="32"/>
  <c r="H72" i="32"/>
  <c r="D485" i="32"/>
  <c r="D114" i="7"/>
  <c r="H392" i="32"/>
  <c r="D519" i="32"/>
  <c r="D51" i="32"/>
  <c r="H186" i="32"/>
  <c r="D39" i="32"/>
  <c r="H416" i="32"/>
  <c r="H61" i="32"/>
  <c r="D371" i="32"/>
  <c r="H408" i="32"/>
  <c r="O73" i="7"/>
  <c r="D341" i="32"/>
  <c r="H316" i="32"/>
  <c r="H299" i="32"/>
  <c r="H321" i="32"/>
  <c r="H342" i="32"/>
  <c r="H165" i="32"/>
  <c r="O520" i="7"/>
  <c r="D479" i="32"/>
  <c r="D59" i="32"/>
  <c r="D491" i="32"/>
  <c r="H440" i="32"/>
  <c r="D81" i="32"/>
  <c r="O341" i="7"/>
  <c r="D261" i="32"/>
  <c r="H384" i="32"/>
  <c r="D362" i="32"/>
  <c r="H67" i="32"/>
  <c r="D353" i="32"/>
  <c r="H464" i="32"/>
  <c r="H204" i="32"/>
  <c r="D351" i="32"/>
  <c r="H526" i="32"/>
  <c r="D433" i="32"/>
  <c r="D237" i="32"/>
  <c r="D251" i="32"/>
  <c r="H94" i="32"/>
  <c r="D404" i="32"/>
  <c r="H523" i="32"/>
  <c r="H386" i="32"/>
  <c r="H494" i="32"/>
  <c r="H232" i="45"/>
  <c r="D284" i="32"/>
  <c r="D27" i="32"/>
  <c r="D82" i="32"/>
  <c r="H63" i="30"/>
  <c r="H267" i="32"/>
  <c r="H362" i="32"/>
  <c r="D327" i="32"/>
  <c r="H390" i="32"/>
  <c r="D473" i="32"/>
  <c r="H139" i="32"/>
  <c r="H271" i="32"/>
  <c r="H300" i="32"/>
  <c r="H415" i="32"/>
  <c r="D72" i="32"/>
  <c r="D306" i="45"/>
  <c r="H461" i="32"/>
  <c r="H325" i="32"/>
  <c r="H177" i="32"/>
  <c r="D240" i="32"/>
  <c r="D95" i="32"/>
  <c r="D149" i="32"/>
  <c r="D60" i="32"/>
  <c r="D91" i="32"/>
  <c r="H134" i="32"/>
  <c r="H280" i="32"/>
  <c r="O57" i="7"/>
  <c r="D497" i="32"/>
  <c r="H489" i="32"/>
  <c r="D419" i="30"/>
  <c r="H212" i="32"/>
  <c r="D421" i="30"/>
  <c r="H431" i="32"/>
  <c r="D530" i="32"/>
  <c r="D23" i="32"/>
  <c r="O488" i="7"/>
  <c r="D159" i="32"/>
  <c r="H131" i="32"/>
  <c r="H196" i="32"/>
  <c r="D2" i="32"/>
  <c r="H125" i="32"/>
  <c r="D97" i="32"/>
  <c r="D440" i="32"/>
  <c r="D360" i="32"/>
  <c r="H26" i="32"/>
  <c r="H460" i="32"/>
  <c r="D430" i="32"/>
  <c r="H238" i="32"/>
  <c r="D272" i="32"/>
  <c r="H160" i="32"/>
  <c r="H63" i="32"/>
  <c r="H197" i="32"/>
  <c r="D57" i="32"/>
  <c r="H504" i="32"/>
  <c r="H51" i="32"/>
  <c r="H417" i="32"/>
  <c r="D151" i="32"/>
  <c r="O144" i="7"/>
  <c r="H397" i="32"/>
  <c r="O411" i="7"/>
  <c r="D103" i="32"/>
  <c r="H211" i="32"/>
  <c r="H497" i="32"/>
  <c r="H313" i="32"/>
  <c r="D317" i="32"/>
  <c r="H516" i="32"/>
  <c r="H224" i="32"/>
  <c r="D127" i="32"/>
  <c r="D489" i="32"/>
  <c r="D50" i="32"/>
  <c r="D460" i="32"/>
  <c r="D291" i="32"/>
  <c r="D347" i="32"/>
  <c r="H32" i="32"/>
  <c r="H202" i="30"/>
  <c r="D142" i="32"/>
  <c r="H210" i="32"/>
  <c r="D270" i="32"/>
  <c r="H381" i="32"/>
  <c r="H371" i="32"/>
  <c r="H465" i="32"/>
  <c r="D241" i="32"/>
  <c r="H389" i="32"/>
  <c r="D205" i="31"/>
  <c r="D518" i="32"/>
  <c r="H120" i="32"/>
  <c r="H12" i="32"/>
  <c r="D334" i="32"/>
  <c r="H90" i="32"/>
  <c r="H474" i="32"/>
  <c r="D349" i="32"/>
  <c r="H147" i="32"/>
  <c r="D465" i="7"/>
  <c r="D33" i="30"/>
  <c r="D54" i="32"/>
  <c r="H394" i="30"/>
  <c r="H541" i="32"/>
  <c r="D15" i="32"/>
  <c r="D238" i="31"/>
  <c r="H83" i="32"/>
  <c r="H367" i="30"/>
  <c r="H68" i="32"/>
  <c r="D385" i="32"/>
  <c r="D368" i="32"/>
  <c r="D478" i="32"/>
  <c r="H85" i="32"/>
  <c r="D467" i="32"/>
  <c r="D483" i="32"/>
  <c r="D316" i="32"/>
  <c r="D287" i="32"/>
  <c r="H485" i="32"/>
  <c r="D231" i="32"/>
  <c r="H437" i="32"/>
  <c r="O486" i="7"/>
  <c r="D477" i="32"/>
  <c r="D182" i="45"/>
  <c r="H426" i="32"/>
  <c r="H428" i="32"/>
  <c r="H128" i="32"/>
  <c r="H330" i="32"/>
  <c r="D502" i="32"/>
  <c r="H432" i="32"/>
  <c r="H64" i="32"/>
  <c r="D229" i="32"/>
  <c r="D396" i="32"/>
  <c r="D102" i="32"/>
  <c r="D296" i="32"/>
  <c r="D265" i="32"/>
  <c r="D30" i="32"/>
  <c r="H251" i="32"/>
  <c r="H400" i="32"/>
  <c r="H281" i="32"/>
  <c r="D86" i="32"/>
  <c r="H325" i="45"/>
  <c r="H528" i="32"/>
  <c r="D202" i="32"/>
  <c r="H473" i="32"/>
  <c r="H201" i="32"/>
  <c r="H234" i="32"/>
  <c r="D393" i="32"/>
  <c r="H173" i="32"/>
  <c r="H395" i="32"/>
  <c r="D388" i="32"/>
  <c r="H185" i="32"/>
  <c r="H477" i="32"/>
  <c r="H164" i="32"/>
  <c r="H388" i="32"/>
  <c r="D305" i="32"/>
  <c r="D488" i="7"/>
  <c r="D79" i="32"/>
  <c r="D161" i="45"/>
  <c r="H130" i="32"/>
  <c r="D511" i="7"/>
  <c r="H323" i="32"/>
  <c r="D546" i="7"/>
  <c r="H535" i="32"/>
  <c r="H356" i="32"/>
  <c r="H472" i="32"/>
  <c r="D214" i="32"/>
  <c r="D45" i="32"/>
  <c r="H99" i="32"/>
  <c r="H195" i="32"/>
  <c r="D184" i="32"/>
  <c r="H490" i="32"/>
  <c r="D381" i="32"/>
  <c r="D273" i="7"/>
  <c r="H391" i="32"/>
  <c r="D403" i="32"/>
  <c r="D279" i="32"/>
  <c r="H208" i="32"/>
  <c r="D52" i="32"/>
  <c r="H307" i="32"/>
  <c r="H398" i="32"/>
  <c r="D533" i="32"/>
  <c r="H419" i="30"/>
  <c r="H296" i="32"/>
  <c r="H290" i="45"/>
  <c r="D210" i="32"/>
  <c r="H124" i="32"/>
  <c r="D522" i="32"/>
  <c r="H8" i="30"/>
  <c r="H190" i="32"/>
  <c r="D388" i="30"/>
  <c r="D185" i="32"/>
  <c r="H59" i="30"/>
  <c r="D264" i="32"/>
  <c r="H8" i="32"/>
  <c r="D358" i="7"/>
  <c r="H509" i="32"/>
  <c r="D302" i="32"/>
  <c r="H491" i="32"/>
  <c r="H37" i="32"/>
  <c r="D265" i="7"/>
  <c r="H379" i="32"/>
  <c r="H14" i="32"/>
  <c r="H222" i="32"/>
  <c r="D88" i="32"/>
  <c r="H6" i="32"/>
  <c r="H227" i="32"/>
  <c r="H207" i="32"/>
  <c r="D50" i="45"/>
  <c r="D182" i="32"/>
  <c r="D111" i="32"/>
  <c r="H247" i="32"/>
  <c r="H407" i="32"/>
  <c r="H215" i="32"/>
  <c r="H304" i="32"/>
  <c r="H91" i="32"/>
  <c r="H113" i="32"/>
  <c r="H370" i="32"/>
  <c r="D158" i="32"/>
  <c r="D233" i="45"/>
  <c r="O302" i="7"/>
  <c r="D405" i="32"/>
  <c r="D84" i="32"/>
  <c r="D537" i="32"/>
  <c r="H98" i="32"/>
  <c r="H240" i="32"/>
  <c r="H332" i="32"/>
  <c r="H39" i="32"/>
  <c r="D250" i="32"/>
  <c r="H513" i="32"/>
  <c r="D93" i="32"/>
  <c r="H533" i="32"/>
  <c r="H364" i="32"/>
  <c r="H89" i="32"/>
  <c r="D330" i="32"/>
  <c r="H349" i="32"/>
  <c r="O86" i="7"/>
  <c r="H30" i="32"/>
  <c r="H522" i="32"/>
  <c r="H301" i="32"/>
  <c r="D10" i="45"/>
  <c r="D480" i="7"/>
  <c r="D601" i="7"/>
  <c r="D171" i="7"/>
  <c r="H176" i="45"/>
  <c r="H31" i="30"/>
  <c r="D445" i="7"/>
  <c r="D605" i="7"/>
  <c r="H64" i="45"/>
  <c r="H337" i="30"/>
  <c r="D563" i="7"/>
  <c r="O582" i="7"/>
  <c r="H193" i="30"/>
  <c r="D131" i="7"/>
  <c r="H147" i="45"/>
  <c r="D301" i="30"/>
  <c r="D78" i="45"/>
  <c r="H240" i="30"/>
  <c r="H297" i="45"/>
  <c r="D177" i="30"/>
  <c r="D82" i="30"/>
  <c r="O394" i="7"/>
  <c r="O66" i="7"/>
  <c r="D258" i="31"/>
  <c r="D576" i="7"/>
  <c r="D274" i="7"/>
  <c r="H219" i="45"/>
  <c r="D26" i="45"/>
  <c r="O438" i="7"/>
  <c r="H186" i="30"/>
  <c r="O140" i="7"/>
  <c r="H47" i="45"/>
  <c r="D174" i="45"/>
  <c r="H208" i="30"/>
  <c r="D9" i="45"/>
  <c r="D240" i="30"/>
  <c r="D95" i="31"/>
  <c r="H99" i="30"/>
  <c r="H101" i="31"/>
  <c r="D218" i="31"/>
  <c r="O507" i="7"/>
  <c r="H58" i="45"/>
  <c r="D580" i="7"/>
  <c r="D273" i="45"/>
  <c r="D553" i="7"/>
  <c r="H367" i="32"/>
  <c r="D490" i="7"/>
  <c r="D116" i="31"/>
  <c r="D471" i="32"/>
  <c r="H70" i="32"/>
  <c r="D339" i="7"/>
  <c r="H306" i="32"/>
  <c r="O441" i="7"/>
  <c r="H16" i="32"/>
  <c r="H95" i="32"/>
  <c r="D356" i="32"/>
  <c r="H118" i="32"/>
  <c r="D163" i="30"/>
  <c r="D104" i="32"/>
  <c r="H49" i="30"/>
  <c r="D157" i="32"/>
  <c r="D182" i="7"/>
  <c r="D438" i="32"/>
  <c r="H444" i="32"/>
  <c r="H310" i="32"/>
  <c r="H119" i="32"/>
  <c r="D340" i="32"/>
  <c r="H515" i="32"/>
  <c r="H226" i="32"/>
  <c r="H53" i="32"/>
  <c r="H409" i="32"/>
  <c r="H481" i="32"/>
  <c r="H81" i="32"/>
  <c r="H116" i="32"/>
  <c r="D539" i="32"/>
  <c r="D287" i="45"/>
  <c r="H319" i="32"/>
  <c r="D131" i="32"/>
  <c r="H450" i="32"/>
  <c r="D343" i="32"/>
  <c r="H283" i="32"/>
  <c r="D153" i="32"/>
  <c r="H475" i="32"/>
  <c r="D147" i="32"/>
  <c r="H145" i="32"/>
  <c r="D70" i="45"/>
  <c r="H88" i="32"/>
  <c r="H352" i="32"/>
  <c r="H80" i="32"/>
  <c r="H142" i="32"/>
  <c r="H327" i="32"/>
  <c r="H291" i="32"/>
  <c r="H69" i="32"/>
  <c r="D442" i="32"/>
  <c r="H275" i="45"/>
  <c r="O609" i="7"/>
  <c r="D186" i="32"/>
  <c r="D245" i="32"/>
  <c r="H459" i="32"/>
  <c r="H276" i="32"/>
  <c r="H351" i="32"/>
  <c r="H254" i="32"/>
  <c r="D227" i="32"/>
  <c r="H17" i="32"/>
  <c r="H230" i="32"/>
  <c r="H61" i="45"/>
  <c r="H174" i="32"/>
  <c r="D398" i="32"/>
  <c r="D254" i="32"/>
  <c r="H414" i="32"/>
  <c r="O24" i="7"/>
  <c r="H171" i="32"/>
  <c r="D614" i="7"/>
  <c r="D354" i="32"/>
  <c r="D22" i="32"/>
  <c r="H277" i="32"/>
  <c r="D193" i="7"/>
  <c r="D390" i="32"/>
  <c r="H56" i="32"/>
  <c r="H288" i="45"/>
  <c r="D388" i="7"/>
  <c r="O178" i="7"/>
  <c r="H283" i="45"/>
  <c r="O203" i="7"/>
  <c r="H72" i="45"/>
  <c r="D562" i="7"/>
  <c r="O89" i="7"/>
  <c r="H243" i="31"/>
  <c r="H187" i="45"/>
  <c r="D13" i="7"/>
  <c r="D181" i="31"/>
  <c r="D140" i="7"/>
  <c r="H70" i="45"/>
  <c r="D457" i="32"/>
  <c r="H69" i="31"/>
  <c r="D500" i="7"/>
  <c r="O62" i="7"/>
  <c r="O21" i="7"/>
  <c r="D454" i="30"/>
  <c r="O481" i="7"/>
  <c r="D319" i="7"/>
  <c r="D220" i="45"/>
  <c r="H40" i="31"/>
  <c r="D259" i="7"/>
  <c r="D53" i="7"/>
  <c r="D230" i="32"/>
  <c r="H334" i="32"/>
  <c r="H279" i="32"/>
  <c r="H104" i="32"/>
  <c r="H155" i="32"/>
  <c r="H519" i="32"/>
  <c r="D444" i="32"/>
  <c r="D372" i="32"/>
  <c r="H322" i="32"/>
  <c r="H348" i="32"/>
  <c r="D193" i="32"/>
  <c r="H439" i="32"/>
  <c r="D194" i="45"/>
  <c r="H302" i="32"/>
  <c r="H445" i="32"/>
  <c r="H103" i="32"/>
  <c r="D315" i="32"/>
  <c r="D171" i="32"/>
  <c r="H25" i="32"/>
  <c r="D213" i="32"/>
  <c r="D456" i="32"/>
  <c r="O85" i="7"/>
  <c r="H529" i="32"/>
  <c r="H38" i="32"/>
  <c r="D222" i="30"/>
  <c r="D459" i="7"/>
  <c r="D538" i="32"/>
  <c r="H312" i="32"/>
  <c r="H151" i="32"/>
  <c r="D242" i="32"/>
  <c r="D83" i="32"/>
  <c r="D63" i="30"/>
  <c r="D107" i="32"/>
  <c r="H245" i="32"/>
  <c r="H456" i="32"/>
  <c r="H153" i="32"/>
  <c r="H3" i="32"/>
  <c r="H303" i="32"/>
  <c r="H15" i="32"/>
  <c r="D238" i="30"/>
  <c r="D28" i="31"/>
  <c r="D14" i="45"/>
  <c r="D371" i="30"/>
  <c r="H155" i="31"/>
  <c r="H291" i="30"/>
  <c r="D227" i="45"/>
  <c r="O93" i="7"/>
  <c r="D383" i="30"/>
  <c r="H178" i="45"/>
  <c r="H348" i="30"/>
  <c r="H267" i="30"/>
  <c r="D379" i="30"/>
  <c r="D250" i="45"/>
  <c r="D245" i="31"/>
  <c r="D46" i="30"/>
  <c r="D210" i="31"/>
  <c r="O461" i="7"/>
  <c r="O589" i="7"/>
  <c r="O436" i="7"/>
  <c r="D300" i="31"/>
  <c r="Z3" i="18"/>
  <c r="H427" i="30"/>
  <c r="H241" i="45"/>
  <c r="H224" i="31"/>
  <c r="D91" i="45"/>
  <c r="D70" i="30"/>
  <c r="O321" i="7"/>
  <c r="D321" i="31"/>
  <c r="O613" i="7"/>
  <c r="D154" i="45"/>
  <c r="D429" i="7"/>
  <c r="D200" i="7"/>
  <c r="D131" i="45"/>
  <c r="H345" i="31"/>
  <c r="H8" i="45"/>
  <c r="H255" i="32"/>
  <c r="D448" i="7"/>
  <c r="H139" i="45"/>
  <c r="D496" i="7"/>
  <c r="D164" i="7"/>
  <c r="D267" i="7"/>
  <c r="D203" i="31"/>
  <c r="D15" i="7"/>
  <c r="H325" i="31"/>
  <c r="O303" i="7"/>
  <c r="O311" i="7"/>
  <c r="D48" i="31"/>
  <c r="D207" i="7"/>
  <c r="D71" i="30"/>
  <c r="O291" i="7"/>
  <c r="D186" i="7"/>
  <c r="H130" i="45"/>
  <c r="H251" i="45"/>
  <c r="H105" i="45"/>
  <c r="H54" i="32"/>
  <c r="H436" i="32"/>
  <c r="D449" i="32"/>
  <c r="D394" i="30"/>
  <c r="D49" i="30"/>
  <c r="H248" i="32"/>
  <c r="O567" i="7"/>
  <c r="H65" i="32"/>
  <c r="H101" i="32"/>
  <c r="H52" i="32"/>
  <c r="H150" i="32"/>
  <c r="D9" i="32"/>
  <c r="H455" i="32"/>
  <c r="H340" i="32"/>
  <c r="D137" i="32"/>
  <c r="D555" i="7"/>
  <c r="D108" i="45"/>
  <c r="H399" i="32"/>
  <c r="D269" i="31"/>
  <c r="D129" i="45"/>
  <c r="D453" i="30"/>
  <c r="D132" i="30"/>
  <c r="O477" i="7"/>
  <c r="H50" i="45"/>
  <c r="D458" i="7"/>
  <c r="O572" i="7"/>
  <c r="D457" i="7"/>
  <c r="H185" i="30"/>
  <c r="H32" i="45"/>
  <c r="H46" i="32"/>
  <c r="D352" i="7"/>
  <c r="D8" i="45"/>
  <c r="O248" i="7"/>
  <c r="H116" i="30"/>
  <c r="D320" i="7"/>
  <c r="D189" i="31"/>
  <c r="D192" i="30"/>
  <c r="H268" i="45"/>
  <c r="O278" i="7"/>
  <c r="H161" i="31"/>
  <c r="O335" i="7"/>
  <c r="D162" i="45"/>
  <c r="D360" i="7"/>
  <c r="O513" i="7"/>
  <c r="H98" i="31"/>
  <c r="H274" i="45"/>
  <c r="H246" i="30"/>
  <c r="D358" i="30"/>
  <c r="O101" i="7"/>
  <c r="H37" i="31"/>
  <c r="O556" i="7"/>
  <c r="D56" i="45"/>
  <c r="H281" i="31"/>
  <c r="D25" i="30"/>
  <c r="D392" i="30"/>
  <c r="D37" i="30"/>
  <c r="H194" i="31"/>
  <c r="D94" i="31"/>
  <c r="H335" i="31"/>
  <c r="H34" i="30"/>
  <c r="D309" i="45"/>
  <c r="H238" i="30"/>
  <c r="D2" i="31"/>
  <c r="H83" i="30"/>
  <c r="H50" i="32"/>
  <c r="D77" i="32"/>
  <c r="H496" i="32"/>
  <c r="H285" i="32"/>
  <c r="O153" i="7"/>
  <c r="O211" i="7"/>
  <c r="D109" i="45"/>
  <c r="D520" i="32"/>
  <c r="D189" i="32"/>
  <c r="D150" i="32"/>
  <c r="O546" i="7"/>
  <c r="D365" i="32"/>
  <c r="H420" i="32"/>
  <c r="H518" i="32"/>
  <c r="D344" i="32"/>
  <c r="D141" i="32"/>
  <c r="D496" i="32"/>
  <c r="H7" i="32"/>
  <c r="H482" i="32"/>
  <c r="D200" i="32"/>
  <c r="H111" i="32"/>
  <c r="H223" i="32"/>
  <c r="D204" i="32"/>
  <c r="H102" i="32"/>
  <c r="O176" i="7"/>
  <c r="D101" i="32"/>
  <c r="D192" i="32"/>
  <c r="D282" i="32"/>
  <c r="H452" i="32"/>
  <c r="D441" i="32"/>
  <c r="H514" i="32"/>
  <c r="D172" i="32"/>
  <c r="H138" i="32"/>
  <c r="O198" i="7"/>
  <c r="H45" i="32"/>
  <c r="H87" i="32"/>
  <c r="H232" i="32"/>
  <c r="H95" i="45"/>
  <c r="D506" i="32"/>
  <c r="D38" i="32"/>
  <c r="D89" i="32"/>
  <c r="H321" i="45"/>
  <c r="H22" i="32"/>
  <c r="H187" i="32"/>
  <c r="D300" i="32"/>
  <c r="D133" i="32"/>
  <c r="D454" i="32"/>
  <c r="H100" i="32"/>
  <c r="H241" i="32"/>
  <c r="D201" i="32"/>
  <c r="D36" i="32"/>
  <c r="H484" i="32"/>
  <c r="H275" i="32"/>
  <c r="H368" i="32"/>
  <c r="H333" i="32"/>
  <c r="H218" i="32"/>
  <c r="H335" i="32"/>
  <c r="H517" i="32"/>
  <c r="H341" i="32"/>
  <c r="H243" i="32"/>
  <c r="D431" i="32"/>
  <c r="D190" i="32"/>
  <c r="D87" i="32"/>
  <c r="H359" i="32"/>
  <c r="H231" i="32"/>
  <c r="D68" i="32"/>
  <c r="H76" i="32"/>
  <c r="D119" i="32"/>
  <c r="H259" i="32"/>
  <c r="H339" i="32"/>
  <c r="H123" i="32"/>
  <c r="H74" i="32"/>
  <c r="O217" i="7"/>
  <c r="D134" i="45"/>
  <c r="D272" i="45"/>
  <c r="D449" i="30"/>
  <c r="D279" i="30"/>
  <c r="D489" i="7"/>
  <c r="D551" i="7"/>
  <c r="D74" i="30"/>
  <c r="D81" i="7"/>
  <c r="H299" i="45"/>
  <c r="H236" i="30"/>
  <c r="O564" i="7"/>
  <c r="D492" i="7"/>
  <c r="O351" i="7"/>
  <c r="D82" i="7"/>
  <c r="H104" i="45"/>
  <c r="D524" i="7"/>
  <c r="D224" i="7"/>
  <c r="O268" i="7"/>
  <c r="D240" i="7"/>
  <c r="H299" i="30"/>
  <c r="H343" i="30"/>
  <c r="H170" i="31"/>
  <c r="D22" i="30"/>
  <c r="D412" i="32"/>
  <c r="O14" i="7"/>
  <c r="D175" i="32"/>
  <c r="H286" i="45"/>
  <c r="H308" i="32"/>
  <c r="H189" i="32"/>
  <c r="O404" i="7"/>
  <c r="D215" i="32"/>
  <c r="D376" i="32"/>
  <c r="H166" i="32"/>
  <c r="H479" i="32"/>
  <c r="H252" i="30"/>
  <c r="H354" i="32"/>
  <c r="H287" i="32"/>
  <c r="H421" i="30"/>
  <c r="H507" i="32"/>
  <c r="D64" i="32"/>
  <c r="D290" i="32"/>
  <c r="H270" i="32"/>
  <c r="D200" i="45"/>
  <c r="H178" i="32"/>
  <c r="H149" i="32"/>
  <c r="D466" i="32"/>
  <c r="H29" i="32"/>
  <c r="H97" i="32"/>
  <c r="H161" i="32"/>
  <c r="D504" i="32"/>
  <c r="H5" i="32"/>
  <c r="D47" i="32"/>
  <c r="H167" i="32"/>
  <c r="H315" i="32"/>
  <c r="H403" i="32"/>
  <c r="D211" i="32"/>
  <c r="H249" i="32"/>
  <c r="H258" i="32"/>
  <c r="H120" i="45"/>
  <c r="H264" i="32"/>
  <c r="H265" i="32"/>
  <c r="H73" i="32"/>
  <c r="H191" i="32"/>
  <c r="H174" i="30"/>
  <c r="H177" i="45"/>
  <c r="Z29" i="18"/>
  <c r="D218" i="45"/>
  <c r="H322" i="45"/>
  <c r="D152" i="32"/>
  <c r="D309" i="32"/>
  <c r="D309" i="7"/>
  <c r="D206" i="7"/>
  <c r="D22" i="7"/>
  <c r="O125" i="7"/>
  <c r="D188" i="7"/>
  <c r="D52" i="31"/>
  <c r="H361" i="30"/>
  <c r="H370" i="30"/>
  <c r="D205" i="45"/>
  <c r="O473" i="7"/>
  <c r="D173" i="45"/>
  <c r="O522" i="7"/>
  <c r="O502" i="7"/>
  <c r="O509" i="7"/>
  <c r="H302" i="45"/>
  <c r="H144" i="45"/>
  <c r="H281" i="45"/>
  <c r="H205" i="45"/>
  <c r="H175" i="30"/>
  <c r="D102" i="7"/>
  <c r="D424" i="7"/>
  <c r="D292" i="7"/>
  <c r="D327" i="31"/>
  <c r="O385" i="7"/>
  <c r="O442" i="7"/>
  <c r="H324" i="30"/>
  <c r="H305" i="30"/>
  <c r="D133" i="31"/>
  <c r="D338" i="31"/>
  <c r="O67" i="7"/>
  <c r="O263" i="7"/>
  <c r="H211" i="45"/>
  <c r="H245" i="45"/>
  <c r="O380" i="7"/>
  <c r="D225" i="45"/>
  <c r="O450" i="7"/>
  <c r="D254" i="45"/>
  <c r="D218" i="30"/>
  <c r="O536" i="7"/>
  <c r="D566" i="7"/>
  <c r="H259" i="30"/>
  <c r="D144" i="31"/>
  <c r="D179" i="45"/>
  <c r="D118" i="30"/>
  <c r="O301" i="7"/>
  <c r="D519" i="7"/>
  <c r="H253" i="45"/>
  <c r="D58" i="7"/>
  <c r="D122" i="7"/>
  <c r="H305" i="31"/>
  <c r="O264" i="7"/>
  <c r="D267" i="31"/>
  <c r="H19" i="30"/>
  <c r="H188" i="45"/>
  <c r="D251" i="45"/>
  <c r="H176" i="32"/>
  <c r="Z14" i="18"/>
  <c r="H209" i="31"/>
  <c r="D361" i="7"/>
  <c r="O220" i="7"/>
  <c r="H236" i="45"/>
  <c r="O267" i="7"/>
  <c r="H418" i="32"/>
  <c r="D21" i="7"/>
  <c r="D184" i="7"/>
  <c r="H304" i="45"/>
  <c r="H119" i="45"/>
  <c r="H169" i="30"/>
  <c r="H336" i="30"/>
  <c r="D593" i="7"/>
  <c r="D342" i="7"/>
  <c r="H122" i="30"/>
  <c r="D19" i="45"/>
  <c r="D312" i="31"/>
  <c r="D385" i="7"/>
  <c r="H53" i="30"/>
  <c r="D202" i="31"/>
  <c r="D84" i="7"/>
  <c r="H298" i="30"/>
  <c r="O95" i="7"/>
  <c r="H71" i="31"/>
  <c r="D226" i="45"/>
  <c r="D366" i="7"/>
  <c r="O347" i="7"/>
  <c r="H45" i="31"/>
  <c r="H225" i="45"/>
  <c r="H80" i="45"/>
  <c r="H276" i="45"/>
  <c r="D556" i="7"/>
  <c r="D400" i="32"/>
  <c r="D513" i="32"/>
  <c r="D369" i="32"/>
  <c r="H480" i="32"/>
  <c r="H453" i="32"/>
  <c r="D178" i="30"/>
  <c r="D256" i="32"/>
  <c r="O212" i="7"/>
  <c r="D331" i="30"/>
  <c r="H132" i="30"/>
  <c r="H230" i="45"/>
  <c r="D396" i="7"/>
  <c r="D21" i="45"/>
  <c r="D71" i="7"/>
  <c r="H309" i="30"/>
  <c r="D146" i="31"/>
  <c r="D402" i="30"/>
  <c r="O256" i="7"/>
  <c r="D13" i="45"/>
  <c r="O149" i="7"/>
  <c r="D82" i="31"/>
  <c r="O504" i="7"/>
  <c r="H75" i="30"/>
  <c r="H128" i="45"/>
  <c r="D314" i="30"/>
  <c r="D299" i="30"/>
  <c r="D192" i="45"/>
  <c r="D182" i="30"/>
  <c r="D16" i="30"/>
  <c r="H164" i="45"/>
  <c r="H237" i="30"/>
  <c r="H358" i="32"/>
  <c r="D494" i="32"/>
  <c r="H350" i="32"/>
  <c r="D252" i="32"/>
  <c r="H62" i="32"/>
  <c r="D168" i="32"/>
  <c r="H233" i="32"/>
  <c r="D262" i="32"/>
  <c r="D299" i="45"/>
  <c r="D6" i="32"/>
  <c r="D69" i="32"/>
  <c r="H136" i="32"/>
  <c r="H511" i="32"/>
  <c r="D397" i="32"/>
  <c r="H405" i="32"/>
  <c r="D281" i="32"/>
  <c r="H10" i="32"/>
  <c r="H447" i="32"/>
  <c r="D3" i="32"/>
  <c r="H71" i="32"/>
  <c r="H402" i="32"/>
  <c r="D208" i="32"/>
  <c r="H11" i="32"/>
  <c r="D262" i="7"/>
  <c r="H289" i="32"/>
  <c r="H20" i="32"/>
  <c r="D420" i="32"/>
  <c r="H42" i="32"/>
  <c r="H60" i="32"/>
  <c r="D191" i="32"/>
  <c r="H318" i="32"/>
  <c r="H77" i="32"/>
  <c r="H278" i="32"/>
  <c r="H255" i="45"/>
  <c r="H539" i="32"/>
  <c r="D85" i="45"/>
  <c r="O63" i="7"/>
  <c r="D267" i="32"/>
  <c r="H338" i="32"/>
  <c r="H451" i="32"/>
  <c r="H82" i="31"/>
  <c r="D416" i="7"/>
  <c r="D528" i="7"/>
  <c r="H272" i="45"/>
  <c r="D260" i="30"/>
  <c r="D61" i="30"/>
  <c r="H260" i="30"/>
  <c r="H62" i="45"/>
  <c r="H253" i="30"/>
  <c r="O325" i="7"/>
  <c r="D139" i="45"/>
  <c r="D87" i="31"/>
  <c r="H147" i="31"/>
  <c r="H54" i="30"/>
  <c r="H137" i="45"/>
  <c r="H239" i="45"/>
  <c r="O354" i="7"/>
  <c r="D109" i="30"/>
  <c r="H44" i="45"/>
  <c r="H278" i="45"/>
  <c r="D67" i="7"/>
  <c r="H26" i="45"/>
  <c r="D53" i="45"/>
  <c r="D237" i="7"/>
  <c r="D510" i="7"/>
  <c r="H146" i="32"/>
  <c r="H109" i="30"/>
  <c r="D316" i="31"/>
  <c r="H102" i="30"/>
  <c r="H140" i="31"/>
  <c r="D18" i="32"/>
  <c r="H198" i="45"/>
  <c r="O142" i="7"/>
  <c r="O249" i="7"/>
  <c r="O161" i="7"/>
  <c r="D242" i="7"/>
  <c r="H241" i="30"/>
  <c r="O427" i="7"/>
  <c r="D219" i="7"/>
  <c r="H185" i="31"/>
  <c r="D64" i="45"/>
  <c r="D288" i="31"/>
  <c r="D125" i="31"/>
  <c r="H262" i="31"/>
  <c r="D124" i="45"/>
  <c r="D151" i="30"/>
  <c r="H201" i="31"/>
  <c r="H293" i="45"/>
  <c r="O491" i="7"/>
  <c r="O185" i="7"/>
  <c r="H47" i="31"/>
  <c r="H307" i="45"/>
  <c r="O110" i="7"/>
  <c r="H449" i="30"/>
  <c r="D187" i="30"/>
  <c r="O201" i="7"/>
  <c r="O543" i="7"/>
  <c r="D152" i="7"/>
  <c r="H310" i="30"/>
  <c r="D154" i="7"/>
  <c r="D222" i="7"/>
  <c r="H386" i="30"/>
  <c r="H225" i="31"/>
  <c r="O550" i="7"/>
  <c r="D110" i="7"/>
  <c r="D6" i="45"/>
  <c r="H327" i="31"/>
  <c r="H88" i="45"/>
  <c r="D177" i="7"/>
  <c r="D398" i="7"/>
  <c r="Z9" i="18"/>
  <c r="H303" i="31"/>
  <c r="H161" i="30"/>
  <c r="H62" i="31"/>
  <c r="H145" i="31"/>
  <c r="H198" i="31"/>
  <c r="D544" i="7"/>
  <c r="H402" i="30"/>
  <c r="H143" i="31"/>
  <c r="O226" i="7"/>
  <c r="D281" i="31"/>
  <c r="D434" i="32"/>
  <c r="D137" i="30"/>
  <c r="H110" i="31"/>
  <c r="D368" i="30"/>
  <c r="H170" i="45"/>
  <c r="H441" i="30"/>
  <c r="D120" i="30"/>
  <c r="H7" i="30"/>
  <c r="D460" i="30"/>
  <c r="D332" i="30"/>
  <c r="D253" i="30"/>
  <c r="D271" i="31"/>
  <c r="H51" i="45"/>
  <c r="D174" i="31"/>
  <c r="H221" i="45"/>
  <c r="D228" i="45"/>
  <c r="D245" i="30"/>
  <c r="D239" i="7"/>
  <c r="O400" i="7"/>
  <c r="D152" i="30"/>
  <c r="D192" i="7"/>
  <c r="D175" i="30"/>
  <c r="D428" i="30"/>
  <c r="Z17" i="18"/>
  <c r="H190" i="45"/>
  <c r="D452" i="30"/>
  <c r="D313" i="31"/>
  <c r="O529" i="7"/>
  <c r="D242" i="31"/>
  <c r="H96" i="45"/>
  <c r="D77" i="7"/>
  <c r="D318" i="30"/>
  <c r="H105" i="31"/>
  <c r="D125" i="30"/>
  <c r="O235" i="7"/>
  <c r="Z21" i="18"/>
  <c r="H74" i="45"/>
  <c r="D521" i="7"/>
  <c r="H2" i="31"/>
  <c r="D448" i="30"/>
  <c r="H301" i="30"/>
  <c r="H126" i="31"/>
  <c r="H125" i="45"/>
  <c r="H165" i="30"/>
  <c r="O421" i="7"/>
  <c r="O431" i="7"/>
  <c r="D194" i="30"/>
  <c r="H158" i="30"/>
  <c r="H11" i="45"/>
  <c r="H244" i="45"/>
  <c r="O395" i="7"/>
  <c r="D57" i="7"/>
  <c r="O224" i="7"/>
  <c r="D105" i="31"/>
  <c r="D30" i="45"/>
  <c r="D203" i="30"/>
  <c r="H5" i="45"/>
  <c r="D195" i="45"/>
  <c r="D346" i="7"/>
  <c r="H45" i="45"/>
  <c r="H20" i="45"/>
  <c r="D418" i="32"/>
  <c r="D96" i="30"/>
  <c r="O514" i="7"/>
  <c r="D308" i="45"/>
  <c r="D435" i="7"/>
  <c r="H188" i="31"/>
  <c r="D268" i="30"/>
  <c r="D138" i="45"/>
  <c r="H298" i="45"/>
  <c r="D250" i="31"/>
  <c r="D72" i="7"/>
  <c r="O503" i="7"/>
  <c r="O405" i="7"/>
  <c r="D449" i="7"/>
  <c r="H318" i="30"/>
  <c r="O603" i="7"/>
  <c r="O374" i="7"/>
  <c r="H6" i="30"/>
  <c r="D610" i="7"/>
  <c r="H244" i="30"/>
  <c r="O497" i="7"/>
  <c r="H261" i="30"/>
  <c r="Z20" i="18"/>
  <c r="H168" i="45"/>
  <c r="D393" i="30"/>
  <c r="H126" i="45"/>
  <c r="H218" i="31"/>
  <c r="D144" i="7"/>
  <c r="H233" i="30"/>
  <c r="D584" i="7"/>
  <c r="D234" i="30"/>
  <c r="D265" i="45"/>
  <c r="O284" i="7"/>
  <c r="D31" i="32"/>
  <c r="D97" i="30"/>
  <c r="H61" i="30"/>
  <c r="H73" i="31"/>
  <c r="D69" i="45"/>
  <c r="D241" i="30"/>
  <c r="D163" i="7"/>
  <c r="D101" i="7"/>
  <c r="H84" i="45"/>
  <c r="D436" i="32"/>
  <c r="H314" i="32"/>
  <c r="D342" i="32"/>
  <c r="H199" i="32"/>
  <c r="D293" i="32"/>
  <c r="D536" i="32"/>
  <c r="D180" i="32"/>
  <c r="D417" i="30"/>
  <c r="O87" i="7"/>
  <c r="O293" i="7"/>
  <c r="D168" i="45"/>
  <c r="H85" i="45"/>
  <c r="D252" i="45"/>
  <c r="H190" i="30"/>
  <c r="H127" i="45"/>
  <c r="D421" i="7"/>
  <c r="H287" i="31"/>
  <c r="D47" i="45"/>
  <c r="H137" i="30"/>
  <c r="D245" i="45"/>
  <c r="H231" i="45"/>
  <c r="O535" i="7"/>
  <c r="H273" i="45"/>
  <c r="D415" i="30"/>
  <c r="H186" i="45"/>
  <c r="H26" i="31"/>
  <c r="D39" i="31"/>
  <c r="D143" i="30"/>
  <c r="H120" i="30"/>
  <c r="D284" i="7"/>
  <c r="H142" i="45"/>
  <c r="D21" i="31"/>
  <c r="D13" i="32"/>
  <c r="H412" i="32"/>
  <c r="H141" i="32"/>
  <c r="H110" i="32"/>
  <c r="H256" i="32"/>
  <c r="D34" i="32"/>
  <c r="H483" i="32"/>
  <c r="D209" i="45"/>
  <c r="D29" i="32"/>
  <c r="D65" i="32"/>
  <c r="D319" i="32"/>
  <c r="H163" i="30"/>
  <c r="H43" i="32"/>
  <c r="H282" i="45"/>
  <c r="D266" i="45"/>
  <c r="D155" i="32"/>
  <c r="D427" i="32"/>
  <c r="D382" i="32"/>
  <c r="H252" i="32"/>
  <c r="H92" i="32"/>
  <c r="D527" i="32"/>
  <c r="H421" i="32"/>
  <c r="D203" i="32"/>
  <c r="O585" i="7"/>
  <c r="H324" i="32"/>
  <c r="H202" i="32"/>
  <c r="D348" i="32"/>
  <c r="D58" i="32"/>
  <c r="H47" i="32"/>
  <c r="H133" i="32"/>
  <c r="H82" i="32"/>
  <c r="D181" i="45"/>
  <c r="D252" i="30"/>
  <c r="D123" i="32"/>
  <c r="O294" i="7"/>
  <c r="D363" i="7"/>
  <c r="H393" i="32"/>
  <c r="H2" i="32"/>
  <c r="H536" i="32"/>
  <c r="D7" i="30"/>
  <c r="H131" i="45"/>
  <c r="H146" i="45"/>
  <c r="D232" i="7"/>
  <c r="D503" i="7"/>
  <c r="D290" i="7"/>
  <c r="D428" i="7"/>
  <c r="D23" i="30"/>
  <c r="H23" i="45"/>
  <c r="D164" i="45"/>
  <c r="D374" i="30"/>
  <c r="O319" i="7"/>
  <c r="D136" i="7"/>
  <c r="D491" i="7"/>
  <c r="D202" i="45"/>
  <c r="H139" i="30"/>
  <c r="O445" i="7"/>
  <c r="D406" i="7"/>
  <c r="H32" i="31"/>
  <c r="H202" i="45"/>
  <c r="D25" i="45"/>
  <c r="D534" i="32"/>
  <c r="H286" i="30"/>
  <c r="H337" i="32"/>
  <c r="O23" i="7"/>
  <c r="D564" i="7"/>
  <c r="H166" i="30"/>
  <c r="H487" i="32"/>
  <c r="D239" i="45"/>
  <c r="D447" i="7"/>
  <c r="H152" i="31"/>
  <c r="H291" i="45"/>
  <c r="O318" i="7"/>
  <c r="D2" i="45"/>
  <c r="D606" i="7"/>
  <c r="D69" i="30"/>
  <c r="H346" i="31"/>
  <c r="D244" i="31"/>
  <c r="H353" i="30"/>
  <c r="D456" i="30"/>
  <c r="H49" i="31"/>
  <c r="H318" i="45"/>
  <c r="D419" i="32"/>
  <c r="D232" i="31"/>
  <c r="D362" i="30"/>
  <c r="D196" i="31"/>
  <c r="H326" i="31"/>
  <c r="O443" i="7"/>
  <c r="H169" i="45"/>
  <c r="H101" i="45"/>
  <c r="D54" i="31"/>
  <c r="H24" i="45"/>
  <c r="D362" i="7"/>
  <c r="O173" i="7"/>
  <c r="H7" i="45"/>
  <c r="D251" i="31"/>
  <c r="H55" i="45"/>
  <c r="H79" i="30"/>
  <c r="D597" i="7"/>
  <c r="O316" i="7"/>
  <c r="O271" i="7"/>
  <c r="H335" i="30"/>
  <c r="D12" i="30"/>
  <c r="H260" i="31"/>
  <c r="O134" i="7"/>
  <c r="Z22" i="18"/>
  <c r="D220" i="30"/>
  <c r="O131" i="7"/>
  <c r="D337" i="30"/>
  <c r="H347" i="31"/>
  <c r="D127" i="31"/>
  <c r="O77" i="7"/>
  <c r="H66" i="32"/>
  <c r="D305" i="7"/>
  <c r="H28" i="45"/>
  <c r="D410" i="7"/>
  <c r="D177" i="31"/>
  <c r="O406" i="7"/>
  <c r="O456" i="7"/>
  <c r="H193" i="45"/>
  <c r="H409" i="30"/>
  <c r="H162" i="30"/>
  <c r="H113" i="45"/>
  <c r="H387" i="30"/>
  <c r="H93" i="30"/>
  <c r="D44" i="7"/>
  <c r="O602" i="7"/>
  <c r="O285" i="7"/>
  <c r="D67" i="45"/>
  <c r="O45" i="7"/>
  <c r="D178" i="31"/>
  <c r="D214" i="45"/>
  <c r="H118" i="30"/>
  <c r="D162" i="31"/>
  <c r="H28" i="31"/>
  <c r="H344" i="31"/>
  <c r="D280" i="31"/>
  <c r="D183" i="31"/>
  <c r="D256" i="30"/>
  <c r="H286" i="31"/>
  <c r="D315" i="7"/>
  <c r="D186" i="45"/>
  <c r="H294" i="31"/>
  <c r="H154" i="31"/>
  <c r="H191" i="45"/>
  <c r="O55" i="7"/>
  <c r="D257" i="7"/>
  <c r="H208" i="45"/>
  <c r="H272" i="31"/>
  <c r="D192" i="31"/>
  <c r="H352" i="30"/>
  <c r="H254" i="31"/>
  <c r="D430" i="7"/>
  <c r="D180" i="7"/>
  <c r="H67" i="31"/>
  <c r="H414" i="30"/>
  <c r="D239" i="30"/>
  <c r="D206" i="32"/>
  <c r="O143" i="7"/>
  <c r="H148" i="30"/>
  <c r="D246" i="30"/>
  <c r="H197" i="31"/>
  <c r="H534" i="32"/>
  <c r="H317" i="45"/>
  <c r="O390" i="7"/>
  <c r="H237" i="31"/>
  <c r="O40" i="7"/>
  <c r="D255" i="31"/>
  <c r="D93" i="31"/>
  <c r="H10" i="30"/>
  <c r="D252" i="31"/>
  <c r="D146" i="32"/>
  <c r="D355" i="7"/>
  <c r="D506" i="7"/>
  <c r="D135" i="31"/>
  <c r="H43" i="30"/>
  <c r="D257" i="31"/>
  <c r="H416" i="30"/>
  <c r="D324" i="31"/>
  <c r="H68" i="30"/>
  <c r="D224" i="30"/>
  <c r="D435" i="30"/>
  <c r="O451" i="7"/>
  <c r="O526" i="7"/>
  <c r="D248" i="45"/>
  <c r="H308" i="45"/>
  <c r="O218" i="7"/>
  <c r="O496" i="7"/>
  <c r="H98" i="45"/>
  <c r="D180" i="45"/>
  <c r="D141" i="45"/>
  <c r="D241" i="7"/>
  <c r="D320" i="32"/>
  <c r="D31" i="30"/>
  <c r="D91" i="7"/>
  <c r="H206" i="45"/>
  <c r="H138" i="30"/>
  <c r="H121" i="30"/>
  <c r="D112" i="30"/>
  <c r="H84" i="30"/>
  <c r="D468" i="32"/>
  <c r="H234" i="31"/>
  <c r="D256" i="7"/>
  <c r="D176" i="30"/>
  <c r="H166" i="31"/>
  <c r="O392" i="7"/>
  <c r="D47" i="30"/>
  <c r="D147" i="30"/>
  <c r="H194" i="30"/>
  <c r="H247" i="30"/>
  <c r="D516" i="7"/>
  <c r="D150" i="45"/>
  <c r="D289" i="31"/>
  <c r="D425" i="30"/>
  <c r="H216" i="30"/>
  <c r="D255" i="32"/>
  <c r="D139" i="31"/>
  <c r="D461" i="30"/>
  <c r="O44" i="7"/>
  <c r="D329" i="30"/>
  <c r="D438" i="30"/>
  <c r="O412" i="7"/>
  <c r="D467" i="7"/>
  <c r="D375" i="30"/>
  <c r="D167" i="30"/>
  <c r="D392" i="7"/>
  <c r="D18" i="7"/>
  <c r="D168" i="30"/>
  <c r="D12" i="45"/>
  <c r="D291" i="45"/>
  <c r="D55" i="31"/>
  <c r="D126" i="45"/>
  <c r="D163" i="45"/>
  <c r="D136" i="30"/>
  <c r="H217" i="31"/>
  <c r="D136" i="31"/>
  <c r="H87" i="31"/>
  <c r="D126" i="32"/>
  <c r="D224" i="32"/>
  <c r="H168" i="32"/>
  <c r="D32" i="32"/>
  <c r="H443" i="32"/>
  <c r="D43" i="32"/>
  <c r="D413" i="32"/>
  <c r="H57" i="32"/>
  <c r="D439" i="32"/>
  <c r="D480" i="32"/>
  <c r="H75" i="32"/>
  <c r="D32" i="7"/>
  <c r="D98" i="32"/>
  <c r="D7" i="32"/>
  <c r="D331" i="32"/>
  <c r="D426" i="32"/>
  <c r="H148" i="32"/>
  <c r="H36" i="32"/>
  <c r="D85" i="32"/>
  <c r="D26" i="7"/>
  <c r="H235" i="31"/>
  <c r="D242" i="45"/>
  <c r="D214" i="7"/>
  <c r="O346" i="7"/>
  <c r="D180" i="31"/>
  <c r="O90" i="7"/>
  <c r="Z33" i="18"/>
  <c r="D5" i="30"/>
  <c r="D43" i="30"/>
  <c r="D158" i="31"/>
  <c r="D90" i="31"/>
  <c r="H434" i="30"/>
  <c r="D493" i="32"/>
  <c r="D493" i="7"/>
  <c r="O376" i="7"/>
  <c r="H89" i="45"/>
  <c r="H192" i="30"/>
  <c r="D129" i="30"/>
  <c r="Z25" i="18"/>
  <c r="D74" i="7"/>
  <c r="O202" i="7"/>
  <c r="H149" i="30"/>
  <c r="H167" i="31"/>
  <c r="H149" i="31"/>
  <c r="D40" i="30"/>
  <c r="O13" i="7"/>
  <c r="H324" i="45"/>
  <c r="O559" i="7"/>
  <c r="D264" i="31"/>
  <c r="D347" i="7"/>
  <c r="D557" i="7"/>
  <c r="O84" i="7"/>
  <c r="D52" i="30"/>
  <c r="D101" i="30"/>
  <c r="D35" i="30"/>
  <c r="H3" i="45"/>
  <c r="D218" i="7"/>
  <c r="O591" i="7"/>
  <c r="O336" i="7"/>
  <c r="D472" i="7"/>
  <c r="D419" i="7"/>
  <c r="O105" i="7"/>
  <c r="D436" i="7"/>
  <c r="O300" i="7"/>
  <c r="D169" i="32"/>
  <c r="D138" i="7"/>
  <c r="D359" i="7"/>
  <c r="D305" i="45"/>
  <c r="H29" i="31"/>
  <c r="D158" i="45"/>
  <c r="D126" i="30"/>
  <c r="D532" i="7"/>
  <c r="H147" i="30"/>
  <c r="H229" i="31"/>
  <c r="D427" i="30"/>
  <c r="H255" i="31"/>
  <c r="D60" i="31"/>
  <c r="D581" i="7"/>
  <c r="D446" i="32"/>
  <c r="D15" i="31"/>
  <c r="O489" i="7"/>
  <c r="O492" i="7"/>
  <c r="H121" i="32"/>
  <c r="H63" i="31"/>
  <c r="H3" i="31"/>
  <c r="D444" i="30"/>
  <c r="D343" i="30"/>
  <c r="H311" i="30"/>
  <c r="H46" i="31"/>
  <c r="D278" i="31"/>
  <c r="D19" i="30"/>
  <c r="H410" i="30"/>
  <c r="H2" i="45"/>
  <c r="D102" i="45"/>
  <c r="H187" i="30"/>
  <c r="O408" i="7"/>
  <c r="O313" i="7"/>
  <c r="H97" i="45"/>
  <c r="O159" i="7"/>
  <c r="D607" i="7"/>
  <c r="Z26" i="18"/>
  <c r="D474" i="7"/>
  <c r="D426" i="7"/>
  <c r="D335" i="31"/>
  <c r="D116" i="30"/>
  <c r="D45" i="30"/>
  <c r="D340" i="30"/>
  <c r="D336" i="30"/>
  <c r="D64" i="30"/>
  <c r="O91" i="7"/>
  <c r="H270" i="45"/>
  <c r="D142" i="45"/>
  <c r="H419" i="32"/>
  <c r="H411" i="32"/>
  <c r="D40" i="45"/>
  <c r="D43" i="31"/>
  <c r="H268" i="31"/>
  <c r="D317" i="45"/>
  <c r="D209" i="30"/>
  <c r="D608" i="7"/>
  <c r="O548" i="7"/>
  <c r="D52" i="7"/>
  <c r="D221" i="45"/>
  <c r="D229" i="30"/>
  <c r="D166" i="30"/>
  <c r="H204" i="30"/>
  <c r="O296" i="7"/>
  <c r="D446" i="30"/>
  <c r="H200" i="31"/>
  <c r="O422" i="7"/>
  <c r="D225" i="32"/>
  <c r="D442" i="7"/>
  <c r="D130" i="7"/>
  <c r="O199" i="7"/>
  <c r="H135" i="45"/>
  <c r="H328" i="30"/>
  <c r="O18" i="7"/>
  <c r="D598" i="7"/>
  <c r="D328" i="31"/>
  <c r="D5" i="45"/>
  <c r="D244" i="45"/>
  <c r="D169" i="30"/>
  <c r="D323" i="31"/>
  <c r="H238" i="31"/>
  <c r="O253" i="7"/>
  <c r="H67" i="45"/>
  <c r="D456" i="7"/>
  <c r="D115" i="45"/>
  <c r="H89" i="30"/>
  <c r="O365" i="7"/>
  <c r="O260" i="7"/>
  <c r="D247" i="45"/>
  <c r="D317" i="30"/>
  <c r="D11" i="30"/>
  <c r="D204" i="31"/>
  <c r="Z24" i="18"/>
  <c r="H20" i="30"/>
  <c r="D285" i="30"/>
  <c r="D236" i="7"/>
  <c r="D561" i="7"/>
  <c r="H395" i="30"/>
  <c r="D160" i="30"/>
  <c r="D114" i="45"/>
  <c r="H90" i="30"/>
  <c r="H213" i="45"/>
  <c r="H53" i="45"/>
  <c r="D399" i="30"/>
  <c r="D27" i="7"/>
  <c r="H139" i="31"/>
  <c r="D304" i="31"/>
  <c r="D117" i="31"/>
  <c r="D281" i="45"/>
  <c r="D18" i="30"/>
  <c r="H16" i="31"/>
  <c r="D143" i="32"/>
  <c r="H243" i="45"/>
  <c r="D527" i="7"/>
  <c r="D28" i="45"/>
  <c r="D350" i="7"/>
  <c r="H440" i="30"/>
  <c r="D135" i="7"/>
  <c r="O39" i="7"/>
  <c r="D312" i="7"/>
  <c r="H406" i="32"/>
  <c r="O598" i="7"/>
  <c r="D304" i="7"/>
  <c r="D12" i="31"/>
  <c r="H191" i="30"/>
  <c r="H366" i="30"/>
  <c r="H70" i="31"/>
  <c r="D590" i="7"/>
  <c r="H186" i="31"/>
  <c r="D436" i="30"/>
  <c r="H161" i="45"/>
  <c r="D118" i="45"/>
  <c r="D536" i="7"/>
  <c r="O150" i="7"/>
  <c r="O36" i="7"/>
  <c r="O360" i="7"/>
  <c r="D139" i="30"/>
  <c r="D326" i="30"/>
  <c r="O327" i="7"/>
  <c r="H172" i="30"/>
  <c r="D529" i="7"/>
  <c r="D267" i="45"/>
  <c r="H271" i="45"/>
  <c r="H66" i="31"/>
  <c r="H278" i="31"/>
  <c r="O568" i="7"/>
  <c r="H451" i="30"/>
  <c r="H227" i="31"/>
  <c r="H136" i="30"/>
  <c r="D286" i="30"/>
  <c r="D246" i="31"/>
  <c r="D41" i="30"/>
  <c r="D258" i="45"/>
  <c r="H14" i="31"/>
  <c r="D166" i="31"/>
  <c r="O362" i="7"/>
  <c r="D270" i="7"/>
  <c r="H290" i="30"/>
  <c r="D247" i="7"/>
  <c r="D293" i="30"/>
  <c r="D298" i="45"/>
  <c r="D54" i="7"/>
  <c r="D109" i="31"/>
  <c r="D7" i="31"/>
  <c r="D361" i="32"/>
  <c r="H425" i="30"/>
  <c r="D21" i="30"/>
  <c r="O499" i="7"/>
  <c r="O570" i="7"/>
  <c r="H123" i="30"/>
  <c r="H115" i="45"/>
  <c r="D135" i="45"/>
  <c r="H58" i="30"/>
  <c r="D149" i="7"/>
  <c r="D3" i="45"/>
  <c r="O214" i="7"/>
  <c r="O121" i="7"/>
  <c r="D515" i="7"/>
  <c r="H38" i="30"/>
  <c r="D416" i="30"/>
  <c r="D220" i="31"/>
  <c r="D159" i="31"/>
  <c r="H253" i="31"/>
  <c r="D24" i="45"/>
  <c r="H60" i="31"/>
  <c r="D205" i="30"/>
  <c r="H301" i="45"/>
  <c r="D314" i="7"/>
  <c r="D145" i="31"/>
  <c r="H212" i="31"/>
  <c r="H304" i="30"/>
  <c r="H171" i="45"/>
  <c r="H317" i="32"/>
  <c r="D503" i="32"/>
  <c r="H19" i="32"/>
  <c r="H344" i="32"/>
  <c r="D117" i="45"/>
  <c r="H311" i="32"/>
  <c r="D322" i="32"/>
  <c r="H4" i="32"/>
  <c r="H229" i="32"/>
  <c r="D307" i="32"/>
  <c r="D138" i="32"/>
  <c r="H478" i="32"/>
  <c r="D161" i="32"/>
  <c r="H242" i="32"/>
  <c r="H336" i="32"/>
  <c r="D417" i="32"/>
  <c r="D49" i="32"/>
  <c r="H404" i="32"/>
  <c r="D505" i="32"/>
  <c r="D178" i="32"/>
  <c r="D302" i="45"/>
  <c r="D294" i="31"/>
  <c r="D288" i="30"/>
  <c r="D111" i="7"/>
  <c r="H24" i="30"/>
  <c r="D348" i="7"/>
  <c r="D88" i="30"/>
  <c r="D183" i="45"/>
  <c r="H71" i="45"/>
  <c r="O184" i="7"/>
  <c r="D274" i="30"/>
  <c r="D273" i="30"/>
  <c r="D37" i="7"/>
  <c r="D554" i="7"/>
  <c r="D50" i="7"/>
  <c r="H118" i="45"/>
  <c r="O54" i="7"/>
  <c r="D285" i="45"/>
  <c r="H287" i="30"/>
  <c r="D38" i="30"/>
  <c r="D410" i="32"/>
  <c r="O227" i="7"/>
  <c r="D94" i="45"/>
  <c r="D253" i="31"/>
  <c r="Z7" i="18"/>
  <c r="H279" i="30"/>
  <c r="D295" i="31"/>
  <c r="H92" i="45"/>
  <c r="D535" i="7"/>
  <c r="D372" i="7"/>
  <c r="H282" i="31"/>
  <c r="D400" i="7"/>
  <c r="D34" i="45"/>
  <c r="H439" i="30"/>
  <c r="H266" i="45"/>
  <c r="D44" i="31"/>
  <c r="H214" i="45"/>
  <c r="D159" i="45"/>
  <c r="D34" i="7"/>
  <c r="H394" i="32"/>
  <c r="D127" i="45"/>
  <c r="D222" i="31"/>
  <c r="D32" i="30"/>
  <c r="D168" i="31"/>
  <c r="H195" i="30"/>
  <c r="H68" i="45"/>
  <c r="D15" i="30"/>
  <c r="O516" i="7"/>
  <c r="H460" i="30"/>
  <c r="H154" i="45"/>
  <c r="O396" i="7"/>
  <c r="D128" i="7"/>
  <c r="H269" i="30"/>
  <c r="D203" i="7"/>
  <c r="H192" i="45"/>
  <c r="H31" i="31"/>
  <c r="D309" i="31"/>
  <c r="H131" i="31"/>
  <c r="D238" i="45"/>
  <c r="D603" i="7"/>
  <c r="H169" i="32"/>
  <c r="D193" i="30"/>
  <c r="D134" i="31"/>
  <c r="Z8" i="18"/>
  <c r="D161" i="31"/>
  <c r="D106" i="45"/>
  <c r="O464" i="7"/>
  <c r="D452" i="7"/>
  <c r="H92" i="30"/>
  <c r="H257" i="32"/>
  <c r="O348" i="7"/>
  <c r="D220" i="7"/>
  <c r="H129" i="30"/>
  <c r="H168" i="31"/>
  <c r="H217" i="30"/>
  <c r="H149" i="45"/>
  <c r="D217" i="31"/>
  <c r="D134" i="7"/>
  <c r="D165" i="45"/>
  <c r="H10" i="31"/>
  <c r="D226" i="30"/>
  <c r="O416" i="7"/>
  <c r="H15" i="30"/>
  <c r="H6" i="31"/>
  <c r="D417" i="7"/>
  <c r="D481" i="7"/>
  <c r="D315" i="31"/>
  <c r="D246" i="7"/>
  <c r="O78" i="7"/>
  <c r="D108" i="31"/>
  <c r="D285" i="7"/>
  <c r="O83" i="7"/>
  <c r="O505" i="7"/>
  <c r="H288" i="31"/>
  <c r="D208" i="31"/>
  <c r="D168" i="7"/>
  <c r="H134" i="31"/>
  <c r="H34" i="45"/>
  <c r="D125" i="45"/>
  <c r="D306" i="31"/>
  <c r="D253" i="7"/>
  <c r="D180" i="30"/>
  <c r="O162" i="7"/>
  <c r="H469" i="32"/>
  <c r="H135" i="31"/>
  <c r="D178" i="7"/>
  <c r="H94" i="45"/>
  <c r="O345" i="7"/>
  <c r="H316" i="30"/>
  <c r="D171" i="31"/>
  <c r="D307" i="30"/>
  <c r="H363" i="32"/>
  <c r="O123" i="7"/>
  <c r="D13" i="30"/>
  <c r="H195" i="31"/>
  <c r="H268" i="30"/>
  <c r="D257" i="32"/>
  <c r="D547" i="7"/>
  <c r="D198" i="32"/>
  <c r="D609" i="7"/>
  <c r="D406" i="30"/>
  <c r="H289" i="30"/>
  <c r="D435" i="32"/>
  <c r="H454" i="30"/>
  <c r="D24" i="31"/>
  <c r="D502" i="7"/>
  <c r="D223" i="30"/>
  <c r="H31" i="45"/>
  <c r="H89" i="31"/>
  <c r="O430" i="7"/>
  <c r="H179" i="31"/>
  <c r="D327" i="30"/>
  <c r="O469" i="7"/>
  <c r="D444" i="7"/>
  <c r="D179" i="31"/>
  <c r="D401" i="7"/>
  <c r="H46" i="30"/>
  <c r="H199" i="45"/>
  <c r="H80" i="31"/>
  <c r="H164" i="31"/>
  <c r="D201" i="7"/>
  <c r="H321" i="31"/>
  <c r="D261" i="45"/>
  <c r="H207" i="31"/>
  <c r="H160" i="30"/>
  <c r="D344" i="7"/>
  <c r="H312" i="45"/>
  <c r="D38" i="7"/>
  <c r="O415" i="7"/>
  <c r="H17" i="30"/>
  <c r="D187" i="31"/>
  <c r="H320" i="45"/>
  <c r="D157" i="31"/>
  <c r="O528" i="7"/>
  <c r="H443" i="30"/>
  <c r="D212" i="7"/>
  <c r="D20" i="7"/>
  <c r="H34" i="31"/>
  <c r="D47" i="31"/>
  <c r="D112" i="45"/>
  <c r="H318" i="31"/>
  <c r="H224" i="45"/>
  <c r="H310" i="45"/>
  <c r="D437" i="7"/>
  <c r="D238" i="7"/>
  <c r="H36" i="45"/>
  <c r="D11" i="31"/>
  <c r="D368" i="7"/>
  <c r="D295" i="45"/>
  <c r="D411" i="7"/>
  <c r="D90" i="7"/>
  <c r="H433" i="30"/>
  <c r="D414" i="30"/>
  <c r="H426" i="30"/>
  <c r="D313" i="45"/>
  <c r="D153" i="45"/>
  <c r="D51" i="45"/>
  <c r="O170" i="7"/>
  <c r="O108" i="7"/>
  <c r="H203" i="31"/>
  <c r="H124" i="31"/>
  <c r="H57" i="30"/>
  <c r="D437" i="30"/>
  <c r="D167" i="31"/>
  <c r="D303" i="30"/>
  <c r="H312" i="30"/>
  <c r="H296" i="30"/>
  <c r="H129" i="45"/>
  <c r="O532" i="7"/>
  <c r="D445" i="30"/>
  <c r="Z13" i="18"/>
  <c r="H9" i="30"/>
  <c r="D16" i="7"/>
  <c r="O419" i="7"/>
  <c r="D75" i="31"/>
  <c r="H250" i="30"/>
  <c r="D121" i="31"/>
  <c r="D361" i="30"/>
  <c r="D370" i="7"/>
  <c r="D266" i="30"/>
  <c r="H220" i="32"/>
  <c r="D96" i="7"/>
  <c r="O312" i="7"/>
  <c r="D151" i="31"/>
  <c r="H223" i="31"/>
  <c r="D560" i="7"/>
  <c r="D412" i="7"/>
  <c r="H275" i="31"/>
  <c r="D236" i="30"/>
  <c r="H445" i="30"/>
  <c r="H78" i="30"/>
  <c r="D35" i="31"/>
  <c r="H264" i="30"/>
  <c r="D227" i="30"/>
  <c r="H196" i="31"/>
  <c r="H90" i="45"/>
  <c r="O583" i="7"/>
  <c r="H5" i="30"/>
  <c r="H111" i="30"/>
  <c r="D72" i="31"/>
  <c r="D235" i="31"/>
  <c r="D377" i="7"/>
  <c r="H77" i="30"/>
  <c r="H226" i="45"/>
  <c r="D281" i="7"/>
  <c r="D119" i="45"/>
  <c r="D484" i="7"/>
  <c r="D548" i="7"/>
  <c r="D115" i="31"/>
  <c r="D312" i="30"/>
  <c r="D31" i="45"/>
  <c r="D289" i="45"/>
  <c r="D123" i="31"/>
  <c r="D109" i="7"/>
  <c r="D367" i="32"/>
  <c r="D235" i="32"/>
  <c r="H182" i="32"/>
  <c r="H385" i="32"/>
  <c r="D177" i="32"/>
  <c r="H413" i="32"/>
  <c r="D428" i="32"/>
  <c r="H471" i="32"/>
  <c r="D61" i="32"/>
  <c r="H117" i="32"/>
  <c r="D81" i="31"/>
  <c r="H216" i="32"/>
  <c r="D207" i="32"/>
  <c r="D443" i="32"/>
  <c r="D453" i="32"/>
  <c r="H424" i="32"/>
  <c r="H378" i="32"/>
  <c r="H500" i="32"/>
  <c r="H209" i="32"/>
  <c r="H158" i="32"/>
  <c r="H467" i="32"/>
  <c r="H251" i="31"/>
  <c r="D54" i="45"/>
  <c r="D459" i="30"/>
  <c r="D193" i="45"/>
  <c r="H348" i="31"/>
  <c r="D167" i="7"/>
  <c r="O373" i="7"/>
  <c r="D217" i="7"/>
  <c r="D100" i="30"/>
  <c r="D451" i="7"/>
  <c r="D233" i="31"/>
  <c r="H176" i="31"/>
  <c r="D599" i="7"/>
  <c r="H75" i="31"/>
  <c r="H6" i="45"/>
  <c r="H9" i="45"/>
  <c r="H56" i="45"/>
  <c r="H331" i="30"/>
  <c r="D225" i="31"/>
  <c r="D271" i="30"/>
  <c r="D65" i="31"/>
  <c r="D303" i="45"/>
  <c r="D351" i="7"/>
  <c r="O458" i="7"/>
  <c r="D365" i="7"/>
  <c r="O30" i="7"/>
  <c r="D440" i="7"/>
  <c r="O444" i="7"/>
  <c r="H195" i="45"/>
  <c r="O495" i="7"/>
  <c r="D174" i="7"/>
  <c r="D62" i="45"/>
  <c r="H328" i="31"/>
  <c r="D263" i="7"/>
  <c r="Z31" i="18"/>
  <c r="D110" i="31"/>
  <c r="H50" i="30"/>
  <c r="H157" i="45"/>
  <c r="D146" i="30"/>
  <c r="D142" i="31"/>
  <c r="H180" i="45"/>
  <c r="D263" i="30"/>
  <c r="D348" i="30"/>
  <c r="H190" i="31"/>
  <c r="D170" i="7"/>
  <c r="H225" i="30"/>
  <c r="D311" i="45"/>
  <c r="H180" i="30"/>
  <c r="D261" i="7"/>
  <c r="O399" i="7"/>
  <c r="D579" i="7"/>
  <c r="D41" i="32"/>
  <c r="D75" i="7"/>
  <c r="D269" i="45"/>
  <c r="O447" i="7"/>
  <c r="H152" i="32"/>
  <c r="O228" i="7"/>
  <c r="D99" i="31"/>
  <c r="O298" i="7"/>
  <c r="O547" i="7"/>
  <c r="D191" i="7"/>
  <c r="H251" i="30"/>
  <c r="H68" i="31"/>
  <c r="D380" i="30"/>
  <c r="D185" i="30"/>
  <c r="D431" i="7"/>
  <c r="O510" i="7"/>
  <c r="D462" i="7"/>
  <c r="H258" i="45"/>
  <c r="O482" i="7"/>
  <c r="D284" i="30"/>
  <c r="H228" i="30"/>
  <c r="D161" i="7"/>
  <c r="H11" i="30"/>
  <c r="H110" i="45"/>
  <c r="D297" i="31"/>
  <c r="O584" i="7"/>
  <c r="D211" i="30"/>
  <c r="D141" i="7"/>
  <c r="D90" i="45"/>
  <c r="D312" i="45"/>
  <c r="O449" i="7"/>
  <c r="O234" i="7"/>
  <c r="D282" i="30"/>
  <c r="D344" i="30"/>
  <c r="O145" i="7"/>
  <c r="O231" i="7"/>
  <c r="D441" i="7"/>
  <c r="D220" i="32"/>
  <c r="D219" i="30"/>
  <c r="O414" i="7"/>
  <c r="D77" i="31"/>
  <c r="D349" i="30"/>
  <c r="H392" i="30"/>
  <c r="D483" i="7"/>
  <c r="H155" i="30"/>
  <c r="D387" i="32"/>
  <c r="H183" i="31"/>
  <c r="H260" i="45"/>
  <c r="H432" i="30"/>
  <c r="O181" i="7"/>
  <c r="D44" i="45"/>
  <c r="O605" i="7"/>
  <c r="D143" i="7"/>
  <c r="D172" i="7"/>
  <c r="O433" i="7"/>
  <c r="D214" i="31"/>
  <c r="D75" i="30"/>
  <c r="D79" i="7"/>
  <c r="D53" i="31"/>
  <c r="H249" i="45"/>
  <c r="D313" i="30"/>
  <c r="D121" i="45"/>
  <c r="Z27" i="18"/>
  <c r="O41" i="7"/>
  <c r="O595" i="7"/>
  <c r="H453" i="30"/>
  <c r="D378" i="30"/>
  <c r="H156" i="31"/>
  <c r="H182" i="30"/>
  <c r="D234" i="7"/>
  <c r="D19" i="7"/>
  <c r="H60" i="45"/>
  <c r="D327" i="7"/>
  <c r="H33" i="31"/>
  <c r="D286" i="31"/>
  <c r="O163" i="7"/>
  <c r="D22" i="45"/>
  <c r="O403" i="7"/>
  <c r="D594" i="7"/>
  <c r="D578" i="7"/>
  <c r="H170" i="30"/>
  <c r="H66" i="30"/>
  <c r="D391" i="7"/>
  <c r="H219" i="31"/>
  <c r="D299" i="31"/>
  <c r="H280" i="31"/>
  <c r="H292" i="32"/>
  <c r="H181" i="30"/>
  <c r="H263" i="31"/>
  <c r="H35" i="45"/>
  <c r="H39" i="30"/>
  <c r="H323" i="31"/>
  <c r="H269" i="31"/>
  <c r="H109" i="45"/>
  <c r="D129" i="31"/>
  <c r="D134" i="30"/>
  <c r="O480" i="7"/>
  <c r="H218" i="30"/>
  <c r="H52" i="45"/>
  <c r="H271" i="31"/>
  <c r="H399" i="30"/>
  <c r="D58" i="31"/>
  <c r="O192" i="7"/>
  <c r="D87" i="7"/>
  <c r="H173" i="45"/>
  <c r="O467" i="7"/>
  <c r="D103" i="45"/>
  <c r="D17" i="30"/>
  <c r="O562" i="7"/>
  <c r="H78" i="32"/>
  <c r="H235" i="45"/>
  <c r="D251" i="7"/>
  <c r="H238" i="45"/>
  <c r="O557" i="7"/>
  <c r="D195" i="7"/>
  <c r="H122" i="31"/>
  <c r="H389" i="30"/>
  <c r="D33" i="7"/>
  <c r="H242" i="45"/>
  <c r="O607" i="7"/>
  <c r="O208" i="7"/>
  <c r="D40" i="32"/>
  <c r="D190" i="30"/>
  <c r="H87" i="45"/>
  <c r="D110" i="45"/>
  <c r="H43" i="31"/>
  <c r="D19" i="31"/>
  <c r="H143" i="32"/>
  <c r="D457" i="30"/>
  <c r="H271" i="30"/>
  <c r="D231" i="7"/>
  <c r="D230" i="7"/>
  <c r="O74" i="7"/>
  <c r="H204" i="45"/>
  <c r="D482" i="7"/>
  <c r="H179" i="30"/>
  <c r="H447" i="30"/>
  <c r="H70" i="30"/>
  <c r="O233" i="7"/>
  <c r="H343" i="31"/>
  <c r="H225" i="32"/>
  <c r="D266" i="7"/>
  <c r="H274" i="31"/>
  <c r="D298" i="30"/>
  <c r="H289" i="45"/>
  <c r="H257" i="45"/>
  <c r="D290" i="31"/>
  <c r="D404" i="30"/>
  <c r="D127" i="7"/>
  <c r="H57" i="31"/>
  <c r="D283" i="45"/>
  <c r="D518" i="7"/>
  <c r="D569" i="7"/>
  <c r="D50" i="31"/>
  <c r="D354" i="30"/>
  <c r="D127" i="30"/>
  <c r="H336" i="31"/>
  <c r="O25" i="7"/>
  <c r="H50" i="31"/>
  <c r="H25" i="31"/>
  <c r="D175" i="45"/>
  <c r="H82" i="30"/>
  <c r="D63" i="31"/>
  <c r="H316" i="45"/>
  <c r="H438" i="30"/>
  <c r="D533" i="7"/>
  <c r="D586" i="7"/>
  <c r="D43" i="7"/>
  <c r="D116" i="7"/>
  <c r="H145" i="45"/>
  <c r="D350" i="30"/>
  <c r="O428" i="7"/>
  <c r="D293" i="7"/>
  <c r="D283" i="30"/>
  <c r="H21" i="45"/>
  <c r="O109" i="7"/>
  <c r="H81" i="45"/>
  <c r="H175" i="31"/>
  <c r="D165" i="30"/>
  <c r="H368" i="30"/>
  <c r="D298" i="32"/>
  <c r="D411" i="30"/>
  <c r="D128" i="31"/>
  <c r="H112" i="45"/>
  <c r="D514" i="32"/>
  <c r="D49" i="45"/>
  <c r="D333" i="32"/>
  <c r="H157" i="32"/>
  <c r="H59" i="32"/>
  <c r="H108" i="32"/>
  <c r="H365" i="32"/>
  <c r="H236" i="32"/>
  <c r="D14" i="32"/>
  <c r="H24" i="32"/>
  <c r="H122" i="32"/>
  <c r="H33" i="32"/>
  <c r="H422" i="32"/>
  <c r="D56" i="32"/>
  <c r="H382" i="32"/>
  <c r="D321" i="32"/>
  <c r="H246" i="32"/>
  <c r="D311" i="32"/>
  <c r="H286" i="32"/>
  <c r="D521" i="32"/>
  <c r="O523" i="7"/>
  <c r="O576" i="7"/>
  <c r="D145" i="7"/>
  <c r="H277" i="45"/>
  <c r="O174" i="7"/>
  <c r="H207" i="45"/>
  <c r="D329" i="7"/>
  <c r="H5" i="31"/>
  <c r="D145" i="45"/>
  <c r="D5" i="31"/>
  <c r="H383" i="30"/>
  <c r="H250" i="45"/>
  <c r="D36" i="30"/>
  <c r="D205" i="32"/>
  <c r="D173" i="7"/>
  <c r="O555" i="7"/>
  <c r="D446" i="7"/>
  <c r="D65" i="7"/>
  <c r="D48" i="45"/>
  <c r="H220" i="31"/>
  <c r="D216" i="30"/>
  <c r="D291" i="7"/>
  <c r="D10" i="31"/>
  <c r="O463" i="7"/>
  <c r="O611" i="7"/>
  <c r="D155" i="45"/>
  <c r="Z19" i="18"/>
  <c r="H179" i="45"/>
  <c r="H136" i="45"/>
  <c r="D317" i="7"/>
  <c r="D176" i="45"/>
  <c r="H417" i="30"/>
  <c r="D200" i="31"/>
  <c r="D154" i="30"/>
  <c r="D268" i="7"/>
  <c r="H283" i="31"/>
  <c r="H85" i="30"/>
  <c r="H339" i="31"/>
  <c r="D93" i="45"/>
  <c r="H65" i="30"/>
  <c r="O195" i="7"/>
  <c r="O219" i="7"/>
  <c r="D300" i="30"/>
  <c r="O213" i="7"/>
  <c r="O581" i="7"/>
  <c r="D88" i="31"/>
  <c r="D280" i="7"/>
  <c r="D213" i="30"/>
  <c r="D248" i="30"/>
  <c r="H14" i="45"/>
  <c r="H219" i="30"/>
  <c r="D213" i="7"/>
  <c r="D66" i="30"/>
  <c r="H280" i="45"/>
  <c r="D111" i="45"/>
  <c r="H81" i="30"/>
  <c r="H204" i="31"/>
  <c r="D504" i="7"/>
  <c r="D326" i="31"/>
  <c r="D84" i="31"/>
  <c r="D201" i="30"/>
  <c r="H375" i="32"/>
  <c r="D305" i="30"/>
  <c r="H124" i="45"/>
  <c r="H408" i="30"/>
  <c r="H100" i="30"/>
  <c r="H169" i="31"/>
  <c r="H289" i="31"/>
  <c r="O180" i="7"/>
  <c r="H177" i="31"/>
  <c r="D96" i="31"/>
  <c r="D471" i="7"/>
  <c r="H44" i="31"/>
  <c r="D513" i="7"/>
  <c r="H230" i="31"/>
  <c r="O171" i="7"/>
  <c r="H79" i="31"/>
  <c r="H151" i="30"/>
  <c r="H42" i="31"/>
  <c r="D128" i="45"/>
  <c r="O156" i="7"/>
  <c r="D2" i="30"/>
  <c r="D338" i="7"/>
  <c r="D297" i="7"/>
  <c r="D280" i="45"/>
  <c r="H184" i="31"/>
  <c r="D381" i="30"/>
  <c r="H157" i="30"/>
  <c r="D86" i="45"/>
  <c r="D308" i="30"/>
  <c r="D29" i="30"/>
  <c r="D225" i="30"/>
  <c r="H38" i="31"/>
  <c r="H401" i="30"/>
  <c r="D27" i="31"/>
  <c r="D44" i="32"/>
  <c r="D58" i="30"/>
  <c r="D261" i="31"/>
  <c r="O100" i="7"/>
  <c r="D265" i="31"/>
  <c r="H210" i="30"/>
  <c r="O152" i="7"/>
  <c r="D270" i="30"/>
  <c r="D453" i="7"/>
  <c r="D48" i="7"/>
  <c r="D282" i="31"/>
  <c r="D170" i="45"/>
  <c r="D322" i="45"/>
  <c r="H207" i="30"/>
  <c r="D426" i="30"/>
  <c r="D170" i="30"/>
  <c r="H234" i="30"/>
  <c r="H250" i="31"/>
  <c r="D87" i="45"/>
  <c r="H122" i="45"/>
  <c r="D20" i="45"/>
  <c r="D189" i="45"/>
  <c r="H160" i="31"/>
  <c r="O334" i="7"/>
  <c r="H59" i="45"/>
  <c r="H418" i="30"/>
  <c r="D199" i="7"/>
  <c r="D160" i="7"/>
  <c r="H96" i="31"/>
  <c r="H187" i="31"/>
  <c r="H164" i="30"/>
  <c r="O177" i="7"/>
  <c r="H296" i="31"/>
  <c r="H154" i="32"/>
  <c r="D181" i="30"/>
  <c r="H205" i="30"/>
  <c r="H217" i="45"/>
  <c r="O531" i="7"/>
  <c r="H288" i="30"/>
  <c r="O200" i="7"/>
  <c r="H279" i="31"/>
  <c r="H226" i="31"/>
  <c r="H292" i="45"/>
  <c r="H302" i="30"/>
  <c r="D28" i="30"/>
  <c r="O157" i="7"/>
  <c r="H31" i="32"/>
  <c r="O309" i="7"/>
  <c r="D531" i="7"/>
  <c r="D85" i="30"/>
  <c r="D228" i="31"/>
  <c r="D131" i="31"/>
  <c r="D255" i="30"/>
  <c r="D4" i="45"/>
  <c r="D3" i="30"/>
  <c r="D229" i="7"/>
  <c r="O269" i="7"/>
  <c r="O175" i="7"/>
  <c r="H291" i="31"/>
  <c r="D145" i="30"/>
  <c r="D149" i="30"/>
  <c r="H165" i="45"/>
  <c r="H380" i="30"/>
  <c r="O241" i="7"/>
  <c r="H307" i="30"/>
  <c r="D258" i="30"/>
  <c r="H279" i="45"/>
  <c r="H320" i="32"/>
  <c r="D224" i="45"/>
  <c r="D600" i="7"/>
  <c r="D176" i="32"/>
  <c r="H254" i="45"/>
  <c r="H375" i="30"/>
  <c r="D194" i="32"/>
  <c r="D334" i="7"/>
  <c r="D107" i="30"/>
  <c r="D158" i="7"/>
  <c r="H230" i="30"/>
  <c r="H244" i="31"/>
  <c r="H112" i="30"/>
  <c r="D86" i="7"/>
  <c r="H9" i="31"/>
  <c r="O343" i="7"/>
  <c r="D67" i="31"/>
  <c r="H258" i="30"/>
  <c r="D195" i="30"/>
  <c r="D460" i="7"/>
  <c r="D69" i="7"/>
  <c r="D136" i="45"/>
  <c r="D112" i="7"/>
  <c r="H69" i="45"/>
  <c r="D403" i="30"/>
  <c r="D162" i="32"/>
  <c r="H155" i="45"/>
  <c r="D246" i="45"/>
  <c r="H206" i="30"/>
  <c r="H12" i="45"/>
  <c r="H119" i="31"/>
  <c r="H175" i="45"/>
  <c r="O197" i="7"/>
  <c r="D526" i="7"/>
  <c r="H393" i="30"/>
  <c r="O222" i="7"/>
  <c r="H167" i="30"/>
  <c r="O32" i="7"/>
  <c r="H146" i="31"/>
  <c r="D219" i="32"/>
  <c r="D101" i="45"/>
  <c r="D334" i="30"/>
  <c r="H337" i="31"/>
  <c r="H166" i="45"/>
  <c r="H141" i="45"/>
  <c r="H71" i="30"/>
  <c r="D99" i="30"/>
  <c r="D68" i="30"/>
  <c r="O280" i="7"/>
  <c r="O48" i="7"/>
  <c r="D307" i="31"/>
  <c r="H202" i="31"/>
  <c r="H290" i="31"/>
  <c r="D40" i="31"/>
  <c r="O549" i="7"/>
  <c r="H29" i="30"/>
  <c r="O545" i="7"/>
  <c r="H220" i="45"/>
  <c r="D187" i="45"/>
  <c r="H21" i="30"/>
  <c r="O519" i="7"/>
  <c r="O238" i="7"/>
  <c r="D320" i="31"/>
  <c r="H248" i="31"/>
  <c r="D330" i="30"/>
  <c r="D262" i="31"/>
  <c r="H52" i="30"/>
  <c r="H128" i="30"/>
  <c r="D414" i="7"/>
  <c r="D20" i="31"/>
  <c r="D342" i="31"/>
  <c r="D198" i="30"/>
  <c r="H20" i="31"/>
  <c r="D401" i="30"/>
  <c r="O368" i="7"/>
  <c r="D478" i="7"/>
  <c r="D212" i="31"/>
  <c r="Z6" i="18"/>
  <c r="H117" i="31"/>
  <c r="D595" i="7"/>
  <c r="O599" i="7"/>
  <c r="D324" i="45"/>
  <c r="H326" i="30"/>
  <c r="D357" i="30"/>
  <c r="D360" i="30"/>
  <c r="D196" i="45"/>
  <c r="D77" i="30"/>
  <c r="H221" i="30"/>
  <c r="H171" i="31"/>
  <c r="H173" i="30"/>
  <c r="D119" i="30"/>
  <c r="H274" i="32"/>
  <c r="D263" i="45"/>
  <c r="H49" i="45"/>
  <c r="H23" i="30"/>
  <c r="H203" i="30"/>
  <c r="H188" i="30"/>
  <c r="D153" i="30"/>
  <c r="O68" i="7"/>
  <c r="H276" i="30"/>
  <c r="O552" i="7"/>
  <c r="D394" i="32"/>
  <c r="D29" i="7"/>
  <c r="O527" i="7"/>
  <c r="O338" i="7"/>
  <c r="H214" i="31"/>
  <c r="H313" i="45"/>
  <c r="D239" i="31"/>
  <c r="D345" i="7"/>
  <c r="H324" i="31"/>
  <c r="D552" i="7"/>
  <c r="O42" i="7"/>
  <c r="H319" i="31"/>
  <c r="D79" i="31"/>
  <c r="D565" i="7"/>
  <c r="H285" i="31"/>
  <c r="D310" i="31"/>
  <c r="D95" i="7"/>
  <c r="H311" i="31"/>
  <c r="D98" i="7"/>
  <c r="D182" i="31"/>
  <c r="D264" i="30"/>
  <c r="O435" i="7"/>
  <c r="D271" i="32"/>
  <c r="H9" i="32"/>
  <c r="D463" i="32"/>
  <c r="H84" i="32"/>
  <c r="H315" i="45"/>
  <c r="D117" i="32"/>
  <c r="H525" i="32"/>
  <c r="D324" i="32"/>
  <c r="D197" i="32"/>
  <c r="D18" i="45"/>
  <c r="H109" i="32"/>
  <c r="H34" i="32"/>
  <c r="H488" i="32"/>
  <c r="H466" i="32"/>
  <c r="D476" i="32"/>
  <c r="H383" i="32"/>
  <c r="D357" i="32"/>
  <c r="D277" i="32"/>
  <c r="H127" i="32"/>
  <c r="D74" i="32"/>
  <c r="D158" i="30"/>
  <c r="H277" i="30"/>
  <c r="O65" i="7"/>
  <c r="H106" i="45"/>
  <c r="D14" i="7"/>
  <c r="D512" i="32"/>
  <c r="H113" i="30"/>
  <c r="H359" i="30"/>
  <c r="O160" i="7"/>
  <c r="D48" i="30"/>
  <c r="D450" i="7"/>
  <c r="D203" i="45"/>
  <c r="O398" i="7"/>
  <c r="D42" i="30"/>
  <c r="D76" i="31"/>
  <c r="H245" i="30"/>
  <c r="H72" i="31"/>
  <c r="D347" i="30"/>
  <c r="D343" i="7"/>
  <c r="H354" i="30"/>
  <c r="O490" i="7"/>
  <c r="H446" i="32"/>
  <c r="O579" i="7"/>
  <c r="O544" i="7"/>
  <c r="H263" i="30"/>
  <c r="D38" i="31"/>
  <c r="H235" i="30"/>
  <c r="H61" i="31"/>
  <c r="H151" i="45"/>
  <c r="H246" i="31"/>
  <c r="D231" i="45"/>
  <c r="D301" i="31"/>
  <c r="H100" i="45"/>
  <c r="H143" i="45"/>
  <c r="H203" i="45"/>
  <c r="D8" i="31"/>
  <c r="D42" i="31"/>
  <c r="D15" i="45"/>
  <c r="O600" i="7"/>
  <c r="H435" i="30"/>
  <c r="D396" i="30"/>
  <c r="D585" i="7"/>
  <c r="D222" i="45"/>
  <c r="D105" i="45"/>
  <c r="D17" i="31"/>
  <c r="D241" i="45"/>
  <c r="D98" i="45"/>
  <c r="D107" i="45"/>
  <c r="H197" i="30"/>
  <c r="D213" i="31"/>
  <c r="D262" i="30"/>
  <c r="D227" i="31"/>
  <c r="D95" i="30"/>
  <c r="H283" i="30"/>
  <c r="O551" i="7"/>
  <c r="O272" i="7"/>
  <c r="D255" i="7"/>
  <c r="D409" i="30"/>
  <c r="H159" i="45"/>
  <c r="H157" i="31"/>
  <c r="D108" i="30"/>
  <c r="H78" i="31"/>
  <c r="D395" i="7"/>
  <c r="H277" i="31"/>
  <c r="H183" i="30"/>
  <c r="D190" i="31"/>
  <c r="D4" i="31"/>
  <c r="D60" i="45"/>
  <c r="H206" i="31"/>
  <c r="D274" i="32"/>
  <c r="D188" i="31"/>
  <c r="D270" i="31"/>
  <c r="H174" i="31"/>
  <c r="O266" i="7"/>
  <c r="H284" i="31"/>
  <c r="D278" i="7"/>
  <c r="D338" i="30"/>
  <c r="D52" i="45"/>
  <c r="O554" i="7"/>
  <c r="H369" i="30"/>
  <c r="H101" i="30"/>
  <c r="D272" i="30"/>
  <c r="D237" i="31"/>
  <c r="D232" i="30"/>
  <c r="H16" i="45"/>
  <c r="H342" i="31"/>
  <c r="H63" i="45"/>
  <c r="H79" i="45"/>
  <c r="D341" i="31"/>
  <c r="O270" i="7"/>
  <c r="H219" i="32"/>
  <c r="H125" i="30"/>
  <c r="D333" i="30"/>
  <c r="O322" i="7"/>
  <c r="O457" i="7"/>
  <c r="H194" i="45"/>
  <c r="D542" i="7"/>
  <c r="O593" i="7"/>
  <c r="H99" i="45"/>
  <c r="O58" i="7"/>
  <c r="H27" i="30"/>
  <c r="D191" i="30"/>
  <c r="H158" i="31"/>
  <c r="D298" i="31"/>
  <c r="D351" i="30"/>
  <c r="D243" i="45"/>
  <c r="D108" i="7"/>
  <c r="H64" i="31"/>
  <c r="O254" i="7"/>
  <c r="H295" i="45"/>
  <c r="H397" i="30"/>
  <c r="D530" i="7"/>
  <c r="D199" i="30"/>
  <c r="D141" i="31"/>
  <c r="H22" i="45"/>
  <c r="H362" i="30"/>
  <c r="O146" i="7"/>
  <c r="H208" i="31"/>
  <c r="D612" i="7"/>
  <c r="D184" i="30"/>
  <c r="H252" i="31"/>
  <c r="H495" i="32"/>
  <c r="H365" i="30"/>
  <c r="O379" i="7"/>
  <c r="D120" i="7"/>
  <c r="D400" i="30"/>
  <c r="D403" i="7"/>
  <c r="H162" i="31"/>
  <c r="D113" i="30"/>
  <c r="H196" i="45"/>
  <c r="H84" i="31"/>
  <c r="O340" i="7"/>
  <c r="D46" i="31"/>
  <c r="D235" i="45"/>
  <c r="D319" i="31"/>
  <c r="H300" i="45"/>
  <c r="D256" i="31"/>
  <c r="D31" i="31"/>
  <c r="D492" i="32"/>
  <c r="D20" i="30"/>
  <c r="O560" i="7"/>
  <c r="O239" i="7"/>
  <c r="H404" i="30"/>
  <c r="H153" i="31"/>
  <c r="D156" i="7"/>
  <c r="D306" i="7"/>
  <c r="D328" i="30"/>
  <c r="D355" i="30"/>
  <c r="D126" i="31"/>
  <c r="H94" i="31"/>
  <c r="D405" i="7"/>
  <c r="D132" i="7"/>
  <c r="D92" i="7"/>
  <c r="H232" i="31"/>
  <c r="D384" i="7"/>
  <c r="D150" i="30"/>
  <c r="D99" i="45"/>
  <c r="H48" i="30"/>
  <c r="D311" i="30"/>
  <c r="Z28" i="18"/>
  <c r="H261" i="45"/>
  <c r="H350" i="30"/>
  <c r="D325" i="31"/>
  <c r="H111" i="45"/>
  <c r="D73" i="30"/>
  <c r="D81" i="30"/>
  <c r="O46" i="7"/>
  <c r="D276" i="7"/>
  <c r="H141" i="31"/>
  <c r="D41" i="31"/>
  <c r="D243" i="30"/>
  <c r="O378" i="7"/>
  <c r="D378" i="7"/>
  <c r="D66" i="7"/>
  <c r="D63" i="45"/>
  <c r="D412" i="30"/>
  <c r="D51" i="30"/>
  <c r="H137" i="31"/>
  <c r="H430" i="30"/>
  <c r="D215" i="30"/>
  <c r="H129" i="32"/>
  <c r="H114" i="30"/>
  <c r="D204" i="45"/>
  <c r="Z18" i="18"/>
  <c r="O288" i="7"/>
  <c r="D23" i="7"/>
  <c r="O141" i="7"/>
  <c r="H364" i="30"/>
  <c r="D33" i="45"/>
  <c r="D9" i="31"/>
  <c r="D62" i="31"/>
  <c r="D201" i="45"/>
  <c r="D366" i="32"/>
  <c r="O247" i="7"/>
  <c r="H410" i="32"/>
  <c r="D65" i="45"/>
  <c r="O139" i="7"/>
  <c r="D4" i="30"/>
  <c r="D363" i="30"/>
  <c r="D422" i="7"/>
  <c r="D424" i="30"/>
  <c r="D112" i="31"/>
  <c r="H212" i="30"/>
  <c r="D273" i="31"/>
  <c r="D56" i="30"/>
  <c r="H15" i="45"/>
  <c r="H32" i="30"/>
  <c r="D407" i="30"/>
  <c r="D6" i="30"/>
  <c r="D163" i="32"/>
  <c r="O420" i="7"/>
  <c r="O391" i="7"/>
  <c r="D398" i="30"/>
  <c r="D211" i="45"/>
  <c r="D62" i="30"/>
  <c r="D340" i="7"/>
  <c r="D37" i="31"/>
  <c r="H127" i="31"/>
  <c r="D337" i="31"/>
  <c r="H261" i="31"/>
  <c r="D287" i="7"/>
  <c r="O342" i="7"/>
  <c r="D22" i="31"/>
  <c r="H106" i="30"/>
  <c r="O112" i="7"/>
  <c r="H64" i="30"/>
  <c r="H310" i="31"/>
  <c r="H40" i="45"/>
  <c r="D302" i="31"/>
  <c r="H104" i="30"/>
  <c r="H358" i="30"/>
  <c r="H211" i="31"/>
  <c r="D604" i="7"/>
  <c r="H154" i="30"/>
  <c r="H100" i="31"/>
  <c r="D383" i="7"/>
  <c r="H349" i="31"/>
  <c r="D188" i="30"/>
  <c r="H317" i="30"/>
  <c r="D35" i="32"/>
  <c r="D511" i="32"/>
  <c r="H401" i="32"/>
  <c r="O38" i="7"/>
  <c r="D223" i="7"/>
  <c r="D401" i="32"/>
  <c r="H499" i="32"/>
  <c r="D63" i="32"/>
  <c r="D90" i="32"/>
  <c r="H458" i="32"/>
  <c r="D345" i="32"/>
  <c r="H192" i="32"/>
  <c r="D55" i="32"/>
  <c r="D336" i="32"/>
  <c r="H430" i="32"/>
  <c r="H114" i="32"/>
  <c r="H203" i="32"/>
  <c r="D326" i="32"/>
  <c r="D276" i="32"/>
  <c r="D514" i="7"/>
  <c r="D571" i="7"/>
  <c r="D91" i="31"/>
  <c r="D272" i="7"/>
  <c r="D300" i="45"/>
  <c r="H227" i="45"/>
  <c r="O129" i="7"/>
  <c r="O329" i="7"/>
  <c r="D391" i="30"/>
  <c r="D173" i="30"/>
  <c r="O168" i="7"/>
  <c r="D83" i="31"/>
  <c r="H387" i="32"/>
  <c r="H39" i="45"/>
  <c r="O188" i="7"/>
  <c r="H162" i="45"/>
  <c r="O82" i="7"/>
  <c r="D66" i="45"/>
  <c r="D72" i="45"/>
  <c r="H52" i="31"/>
  <c r="H129" i="31"/>
  <c r="D171" i="45"/>
  <c r="D259" i="31"/>
  <c r="D37" i="45"/>
  <c r="O237" i="7"/>
  <c r="D11" i="45"/>
  <c r="D307" i="7"/>
  <c r="H57" i="45"/>
  <c r="H327" i="30"/>
  <c r="H35" i="31"/>
  <c r="D55" i="45"/>
  <c r="D157" i="30"/>
  <c r="H302" i="31"/>
  <c r="D387" i="7"/>
  <c r="O289" i="7"/>
  <c r="H309" i="31"/>
  <c r="O277" i="7"/>
  <c r="O98" i="7"/>
  <c r="H263" i="45"/>
  <c r="O28" i="7"/>
  <c r="D138" i="30"/>
  <c r="D575" i="7"/>
  <c r="D271" i="45"/>
  <c r="D342" i="30"/>
  <c r="H117" i="45"/>
  <c r="H330" i="30"/>
  <c r="O158" i="7"/>
  <c r="H199" i="30"/>
  <c r="D423" i="30"/>
  <c r="D427" i="7"/>
  <c r="H163" i="31"/>
  <c r="D129" i="7"/>
  <c r="H435" i="32"/>
  <c r="D207" i="45"/>
  <c r="D301" i="45"/>
  <c r="D292" i="31"/>
  <c r="H412" i="30"/>
  <c r="H308" i="31"/>
  <c r="D17" i="45"/>
  <c r="D611" i="7"/>
  <c r="D140" i="31"/>
  <c r="O541" i="7"/>
  <c r="D71" i="45"/>
  <c r="Z12" i="18"/>
  <c r="H23" i="31"/>
  <c r="O580" i="7"/>
  <c r="H108" i="45"/>
  <c r="H183" i="45"/>
  <c r="H80" i="30"/>
  <c r="D290" i="30"/>
  <c r="H168" i="30"/>
  <c r="H133" i="30"/>
  <c r="D285" i="31"/>
  <c r="D194" i="31"/>
  <c r="D92" i="45"/>
  <c r="H56" i="31"/>
  <c r="H152" i="30"/>
  <c r="D296" i="30"/>
  <c r="D149" i="45"/>
  <c r="O287" i="7"/>
  <c r="H150" i="31"/>
  <c r="D179" i="32"/>
  <c r="H181" i="31"/>
  <c r="D84" i="45"/>
  <c r="D78" i="31"/>
  <c r="O478" i="7"/>
  <c r="H384" i="30"/>
  <c r="D69" i="31"/>
  <c r="H21" i="32"/>
  <c r="H28" i="32"/>
  <c r="H21" i="31"/>
  <c r="O127" i="7"/>
  <c r="H532" i="32"/>
  <c r="H24" i="31"/>
  <c r="D122" i="45"/>
  <c r="H269" i="32"/>
  <c r="O377" i="7"/>
  <c r="H222" i="31"/>
  <c r="D160" i="45"/>
  <c r="D226" i="7"/>
  <c r="D89" i="30"/>
  <c r="H140" i="30"/>
  <c r="H333" i="30"/>
  <c r="H249" i="31"/>
  <c r="D240" i="45"/>
  <c r="D517" i="7"/>
  <c r="D79" i="30"/>
  <c r="O401" i="7"/>
  <c r="H293" i="30"/>
  <c r="D308" i="31"/>
  <c r="D284" i="31"/>
  <c r="H457" i="32"/>
  <c r="D236" i="31"/>
  <c r="D61" i="31"/>
  <c r="O205" i="7"/>
  <c r="D234" i="31"/>
  <c r="H36" i="31"/>
  <c r="H391" i="30"/>
  <c r="O453" i="7"/>
  <c r="O521" i="7"/>
  <c r="H301" i="31"/>
  <c r="D241" i="31"/>
  <c r="H48" i="45"/>
  <c r="D276" i="30"/>
  <c r="D469" i="32"/>
  <c r="H150" i="45"/>
  <c r="D348" i="31"/>
  <c r="D173" i="31"/>
  <c r="O33" i="7"/>
  <c r="O216" i="7"/>
  <c r="H220" i="30"/>
  <c r="O410" i="7"/>
  <c r="H217" i="32"/>
  <c r="H74" i="31"/>
  <c r="H27" i="45"/>
  <c r="O359" i="7"/>
  <c r="D172" i="45"/>
  <c r="O107" i="7"/>
  <c r="H307" i="31"/>
  <c r="D289" i="7"/>
  <c r="H17" i="31"/>
  <c r="D179" i="7"/>
  <c r="O518" i="7"/>
  <c r="D198" i="45"/>
  <c r="D39" i="45"/>
  <c r="D283" i="31"/>
  <c r="H278" i="30"/>
  <c r="H390" i="30"/>
  <c r="O250" i="7"/>
  <c r="H205" i="32"/>
  <c r="H167" i="45"/>
  <c r="H240" i="31"/>
  <c r="H197" i="45"/>
  <c r="D387" i="30"/>
  <c r="O575" i="7"/>
  <c r="D247" i="31"/>
  <c r="H245" i="31"/>
  <c r="H309" i="45"/>
  <c r="D386" i="30"/>
  <c r="H77" i="45"/>
  <c r="D131" i="30"/>
  <c r="D23" i="45"/>
  <c r="H189" i="30"/>
  <c r="D375" i="32"/>
  <c r="O446" i="7"/>
  <c r="O424" i="7"/>
  <c r="D390" i="7"/>
  <c r="D73" i="31"/>
  <c r="H54" i="31"/>
  <c r="H296" i="45"/>
  <c r="H338" i="31"/>
  <c r="D429" i="30"/>
  <c r="H371" i="30"/>
  <c r="D583" i="7"/>
  <c r="D170" i="31"/>
  <c r="H304" i="31"/>
  <c r="H156" i="30"/>
  <c r="D509" i="7"/>
  <c r="D384" i="30"/>
  <c r="H156" i="32"/>
  <c r="D420" i="7"/>
  <c r="H132" i="45"/>
  <c r="O530" i="7"/>
  <c r="D394" i="7"/>
  <c r="H93" i="31"/>
  <c r="H246" i="45"/>
  <c r="D386" i="7"/>
  <c r="H77" i="31"/>
  <c r="H272" i="30"/>
  <c r="D217" i="45"/>
  <c r="D433" i="7"/>
  <c r="O455" i="7"/>
  <c r="H99" i="31"/>
  <c r="O75" i="7"/>
  <c r="H323" i="30"/>
  <c r="H295" i="30"/>
  <c r="D230" i="30"/>
  <c r="D442" i="30"/>
  <c r="D45" i="45"/>
  <c r="D83" i="30"/>
  <c r="O186" i="7"/>
  <c r="O333" i="7"/>
  <c r="D164" i="30"/>
  <c r="H213" i="30"/>
  <c r="H160" i="45"/>
  <c r="H54" i="45"/>
  <c r="D102" i="30"/>
  <c r="D204" i="30"/>
  <c r="D251" i="30"/>
  <c r="O524" i="7"/>
  <c r="D119" i="31"/>
  <c r="H331" i="31"/>
  <c r="H385" i="30"/>
  <c r="H330" i="31"/>
  <c r="D171" i="30"/>
  <c r="D138" i="31"/>
  <c r="H211" i="30"/>
  <c r="D475" i="7"/>
  <c r="H26" i="30"/>
  <c r="D253" i="45"/>
  <c r="D49" i="31"/>
  <c r="D106" i="31"/>
  <c r="H75" i="45"/>
  <c r="H455" i="30"/>
  <c r="H181" i="45"/>
  <c r="H239" i="30"/>
  <c r="D217" i="32"/>
  <c r="H28" i="30"/>
  <c r="H442" i="30"/>
  <c r="D616" i="7"/>
  <c r="H13" i="32"/>
  <c r="D531" i="32"/>
  <c r="D462" i="32"/>
  <c r="D170" i="32"/>
  <c r="D128" i="32"/>
  <c r="D379" i="32"/>
  <c r="D332" i="32"/>
  <c r="D248" i="32"/>
  <c r="D166" i="7"/>
  <c r="D105" i="32"/>
  <c r="H105" i="32"/>
  <c r="H284" i="32"/>
  <c r="H144" i="32"/>
  <c r="H331" i="32"/>
  <c r="D423" i="7"/>
  <c r="H501" i="32"/>
  <c r="D383" i="32"/>
  <c r="H183" i="32"/>
  <c r="H294" i="32"/>
  <c r="D223" i="45"/>
  <c r="H411" i="30"/>
  <c r="D86" i="31"/>
  <c r="O132" i="7"/>
  <c r="O232" i="7"/>
  <c r="O167" i="7"/>
  <c r="D177" i="45"/>
  <c r="D46" i="45"/>
  <c r="D90" i="30"/>
  <c r="O462" i="7"/>
  <c r="D374" i="7"/>
  <c r="H300" i="31"/>
  <c r="H36" i="30"/>
  <c r="D130" i="45"/>
  <c r="O71" i="7"/>
  <c r="O122" i="7"/>
  <c r="H174" i="45"/>
  <c r="D53" i="30"/>
  <c r="D226" i="31"/>
  <c r="D572" i="7"/>
  <c r="H306" i="30"/>
  <c r="H378" i="30"/>
  <c r="H185" i="45"/>
  <c r="H86" i="31"/>
  <c r="H14" i="30"/>
  <c r="D439" i="7"/>
  <c r="D169" i="31"/>
  <c r="D272" i="31"/>
  <c r="O553" i="7"/>
  <c r="H156" i="45"/>
  <c r="D319" i="30"/>
  <c r="O533" i="7"/>
  <c r="D44" i="30"/>
  <c r="H206" i="32"/>
  <c r="D113" i="45"/>
  <c r="D175" i="31"/>
  <c r="D228" i="30"/>
  <c r="H22" i="30"/>
  <c r="H37" i="45"/>
  <c r="H116" i="45"/>
  <c r="H115" i="31"/>
  <c r="D244" i="7"/>
  <c r="D81" i="45"/>
  <c r="H406" i="30"/>
  <c r="D344" i="31"/>
  <c r="H41" i="30"/>
  <c r="D79" i="45"/>
  <c r="O372" i="7"/>
  <c r="D265" i="30"/>
  <c r="D418" i="30"/>
  <c r="H321" i="30"/>
  <c r="H159" i="30"/>
  <c r="H98" i="30"/>
  <c r="D422" i="30"/>
  <c r="D60" i="7"/>
  <c r="H91" i="31"/>
  <c r="H231" i="31"/>
  <c r="D372" i="30"/>
  <c r="D340" i="31"/>
  <c r="D18" i="31"/>
  <c r="D184" i="31"/>
  <c r="O471" i="7"/>
  <c r="O437" i="7"/>
  <c r="D568" i="7"/>
  <c r="D46" i="32"/>
  <c r="O604" i="7"/>
  <c r="O440" i="7"/>
  <c r="H450" i="30"/>
  <c r="D147" i="31"/>
  <c r="O88" i="7"/>
  <c r="D323" i="45"/>
  <c r="H83" i="31"/>
  <c r="H60" i="30"/>
  <c r="D87" i="30"/>
  <c r="O35" i="7"/>
  <c r="D397" i="30"/>
  <c r="D321" i="7"/>
  <c r="Z10" i="18"/>
  <c r="D186" i="30"/>
  <c r="H67" i="30"/>
  <c r="D310" i="45"/>
  <c r="H243" i="30"/>
  <c r="D315" i="30"/>
  <c r="D29" i="45"/>
  <c r="H239" i="31"/>
  <c r="H428" i="30"/>
  <c r="H247" i="45"/>
  <c r="D573" i="7"/>
  <c r="D373" i="32"/>
  <c r="D142" i="30"/>
  <c r="D320" i="45"/>
  <c r="D296" i="7"/>
  <c r="D66" i="31"/>
  <c r="H266" i="31"/>
  <c r="O487" i="7"/>
  <c r="D477" i="7"/>
  <c r="D335" i="30"/>
  <c r="O242" i="7"/>
  <c r="D74" i="45"/>
  <c r="D185" i="7"/>
  <c r="O472" i="7"/>
  <c r="D166" i="45"/>
  <c r="D389" i="7"/>
  <c r="H325" i="30"/>
  <c r="D310" i="30"/>
  <c r="Z23" i="18"/>
  <c r="H93" i="45"/>
  <c r="H257" i="30"/>
  <c r="O386" i="7"/>
  <c r="H229" i="30"/>
  <c r="O252" i="7"/>
  <c r="D98" i="31"/>
  <c r="H40" i="32"/>
  <c r="H340" i="30"/>
  <c r="H444" i="30"/>
  <c r="D100" i="7"/>
  <c r="H65" i="45"/>
  <c r="D107" i="31"/>
  <c r="D153" i="7"/>
  <c r="D591" i="7"/>
  <c r="D216" i="7"/>
  <c r="D212" i="45"/>
  <c r="D175" i="7"/>
  <c r="D443" i="7"/>
  <c r="D302" i="7"/>
  <c r="D269" i="30"/>
  <c r="D73" i="45"/>
  <c r="D148" i="30"/>
  <c r="D163" i="31"/>
  <c r="D408" i="30"/>
  <c r="H420" i="30"/>
  <c r="D430" i="30"/>
  <c r="D153" i="31"/>
  <c r="D100" i="31"/>
  <c r="O565" i="7"/>
  <c r="H136" i="31"/>
  <c r="H221" i="31"/>
  <c r="D164" i="31"/>
  <c r="D294" i="7"/>
  <c r="O37" i="7"/>
  <c r="D111" i="31"/>
  <c r="D469" i="7"/>
  <c r="O148" i="7"/>
  <c r="H108" i="31"/>
  <c r="D157" i="45"/>
  <c r="D479" i="7"/>
  <c r="D176" i="7"/>
  <c r="H379" i="30"/>
  <c r="D143" i="31"/>
  <c r="D59" i="45"/>
  <c r="H342" i="30"/>
  <c r="H153" i="45"/>
  <c r="O460" i="7"/>
  <c r="O251" i="7"/>
  <c r="D159" i="30"/>
  <c r="O608" i="7"/>
  <c r="D41" i="7"/>
  <c r="D217" i="30"/>
  <c r="O592" i="7"/>
  <c r="D42" i="7"/>
  <c r="H48" i="31"/>
  <c r="O352" i="7"/>
  <c r="D160" i="31"/>
  <c r="D317" i="31"/>
  <c r="H42" i="30"/>
  <c r="H270" i="30"/>
  <c r="H123" i="45"/>
  <c r="D51" i="31"/>
  <c r="D242" i="30"/>
  <c r="H12" i="30"/>
  <c r="D156" i="31"/>
  <c r="H512" i="32"/>
  <c r="H311" i="45"/>
  <c r="H162" i="32"/>
  <c r="D247" i="30"/>
  <c r="H315" i="31"/>
  <c r="H17" i="45"/>
  <c r="D322" i="30"/>
  <c r="H276" i="31"/>
  <c r="H25" i="30"/>
  <c r="H88" i="30"/>
  <c r="H405" i="30"/>
  <c r="H332" i="30"/>
  <c r="D76" i="45"/>
  <c r="D71" i="31"/>
  <c r="D115" i="30"/>
  <c r="D162" i="7"/>
  <c r="H319" i="30"/>
  <c r="H95" i="30"/>
  <c r="O470" i="7"/>
  <c r="H117" i="30"/>
  <c r="D335" i="7"/>
  <c r="H133" i="31"/>
  <c r="D100" i="45"/>
  <c r="O94" i="7"/>
  <c r="D154" i="31"/>
  <c r="H134" i="45"/>
  <c r="H4" i="45"/>
  <c r="D298" i="7"/>
  <c r="H138" i="45"/>
  <c r="D276" i="45"/>
  <c r="O588" i="7"/>
  <c r="D249" i="30"/>
  <c r="D120" i="31"/>
  <c r="O500" i="7"/>
  <c r="O255" i="7"/>
  <c r="H178" i="31"/>
  <c r="O587" i="7"/>
  <c r="D499" i="7"/>
  <c r="D85" i="31"/>
  <c r="D249" i="31"/>
  <c r="D292" i="45"/>
  <c r="D589" i="7"/>
  <c r="D124" i="31"/>
  <c r="O47" i="7"/>
  <c r="H448" i="30"/>
  <c r="H104" i="31"/>
  <c r="H109" i="31"/>
  <c r="D130" i="30"/>
  <c r="O244" i="7"/>
  <c r="H285" i="30"/>
  <c r="D210" i="7"/>
  <c r="H236" i="31"/>
  <c r="D13" i="31"/>
  <c r="O493" i="7"/>
  <c r="H103" i="45"/>
  <c r="H198" i="30"/>
  <c r="O569" i="7"/>
  <c r="D96" i="45"/>
  <c r="H213" i="31"/>
  <c r="D152" i="45"/>
  <c r="H103" i="31"/>
  <c r="D464" i="7"/>
  <c r="O164" i="7"/>
  <c r="D227" i="7"/>
  <c r="D420" i="30"/>
  <c r="H437" i="30"/>
  <c r="O27" i="7"/>
  <c r="D144" i="30"/>
  <c r="D191" i="45"/>
  <c r="D160" i="32"/>
  <c r="D425" i="7"/>
  <c r="H520" i="32"/>
  <c r="H527" i="32"/>
  <c r="H449" i="32"/>
  <c r="H107" i="32"/>
  <c r="H438" i="32"/>
  <c r="D108" i="32"/>
  <c r="H126" i="32"/>
  <c r="H353" i="32"/>
  <c r="H433" i="32"/>
  <c r="D523" i="32"/>
  <c r="H508" i="32"/>
  <c r="H503" i="32"/>
  <c r="D99" i="32"/>
  <c r="H530" i="32"/>
  <c r="H498" i="32"/>
  <c r="H180" i="32"/>
  <c r="D216" i="32"/>
  <c r="D249" i="45"/>
  <c r="D262" i="45"/>
  <c r="D275" i="31"/>
  <c r="O367" i="7"/>
  <c r="H135" i="30"/>
  <c r="H43" i="45"/>
  <c r="D223" i="31"/>
  <c r="D487" i="7"/>
  <c r="O102" i="7"/>
  <c r="H212" i="45"/>
  <c r="H373" i="32"/>
  <c r="Z30" i="18"/>
  <c r="D376" i="7"/>
  <c r="O426" i="7"/>
  <c r="D7" i="45"/>
  <c r="D300" i="7"/>
  <c r="D32" i="45"/>
  <c r="D155" i="31"/>
  <c r="O315" i="7"/>
  <c r="H37" i="30"/>
  <c r="D208" i="7"/>
  <c r="D34" i="31"/>
  <c r="H274" i="30"/>
  <c r="H200" i="45"/>
  <c r="D299" i="7"/>
  <c r="D466" i="7"/>
  <c r="O417" i="7"/>
  <c r="D35" i="7"/>
  <c r="D205" i="7"/>
  <c r="O383" i="7"/>
  <c r="D78" i="32"/>
  <c r="H65" i="31"/>
  <c r="D293" i="31"/>
  <c r="H145" i="30"/>
  <c r="D451" i="30"/>
  <c r="D154" i="32"/>
  <c r="H434" i="32"/>
  <c r="D268" i="45"/>
  <c r="D354" i="7"/>
  <c r="D248" i="31"/>
  <c r="D559" i="7"/>
  <c r="D577" i="7"/>
  <c r="H248" i="30"/>
  <c r="H313" i="31"/>
  <c r="D240" i="31"/>
  <c r="D215" i="45"/>
  <c r="H284" i="45"/>
  <c r="H91" i="30"/>
  <c r="H297" i="30"/>
  <c r="D291" i="31"/>
  <c r="D80" i="31"/>
  <c r="H2" i="30"/>
  <c r="D122" i="31"/>
  <c r="H413" i="30"/>
  <c r="D259" i="30"/>
  <c r="D157" i="7"/>
  <c r="D80" i="7"/>
  <c r="D198" i="31"/>
  <c r="D297" i="30"/>
  <c r="D118" i="31"/>
  <c r="H269" i="45"/>
  <c r="H191" i="31"/>
  <c r="D356" i="30"/>
  <c r="D282" i="7"/>
  <c r="O539" i="7"/>
  <c r="H492" i="32"/>
  <c r="H320" i="30"/>
  <c r="D336" i="7"/>
  <c r="H216" i="45"/>
  <c r="H415" i="30"/>
  <c r="D165" i="31"/>
  <c r="D333" i="7"/>
  <c r="D411" i="32"/>
  <c r="H398" i="30"/>
  <c r="D541" i="7"/>
  <c r="D102" i="31"/>
  <c r="H18" i="45"/>
  <c r="H423" i="30"/>
  <c r="H298" i="32"/>
  <c r="D111" i="30"/>
  <c r="D97" i="31"/>
  <c r="D193" i="31"/>
  <c r="O80" i="7"/>
  <c r="O96" i="7"/>
  <c r="D268" i="31"/>
  <c r="H306" i="45"/>
  <c r="D146" i="45"/>
  <c r="D208" i="30"/>
  <c r="O230" i="7"/>
  <c r="D370" i="30"/>
  <c r="D36" i="45"/>
  <c r="D341" i="30"/>
  <c r="D545" i="7"/>
  <c r="H102" i="31"/>
  <c r="D219" i="31"/>
  <c r="D495" i="7"/>
  <c r="D104" i="31"/>
  <c r="D83" i="45"/>
  <c r="D523" i="7"/>
  <c r="H210" i="31"/>
  <c r="H95" i="31"/>
  <c r="D146" i="7"/>
  <c r="O210" i="7"/>
  <c r="H229" i="45"/>
  <c r="H111" i="31"/>
  <c r="H153" i="30"/>
  <c r="H72" i="30"/>
  <c r="D159" i="7"/>
  <c r="H133" i="45"/>
  <c r="D196" i="7"/>
  <c r="O240" i="7"/>
  <c r="D289" i="30"/>
  <c r="D532" i="32"/>
  <c r="D374" i="32"/>
  <c r="H329" i="30"/>
  <c r="D522" i="7"/>
  <c r="H19" i="31"/>
  <c r="H381" i="30"/>
  <c r="O306" i="7"/>
  <c r="H8" i="31"/>
  <c r="D25" i="7"/>
  <c r="H44" i="30"/>
  <c r="H396" i="30"/>
  <c r="H97" i="30"/>
  <c r="D463" i="7"/>
  <c r="H226" i="30"/>
  <c r="O452" i="7"/>
  <c r="D505" i="7"/>
  <c r="H62" i="30"/>
  <c r="H86" i="30"/>
  <c r="D33" i="31"/>
  <c r="O137" i="7"/>
  <c r="D366" i="30"/>
  <c r="H431" i="30"/>
  <c r="D104" i="30"/>
  <c r="H374" i="32"/>
  <c r="D447" i="30"/>
  <c r="H459" i="30"/>
  <c r="D237" i="45"/>
  <c r="O596" i="7"/>
  <c r="D337" i="7"/>
  <c r="D357" i="7"/>
  <c r="O361" i="7"/>
  <c r="O448" i="7"/>
  <c r="H22" i="31"/>
  <c r="H341" i="31"/>
  <c r="H234" i="45"/>
  <c r="D54" i="30"/>
  <c r="H200" i="30"/>
  <c r="H85" i="31"/>
  <c r="D334" i="31"/>
  <c r="H215" i="45"/>
  <c r="H42" i="45"/>
  <c r="D485" i="7"/>
  <c r="H314" i="31"/>
  <c r="H285" i="45"/>
  <c r="D156" i="30"/>
  <c r="H323" i="45"/>
  <c r="D385" i="30"/>
  <c r="D540" i="7"/>
  <c r="D75" i="45"/>
  <c r="D373" i="30"/>
  <c r="D318" i="31"/>
  <c r="D382" i="30"/>
  <c r="O350" i="7"/>
  <c r="H55" i="31"/>
  <c r="H294" i="30"/>
  <c r="H97" i="31"/>
  <c r="D274" i="45"/>
  <c r="H18" i="30"/>
  <c r="D507" i="7"/>
  <c r="H201" i="45"/>
  <c r="D399" i="7"/>
  <c r="D359" i="30"/>
  <c r="D461" i="7"/>
  <c r="O259" i="7"/>
  <c r="D106" i="30"/>
  <c r="D21" i="32"/>
  <c r="O483" i="7"/>
  <c r="H300" i="30"/>
  <c r="O515" i="7"/>
  <c r="H27" i="31"/>
  <c r="H182" i="45"/>
  <c r="D450" i="30"/>
  <c r="D148" i="31"/>
  <c r="H216" i="31"/>
  <c r="H18" i="31"/>
  <c r="H215" i="30"/>
  <c r="H192" i="31"/>
  <c r="D92" i="31"/>
  <c r="H107" i="45"/>
  <c r="D332" i="31"/>
  <c r="O52" i="7"/>
  <c r="D68" i="7"/>
  <c r="D303" i="31"/>
  <c r="D254" i="31"/>
  <c r="D413" i="30"/>
  <c r="D406" i="32"/>
  <c r="H165" i="31"/>
  <c r="H18" i="32"/>
  <c r="H30" i="31"/>
  <c r="D195" i="31"/>
  <c r="H38" i="45"/>
  <c r="D172" i="31"/>
  <c r="D380" i="7"/>
  <c r="H297" i="31"/>
  <c r="H58" i="31"/>
  <c r="H315" i="30"/>
  <c r="H59" i="31"/>
  <c r="H382" i="30"/>
  <c r="H400" i="30"/>
  <c r="D123" i="45"/>
  <c r="D248" i="7"/>
  <c r="H45" i="30"/>
  <c r="D596" i="7"/>
  <c r="D114" i="31"/>
  <c r="D150" i="31"/>
  <c r="D186" i="31"/>
  <c r="D224" i="31"/>
  <c r="D295" i="30"/>
  <c r="D212" i="30"/>
  <c r="H130" i="30"/>
  <c r="D118" i="7"/>
  <c r="D237" i="30"/>
  <c r="D395" i="30"/>
  <c r="H361" i="32"/>
  <c r="D30" i="7"/>
  <c r="D91" i="30"/>
  <c r="D408" i="7"/>
  <c r="D150" i="7"/>
  <c r="H199" i="31"/>
  <c r="D349" i="31"/>
  <c r="H113" i="31"/>
  <c r="H360" i="30"/>
  <c r="H143" i="30"/>
  <c r="H11" i="31"/>
  <c r="D213" i="45"/>
  <c r="D144" i="45"/>
  <c r="D66" i="32"/>
  <c r="D103" i="30"/>
  <c r="O474" i="7"/>
  <c r="D40" i="7"/>
  <c r="O382" i="7"/>
  <c r="D199" i="31"/>
  <c r="H48" i="32"/>
  <c r="D292" i="32"/>
  <c r="H87" i="30"/>
  <c r="D197" i="7"/>
  <c r="O225" i="7"/>
  <c r="D74" i="31"/>
  <c r="H228" i="31"/>
  <c r="D291" i="30"/>
  <c r="H470" i="32"/>
  <c r="D221" i="31"/>
  <c r="H130" i="31"/>
  <c r="H429" i="30"/>
  <c r="D142" i="7"/>
  <c r="H256" i="30"/>
  <c r="H107" i="30"/>
  <c r="D135" i="30"/>
  <c r="O229" i="7"/>
  <c r="O317" i="7"/>
  <c r="D294" i="45"/>
  <c r="D320" i="30"/>
  <c r="D148" i="45"/>
  <c r="D121" i="30"/>
  <c r="D14" i="31"/>
  <c r="H107" i="31"/>
  <c r="H53" i="31"/>
  <c r="D161" i="30"/>
  <c r="H247" i="31"/>
  <c r="D107" i="7"/>
  <c r="O138" i="7"/>
  <c r="D57" i="30"/>
  <c r="D264" i="45"/>
  <c r="D313" i="7"/>
  <c r="D274" i="31"/>
  <c r="D94" i="30"/>
  <c r="O304" i="7"/>
  <c r="H194" i="32"/>
  <c r="O337" i="7"/>
  <c r="H184" i="30"/>
  <c r="D30" i="30"/>
  <c r="H284" i="30"/>
  <c r="D364" i="30"/>
  <c r="H144" i="30"/>
  <c r="Z15" i="18"/>
  <c r="O484" i="7"/>
  <c r="H114" i="45"/>
  <c r="D93" i="30"/>
  <c r="D229" i="45"/>
  <c r="D260" i="7"/>
  <c r="H106" i="31"/>
  <c r="D28" i="7"/>
  <c r="O594" i="7"/>
  <c r="D250" i="7"/>
  <c r="Z16" i="18"/>
  <c r="D16" i="45"/>
  <c r="D72" i="30"/>
  <c r="D296" i="31"/>
  <c r="H76" i="45"/>
  <c r="H292" i="31"/>
  <c r="D176" i="31"/>
  <c r="H266" i="30"/>
  <c r="D498" i="7"/>
  <c r="H280" i="30"/>
  <c r="H376" i="30"/>
  <c r="D473" i="7"/>
  <c r="D162" i="30"/>
  <c r="H377" i="30"/>
  <c r="H12" i="31"/>
  <c r="H363" i="30"/>
  <c r="H163" i="32"/>
  <c r="H209" i="30"/>
  <c r="D318" i="45"/>
  <c r="D110" i="30"/>
  <c r="D155" i="30"/>
  <c r="D65" i="30"/>
  <c r="D103" i="31"/>
  <c r="D235" i="30"/>
  <c r="O566" i="7"/>
  <c r="D367" i="7"/>
  <c r="H264" i="31"/>
  <c r="D377" i="30"/>
  <c r="O320" i="7"/>
  <c r="O577" i="7"/>
  <c r="H159" i="31"/>
  <c r="D185" i="31"/>
  <c r="H240" i="45"/>
  <c r="H270" i="31"/>
  <c r="D520" i="7"/>
  <c r="D178" i="45"/>
  <c r="D129" i="32"/>
  <c r="H146" i="30"/>
  <c r="H329" i="31"/>
  <c r="H173" i="31"/>
  <c r="D281" i="30"/>
  <c r="H249" i="30"/>
  <c r="D455" i="7"/>
  <c r="D89" i="45"/>
  <c r="H81" i="31"/>
  <c r="D113" i="7"/>
  <c r="H110" i="30"/>
  <c r="D339" i="30"/>
  <c r="D310" i="7"/>
  <c r="D6" i="31"/>
  <c r="D215" i="31"/>
  <c r="D93" i="7"/>
  <c r="D14" i="30"/>
  <c r="H25" i="45"/>
  <c r="H345" i="30"/>
  <c r="O79" i="7"/>
  <c r="D194" i="7"/>
  <c r="H121" i="45"/>
  <c r="D397" i="7"/>
  <c r="D254" i="7"/>
  <c r="H41" i="32"/>
  <c r="D152" i="31"/>
  <c r="D216" i="45"/>
  <c r="D260" i="31"/>
  <c r="D130" i="31"/>
  <c r="D293" i="45"/>
  <c r="D297" i="45"/>
  <c r="H457" i="30"/>
  <c r="D279" i="31"/>
  <c r="H306" i="31"/>
  <c r="H312" i="31"/>
  <c r="D432" i="30"/>
  <c r="H144" i="31"/>
  <c r="H242" i="30"/>
  <c r="H132" i="31"/>
  <c r="D24" i="30"/>
  <c r="D64" i="7"/>
  <c r="D549" i="7"/>
  <c r="O357" i="7"/>
  <c r="H51" i="30"/>
  <c r="D311" i="31"/>
  <c r="Z5" i="18"/>
  <c r="D302" i="30"/>
  <c r="D88" i="45"/>
  <c r="D26" i="30"/>
  <c r="H15" i="31"/>
  <c r="H115" i="30"/>
  <c r="H94" i="30"/>
  <c r="O389" i="7"/>
  <c r="D256" i="45"/>
  <c r="H201" i="30"/>
  <c r="D279" i="45"/>
  <c r="O191" i="7"/>
  <c r="D487" i="32"/>
  <c r="H46" i="45"/>
  <c r="H114" i="31"/>
  <c r="D123" i="7"/>
  <c r="D301" i="7"/>
  <c r="O498" i="7"/>
  <c r="D602" i="7"/>
  <c r="H486" i="32"/>
  <c r="H344" i="30"/>
  <c r="D133" i="30"/>
  <c r="D230" i="31"/>
  <c r="H339" i="30"/>
  <c r="D202" i="7"/>
  <c r="D405" i="30"/>
  <c r="H198" i="32"/>
  <c r="D105" i="7"/>
  <c r="H103" i="30"/>
  <c r="D267" i="30"/>
  <c r="D9" i="30"/>
  <c r="H403" i="30"/>
  <c r="O475" i="7"/>
  <c r="H4" i="30"/>
  <c r="D70" i="31"/>
  <c r="H76" i="30"/>
  <c r="D16" i="31"/>
  <c r="D47" i="7"/>
  <c r="D98" i="30"/>
  <c r="D311" i="7"/>
  <c r="H436" i="30"/>
  <c r="H96" i="30"/>
  <c r="H424" i="30"/>
  <c r="H224" i="30"/>
  <c r="D323" i="7"/>
  <c r="D28" i="32"/>
  <c r="H452" i="30"/>
  <c r="D216" i="31"/>
  <c r="O485" i="7"/>
  <c r="D156" i="32"/>
  <c r="O290" i="7"/>
  <c r="H446" i="30"/>
  <c r="H182" i="31"/>
  <c r="D508" i="7"/>
  <c r="O561" i="7"/>
  <c r="H295" i="31"/>
  <c r="O60" i="7"/>
  <c r="H141" i="30"/>
  <c r="D116" i="45"/>
  <c r="H223" i="45"/>
  <c r="D92" i="30"/>
  <c r="D57" i="31"/>
  <c r="H55" i="30"/>
  <c r="O53" i="7"/>
  <c r="H142" i="31"/>
  <c r="H281" i="30"/>
  <c r="D230" i="45"/>
  <c r="H377" i="32"/>
  <c r="D83" i="7"/>
  <c r="H349" i="30"/>
  <c r="D35" i="45"/>
  <c r="O586" i="7"/>
  <c r="O72" i="7"/>
  <c r="D316" i="7"/>
  <c r="H171" i="30"/>
  <c r="D207" i="31"/>
  <c r="H124" i="30"/>
  <c r="D123" i="30"/>
  <c r="H127" i="30"/>
  <c r="D276" i="31"/>
  <c r="D137" i="7"/>
  <c r="D373" i="7"/>
  <c r="D352" i="30"/>
  <c r="H134" i="30"/>
  <c r="D231" i="30"/>
  <c r="H29" i="45"/>
  <c r="D322" i="7"/>
  <c r="H74" i="30"/>
  <c r="D283" i="7"/>
  <c r="H30" i="30"/>
  <c r="Z2" i="18"/>
  <c r="D172" i="30"/>
  <c r="D207" i="30"/>
  <c r="O323" i="7"/>
  <c r="D57" i="45"/>
  <c r="H51" i="31"/>
  <c r="D113" i="31"/>
  <c r="O69" i="7"/>
  <c r="D250" i="30"/>
  <c r="O397" i="7"/>
  <c r="H267" i="45"/>
  <c r="H138" i="31"/>
  <c r="D174" i="30"/>
  <c r="H265" i="30"/>
  <c r="H319" i="45"/>
  <c r="D179" i="30"/>
  <c r="D45" i="31"/>
  <c r="H177" i="30"/>
  <c r="H176" i="30"/>
  <c r="H257" i="31"/>
  <c r="O128" i="7"/>
  <c r="D169" i="45"/>
  <c r="O92" i="7"/>
  <c r="D307" i="45"/>
  <c r="D369" i="30"/>
  <c r="D550" i="7"/>
  <c r="O113" i="7"/>
  <c r="D128" i="30"/>
  <c r="D440" i="30"/>
  <c r="D23" i="31"/>
  <c r="D470" i="7"/>
  <c r="H248" i="45"/>
  <c r="H267" i="31"/>
  <c r="D88" i="7"/>
  <c r="O388" i="7"/>
  <c r="O20" i="7"/>
  <c r="D10" i="30"/>
  <c r="H282" i="30"/>
  <c r="D318" i="7"/>
  <c r="D89" i="31"/>
  <c r="O479" i="7"/>
  <c r="D58" i="45"/>
  <c r="O130" i="7"/>
  <c r="H119" i="30"/>
  <c r="D347" i="31"/>
  <c r="H209" i="45"/>
  <c r="D438" i="7"/>
  <c r="H341" i="30"/>
  <c r="H232" i="30"/>
  <c r="H351" i="30"/>
  <c r="H259" i="31"/>
  <c r="D253" i="32"/>
  <c r="D190" i="45"/>
  <c r="H241" i="31"/>
  <c r="H222" i="45"/>
  <c r="H262" i="45"/>
  <c r="O384" i="7"/>
  <c r="D389" i="30"/>
  <c r="H66" i="45"/>
  <c r="D233" i="7"/>
  <c r="O154" i="7"/>
  <c r="D140" i="45"/>
  <c r="H366" i="32"/>
  <c r="O355" i="7"/>
  <c r="H102" i="45"/>
  <c r="D147" i="45"/>
  <c r="D434" i="7"/>
  <c r="D197" i="45"/>
  <c r="D399" i="32"/>
  <c r="H305" i="45"/>
  <c r="H152" i="45"/>
  <c r="D132" i="45"/>
  <c r="D314" i="45"/>
  <c r="H91" i="45"/>
  <c r="D46" i="7"/>
  <c r="D345" i="31"/>
  <c r="H193" i="31"/>
  <c r="D441" i="30"/>
  <c r="H314" i="45"/>
  <c r="D55" i="7"/>
  <c r="D582" i="7"/>
  <c r="D316" i="30"/>
  <c r="D42" i="45"/>
  <c r="H205" i="31"/>
  <c r="D343" i="31"/>
  <c r="D288" i="7"/>
  <c r="O297" i="7"/>
  <c r="H112" i="31"/>
  <c r="H92" i="31"/>
  <c r="O81" i="7"/>
  <c r="D219" i="45"/>
  <c r="D60" i="30"/>
  <c r="O282" i="7"/>
  <c r="H151" i="31"/>
  <c r="O118" i="7"/>
  <c r="D303" i="7"/>
  <c r="D24" i="7"/>
  <c r="H44" i="32"/>
  <c r="D277" i="7"/>
  <c r="H35" i="30"/>
  <c r="O468" i="7"/>
  <c r="H140" i="45"/>
  <c r="D121" i="7"/>
  <c r="H317" i="31"/>
  <c r="D200" i="30"/>
  <c r="D62" i="7"/>
  <c r="D196" i="30"/>
  <c r="O381" i="7"/>
  <c r="O276" i="7"/>
  <c r="H121" i="31"/>
  <c r="O578" i="7"/>
  <c r="Z11" i="18"/>
  <c r="D211" i="31"/>
  <c r="D101" i="31"/>
  <c r="D183" i="30"/>
  <c r="H313" i="30"/>
  <c r="D296" i="45"/>
  <c r="H332" i="31"/>
  <c r="D56" i="31"/>
  <c r="D97" i="45"/>
  <c r="D375" i="7"/>
  <c r="D495" i="32"/>
  <c r="H148" i="45"/>
  <c r="D156" i="45"/>
  <c r="H158" i="45"/>
  <c r="O274" i="7"/>
  <c r="D206" i="30"/>
  <c r="D30" i="31"/>
  <c r="D314" i="31"/>
  <c r="D346" i="30"/>
  <c r="H298" i="31"/>
  <c r="D330" i="31"/>
  <c r="H148" i="31"/>
  <c r="H128" i="31"/>
  <c r="D137" i="31"/>
  <c r="D124" i="30"/>
  <c r="H7" i="31"/>
  <c r="H340" i="31"/>
  <c r="O307" i="7"/>
  <c r="D402" i="7"/>
  <c r="D210" i="45"/>
  <c r="D25" i="31"/>
  <c r="O537" i="7"/>
  <c r="H273" i="30"/>
  <c r="H40" i="30"/>
  <c r="O292" i="7"/>
  <c r="O573" i="7"/>
  <c r="H184" i="45"/>
  <c r="O506" i="7"/>
  <c r="D39" i="30"/>
  <c r="H41" i="31"/>
  <c r="D228" i="7"/>
  <c r="O314" i="7"/>
  <c r="O366" i="7"/>
  <c r="D325" i="30"/>
  <c r="D181" i="7"/>
  <c r="H252" i="45"/>
  <c r="H294" i="45"/>
  <c r="H13" i="31"/>
  <c r="D139" i="7"/>
  <c r="H47" i="30"/>
  <c r="H3" i="30"/>
  <c r="O50" i="7"/>
  <c r="D191" i="31"/>
  <c r="O370" i="7"/>
  <c r="O597" i="7"/>
  <c r="H33" i="45"/>
  <c r="H237" i="45"/>
  <c r="D407" i="7"/>
  <c r="D543" i="7"/>
  <c r="O344" i="7"/>
  <c r="D271" i="7"/>
  <c r="D376" i="30"/>
  <c r="O116" i="7"/>
  <c r="O246" i="7"/>
  <c r="H223" i="30"/>
  <c r="H172" i="45"/>
  <c r="D184" i="45"/>
  <c r="D155" i="7"/>
  <c r="O22" i="7"/>
  <c r="D336" i="31"/>
  <c r="D225" i="7"/>
  <c r="H13" i="45"/>
  <c r="H126" i="30"/>
  <c r="H303" i="30"/>
  <c r="H215" i="31"/>
  <c r="H218" i="45"/>
  <c r="D29" i="31"/>
  <c r="D55" i="30"/>
  <c r="H131" i="30"/>
  <c r="D34" i="30"/>
  <c r="D613" i="7"/>
  <c r="D201" i="31"/>
  <c r="H256" i="45"/>
  <c r="D539" i="7"/>
  <c r="D214" i="30"/>
  <c r="H19" i="45"/>
  <c r="H292" i="30"/>
  <c r="D269" i="7"/>
  <c r="H180" i="31"/>
  <c r="D570" i="7"/>
  <c r="H264" i="45"/>
  <c r="D537" i="7"/>
  <c r="O563" i="7"/>
  <c r="H320" i="31"/>
  <c r="H461" i="30"/>
  <c r="H273" i="31"/>
  <c r="O610" i="7"/>
  <c r="D39" i="7"/>
  <c r="O236" i="7"/>
  <c r="D78" i="7"/>
  <c r="D243" i="31"/>
  <c r="D68" i="31"/>
  <c r="D148" i="7"/>
  <c r="D233" i="30"/>
  <c r="D365" i="30"/>
  <c r="H373" i="30"/>
  <c r="O29" i="7"/>
  <c r="H372" i="30"/>
  <c r="D455" i="30"/>
  <c r="D458" i="30"/>
  <c r="D76" i="30"/>
  <c r="D117" i="30"/>
  <c r="H316" i="31"/>
  <c r="H73" i="30"/>
  <c r="D331" i="31"/>
  <c r="H322" i="31"/>
  <c r="D50" i="30"/>
  <c r="D264" i="7"/>
  <c r="D94" i="7"/>
  <c r="D231" i="31"/>
  <c r="D140" i="30"/>
  <c r="D114" i="30"/>
  <c r="D64" i="31"/>
  <c r="H116" i="31"/>
  <c r="H253" i="32"/>
  <c r="D346" i="31"/>
  <c r="H78" i="45"/>
  <c r="H356" i="30"/>
  <c r="O135" i="7"/>
  <c r="D269" i="32"/>
  <c r="D36" i="31"/>
  <c r="D151" i="45"/>
  <c r="D137" i="45"/>
  <c r="O413" i="7"/>
  <c r="D48" i="32"/>
  <c r="D379" i="7"/>
  <c r="D244" i="30"/>
  <c r="D275" i="30"/>
  <c r="D592" i="7"/>
  <c r="H258" i="31"/>
  <c r="D345" i="30"/>
  <c r="D415" i="7"/>
  <c r="D277" i="45"/>
  <c r="D59" i="31"/>
  <c r="D68" i="45"/>
  <c r="D121" i="32"/>
  <c r="D277" i="31"/>
  <c r="H125" i="31"/>
  <c r="D326" i="7"/>
  <c r="D382" i="7"/>
  <c r="H255" i="30"/>
  <c r="D197" i="31"/>
  <c r="H142" i="30"/>
  <c r="D277" i="30"/>
  <c r="D294" i="30"/>
  <c r="H123" i="31"/>
  <c r="H83" i="45"/>
  <c r="D381" i="7"/>
  <c r="D410" i="30"/>
  <c r="H233" i="45"/>
  <c r="H88" i="31"/>
  <c r="H189" i="31"/>
  <c r="D470" i="32"/>
  <c r="H422" i="30"/>
  <c r="H163" i="45"/>
  <c r="H347" i="30"/>
  <c r="D323" i="30"/>
  <c r="H256" i="31"/>
  <c r="D413" i="7"/>
  <c r="D497" i="7"/>
  <c r="H355" i="30"/>
  <c r="D418" i="7"/>
  <c r="D304" i="30"/>
  <c r="D305" i="31"/>
  <c r="D280" i="30"/>
  <c r="H172" i="31"/>
  <c r="H493" i="32"/>
  <c r="O172" i="7"/>
  <c r="D67" i="30"/>
  <c r="D306" i="30"/>
  <c r="H39" i="31"/>
  <c r="D27" i="30"/>
  <c r="H458" i="30"/>
  <c r="H13" i="30"/>
  <c r="D209" i="31"/>
  <c r="H76" i="31"/>
  <c r="D377" i="32"/>
  <c r="Z4" i="18"/>
  <c r="D278" i="30"/>
  <c r="O540" i="7"/>
  <c r="D252" i="7"/>
  <c r="D287" i="31"/>
  <c r="H90" i="31"/>
  <c r="H265" i="31"/>
  <c r="O111" i="7"/>
  <c r="D80" i="30"/>
  <c r="D41" i="45"/>
  <c r="H82" i="45"/>
  <c r="O136" i="7"/>
  <c r="D263" i="31"/>
  <c r="O194" i="7"/>
  <c r="D292" i="30"/>
  <c r="D425" i="32"/>
  <c r="D77" i="45"/>
  <c r="O196" i="7"/>
  <c r="D431" i="30"/>
  <c r="O305" i="7"/>
  <c r="H265" i="45"/>
  <c r="O590" i="7"/>
  <c r="H86" i="45"/>
  <c r="O206" i="7"/>
  <c r="H299" i="31"/>
  <c r="H357" i="30"/>
  <c r="H456" i="30"/>
  <c r="H200" i="32"/>
  <c r="D122" i="30"/>
  <c r="H69" i="30"/>
  <c r="D588" i="7"/>
  <c r="H214" i="30"/>
  <c r="D234" i="45"/>
  <c r="O418" i="7"/>
  <c r="D309" i="30"/>
  <c r="D132" i="31"/>
  <c r="D266" i="31"/>
  <c r="D363" i="32"/>
  <c r="D257" i="30"/>
  <c r="D433" i="30"/>
  <c r="D221" i="30"/>
  <c r="H120" i="31"/>
  <c r="O207" i="7"/>
  <c r="D45" i="7"/>
  <c r="H308" i="30"/>
  <c r="D3" i="31"/>
  <c r="H287" i="45"/>
  <c r="D80" i="45"/>
  <c r="O15" i="7"/>
  <c r="D36" i="7"/>
  <c r="H374" i="30"/>
  <c r="D390" i="30"/>
  <c r="O508" i="7"/>
  <c r="O34" i="7"/>
  <c r="H105" i="30"/>
  <c r="D333" i="31"/>
  <c r="H334" i="30"/>
  <c r="H73" i="45"/>
  <c r="H179" i="32"/>
  <c r="D278" i="45"/>
  <c r="D261" i="30"/>
  <c r="O601" i="7"/>
  <c r="D322" i="31"/>
  <c r="H333" i="31"/>
  <c r="D235" i="7"/>
  <c r="D353" i="30"/>
  <c r="H196" i="30"/>
  <c r="O517" i="7"/>
  <c r="D197" i="30"/>
  <c r="H275" i="30"/>
  <c r="D486" i="32"/>
  <c r="D188" i="45"/>
  <c r="H309" i="32"/>
  <c r="H56" i="30"/>
  <c r="H303" i="45"/>
  <c r="H228" i="45"/>
  <c r="D206" i="31"/>
  <c r="H262" i="30"/>
  <c r="D337" i="32"/>
  <c r="H407" i="30"/>
  <c r="H322" i="30"/>
  <c r="D287" i="30"/>
  <c r="H30" i="45"/>
  <c r="Z32" i="18"/>
  <c r="O407" i="7"/>
  <c r="H108" i="30"/>
  <c r="H227" i="30"/>
  <c r="H210" i="45"/>
  <c r="D78" i="30"/>
  <c r="D439" i="30"/>
  <c r="D210" i="30"/>
  <c r="H189" i="45"/>
  <c r="H425" i="32"/>
  <c r="D249" i="7"/>
  <c r="D321" i="30"/>
  <c r="H118" i="31"/>
  <c r="O281" i="7"/>
  <c r="D236" i="45"/>
  <c r="O26" i="7"/>
  <c r="D125" i="7"/>
  <c r="D141" i="30"/>
  <c r="D316" i="45"/>
  <c r="H10" i="45"/>
  <c r="H41" i="45"/>
  <c r="D257" i="45"/>
  <c r="D434" i="30"/>
  <c r="H346" i="30"/>
  <c r="D587" i="7"/>
  <c r="D325" i="7"/>
  <c r="D82" i="45"/>
  <c r="D149" i="31"/>
  <c r="D105" i="30"/>
  <c r="D89" i="7"/>
  <c r="H334" i="31"/>
  <c r="H16" i="30"/>
  <c r="H242" i="31"/>
  <c r="D324" i="30"/>
  <c r="O326" i="7"/>
  <c r="O466" i="7"/>
  <c r="D185" i="45"/>
  <c r="H4" i="31"/>
  <c r="D229" i="31"/>
  <c r="D468" i="7"/>
  <c r="D339" i="31"/>
  <c r="D189" i="30"/>
  <c r="O402" i="7"/>
  <c r="D32" i="31"/>
  <c r="H338" i="30"/>
  <c r="O310" i="7"/>
  <c r="D443" i="30"/>
  <c r="H293" i="31"/>
  <c r="H314" i="30"/>
  <c r="H150" i="30"/>
  <c r="H468" i="32"/>
  <c r="D86" i="30"/>
  <c r="D84" i="30"/>
  <c r="H233" i="31"/>
  <c r="G233" i="31" l="1"/>
  <c r="G468" i="32"/>
  <c r="G150" i="30"/>
  <c r="G314" i="30"/>
  <c r="G293" i="31"/>
  <c r="G338" i="30"/>
  <c r="C468" i="7"/>
  <c r="F4" i="31"/>
  <c r="G4" i="31"/>
  <c r="G242" i="31"/>
  <c r="F16" i="30"/>
  <c r="G16" i="30"/>
  <c r="G334" i="31"/>
  <c r="C89" i="7"/>
  <c r="C325" i="7"/>
  <c r="C587" i="7"/>
  <c r="G346" i="30"/>
  <c r="G10" i="45"/>
  <c r="G41" i="45"/>
  <c r="C125" i="7"/>
  <c r="G118" i="31"/>
  <c r="C249" i="7"/>
  <c r="G425" i="32"/>
  <c r="G189" i="45"/>
  <c r="G210" i="45"/>
  <c r="G227" i="30"/>
  <c r="G108" i="30"/>
  <c r="G30" i="45"/>
  <c r="G322" i="30"/>
  <c r="G407" i="30"/>
  <c r="G262" i="30"/>
  <c r="G228" i="45"/>
  <c r="G303" i="45"/>
  <c r="G56" i="30"/>
  <c r="G309" i="32"/>
  <c r="G275" i="30"/>
  <c r="G196" i="30"/>
  <c r="C235" i="7"/>
  <c r="G333" i="31"/>
  <c r="G179" i="32"/>
  <c r="F73" i="45"/>
  <c r="G73" i="45"/>
  <c r="G334" i="30"/>
  <c r="G105" i="30"/>
  <c r="G374" i="30"/>
  <c r="C36" i="7"/>
  <c r="G287" i="45"/>
  <c r="G308" i="30"/>
  <c r="C45" i="7"/>
  <c r="G120" i="31"/>
  <c r="G214" i="30"/>
  <c r="C588" i="7"/>
  <c r="G69" i="30"/>
  <c r="G200" i="32"/>
  <c r="G456" i="30"/>
  <c r="G357" i="30"/>
  <c r="G299" i="31"/>
  <c r="G86" i="45"/>
  <c r="G265" i="45"/>
  <c r="G82" i="45"/>
  <c r="G265" i="31"/>
  <c r="G90" i="31"/>
  <c r="C252" i="7"/>
  <c r="G76" i="31"/>
  <c r="G13" i="30"/>
  <c r="G458" i="30"/>
  <c r="G39" i="31"/>
  <c r="F39" i="31"/>
  <c r="G493" i="32"/>
  <c r="G172" i="31"/>
  <c r="C418" i="7"/>
  <c r="G355" i="30"/>
  <c r="C497" i="7"/>
  <c r="C413" i="7"/>
  <c r="G256" i="31"/>
  <c r="G347" i="30"/>
  <c r="G163" i="45"/>
  <c r="G422" i="30"/>
  <c r="G189" i="31"/>
  <c r="G88" i="31"/>
  <c r="G233" i="45"/>
  <c r="C381" i="7"/>
  <c r="G83" i="45"/>
  <c r="G123" i="31"/>
  <c r="G142" i="30"/>
  <c r="G255" i="30"/>
  <c r="C382" i="7"/>
  <c r="C326" i="7"/>
  <c r="G125" i="31"/>
  <c r="C415" i="7"/>
  <c r="G258" i="31"/>
  <c r="C592" i="7"/>
  <c r="C379" i="7"/>
  <c r="G356" i="30"/>
  <c r="G78" i="45"/>
  <c r="G253" i="32"/>
  <c r="G116" i="31"/>
  <c r="C264" i="7"/>
  <c r="C94" i="7"/>
  <c r="G322" i="31"/>
  <c r="G73" i="30"/>
  <c r="G316" i="31"/>
  <c r="G372" i="30"/>
  <c r="G373" i="30"/>
  <c r="C148" i="7"/>
  <c r="C78" i="7"/>
  <c r="C39" i="7"/>
  <c r="G273" i="31"/>
  <c r="G461" i="30"/>
  <c r="G320" i="31"/>
  <c r="C537" i="7"/>
  <c r="G264" i="45"/>
  <c r="C570" i="7"/>
  <c r="G180" i="31"/>
  <c r="C269" i="7"/>
  <c r="G292" i="30"/>
  <c r="G19" i="45"/>
  <c r="C539" i="7"/>
  <c r="G256" i="45"/>
  <c r="C613" i="7"/>
  <c r="E3" i="29" s="1"/>
  <c r="G131" i="30"/>
  <c r="G218" i="45"/>
  <c r="G215" i="31"/>
  <c r="G303" i="30"/>
  <c r="G126" i="30"/>
  <c r="G13" i="45"/>
  <c r="C225" i="7"/>
  <c r="C155" i="7"/>
  <c r="G172" i="45"/>
  <c r="G223" i="30"/>
  <c r="C271" i="7"/>
  <c r="C543" i="7"/>
  <c r="C407" i="7"/>
  <c r="G237" i="45"/>
  <c r="G33" i="45"/>
  <c r="G3" i="30"/>
  <c r="G47" i="30"/>
  <c r="C139" i="7"/>
  <c r="G13" i="31"/>
  <c r="G294" i="45"/>
  <c r="G252" i="45"/>
  <c r="C181" i="7"/>
  <c r="C228" i="7"/>
  <c r="G41" i="31"/>
  <c r="G184" i="45"/>
  <c r="F40" i="30"/>
  <c r="G40" i="30"/>
  <c r="G273" i="30"/>
  <c r="C402" i="7"/>
  <c r="G340" i="31"/>
  <c r="G7" i="31"/>
  <c r="G128" i="31"/>
  <c r="G148" i="31"/>
  <c r="G298" i="31"/>
  <c r="G158" i="45"/>
  <c r="G148" i="45"/>
  <c r="C375" i="7"/>
  <c r="G332" i="31"/>
  <c r="G313" i="30"/>
  <c r="G121" i="31"/>
  <c r="C62" i="7"/>
  <c r="G317" i="31"/>
  <c r="C121" i="7"/>
  <c r="G140" i="45"/>
  <c r="G35" i="30"/>
  <c r="C277" i="7"/>
  <c r="G44" i="32"/>
  <c r="C303" i="7"/>
  <c r="C24" i="7"/>
  <c r="G151" i="31"/>
  <c r="G92" i="31"/>
  <c r="G112" i="31"/>
  <c r="C288" i="7"/>
  <c r="G205" i="31"/>
  <c r="C582" i="7"/>
  <c r="C55" i="7"/>
  <c r="G314" i="45"/>
  <c r="G193" i="31"/>
  <c r="C46" i="7"/>
  <c r="G91" i="45"/>
  <c r="G152" i="45"/>
  <c r="G305" i="45"/>
  <c r="C434" i="7"/>
  <c r="G102" i="45"/>
  <c r="G366" i="32"/>
  <c r="C233" i="7"/>
  <c r="G66" i="45"/>
  <c r="G262" i="45"/>
  <c r="G222" i="45"/>
  <c r="G241" i="31"/>
  <c r="G259" i="31"/>
  <c r="G351" i="30"/>
  <c r="G232" i="30"/>
  <c r="G341" i="30"/>
  <c r="C438" i="7"/>
  <c r="G209" i="45"/>
  <c r="G119" i="30"/>
  <c r="C318" i="7"/>
  <c r="G282" i="30"/>
  <c r="C88" i="7"/>
  <c r="G267" i="31"/>
  <c r="G248" i="45"/>
  <c r="C470" i="7"/>
  <c r="C550" i="7"/>
  <c r="G257" i="31"/>
  <c r="G176" i="30"/>
  <c r="G177" i="30"/>
  <c r="G319" i="45"/>
  <c r="G265" i="30"/>
  <c r="G138" i="31"/>
  <c r="G267" i="45"/>
  <c r="G51" i="31"/>
  <c r="G30" i="30"/>
  <c r="C283" i="7"/>
  <c r="G74" i="30"/>
  <c r="C322" i="7"/>
  <c r="G29" i="45"/>
  <c r="G134" i="30"/>
  <c r="C373" i="7"/>
  <c r="C137" i="7"/>
  <c r="G127" i="30"/>
  <c r="G124" i="30"/>
  <c r="G171" i="30"/>
  <c r="C316" i="7"/>
  <c r="G349" i="30"/>
  <c r="C83" i="7"/>
  <c r="G377" i="32"/>
  <c r="G281" i="30"/>
  <c r="G142" i="31"/>
  <c r="G55" i="30"/>
  <c r="G223" i="45"/>
  <c r="G141" i="30"/>
  <c r="G295" i="31"/>
  <c r="C508" i="7"/>
  <c r="G182" i="31"/>
  <c r="G446" i="30"/>
  <c r="G452" i="30"/>
  <c r="C323" i="7"/>
  <c r="G424" i="30"/>
  <c r="G224" i="30"/>
  <c r="G96" i="30"/>
  <c r="G436" i="30"/>
  <c r="C311" i="7"/>
  <c r="C47" i="7"/>
  <c r="G76" i="30"/>
  <c r="G4" i="30"/>
  <c r="F4" i="30"/>
  <c r="G403" i="30"/>
  <c r="G103" i="30"/>
  <c r="C105" i="7"/>
  <c r="G198" i="32"/>
  <c r="C202" i="7"/>
  <c r="G339" i="30"/>
  <c r="G344" i="30"/>
  <c r="G486" i="32"/>
  <c r="C602" i="7"/>
  <c r="C301" i="7"/>
  <c r="C123" i="7"/>
  <c r="G114" i="31"/>
  <c r="G46" i="45"/>
  <c r="G201" i="30"/>
  <c r="G94" i="30"/>
  <c r="G115" i="30"/>
  <c r="G15" i="31"/>
  <c r="F15" i="31"/>
  <c r="G51" i="30"/>
  <c r="C549" i="7"/>
  <c r="C64" i="7"/>
  <c r="G132" i="31"/>
  <c r="G242" i="30"/>
  <c r="G144" i="31"/>
  <c r="G312" i="31"/>
  <c r="G306" i="31"/>
  <c r="G457" i="30"/>
  <c r="G41" i="32"/>
  <c r="F41" i="32"/>
  <c r="C254" i="7"/>
  <c r="C397" i="7"/>
  <c r="G121" i="45"/>
  <c r="C194" i="7"/>
  <c r="G345" i="30"/>
  <c r="G25" i="45"/>
  <c r="C93" i="7"/>
  <c r="C310" i="7"/>
  <c r="G110" i="30"/>
  <c r="C113" i="7"/>
  <c r="G81" i="31"/>
  <c r="C455" i="7"/>
  <c r="G249" i="30"/>
  <c r="G173" i="31"/>
  <c r="G329" i="31"/>
  <c r="G146" i="30"/>
  <c r="C520" i="7"/>
  <c r="G270" i="31"/>
  <c r="G240" i="45"/>
  <c r="G159" i="31"/>
  <c r="G264" i="31"/>
  <c r="C367" i="7"/>
  <c r="G209" i="30"/>
  <c r="G163" i="32"/>
  <c r="G363" i="30"/>
  <c r="F12" i="31"/>
  <c r="G12" i="31"/>
  <c r="G377" i="30"/>
  <c r="C473" i="7"/>
  <c r="G376" i="30"/>
  <c r="G280" i="30"/>
  <c r="C498" i="7"/>
  <c r="G266" i="30"/>
  <c r="G292" i="31"/>
  <c r="G76" i="45"/>
  <c r="C250" i="7"/>
  <c r="C28" i="7"/>
  <c r="G106" i="31"/>
  <c r="C260" i="7"/>
  <c r="G114" i="45"/>
  <c r="G144" i="30"/>
  <c r="G284" i="30"/>
  <c r="G184" i="30"/>
  <c r="G194" i="32"/>
  <c r="C313" i="7"/>
  <c r="C107" i="7"/>
  <c r="G247" i="31"/>
  <c r="G53" i="31"/>
  <c r="G107" i="31"/>
  <c r="G107" i="30"/>
  <c r="G256" i="30"/>
  <c r="C142" i="7"/>
  <c r="G429" i="30"/>
  <c r="G130" i="31"/>
  <c r="G470" i="32"/>
  <c r="G228" i="31"/>
  <c r="C197" i="7"/>
  <c r="G87" i="30"/>
  <c r="G48" i="32"/>
  <c r="C40" i="7"/>
  <c r="F11" i="31"/>
  <c r="G11" i="31"/>
  <c r="G143" i="30"/>
  <c r="G360" i="30"/>
  <c r="G113" i="31"/>
  <c r="G199" i="31"/>
  <c r="C150" i="7"/>
  <c r="C408" i="7"/>
  <c r="C30" i="7"/>
  <c r="G361" i="32"/>
  <c r="C118" i="7"/>
  <c r="G130" i="30"/>
  <c r="C596" i="7"/>
  <c r="G45" i="30"/>
  <c r="C248" i="7"/>
  <c r="G400" i="30"/>
  <c r="G382" i="30"/>
  <c r="G59" i="31"/>
  <c r="G315" i="30"/>
  <c r="G58" i="31"/>
  <c r="G297" i="31"/>
  <c r="C380" i="7"/>
  <c r="G38" i="45"/>
  <c r="G30" i="31"/>
  <c r="G18" i="32"/>
  <c r="G165" i="31"/>
  <c r="C68" i="7"/>
  <c r="G107" i="45"/>
  <c r="G192" i="31"/>
  <c r="G215" i="30"/>
  <c r="G18" i="31"/>
  <c r="F18" i="31"/>
  <c r="G216" i="31"/>
  <c r="G182" i="45"/>
  <c r="F27" i="31"/>
  <c r="G27" i="31"/>
  <c r="G300" i="30"/>
  <c r="C461" i="7"/>
  <c r="C399" i="7"/>
  <c r="G201" i="45"/>
  <c r="C507" i="7"/>
  <c r="F18" i="30"/>
  <c r="G18" i="30"/>
  <c r="G97" i="31"/>
  <c r="G294" i="30"/>
  <c r="G55" i="31"/>
  <c r="C540" i="7"/>
  <c r="G323" i="45"/>
  <c r="G285" i="45"/>
  <c r="G314" i="31"/>
  <c r="C485" i="7"/>
  <c r="G42" i="45"/>
  <c r="F42" i="45"/>
  <c r="G215" i="45"/>
  <c r="G85" i="31"/>
  <c r="G200" i="30"/>
  <c r="G234" i="45"/>
  <c r="G341" i="31"/>
  <c r="G22" i="31"/>
  <c r="C337" i="7"/>
  <c r="C357" i="7"/>
  <c r="G459" i="30"/>
  <c r="G374" i="32"/>
  <c r="G431" i="30"/>
  <c r="G62" i="30"/>
  <c r="G86" i="30"/>
  <c r="C505" i="7"/>
  <c r="G226" i="30"/>
  <c r="C463" i="7"/>
  <c r="G97" i="30"/>
  <c r="G396" i="30"/>
  <c r="F44" i="30"/>
  <c r="G44" i="30"/>
  <c r="C25" i="7"/>
  <c r="G8" i="31"/>
  <c r="G381" i="30"/>
  <c r="F19" i="31"/>
  <c r="G19" i="31"/>
  <c r="C522" i="7"/>
  <c r="G329" i="30"/>
  <c r="C196" i="7"/>
  <c r="G133" i="45"/>
  <c r="C159" i="7"/>
  <c r="G72" i="30"/>
  <c r="G153" i="30"/>
  <c r="G111" i="31"/>
  <c r="G229" i="45"/>
  <c r="C146" i="7"/>
  <c r="G95" i="31"/>
  <c r="G210" i="31"/>
  <c r="C523" i="7"/>
  <c r="C495" i="7"/>
  <c r="G102" i="31"/>
  <c r="C545" i="7"/>
  <c r="G306" i="45"/>
  <c r="G298" i="32"/>
  <c r="G423" i="30"/>
  <c r="G18" i="45"/>
  <c r="C541" i="7"/>
  <c r="G398" i="30"/>
  <c r="C333" i="7"/>
  <c r="G415" i="30"/>
  <c r="G216" i="45"/>
  <c r="C336" i="7"/>
  <c r="G320" i="30"/>
  <c r="G492" i="32"/>
  <c r="C282" i="7"/>
  <c r="G191" i="31"/>
  <c r="G269" i="45"/>
  <c r="C80" i="7"/>
  <c r="C157" i="7"/>
  <c r="G413" i="30"/>
  <c r="G2" i="30"/>
  <c r="F2" i="30"/>
  <c r="G297" i="30"/>
  <c r="G91" i="30"/>
  <c r="G284" i="45"/>
  <c r="G313" i="31"/>
  <c r="G248" i="30"/>
  <c r="C577" i="7"/>
  <c r="C559" i="7"/>
  <c r="C354" i="7"/>
  <c r="G434" i="32"/>
  <c r="G145" i="30"/>
  <c r="G65" i="31"/>
  <c r="C205" i="7"/>
  <c r="C466" i="7"/>
  <c r="C35" i="7"/>
  <c r="C299" i="7"/>
  <c r="G200" i="45"/>
  <c r="G274" i="30"/>
  <c r="C208" i="7"/>
  <c r="G37" i="30"/>
  <c r="C300" i="7"/>
  <c r="C376" i="7"/>
  <c r="G373" i="32"/>
  <c r="G212" i="45"/>
  <c r="C487" i="7"/>
  <c r="G43" i="45"/>
  <c r="G135" i="30"/>
  <c r="G180" i="32"/>
  <c r="G353" i="32"/>
  <c r="G498" i="32"/>
  <c r="G126" i="32"/>
  <c r="G530" i="32"/>
  <c r="G438" i="32"/>
  <c r="G503" i="32"/>
  <c r="G107" i="32"/>
  <c r="G508" i="32"/>
  <c r="G449" i="32"/>
  <c r="G527" i="32"/>
  <c r="G433" i="32"/>
  <c r="G520" i="32"/>
  <c r="C425" i="7"/>
  <c r="G437" i="30"/>
  <c r="C227" i="7"/>
  <c r="C464" i="7"/>
  <c r="G103" i="31"/>
  <c r="G213" i="31"/>
  <c r="G198" i="30"/>
  <c r="G103" i="45"/>
  <c r="G236" i="31"/>
  <c r="C210" i="7"/>
  <c r="G285" i="30"/>
  <c r="G109" i="31"/>
  <c r="G104" i="31"/>
  <c r="G448" i="30"/>
  <c r="C589" i="7"/>
  <c r="C499" i="7"/>
  <c r="G178" i="31"/>
  <c r="G138" i="45"/>
  <c r="C298" i="7"/>
  <c r="G4" i="45"/>
  <c r="G134" i="45"/>
  <c r="G133" i="31"/>
  <c r="C335" i="7"/>
  <c r="G117" i="30"/>
  <c r="G95" i="30"/>
  <c r="G319" i="30"/>
  <c r="C162" i="7"/>
  <c r="G332" i="30"/>
  <c r="G88" i="30"/>
  <c r="G405" i="30"/>
  <c r="G25" i="30"/>
  <c r="G276" i="31"/>
  <c r="G17" i="45"/>
  <c r="G315" i="31"/>
  <c r="G162" i="32"/>
  <c r="G311" i="45"/>
  <c r="G512" i="32"/>
  <c r="G12" i="30"/>
  <c r="F12" i="30"/>
  <c r="G123" i="45"/>
  <c r="G270" i="30"/>
  <c r="F42" i="30"/>
  <c r="G42" i="30"/>
  <c r="G48" i="31"/>
  <c r="F48" i="31"/>
  <c r="C42" i="7"/>
  <c r="C41" i="7"/>
  <c r="G153" i="45"/>
  <c r="G342" i="30"/>
  <c r="G379" i="30"/>
  <c r="C176" i="7"/>
  <c r="C479" i="7"/>
  <c r="G108" i="31"/>
  <c r="C469" i="7"/>
  <c r="C294" i="7"/>
  <c r="G221" i="31"/>
  <c r="G136" i="31"/>
  <c r="G420" i="30"/>
  <c r="C302" i="7"/>
  <c r="C443" i="7"/>
  <c r="C175" i="7"/>
  <c r="C591" i="7"/>
  <c r="C216" i="7"/>
  <c r="C153" i="7"/>
  <c r="G65" i="45"/>
  <c r="F65" i="45"/>
  <c r="C100" i="7"/>
  <c r="G444" i="30"/>
  <c r="G340" i="30"/>
  <c r="G40" i="32"/>
  <c r="G229" i="30"/>
  <c r="G257" i="30"/>
  <c r="G93" i="45"/>
  <c r="G325" i="30"/>
  <c r="C389" i="7"/>
  <c r="C185" i="7"/>
  <c r="C477" i="7"/>
  <c r="G266" i="31"/>
  <c r="C296" i="7"/>
  <c r="C573" i="7"/>
  <c r="G247" i="45"/>
  <c r="G428" i="30"/>
  <c r="G239" i="31"/>
  <c r="G243" i="30"/>
  <c r="G67" i="30"/>
  <c r="C321" i="7"/>
  <c r="G60" i="30"/>
  <c r="G83" i="31"/>
  <c r="G450" i="30"/>
  <c r="C568" i="7"/>
  <c r="K29" i="29" s="1"/>
  <c r="G231" i="31"/>
  <c r="G91" i="31"/>
  <c r="C60" i="7"/>
  <c r="G321" i="30"/>
  <c r="G98" i="30"/>
  <c r="G159" i="30"/>
  <c r="G41" i="30"/>
  <c r="F41" i="30"/>
  <c r="G406" i="30"/>
  <c r="C244" i="7"/>
  <c r="G115" i="31"/>
  <c r="G116" i="45"/>
  <c r="G37" i="45"/>
  <c r="G22" i="30"/>
  <c r="G206" i="32"/>
  <c r="G156" i="45"/>
  <c r="C439" i="7"/>
  <c r="G14" i="30"/>
  <c r="G86" i="31"/>
  <c r="G185" i="45"/>
  <c r="G378" i="30"/>
  <c r="G306" i="30"/>
  <c r="C572" i="7"/>
  <c r="G174" i="45"/>
  <c r="G36" i="30"/>
  <c r="G300" i="31"/>
  <c r="C374" i="7"/>
  <c r="G411" i="30"/>
  <c r="G294" i="32"/>
  <c r="G501" i="32"/>
  <c r="G183" i="32"/>
  <c r="C423" i="7"/>
  <c r="G105" i="32"/>
  <c r="G144" i="32"/>
  <c r="G331" i="32"/>
  <c r="G284" i="32"/>
  <c r="C166" i="7"/>
  <c r="G13" i="32"/>
  <c r="C616" i="7"/>
  <c r="G442" i="30"/>
  <c r="G28" i="30"/>
  <c r="G239" i="30"/>
  <c r="G181" i="45"/>
  <c r="G455" i="30"/>
  <c r="G75" i="45"/>
  <c r="G26" i="30"/>
  <c r="C475" i="7"/>
  <c r="G211" i="30"/>
  <c r="G330" i="31"/>
  <c r="G385" i="30"/>
  <c r="G331" i="31"/>
  <c r="G54" i="45"/>
  <c r="F54" i="45"/>
  <c r="G160" i="45"/>
  <c r="G213" i="30"/>
  <c r="G295" i="30"/>
  <c r="G323" i="30"/>
  <c r="G99" i="31"/>
  <c r="C433" i="7"/>
  <c r="G272" i="30"/>
  <c r="G77" i="31"/>
  <c r="C386" i="7"/>
  <c r="G246" i="45"/>
  <c r="G93" i="31"/>
  <c r="C394" i="7"/>
  <c r="G132" i="45"/>
  <c r="C420" i="7"/>
  <c r="G156" i="32"/>
  <c r="C509" i="7"/>
  <c r="G156" i="30"/>
  <c r="G304" i="31"/>
  <c r="C583" i="7"/>
  <c r="G371" i="30"/>
  <c r="G338" i="31"/>
  <c r="G296" i="45"/>
  <c r="G54" i="31"/>
  <c r="C390" i="7"/>
  <c r="G189" i="30"/>
  <c r="G77" i="45"/>
  <c r="G309" i="45"/>
  <c r="G245" i="31"/>
  <c r="G197" i="45"/>
  <c r="G240" i="31"/>
  <c r="G167" i="45"/>
  <c r="G205" i="32"/>
  <c r="G390" i="30"/>
  <c r="G278" i="30"/>
  <c r="C179" i="7"/>
  <c r="G17" i="31"/>
  <c r="C289" i="7"/>
  <c r="G307" i="31"/>
  <c r="G27" i="45"/>
  <c r="G74" i="31"/>
  <c r="G217" i="32"/>
  <c r="G220" i="30"/>
  <c r="G150" i="45"/>
  <c r="G48" i="45"/>
  <c r="G301" i="31"/>
  <c r="G391" i="30"/>
  <c r="G36" i="31"/>
  <c r="F36" i="31"/>
  <c r="G457" i="32"/>
  <c r="G293" i="30"/>
  <c r="C517" i="7"/>
  <c r="G249" i="31"/>
  <c r="G140" i="30"/>
  <c r="G333" i="30"/>
  <c r="C226" i="7"/>
  <c r="G222" i="31"/>
  <c r="G269" i="32"/>
  <c r="G24" i="31"/>
  <c r="G532" i="32"/>
  <c r="G21" i="31"/>
  <c r="F21" i="31"/>
  <c r="G28" i="32"/>
  <c r="G21" i="32"/>
  <c r="F21" i="32"/>
  <c r="G384" i="30"/>
  <c r="G181" i="31"/>
  <c r="G150" i="31"/>
  <c r="G152" i="30"/>
  <c r="G56" i="31"/>
  <c r="G168" i="30"/>
  <c r="G133" i="30"/>
  <c r="G80" i="30"/>
  <c r="G183" i="45"/>
  <c r="G108" i="45"/>
  <c r="G23" i="31"/>
  <c r="C611" i="7"/>
  <c r="G308" i="31"/>
  <c r="G412" i="30"/>
  <c r="G435" i="32"/>
  <c r="C129" i="7"/>
  <c r="G163" i="31"/>
  <c r="C427" i="7"/>
  <c r="G199" i="30"/>
  <c r="G330" i="30"/>
  <c r="G117" i="45"/>
  <c r="C575" i="7"/>
  <c r="G263" i="45"/>
  <c r="G309" i="31"/>
  <c r="C387" i="7"/>
  <c r="G302" i="31"/>
  <c r="G35" i="31"/>
  <c r="G327" i="30"/>
  <c r="G57" i="45"/>
  <c r="C307" i="7"/>
  <c r="G129" i="31"/>
  <c r="G52" i="31"/>
  <c r="G162" i="45"/>
  <c r="G39" i="45"/>
  <c r="G387" i="32"/>
  <c r="G227" i="45"/>
  <c r="C272" i="7"/>
  <c r="C571" i="7"/>
  <c r="C514" i="7"/>
  <c r="G192" i="32"/>
  <c r="G458" i="32"/>
  <c r="G203" i="32"/>
  <c r="G114" i="32"/>
  <c r="G430" i="32"/>
  <c r="G499" i="32"/>
  <c r="C223" i="7"/>
  <c r="G401" i="32"/>
  <c r="G317" i="30"/>
  <c r="G349" i="31"/>
  <c r="C383" i="7"/>
  <c r="G100" i="31"/>
  <c r="G154" i="30"/>
  <c r="C604" i="7"/>
  <c r="G211" i="31"/>
  <c r="G358" i="30"/>
  <c r="G104" i="30"/>
  <c r="G40" i="45"/>
  <c r="F40" i="45"/>
  <c r="G310" i="31"/>
  <c r="G64" i="30"/>
  <c r="G106" i="30"/>
  <c r="C287" i="7"/>
  <c r="G261" i="31"/>
  <c r="G127" i="31"/>
  <c r="C340" i="7"/>
  <c r="G32" i="30"/>
  <c r="G15" i="45"/>
  <c r="G212" i="30"/>
  <c r="C422" i="7"/>
  <c r="G410" i="32"/>
  <c r="G364" i="30"/>
  <c r="C23" i="7"/>
  <c r="G114" i="30"/>
  <c r="G129" i="32"/>
  <c r="G430" i="30"/>
  <c r="G137" i="31"/>
  <c r="C378" i="7"/>
  <c r="C66" i="7"/>
  <c r="G141" i="31"/>
  <c r="C276" i="7"/>
  <c r="G111" i="45"/>
  <c r="G350" i="30"/>
  <c r="G261" i="45"/>
  <c r="G48" i="30"/>
  <c r="C384" i="7"/>
  <c r="G232" i="31"/>
  <c r="C92" i="7"/>
  <c r="C132" i="7"/>
  <c r="C405" i="7"/>
  <c r="G94" i="31"/>
  <c r="C306" i="7"/>
  <c r="C156" i="7"/>
  <c r="G153" i="31"/>
  <c r="G404" i="30"/>
  <c r="G300" i="45"/>
  <c r="G84" i="31"/>
  <c r="G196" i="45"/>
  <c r="G162" i="31"/>
  <c r="C403" i="7"/>
  <c r="C120" i="7"/>
  <c r="G365" i="30"/>
  <c r="G495" i="32"/>
  <c r="G252" i="31"/>
  <c r="C612" i="7"/>
  <c r="G208" i="31"/>
  <c r="G362" i="30"/>
  <c r="G22" i="45"/>
  <c r="C530" i="7"/>
  <c r="G397" i="30"/>
  <c r="G295" i="45"/>
  <c r="G64" i="31"/>
  <c r="C108" i="7"/>
  <c r="G158" i="31"/>
  <c r="G27" i="30"/>
  <c r="F27" i="30"/>
  <c r="G99" i="45"/>
  <c r="C542" i="7"/>
  <c r="G194" i="45"/>
  <c r="G125" i="30"/>
  <c r="G219" i="32"/>
  <c r="G79" i="45"/>
  <c r="G63" i="45"/>
  <c r="G342" i="31"/>
  <c r="G16" i="45"/>
  <c r="G101" i="30"/>
  <c r="G369" i="30"/>
  <c r="C278" i="7"/>
  <c r="G284" i="31"/>
  <c r="G174" i="31"/>
  <c r="G206" i="31"/>
  <c r="G183" i="30"/>
  <c r="G277" i="31"/>
  <c r="C395" i="7"/>
  <c r="G78" i="31"/>
  <c r="G157" i="31"/>
  <c r="G159" i="45"/>
  <c r="C255" i="7"/>
  <c r="G283" i="30"/>
  <c r="G197" i="30"/>
  <c r="C585" i="7"/>
  <c r="G435" i="30"/>
  <c r="G143" i="45"/>
  <c r="G203" i="45"/>
  <c r="G100" i="45"/>
  <c r="G246" i="31"/>
  <c r="G151" i="45"/>
  <c r="G61" i="31"/>
  <c r="G235" i="30"/>
  <c r="G263" i="30"/>
  <c r="G446" i="32"/>
  <c r="G354" i="30"/>
  <c r="C343" i="7"/>
  <c r="G72" i="31"/>
  <c r="G245" i="30"/>
  <c r="C450" i="7"/>
  <c r="G359" i="30"/>
  <c r="G113" i="30"/>
  <c r="C14" i="7"/>
  <c r="G106" i="45"/>
  <c r="G277" i="30"/>
  <c r="G127" i="32"/>
  <c r="G466" i="32"/>
  <c r="G488" i="32"/>
  <c r="F34" i="32"/>
  <c r="G34" i="32"/>
  <c r="G383" i="32"/>
  <c r="G109" i="32"/>
  <c r="G525" i="32"/>
  <c r="G315" i="45"/>
  <c r="G84" i="32"/>
  <c r="G9" i="32"/>
  <c r="C98" i="7"/>
  <c r="G311" i="31"/>
  <c r="C95" i="7"/>
  <c r="G285" i="31"/>
  <c r="C565" i="7"/>
  <c r="G319" i="31"/>
  <c r="C552" i="7"/>
  <c r="G324" i="31"/>
  <c r="C345" i="7"/>
  <c r="G313" i="45"/>
  <c r="G214" i="31"/>
  <c r="C29" i="7"/>
  <c r="G276" i="30"/>
  <c r="G203" i="30"/>
  <c r="G188" i="30"/>
  <c r="F23" i="30"/>
  <c r="G23" i="30"/>
  <c r="G49" i="45"/>
  <c r="G274" i="32"/>
  <c r="G173" i="30"/>
  <c r="G171" i="31"/>
  <c r="G221" i="30"/>
  <c r="G326" i="30"/>
  <c r="C595" i="7"/>
  <c r="G117" i="31"/>
  <c r="C478" i="7"/>
  <c r="F20" i="31"/>
  <c r="G20" i="31"/>
  <c r="C414" i="7"/>
  <c r="G128" i="30"/>
  <c r="G52" i="30"/>
  <c r="G248" i="31"/>
  <c r="G21" i="30"/>
  <c r="F21" i="30"/>
  <c r="G220" i="45"/>
  <c r="F29" i="30"/>
  <c r="G29" i="30"/>
  <c r="G202" i="31"/>
  <c r="G290" i="31"/>
  <c r="G71" i="30"/>
  <c r="G141" i="45"/>
  <c r="G166" i="45"/>
  <c r="G337" i="31"/>
  <c r="G146" i="31"/>
  <c r="G167" i="30"/>
  <c r="G393" i="30"/>
  <c r="C526" i="7"/>
  <c r="G175" i="45"/>
  <c r="G119" i="31"/>
  <c r="G12" i="45"/>
  <c r="G206" i="30"/>
  <c r="G155" i="45"/>
  <c r="G69" i="45"/>
  <c r="C112" i="7"/>
  <c r="C69" i="7"/>
  <c r="C460" i="7"/>
  <c r="G258" i="30"/>
  <c r="G9" i="31"/>
  <c r="F9" i="31"/>
  <c r="C86" i="7"/>
  <c r="G112" i="30"/>
  <c r="G244" i="31"/>
  <c r="G230" i="30"/>
  <c r="C158" i="7"/>
  <c r="C334" i="7"/>
  <c r="G375" i="30"/>
  <c r="G254" i="45"/>
  <c r="C600" i="7"/>
  <c r="G320" i="32"/>
  <c r="G279" i="45"/>
  <c r="G307" i="30"/>
  <c r="G380" i="30"/>
  <c r="G165" i="45"/>
  <c r="G291" i="31"/>
  <c r="C229" i="7"/>
  <c r="C531" i="7"/>
  <c r="G31" i="32"/>
  <c r="G302" i="30"/>
  <c r="G292" i="45"/>
  <c r="G226" i="31"/>
  <c r="G279" i="31"/>
  <c r="G288" i="30"/>
  <c r="G217" i="45"/>
  <c r="G205" i="30"/>
  <c r="G154" i="32"/>
  <c r="G296" i="31"/>
  <c r="G164" i="30"/>
  <c r="G187" i="31"/>
  <c r="G96" i="31"/>
  <c r="C160" i="7"/>
  <c r="C199" i="7"/>
  <c r="G418" i="30"/>
  <c r="G59" i="45"/>
  <c r="G160" i="31"/>
  <c r="G122" i="45"/>
  <c r="G250" i="31"/>
  <c r="G234" i="30"/>
  <c r="G207" i="30"/>
  <c r="C48" i="7"/>
  <c r="C453" i="7"/>
  <c r="G210" i="30"/>
  <c r="G401" i="30"/>
  <c r="G38" i="31"/>
  <c r="F38" i="31"/>
  <c r="G157" i="30"/>
  <c r="G184" i="31"/>
  <c r="C297" i="7"/>
  <c r="C338" i="7"/>
  <c r="G42" i="31"/>
  <c r="F42" i="31"/>
  <c r="G151" i="30"/>
  <c r="G79" i="31"/>
  <c r="G230" i="31"/>
  <c r="C513" i="7"/>
  <c r="G44" i="31"/>
  <c r="C471" i="7"/>
  <c r="G177" i="31"/>
  <c r="G289" i="31"/>
  <c r="G169" i="31"/>
  <c r="G100" i="30"/>
  <c r="G408" i="30"/>
  <c r="G124" i="45"/>
  <c r="G375" i="32"/>
  <c r="C504" i="7"/>
  <c r="G204" i="31"/>
  <c r="G81" i="30"/>
  <c r="G280" i="45"/>
  <c r="C213" i="7"/>
  <c r="G219" i="30"/>
  <c r="G14" i="45"/>
  <c r="C280" i="7"/>
  <c r="G65" i="30"/>
  <c r="G339" i="31"/>
  <c r="G85" i="30"/>
  <c r="G283" i="31"/>
  <c r="C268" i="7"/>
  <c r="G417" i="30"/>
  <c r="C317" i="7"/>
  <c r="G136" i="45"/>
  <c r="G179" i="45"/>
  <c r="C291" i="7"/>
  <c r="G220" i="31"/>
  <c r="C446" i="7"/>
  <c r="C65" i="7"/>
  <c r="C173" i="7"/>
  <c r="G250" i="45"/>
  <c r="G383" i="30"/>
  <c r="F5" i="31"/>
  <c r="G5" i="31"/>
  <c r="C329" i="7"/>
  <c r="G207" i="45"/>
  <c r="G277" i="45"/>
  <c r="C145" i="7"/>
  <c r="G122" i="32"/>
  <c r="G24" i="32"/>
  <c r="G286" i="32"/>
  <c r="G236" i="32"/>
  <c r="G246" i="32"/>
  <c r="G365" i="32"/>
  <c r="G108" i="32"/>
  <c r="G382" i="32"/>
  <c r="G59" i="32"/>
  <c r="G157" i="32"/>
  <c r="G422" i="32"/>
  <c r="G33" i="32"/>
  <c r="G112" i="45"/>
  <c r="G368" i="30"/>
  <c r="G175" i="31"/>
  <c r="G81" i="45"/>
  <c r="G21" i="45"/>
  <c r="C293" i="7"/>
  <c r="G145" i="45"/>
  <c r="C43" i="7"/>
  <c r="C116" i="7"/>
  <c r="C586" i="7"/>
  <c r="C533" i="7"/>
  <c r="G438" i="30"/>
  <c r="G316" i="45"/>
  <c r="G82" i="30"/>
  <c r="G25" i="31"/>
  <c r="F25" i="31"/>
  <c r="G50" i="31"/>
  <c r="G336" i="31"/>
  <c r="C569" i="7"/>
  <c r="C518" i="7"/>
  <c r="G57" i="31"/>
  <c r="C127" i="7"/>
  <c r="G257" i="45"/>
  <c r="G289" i="45"/>
  <c r="G274" i="31"/>
  <c r="C266" i="7"/>
  <c r="G225" i="32"/>
  <c r="G343" i="31"/>
  <c r="G447" i="30"/>
  <c r="G70" i="30"/>
  <c r="G179" i="30"/>
  <c r="C482" i="7"/>
  <c r="G204" i="45"/>
  <c r="C230" i="7"/>
  <c r="C231" i="7"/>
  <c r="G271" i="30"/>
  <c r="G143" i="32"/>
  <c r="G43" i="31"/>
  <c r="G87" i="45"/>
  <c r="G242" i="45"/>
  <c r="C33" i="7"/>
  <c r="G389" i="30"/>
  <c r="G122" i="31"/>
  <c r="C195" i="7"/>
  <c r="G238" i="45"/>
  <c r="C251" i="7"/>
  <c r="G235" i="45"/>
  <c r="G78" i="32"/>
  <c r="G173" i="45"/>
  <c r="C87" i="7"/>
  <c r="G399" i="30"/>
  <c r="G271" i="31"/>
  <c r="G52" i="45"/>
  <c r="G218" i="30"/>
  <c r="G109" i="45"/>
  <c r="G269" i="31"/>
  <c r="G323" i="31"/>
  <c r="F39" i="30"/>
  <c r="G39" i="30"/>
  <c r="G35" i="45"/>
  <c r="G263" i="31"/>
  <c r="G181" i="30"/>
  <c r="G292" i="32"/>
  <c r="G280" i="31"/>
  <c r="G219" i="31"/>
  <c r="C391" i="7"/>
  <c r="G66" i="30"/>
  <c r="G170" i="30"/>
  <c r="C578" i="7"/>
  <c r="C594" i="7"/>
  <c r="G33" i="31"/>
  <c r="C327" i="7"/>
  <c r="G60" i="45"/>
  <c r="C19" i="7"/>
  <c r="C234" i="7"/>
  <c r="G182" i="30"/>
  <c r="G156" i="31"/>
  <c r="G453" i="30"/>
  <c r="G249" i="45"/>
  <c r="C79" i="7"/>
  <c r="C143" i="7"/>
  <c r="C172" i="7"/>
  <c r="G432" i="30"/>
  <c r="G260" i="45"/>
  <c r="G183" i="31"/>
  <c r="G155" i="30"/>
  <c r="C483" i="7"/>
  <c r="G392" i="30"/>
  <c r="C441" i="7"/>
  <c r="C141" i="7"/>
  <c r="G110" i="45"/>
  <c r="G11" i="30"/>
  <c r="F11" i="30"/>
  <c r="C161" i="7"/>
  <c r="G228" i="30"/>
  <c r="G258" i="45"/>
  <c r="C462" i="7"/>
  <c r="C431" i="7"/>
  <c r="G68" i="31"/>
  <c r="G251" i="30"/>
  <c r="C191" i="7"/>
  <c r="G152" i="32"/>
  <c r="C75" i="7"/>
  <c r="C579" i="7"/>
  <c r="C261" i="7"/>
  <c r="G180" i="30"/>
  <c r="G225" i="30"/>
  <c r="C170" i="7"/>
  <c r="G190" i="31"/>
  <c r="G180" i="45"/>
  <c r="G157" i="45"/>
  <c r="G50" i="30"/>
  <c r="F50" i="30"/>
  <c r="C263" i="7"/>
  <c r="G328" i="31"/>
  <c r="C174" i="7"/>
  <c r="G195" i="45"/>
  <c r="C440" i="7"/>
  <c r="C365" i="7"/>
  <c r="C351" i="7"/>
  <c r="G331" i="30"/>
  <c r="G9" i="45"/>
  <c r="F9" i="45"/>
  <c r="G56" i="45"/>
  <c r="G6" i="45"/>
  <c r="G75" i="31"/>
  <c r="C599" i="7"/>
  <c r="G176" i="31"/>
  <c r="C451" i="7"/>
  <c r="C167" i="7"/>
  <c r="C217" i="7"/>
  <c r="G348" i="31"/>
  <c r="G251" i="31"/>
  <c r="G467" i="32"/>
  <c r="G424" i="32"/>
  <c r="G158" i="32"/>
  <c r="G209" i="32"/>
  <c r="G500" i="32"/>
  <c r="G378" i="32"/>
  <c r="G216" i="32"/>
  <c r="G117" i="32"/>
  <c r="G385" i="32"/>
  <c r="G471" i="32"/>
  <c r="G182" i="32"/>
  <c r="G413" i="32"/>
  <c r="C109" i="7"/>
  <c r="C548" i="7"/>
  <c r="C484" i="7"/>
  <c r="C281" i="7"/>
  <c r="G226" i="45"/>
  <c r="G77" i="30"/>
  <c r="C377" i="7"/>
  <c r="K30" i="29" s="1"/>
  <c r="G111" i="30"/>
  <c r="F5" i="30"/>
  <c r="G5" i="30"/>
  <c r="G90" i="45"/>
  <c r="G196" i="31"/>
  <c r="G264" i="30"/>
  <c r="G78" i="30"/>
  <c r="G445" i="30"/>
  <c r="G275" i="31"/>
  <c r="C412" i="7"/>
  <c r="C560" i="7"/>
  <c r="G223" i="31"/>
  <c r="C96" i="7"/>
  <c r="G220" i="32"/>
  <c r="C370" i="7"/>
  <c r="G250" i="30"/>
  <c r="C16" i="7"/>
  <c r="F9" i="30"/>
  <c r="G9" i="30"/>
  <c r="G129" i="45"/>
  <c r="G296" i="30"/>
  <c r="G312" i="30"/>
  <c r="G57" i="30"/>
  <c r="G124" i="31"/>
  <c r="G203" i="31"/>
  <c r="G426" i="30"/>
  <c r="G433" i="30"/>
  <c r="C90" i="7"/>
  <c r="C411" i="7"/>
  <c r="C368" i="7"/>
  <c r="G36" i="45"/>
  <c r="C437" i="7"/>
  <c r="C238" i="7"/>
  <c r="G310" i="45"/>
  <c r="G224" i="45"/>
  <c r="G318" i="31"/>
  <c r="G34" i="31"/>
  <c r="C212" i="7"/>
  <c r="C20" i="7"/>
  <c r="G443" i="30"/>
  <c r="G320" i="45"/>
  <c r="G17" i="30"/>
  <c r="C38" i="7"/>
  <c r="G312" i="45"/>
  <c r="C344" i="7"/>
  <c r="G160" i="30"/>
  <c r="G207" i="31"/>
  <c r="G321" i="31"/>
  <c r="C201" i="7"/>
  <c r="G164" i="31"/>
  <c r="G80" i="31"/>
  <c r="G199" i="45"/>
  <c r="G46" i="30"/>
  <c r="C401" i="7"/>
  <c r="C444" i="7"/>
  <c r="G179" i="31"/>
  <c r="G89" i="31"/>
  <c r="G31" i="45"/>
  <c r="C502" i="7"/>
  <c r="G454" i="30"/>
  <c r="G289" i="30"/>
  <c r="C609" i="7"/>
  <c r="C547" i="7"/>
  <c r="G268" i="30"/>
  <c r="G195" i="31"/>
  <c r="G363" i="32"/>
  <c r="G316" i="30"/>
  <c r="G94" i="45"/>
  <c r="C178" i="7"/>
  <c r="G135" i="31"/>
  <c r="G469" i="32"/>
  <c r="C253" i="7"/>
  <c r="G34" i="45"/>
  <c r="G134" i="31"/>
  <c r="C168" i="7"/>
  <c r="G288" i="31"/>
  <c r="C285" i="7"/>
  <c r="C246" i="7"/>
  <c r="C481" i="7"/>
  <c r="C417" i="7"/>
  <c r="G6" i="31"/>
  <c r="F6" i="31"/>
  <c r="F15" i="30"/>
  <c r="G15" i="30"/>
  <c r="F10" i="31"/>
  <c r="G10" i="31"/>
  <c r="C134" i="7"/>
  <c r="G149" i="45"/>
  <c r="G217" i="30"/>
  <c r="G168" i="31"/>
  <c r="G129" i="30"/>
  <c r="C220" i="7"/>
  <c r="G257" i="32"/>
  <c r="G92" i="30"/>
  <c r="C452" i="7"/>
  <c r="G169" i="32"/>
  <c r="C603" i="7"/>
  <c r="G131" i="31"/>
  <c r="G31" i="31"/>
  <c r="F31" i="31"/>
  <c r="G192" i="45"/>
  <c r="C203" i="7"/>
  <c r="G269" i="30"/>
  <c r="C128" i="7"/>
  <c r="G154" i="45"/>
  <c r="G460" i="30"/>
  <c r="F68" i="45"/>
  <c r="G68" i="45"/>
  <c r="G195" i="30"/>
  <c r="G394" i="32"/>
  <c r="C34" i="7"/>
  <c r="G214" i="45"/>
  <c r="G266" i="45"/>
  <c r="G439" i="30"/>
  <c r="C400" i="7"/>
  <c r="G282" i="31"/>
  <c r="C372" i="7"/>
  <c r="C535" i="7"/>
  <c r="G92" i="45"/>
  <c r="G279" i="30"/>
  <c r="G287" i="30"/>
  <c r="G118" i="45"/>
  <c r="C554" i="7"/>
  <c r="C50" i="7"/>
  <c r="C37" i="7"/>
  <c r="G71" i="45"/>
  <c r="C348" i="7"/>
  <c r="G24" i="30"/>
  <c r="C111" i="7"/>
  <c r="G478" i="32"/>
  <c r="G404" i="32"/>
  <c r="G229" i="32"/>
  <c r="G336" i="32"/>
  <c r="G4" i="32"/>
  <c r="G242" i="32"/>
  <c r="G311" i="32"/>
  <c r="G344" i="32"/>
  <c r="G19" i="32"/>
  <c r="F19" i="32"/>
  <c r="G317" i="32"/>
  <c r="G171" i="45"/>
  <c r="G304" i="30"/>
  <c r="G212" i="31"/>
  <c r="C314" i="7"/>
  <c r="G301" i="45"/>
  <c r="G60" i="31"/>
  <c r="G253" i="31"/>
  <c r="G38" i="30"/>
  <c r="F38" i="30"/>
  <c r="C515" i="7"/>
  <c r="C149" i="7"/>
  <c r="G58" i="30"/>
  <c r="G115" i="45"/>
  <c r="G123" i="30"/>
  <c r="G425" i="30"/>
  <c r="C54" i="7"/>
  <c r="C247" i="7"/>
  <c r="G290" i="30"/>
  <c r="C270" i="7"/>
  <c r="G14" i="31"/>
  <c r="G136" i="30"/>
  <c r="G227" i="31"/>
  <c r="G451" i="30"/>
  <c r="G278" i="31"/>
  <c r="G66" i="31"/>
  <c r="G271" i="45"/>
  <c r="C529" i="7"/>
  <c r="G172" i="30"/>
  <c r="C536" i="7"/>
  <c r="G161" i="45"/>
  <c r="G186" i="31"/>
  <c r="C590" i="7"/>
  <c r="G70" i="31"/>
  <c r="G366" i="30"/>
  <c r="G191" i="30"/>
  <c r="C304" i="7"/>
  <c r="G406" i="32"/>
  <c r="C312" i="7"/>
  <c r="C135" i="7"/>
  <c r="G440" i="30"/>
  <c r="C350" i="7"/>
  <c r="C527" i="7"/>
  <c r="G243" i="45"/>
  <c r="G16" i="31"/>
  <c r="F16" i="31"/>
  <c r="G139" i="31"/>
  <c r="C27" i="7"/>
  <c r="G53" i="45"/>
  <c r="G213" i="45"/>
  <c r="G90" i="30"/>
  <c r="G395" i="30"/>
  <c r="C561" i="7"/>
  <c r="C236" i="7"/>
  <c r="F20" i="30"/>
  <c r="G20" i="30"/>
  <c r="G89" i="30"/>
  <c r="C456" i="7"/>
  <c r="G67" i="45"/>
  <c r="G238" i="31"/>
  <c r="C598" i="7"/>
  <c r="G328" i="30"/>
  <c r="G135" i="45"/>
  <c r="C130" i="7"/>
  <c r="C442" i="7"/>
  <c r="G200" i="31"/>
  <c r="G204" i="30"/>
  <c r="C52" i="7"/>
  <c r="C608" i="7"/>
  <c r="G268" i="31"/>
  <c r="G411" i="32"/>
  <c r="G419" i="32"/>
  <c r="G270" i="45"/>
  <c r="C426" i="7"/>
  <c r="C474" i="7"/>
  <c r="C607" i="7"/>
  <c r="G97" i="45"/>
  <c r="G187" i="30"/>
  <c r="G2" i="45"/>
  <c r="G410" i="30"/>
  <c r="G46" i="31"/>
  <c r="G311" i="30"/>
  <c r="G3" i="31"/>
  <c r="G63" i="31"/>
  <c r="G121" i="32"/>
  <c r="C581" i="7"/>
  <c r="G255" i="31"/>
  <c r="G229" i="31"/>
  <c r="G147" i="30"/>
  <c r="C532" i="7"/>
  <c r="G29" i="31"/>
  <c r="C359" i="7"/>
  <c r="C138" i="7"/>
  <c r="C436" i="7"/>
  <c r="C419" i="7"/>
  <c r="C472" i="7"/>
  <c r="C218" i="7"/>
  <c r="G3" i="45"/>
  <c r="C557" i="7"/>
  <c r="C347" i="7"/>
  <c r="G324" i="45"/>
  <c r="G149" i="31"/>
  <c r="G167" i="31"/>
  <c r="G149" i="30"/>
  <c r="C74" i="7"/>
  <c r="G192" i="30"/>
  <c r="G89" i="45"/>
  <c r="C493" i="7"/>
  <c r="G434" i="30"/>
  <c r="C214" i="7"/>
  <c r="G235" i="31"/>
  <c r="C26" i="7"/>
  <c r="G148" i="32"/>
  <c r="G36" i="32"/>
  <c r="F36" i="32"/>
  <c r="C32" i="7"/>
  <c r="G75" i="32"/>
  <c r="G443" i="32"/>
  <c r="G168" i="32"/>
  <c r="G57" i="32"/>
  <c r="G87" i="31"/>
  <c r="G217" i="31"/>
  <c r="C18" i="7"/>
  <c r="C392" i="7"/>
  <c r="C467" i="7"/>
  <c r="G216" i="30"/>
  <c r="C516" i="7"/>
  <c r="G194" i="30"/>
  <c r="G247" i="30"/>
  <c r="G166" i="31"/>
  <c r="C256" i="7"/>
  <c r="G234" i="31"/>
  <c r="G84" i="30"/>
  <c r="G121" i="30"/>
  <c r="G138" i="30"/>
  <c r="G206" i="45"/>
  <c r="C91" i="7"/>
  <c r="C241" i="7"/>
  <c r="G98" i="45"/>
  <c r="G308" i="45"/>
  <c r="G68" i="30"/>
  <c r="G416" i="30"/>
  <c r="G43" i="30"/>
  <c r="C355" i="7"/>
  <c r="C506" i="7"/>
  <c r="F10" i="30"/>
  <c r="G10" i="30"/>
  <c r="G237" i="31"/>
  <c r="G317" i="45"/>
  <c r="G534" i="32"/>
  <c r="G197" i="31"/>
  <c r="G148" i="30"/>
  <c r="G414" i="30"/>
  <c r="G67" i="31"/>
  <c r="C430" i="7"/>
  <c r="C180" i="7"/>
  <c r="G254" i="31"/>
  <c r="G352" i="30"/>
  <c r="G272" i="31"/>
  <c r="G208" i="45"/>
  <c r="C257" i="7"/>
  <c r="G191" i="45"/>
  <c r="G154" i="31"/>
  <c r="G294" i="31"/>
  <c r="C315" i="7"/>
  <c r="G286" i="31"/>
  <c r="G28" i="31"/>
  <c r="G344" i="31"/>
  <c r="G118" i="30"/>
  <c r="C44" i="7"/>
  <c r="G93" i="30"/>
  <c r="G387" i="30"/>
  <c r="G113" i="45"/>
  <c r="G162" i="30"/>
  <c r="G409" i="30"/>
  <c r="G193" i="45"/>
  <c r="C410" i="7"/>
  <c r="G28" i="45"/>
  <c r="C305" i="7"/>
  <c r="G66" i="32"/>
  <c r="G347" i="31"/>
  <c r="G260" i="31"/>
  <c r="G335" i="30"/>
  <c r="C597" i="7"/>
  <c r="G79" i="30"/>
  <c r="G55" i="45"/>
  <c r="G7" i="45"/>
  <c r="C362" i="7"/>
  <c r="G24" i="45"/>
  <c r="G101" i="45"/>
  <c r="G169" i="45"/>
  <c r="G326" i="31"/>
  <c r="G318" i="45"/>
  <c r="G49" i="31"/>
  <c r="G353" i="30"/>
  <c r="G346" i="31"/>
  <c r="C606" i="7"/>
  <c r="G291" i="45"/>
  <c r="G152" i="31"/>
  <c r="C447" i="7"/>
  <c r="G487" i="32"/>
  <c r="G166" i="30"/>
  <c r="C564" i="7"/>
  <c r="G337" i="32"/>
  <c r="G286" i="30"/>
  <c r="G202" i="45"/>
  <c r="G32" i="31"/>
  <c r="C406" i="7"/>
  <c r="G139" i="30"/>
  <c r="C136" i="7"/>
  <c r="C491" i="7"/>
  <c r="G23" i="45"/>
  <c r="C428" i="7"/>
  <c r="C503" i="7"/>
  <c r="C290" i="7"/>
  <c r="C232" i="7"/>
  <c r="G146" i="45"/>
  <c r="G131" i="45"/>
  <c r="G536" i="32"/>
  <c r="G2" i="32"/>
  <c r="G393" i="32"/>
  <c r="C363" i="7"/>
  <c r="G133" i="32"/>
  <c r="F47" i="32"/>
  <c r="G47" i="32"/>
  <c r="G202" i="32"/>
  <c r="G82" i="32"/>
  <c r="G324" i="32"/>
  <c r="G252" i="32"/>
  <c r="G421" i="32"/>
  <c r="G92" i="32"/>
  <c r="G282" i="45"/>
  <c r="F43" i="32"/>
  <c r="G43" i="32"/>
  <c r="G163" i="30"/>
  <c r="G483" i="32"/>
  <c r="G256" i="32"/>
  <c r="G412" i="32"/>
  <c r="G110" i="32"/>
  <c r="G141" i="32"/>
  <c r="G142" i="45"/>
  <c r="C284" i="7"/>
  <c r="G120" i="30"/>
  <c r="G26" i="31"/>
  <c r="G186" i="45"/>
  <c r="G273" i="45"/>
  <c r="G231" i="45"/>
  <c r="G137" i="30"/>
  <c r="G287" i="31"/>
  <c r="C421" i="7"/>
  <c r="G127" i="45"/>
  <c r="G190" i="30"/>
  <c r="G85" i="45"/>
  <c r="G199" i="32"/>
  <c r="G314" i="32"/>
  <c r="G84" i="45"/>
  <c r="C101" i="7"/>
  <c r="G73" i="31"/>
  <c r="G61" i="30"/>
  <c r="C584" i="7"/>
  <c r="G233" i="30"/>
  <c r="C144" i="7"/>
  <c r="G218" i="31"/>
  <c r="G126" i="45"/>
  <c r="G168" i="45"/>
  <c r="G261" i="30"/>
  <c r="G244" i="30"/>
  <c r="C610" i="7"/>
  <c r="G6" i="30"/>
  <c r="F6" i="30"/>
  <c r="G318" i="30"/>
  <c r="C449" i="7"/>
  <c r="C72" i="7"/>
  <c r="G298" i="45"/>
  <c r="G188" i="31"/>
  <c r="C435" i="7"/>
  <c r="G20" i="45"/>
  <c r="F45" i="45"/>
  <c r="G45" i="45"/>
  <c r="C346" i="7"/>
  <c r="G5" i="45"/>
  <c r="C57" i="7"/>
  <c r="G244" i="45"/>
  <c r="G11" i="45"/>
  <c r="G158" i="30"/>
  <c r="G165" i="30"/>
  <c r="G125" i="45"/>
  <c r="G126" i="31"/>
  <c r="G301" i="30"/>
  <c r="G2" i="31"/>
  <c r="F2" i="31"/>
  <c r="C521" i="7"/>
  <c r="G74" i="45"/>
  <c r="G105" i="31"/>
  <c r="C77" i="7"/>
  <c r="G96" i="45"/>
  <c r="G190" i="45"/>
  <c r="C192" i="7"/>
  <c r="C239" i="7"/>
  <c r="G221" i="45"/>
  <c r="G51" i="45"/>
  <c r="G7" i="30"/>
  <c r="G441" i="30"/>
  <c r="G170" i="45"/>
  <c r="G110" i="31"/>
  <c r="G143" i="31"/>
  <c r="G402" i="30"/>
  <c r="C544" i="7"/>
  <c r="G198" i="31"/>
  <c r="G62" i="31"/>
  <c r="G145" i="31"/>
  <c r="G161" i="30"/>
  <c r="G303" i="31"/>
  <c r="C398" i="7"/>
  <c r="C177" i="7"/>
  <c r="G88" i="45"/>
  <c r="G327" i="31"/>
  <c r="C110" i="7"/>
  <c r="G225" i="31"/>
  <c r="G386" i="30"/>
  <c r="C222" i="7"/>
  <c r="C154" i="7"/>
  <c r="G310" i="30"/>
  <c r="C152" i="7"/>
  <c r="G449" i="30"/>
  <c r="G307" i="45"/>
  <c r="G47" i="31"/>
  <c r="G293" i="45"/>
  <c r="G201" i="31"/>
  <c r="G262" i="31"/>
  <c r="G185" i="31"/>
  <c r="C219" i="7"/>
  <c r="G241" i="30"/>
  <c r="C242" i="7"/>
  <c r="G198" i="45"/>
  <c r="G140" i="31"/>
  <c r="G102" i="30"/>
  <c r="G109" i="30"/>
  <c r="G146" i="32"/>
  <c r="C510" i="7"/>
  <c r="C237" i="7"/>
  <c r="G26" i="45"/>
  <c r="C67" i="7"/>
  <c r="G278" i="45"/>
  <c r="F44" i="45"/>
  <c r="G44" i="45"/>
  <c r="G239" i="45"/>
  <c r="G137" i="45"/>
  <c r="G54" i="30"/>
  <c r="G147" i="31"/>
  <c r="G253" i="30"/>
  <c r="G62" i="45"/>
  <c r="G260" i="30"/>
  <c r="G272" i="45"/>
  <c r="C528" i="7"/>
  <c r="C416" i="7"/>
  <c r="G82" i="31"/>
  <c r="G338" i="32"/>
  <c r="G451" i="32"/>
  <c r="G539" i="32"/>
  <c r="G255" i="45"/>
  <c r="G60" i="32"/>
  <c r="G278" i="32"/>
  <c r="G42" i="32"/>
  <c r="G77" i="32"/>
  <c r="G318" i="32"/>
  <c r="G20" i="32"/>
  <c r="G289" i="32"/>
  <c r="C262" i="7"/>
  <c r="G11" i="32"/>
  <c r="G405" i="32"/>
  <c r="G402" i="32"/>
  <c r="F71" i="32"/>
  <c r="G71" i="32"/>
  <c r="G511" i="32"/>
  <c r="G136" i="32"/>
  <c r="G447" i="32"/>
  <c r="G10" i="32"/>
  <c r="G233" i="32"/>
  <c r="G350" i="32"/>
  <c r="G62" i="32"/>
  <c r="G358" i="32"/>
  <c r="G237" i="30"/>
  <c r="G164" i="45"/>
  <c r="G128" i="45"/>
  <c r="G75" i="30"/>
  <c r="G309" i="30"/>
  <c r="C71" i="7"/>
  <c r="C396" i="7"/>
  <c r="G230" i="45"/>
  <c r="G132" i="30"/>
  <c r="G453" i="32"/>
  <c r="G480" i="32"/>
  <c r="C556" i="7"/>
  <c r="G276" i="45"/>
  <c r="G80" i="45"/>
  <c r="G225" i="45"/>
  <c r="G45" i="31"/>
  <c r="C366" i="7"/>
  <c r="G71" i="31"/>
  <c r="G298" i="30"/>
  <c r="C84" i="7"/>
  <c r="G53" i="30"/>
  <c r="C385" i="7"/>
  <c r="G122" i="30"/>
  <c r="C342" i="7"/>
  <c r="C593" i="7"/>
  <c r="G336" i="30"/>
  <c r="G169" i="30"/>
  <c r="G119" i="45"/>
  <c r="G304" i="45"/>
  <c r="C21" i="7"/>
  <c r="C184" i="7"/>
  <c r="G418" i="32"/>
  <c r="G236" i="45"/>
  <c r="C361" i="7"/>
  <c r="G209" i="31"/>
  <c r="G176" i="32"/>
  <c r="G188" i="45"/>
  <c r="G19" i="30"/>
  <c r="G305" i="31"/>
  <c r="C122" i="7"/>
  <c r="C58" i="7"/>
  <c r="G253" i="45"/>
  <c r="C519" i="7"/>
  <c r="G259" i="30"/>
  <c r="C566" i="7"/>
  <c r="G245" i="45"/>
  <c r="G211" i="45"/>
  <c r="G305" i="30"/>
  <c r="G324" i="30"/>
  <c r="C292" i="7"/>
  <c r="C424" i="7"/>
  <c r="C102" i="7"/>
  <c r="G175" i="30"/>
  <c r="G281" i="45"/>
  <c r="G205" i="45"/>
  <c r="G144" i="45"/>
  <c r="G302" i="45"/>
  <c r="G370" i="30"/>
  <c r="G361" i="30"/>
  <c r="C188" i="7"/>
  <c r="C206" i="7"/>
  <c r="C22" i="7"/>
  <c r="C309" i="7"/>
  <c r="G322" i="45"/>
  <c r="G177" i="45"/>
  <c r="G174" i="30"/>
  <c r="G191" i="32"/>
  <c r="G265" i="32"/>
  <c r="G73" i="32"/>
  <c r="G264" i="32"/>
  <c r="G120" i="45"/>
  <c r="G258" i="32"/>
  <c r="G161" i="32"/>
  <c r="G403" i="32"/>
  <c r="G249" i="32"/>
  <c r="G315" i="32"/>
  <c r="G97" i="32"/>
  <c r="G167" i="32"/>
  <c r="G29" i="32"/>
  <c r="G5" i="32"/>
  <c r="G149" i="32"/>
  <c r="G178" i="32"/>
  <c r="G270" i="32"/>
  <c r="G507" i="32"/>
  <c r="G421" i="30"/>
  <c r="G354" i="32"/>
  <c r="G287" i="32"/>
  <c r="G252" i="30"/>
  <c r="G166" i="32"/>
  <c r="G479" i="32"/>
  <c r="G308" i="32"/>
  <c r="G189" i="32"/>
  <c r="G286" i="45"/>
  <c r="G170" i="31"/>
  <c r="G343" i="30"/>
  <c r="G299" i="30"/>
  <c r="C240" i="7"/>
  <c r="C224" i="7"/>
  <c r="C524" i="7"/>
  <c r="G104" i="45"/>
  <c r="C82" i="7"/>
  <c r="C492" i="7"/>
  <c r="G236" i="30"/>
  <c r="G299" i="45"/>
  <c r="C81" i="7"/>
  <c r="C551" i="7"/>
  <c r="C489" i="7"/>
  <c r="G74" i="32"/>
  <c r="G335" i="32"/>
  <c r="G123" i="32"/>
  <c r="G218" i="32"/>
  <c r="G339" i="32"/>
  <c r="G333" i="32"/>
  <c r="G259" i="32"/>
  <c r="G368" i="32"/>
  <c r="G275" i="32"/>
  <c r="G76" i="32"/>
  <c r="G484" i="32"/>
  <c r="G231" i="32"/>
  <c r="G359" i="32"/>
  <c r="G241" i="32"/>
  <c r="G100" i="32"/>
  <c r="G243" i="32"/>
  <c r="G341" i="32"/>
  <c r="G187" i="32"/>
  <c r="G517" i="32"/>
  <c r="G22" i="32"/>
  <c r="F22" i="32"/>
  <c r="G321" i="45"/>
  <c r="G95" i="45"/>
  <c r="G232" i="32"/>
  <c r="F45" i="32"/>
  <c r="G45" i="32"/>
  <c r="G87" i="32"/>
  <c r="G138" i="32"/>
  <c r="G452" i="32"/>
  <c r="G514" i="32"/>
  <c r="G102" i="32"/>
  <c r="G111" i="32"/>
  <c r="G482" i="32"/>
  <c r="G223" i="32"/>
  <c r="G7" i="32"/>
  <c r="G518" i="32"/>
  <c r="G420" i="32"/>
  <c r="G496" i="32"/>
  <c r="G285" i="32"/>
  <c r="G50" i="32"/>
  <c r="G83" i="30"/>
  <c r="G238" i="30"/>
  <c r="G34" i="30"/>
  <c r="G335" i="31"/>
  <c r="G194" i="31"/>
  <c r="G281" i="31"/>
  <c r="F37" i="31"/>
  <c r="G37" i="31"/>
  <c r="G246" i="30"/>
  <c r="G274" i="45"/>
  <c r="G98" i="31"/>
  <c r="C360" i="7"/>
  <c r="G161" i="31"/>
  <c r="G268" i="45"/>
  <c r="C320" i="7"/>
  <c r="G116" i="30"/>
  <c r="C352" i="7"/>
  <c r="G46" i="32"/>
  <c r="G32" i="45"/>
  <c r="G185" i="30"/>
  <c r="C457" i="7"/>
  <c r="C458" i="7"/>
  <c r="G50" i="45"/>
  <c r="G399" i="32"/>
  <c r="C555" i="7"/>
  <c r="G150" i="32"/>
  <c r="F52" i="32"/>
  <c r="G52" i="32"/>
  <c r="G340" i="32"/>
  <c r="G101" i="32"/>
  <c r="G455" i="32"/>
  <c r="G65" i="32"/>
  <c r="G248" i="32"/>
  <c r="G436" i="32"/>
  <c r="G54" i="32"/>
  <c r="G105" i="45"/>
  <c r="G251" i="45"/>
  <c r="G130" i="45"/>
  <c r="C186" i="7"/>
  <c r="C207" i="7"/>
  <c r="G325" i="31"/>
  <c r="C15" i="7"/>
  <c r="C267" i="7"/>
  <c r="C164" i="7"/>
  <c r="C496" i="7"/>
  <c r="G139" i="45"/>
  <c r="C448" i="7"/>
  <c r="G255" i="32"/>
  <c r="F8" i="45"/>
  <c r="G8" i="45"/>
  <c r="G345" i="31"/>
  <c r="C200" i="7"/>
  <c r="C429" i="7"/>
  <c r="G224" i="31"/>
  <c r="G241" i="45"/>
  <c r="G427" i="30"/>
  <c r="G267" i="30"/>
  <c r="G348" i="30"/>
  <c r="G178" i="45"/>
  <c r="G291" i="30"/>
  <c r="G155" i="31"/>
  <c r="G153" i="32"/>
  <c r="G15" i="32"/>
  <c r="G456" i="32"/>
  <c r="G303" i="32"/>
  <c r="G245" i="32"/>
  <c r="G3" i="32"/>
  <c r="G312" i="32"/>
  <c r="G151" i="32"/>
  <c r="C459" i="7"/>
  <c r="G38" i="32"/>
  <c r="G529" i="32"/>
  <c r="G103" i="32"/>
  <c r="G25" i="32"/>
  <c r="G445" i="32"/>
  <c r="G302" i="32"/>
  <c r="G439" i="32"/>
  <c r="G519" i="32"/>
  <c r="G155" i="32"/>
  <c r="G348" i="32"/>
  <c r="G104" i="32"/>
  <c r="G322" i="32"/>
  <c r="G279" i="32"/>
  <c r="G334" i="32"/>
  <c r="C53" i="7"/>
  <c r="C259" i="7"/>
  <c r="F40" i="31"/>
  <c r="G40" i="31"/>
  <c r="C319" i="7"/>
  <c r="C500" i="7"/>
  <c r="G69" i="31"/>
  <c r="F70" i="45"/>
  <c r="G70" i="45"/>
  <c r="C140" i="7"/>
  <c r="C13" i="7"/>
  <c r="G187" i="45"/>
  <c r="G243" i="31"/>
  <c r="C562" i="7"/>
  <c r="G72" i="45"/>
  <c r="G283" i="45"/>
  <c r="C388" i="7"/>
  <c r="G288" i="45"/>
  <c r="G56" i="32"/>
  <c r="C193" i="7"/>
  <c r="G277" i="32"/>
  <c r="C614" i="7"/>
  <c r="G171" i="32"/>
  <c r="G414" i="32"/>
  <c r="G174" i="32"/>
  <c r="G61" i="45"/>
  <c r="G230" i="32"/>
  <c r="G17" i="32"/>
  <c r="G276" i="32"/>
  <c r="G459" i="32"/>
  <c r="G254" i="32"/>
  <c r="G351" i="32"/>
  <c r="G275" i="45"/>
  <c r="G142" i="32"/>
  <c r="G69" i="32"/>
  <c r="G80" i="32"/>
  <c r="G291" i="32"/>
  <c r="G352" i="32"/>
  <c r="G327" i="32"/>
  <c r="G88" i="32"/>
  <c r="G145" i="32"/>
  <c r="G475" i="32"/>
  <c r="G450" i="32"/>
  <c r="G283" i="32"/>
  <c r="G319" i="32"/>
  <c r="G515" i="32"/>
  <c r="G116" i="32"/>
  <c r="G81" i="32"/>
  <c r="G119" i="32"/>
  <c r="G481" i="32"/>
  <c r="G310" i="32"/>
  <c r="G409" i="32"/>
  <c r="G444" i="32"/>
  <c r="G53" i="32"/>
  <c r="G226" i="32"/>
  <c r="C182" i="7"/>
  <c r="G49" i="30"/>
  <c r="G118" i="32"/>
  <c r="G95" i="32"/>
  <c r="G16" i="32"/>
  <c r="G306" i="32"/>
  <c r="C339" i="7"/>
  <c r="F70" i="32"/>
  <c r="G70" i="32"/>
  <c r="C490" i="7"/>
  <c r="G367" i="32"/>
  <c r="C553" i="7"/>
  <c r="C580" i="7"/>
  <c r="G58" i="45"/>
  <c r="F58" i="45"/>
  <c r="G101" i="31"/>
  <c r="G99" i="30"/>
  <c r="G208" i="30"/>
  <c r="G47" i="45"/>
  <c r="G186" i="30"/>
  <c r="G219" i="45"/>
  <c r="C274" i="7"/>
  <c r="C576" i="7"/>
  <c r="G297" i="45"/>
  <c r="G240" i="30"/>
  <c r="G147" i="45"/>
  <c r="C131" i="7"/>
  <c r="G193" i="30"/>
  <c r="C563" i="7"/>
  <c r="G337" i="30"/>
  <c r="G64" i="45"/>
  <c r="C445" i="7"/>
  <c r="C605" i="7"/>
  <c r="G31" i="30"/>
  <c r="G176" i="45"/>
  <c r="C171" i="7"/>
  <c r="C601" i="7"/>
  <c r="C480" i="7"/>
  <c r="G301" i="32"/>
  <c r="G522" i="32"/>
  <c r="G30" i="32"/>
  <c r="F30" i="32"/>
  <c r="G349" i="32"/>
  <c r="G89" i="32"/>
  <c r="G332" i="32"/>
  <c r="G364" i="32"/>
  <c r="G533" i="32"/>
  <c r="G240" i="32"/>
  <c r="G98" i="32"/>
  <c r="G513" i="32"/>
  <c r="G39" i="32"/>
  <c r="G370" i="32"/>
  <c r="G407" i="32"/>
  <c r="G113" i="32"/>
  <c r="G91" i="32"/>
  <c r="G247" i="32"/>
  <c r="G304" i="32"/>
  <c r="G215" i="32"/>
  <c r="G222" i="32"/>
  <c r="G227" i="32"/>
  <c r="G207" i="32"/>
  <c r="G6" i="32"/>
  <c r="G14" i="32"/>
  <c r="G379" i="32"/>
  <c r="C265" i="7"/>
  <c r="G37" i="32"/>
  <c r="F37" i="32"/>
  <c r="G491" i="32"/>
  <c r="G509" i="32"/>
  <c r="C358" i="7"/>
  <c r="G8" i="32"/>
  <c r="G59" i="30"/>
  <c r="G190" i="32"/>
  <c r="G8" i="30"/>
  <c r="G124" i="32"/>
  <c r="G290" i="45"/>
  <c r="G296" i="32"/>
  <c r="G419" i="30"/>
  <c r="G398" i="32"/>
  <c r="G307" i="32"/>
  <c r="G208" i="32"/>
  <c r="G391" i="32"/>
  <c r="C273" i="7"/>
  <c r="G490" i="32"/>
  <c r="G472" i="32"/>
  <c r="G195" i="32"/>
  <c r="G356" i="32"/>
  <c r="G99" i="32"/>
  <c r="G535" i="32"/>
  <c r="C546" i="7"/>
  <c r="G323" i="32"/>
  <c r="C511" i="7"/>
  <c r="G130" i="32"/>
  <c r="C488" i="7"/>
  <c r="G173" i="32"/>
  <c r="G388" i="32"/>
  <c r="G164" i="32"/>
  <c r="G234" i="32"/>
  <c r="G477" i="32"/>
  <c r="G201" i="32"/>
  <c r="G185" i="32"/>
  <c r="G473" i="32"/>
  <c r="G395" i="32"/>
  <c r="G528" i="32"/>
  <c r="G325" i="45"/>
  <c r="G281" i="32"/>
  <c r="G64" i="32"/>
  <c r="G400" i="32"/>
  <c r="G432" i="32"/>
  <c r="G251" i="32"/>
  <c r="G330" i="32"/>
  <c r="G128" i="32"/>
  <c r="G428" i="32"/>
  <c r="G426" i="32"/>
  <c r="G437" i="32"/>
  <c r="G85" i="32"/>
  <c r="G485" i="32"/>
  <c r="G68" i="32"/>
  <c r="G367" i="30"/>
  <c r="G83" i="32"/>
  <c r="G541" i="32"/>
  <c r="G394" i="30"/>
  <c r="C465" i="7"/>
  <c r="G147" i="32"/>
  <c r="G12" i="32"/>
  <c r="F12" i="32"/>
  <c r="G474" i="32"/>
  <c r="G120" i="32"/>
  <c r="G90" i="32"/>
  <c r="G389" i="32"/>
  <c r="G381" i="32"/>
  <c r="G465" i="32"/>
  <c r="G210" i="32"/>
  <c r="G371" i="32"/>
  <c r="G202" i="30"/>
  <c r="G32" i="32"/>
  <c r="G224" i="32"/>
  <c r="G516" i="32"/>
  <c r="G313" i="32"/>
  <c r="G497" i="32"/>
  <c r="G211" i="32"/>
  <c r="G397" i="32"/>
  <c r="G460" i="32"/>
  <c r="G417" i="32"/>
  <c r="G26" i="32"/>
  <c r="G51" i="32"/>
  <c r="G504" i="32"/>
  <c r="G197" i="32"/>
  <c r="G125" i="32"/>
  <c r="G63" i="32"/>
  <c r="G160" i="32"/>
  <c r="G196" i="32"/>
  <c r="G131" i="32"/>
  <c r="G238" i="32"/>
  <c r="G431" i="32"/>
  <c r="G212" i="32"/>
  <c r="G489" i="32"/>
  <c r="G280" i="32"/>
  <c r="G134" i="32"/>
  <c r="G177" i="32"/>
  <c r="G325" i="32"/>
  <c r="G461" i="32"/>
  <c r="G415" i="32"/>
  <c r="G390" i="32"/>
  <c r="G300" i="32"/>
  <c r="G271" i="32"/>
  <c r="G139" i="32"/>
  <c r="G362" i="32"/>
  <c r="G267" i="32"/>
  <c r="G63" i="30"/>
  <c r="G232" i="45"/>
  <c r="G526" i="32"/>
  <c r="G494" i="32"/>
  <c r="G386" i="32"/>
  <c r="G204" i="32"/>
  <c r="G523" i="32"/>
  <c r="G464" i="32"/>
  <c r="G94" i="32"/>
  <c r="G67" i="32"/>
  <c r="F67" i="32"/>
  <c r="G384" i="32"/>
  <c r="G440" i="32"/>
  <c r="G165" i="32"/>
  <c r="G299" i="32"/>
  <c r="G342" i="32"/>
  <c r="G316" i="32"/>
  <c r="G321" i="32"/>
  <c r="G408" i="32"/>
  <c r="G186" i="32"/>
  <c r="G61" i="32"/>
  <c r="G416" i="32"/>
  <c r="G392" i="32"/>
  <c r="C114" i="7"/>
  <c r="G72" i="32"/>
  <c r="G159" i="32"/>
  <c r="G262" i="32"/>
  <c r="G213" i="32"/>
  <c r="G343" i="32"/>
  <c r="C538" i="7"/>
  <c r="G427" i="32"/>
  <c r="G521" i="32"/>
  <c r="G346" i="32"/>
  <c r="G140" i="32"/>
  <c r="G462" i="32"/>
  <c r="G172" i="32"/>
  <c r="G380" i="32"/>
  <c r="G288" i="32"/>
  <c r="C56" i="7"/>
  <c r="G357" i="32"/>
  <c r="G244" i="32"/>
  <c r="C221" i="7"/>
  <c r="C198" i="7"/>
  <c r="G235" i="32"/>
  <c r="G360" i="32"/>
  <c r="G388" i="30"/>
  <c r="G261" i="32"/>
  <c r="G93" i="32"/>
  <c r="G222" i="30"/>
  <c r="G272" i="32"/>
  <c r="G170" i="32"/>
  <c r="G49" i="32"/>
  <c r="F49" i="32"/>
  <c r="G476" i="32"/>
  <c r="G429" i="32"/>
  <c r="G268" i="32"/>
  <c r="C124" i="7"/>
  <c r="G96" i="32"/>
  <c r="G448" i="32"/>
  <c r="G254" i="30"/>
  <c r="G263" i="32"/>
  <c r="G266" i="32"/>
  <c r="G531" i="32"/>
  <c r="C190" i="7"/>
  <c r="G290" i="32"/>
  <c r="G537" i="32"/>
  <c r="G115" i="32"/>
  <c r="G184" i="32"/>
  <c r="G273" i="32"/>
  <c r="G538" i="32"/>
  <c r="C369" i="7"/>
  <c r="G214" i="32"/>
  <c r="G355" i="32"/>
  <c r="G175" i="32"/>
  <c r="G506" i="32"/>
  <c r="G540" i="32"/>
  <c r="G260" i="32"/>
  <c r="G305" i="32"/>
  <c r="G328" i="32"/>
  <c r="G462" i="30"/>
  <c r="C103" i="7"/>
  <c r="G372" i="32"/>
  <c r="G250" i="32"/>
  <c r="G228" i="32"/>
  <c r="G193" i="32"/>
  <c r="G178" i="30"/>
  <c r="C615" i="7"/>
  <c r="C486" i="7"/>
  <c r="G237" i="32"/>
  <c r="G282" i="32"/>
  <c r="G137" i="32"/>
  <c r="G23" i="32"/>
  <c r="G58" i="32"/>
  <c r="F58" i="32"/>
  <c r="G221" i="32"/>
  <c r="G454" i="32"/>
  <c r="G329" i="32"/>
  <c r="G524" i="32"/>
  <c r="G423" i="32"/>
  <c r="G239" i="32"/>
  <c r="G326" i="32"/>
  <c r="F35" i="32"/>
  <c r="G35" i="32"/>
  <c r="C567" i="7"/>
  <c r="G442" i="32"/>
  <c r="G295" i="32"/>
  <c r="G347" i="32"/>
  <c r="G135" i="32"/>
  <c r="G181" i="32"/>
  <c r="F33" i="30"/>
  <c r="G33" i="30"/>
  <c r="G376" i="32"/>
  <c r="C204" i="7"/>
  <c r="G396" i="32"/>
  <c r="G369" i="32"/>
  <c r="G132" i="32"/>
  <c r="G441" i="32"/>
  <c r="G86" i="32"/>
  <c r="G55" i="32"/>
  <c r="C341" i="7"/>
  <c r="G27" i="32"/>
  <c r="G505" i="32"/>
  <c r="G463" i="32"/>
  <c r="G106" i="32"/>
  <c r="G112" i="32"/>
  <c r="G259" i="45"/>
  <c r="G188" i="32"/>
  <c r="G297" i="32"/>
  <c r="G345" i="32"/>
  <c r="G293" i="32"/>
  <c r="G79" i="32"/>
  <c r="G502" i="32"/>
  <c r="C183" i="7"/>
  <c r="G510" i="32"/>
  <c r="H231" i="30"/>
  <c r="F78" i="45" l="1"/>
  <c r="F98" i="45"/>
  <c r="F90" i="45"/>
  <c r="F81" i="45"/>
  <c r="F207" i="45"/>
  <c r="F86" i="45"/>
  <c r="F147" i="45"/>
  <c r="F150" i="45"/>
  <c r="F158" i="45"/>
  <c r="F96" i="45"/>
  <c r="F169" i="45"/>
  <c r="F101" i="45"/>
  <c r="F113" i="45"/>
  <c r="F97" i="45"/>
  <c r="F180" i="45"/>
  <c r="F108" i="45"/>
  <c r="F77" i="45"/>
  <c r="F80" i="45"/>
  <c r="F84" i="45"/>
  <c r="F224" i="45"/>
  <c r="F204" i="45"/>
  <c r="F217" i="45"/>
  <c r="F99" i="45"/>
  <c r="F153" i="45"/>
  <c r="G231" i="30"/>
  <c r="F53" i="30" s="1"/>
  <c r="F110" i="31"/>
  <c r="F60" i="31"/>
  <c r="F115" i="31"/>
  <c r="F85" i="31"/>
  <c r="F69" i="31"/>
  <c r="F98" i="31"/>
  <c r="F105" i="31"/>
  <c r="F128" i="31"/>
  <c r="F58" i="31"/>
  <c r="F106" i="31"/>
  <c r="F121" i="31"/>
  <c r="F188" i="32"/>
  <c r="F62" i="31"/>
  <c r="F73" i="31"/>
  <c r="F67" i="31"/>
  <c r="F70" i="31"/>
  <c r="F79" i="31"/>
  <c r="F117" i="31"/>
  <c r="F72" i="31"/>
  <c r="F56" i="31"/>
  <c r="F55" i="31"/>
  <c r="F107" i="31"/>
  <c r="F51" i="31"/>
  <c r="F112" i="31"/>
  <c r="F82" i="31"/>
  <c r="F184" i="32"/>
  <c r="F96" i="32"/>
  <c r="F235" i="32"/>
  <c r="F353" i="32"/>
  <c r="F173" i="32"/>
  <c r="F190" i="32"/>
  <c r="F276" i="32"/>
  <c r="F101" i="32"/>
  <c r="F167" i="32"/>
  <c r="F278" i="32"/>
  <c r="F92" i="32"/>
  <c r="F236" i="32"/>
  <c r="F449" i="32"/>
  <c r="F187" i="32"/>
  <c r="F193" i="32"/>
  <c r="F263" i="32"/>
  <c r="F94" i="32"/>
  <c r="F280" i="32"/>
  <c r="F212" i="32"/>
  <c r="F215" i="32"/>
  <c r="F155" i="32"/>
  <c r="F248" i="32"/>
  <c r="F256" i="32"/>
  <c r="F241" i="32"/>
  <c r="F231" i="32"/>
  <c r="F141" i="32"/>
  <c r="F158" i="32"/>
  <c r="F292" i="32"/>
  <c r="F246" i="32"/>
  <c r="F219" i="32"/>
  <c r="F221" i="32"/>
  <c r="F250" i="32"/>
  <c r="F355" i="32"/>
  <c r="F273" i="32"/>
  <c r="F244" i="32"/>
  <c r="F288" i="32"/>
  <c r="F262" i="32"/>
  <c r="F477" i="32"/>
  <c r="F153" i="32"/>
  <c r="F255" i="32"/>
  <c r="F399" i="32"/>
  <c r="F420" i="32"/>
  <c r="F232" i="32"/>
  <c r="F161" i="32"/>
  <c r="F165" i="32"/>
  <c r="F497" i="32"/>
  <c r="F120" i="32"/>
  <c r="F352" i="32"/>
  <c r="F242" i="32"/>
  <c r="F117" i="32"/>
  <c r="F216" i="32"/>
  <c r="F109" i="32"/>
  <c r="F261" i="30"/>
  <c r="F79" i="32"/>
  <c r="F259" i="45"/>
  <c r="F274" i="32"/>
  <c r="F113" i="30"/>
  <c r="F519" i="32"/>
  <c r="F116" i="31"/>
  <c r="F52" i="31"/>
  <c r="F302" i="31"/>
  <c r="F119" i="45"/>
  <c r="F460" i="30"/>
  <c r="F11" i="45"/>
  <c r="F404" i="30"/>
  <c r="F23" i="31"/>
  <c r="F147" i="32"/>
  <c r="F340" i="30"/>
  <c r="F149" i="31"/>
  <c r="F199" i="30"/>
  <c r="F374" i="32"/>
  <c r="F461" i="32"/>
  <c r="F25" i="32"/>
  <c r="F268" i="30"/>
  <c r="F277" i="32"/>
  <c r="F197" i="30"/>
  <c r="F35" i="30"/>
  <c r="F120" i="31"/>
  <c r="F98" i="30"/>
  <c r="F372" i="30"/>
  <c r="F257" i="31"/>
  <c r="F388" i="30"/>
  <c r="F367" i="30"/>
  <c r="F163" i="30"/>
  <c r="F294" i="31"/>
  <c r="F14" i="31"/>
  <c r="F71" i="45"/>
  <c r="F219" i="31"/>
  <c r="F271" i="30"/>
  <c r="F212" i="30"/>
  <c r="F150" i="31"/>
  <c r="F44" i="32"/>
  <c r="F233" i="45"/>
  <c r="F118" i="31"/>
  <c r="F480" i="32"/>
  <c r="F132" i="32"/>
  <c r="F295" i="32"/>
  <c r="F538" i="32"/>
  <c r="F362" i="32"/>
  <c r="F395" i="32"/>
  <c r="F208" i="32"/>
  <c r="F80" i="32"/>
  <c r="F79" i="45"/>
  <c r="F251" i="45"/>
  <c r="F194" i="31"/>
  <c r="F201" i="31"/>
  <c r="F327" i="31"/>
  <c r="F424" i="30"/>
  <c r="F287" i="31"/>
  <c r="F353" i="30"/>
  <c r="F147" i="30"/>
  <c r="F278" i="31"/>
  <c r="F344" i="32"/>
  <c r="F89" i="31"/>
  <c r="F275" i="31"/>
  <c r="F35" i="45"/>
  <c r="F271" i="31"/>
  <c r="F24" i="32"/>
  <c r="F232" i="31"/>
  <c r="F309" i="45"/>
  <c r="F213" i="30"/>
  <c r="F330" i="31"/>
  <c r="F86" i="31"/>
  <c r="F40" i="32"/>
  <c r="F503" i="32"/>
  <c r="F133" i="45"/>
  <c r="F264" i="31"/>
  <c r="F110" i="30"/>
  <c r="F41" i="31"/>
  <c r="F237" i="45"/>
  <c r="F258" i="31"/>
  <c r="F163" i="45"/>
  <c r="F256" i="31"/>
  <c r="F61" i="31"/>
  <c r="F484" i="32"/>
  <c r="F515" i="32"/>
  <c r="F332" i="30"/>
  <c r="F166" i="30"/>
  <c r="F365" i="30"/>
  <c r="F32" i="45"/>
  <c r="F408" i="32"/>
  <c r="F174" i="45"/>
  <c r="F70" i="30"/>
  <c r="F527" i="32"/>
  <c r="F161" i="30"/>
  <c r="F336" i="31"/>
  <c r="F156" i="45"/>
  <c r="F507" i="32"/>
  <c r="F454" i="30"/>
  <c r="F17" i="32"/>
  <c r="F524" i="32"/>
  <c r="F235" i="45"/>
  <c r="F460" i="32"/>
  <c r="F541" i="32"/>
  <c r="F185" i="32"/>
  <c r="F243" i="31"/>
  <c r="F445" i="30"/>
  <c r="F512" i="32"/>
  <c r="F238" i="30"/>
  <c r="F88" i="45"/>
  <c r="F81" i="30"/>
  <c r="F67" i="30"/>
  <c r="F273" i="31"/>
  <c r="F72" i="32"/>
  <c r="F134" i="31"/>
  <c r="F66" i="31"/>
  <c r="F311" i="30"/>
  <c r="F90" i="31"/>
  <c r="F392" i="30"/>
  <c r="F181" i="31"/>
  <c r="F157" i="31"/>
  <c r="F155" i="31"/>
  <c r="F18" i="32"/>
  <c r="F396" i="32"/>
  <c r="F506" i="32"/>
  <c r="F537" i="32"/>
  <c r="F448" i="32"/>
  <c r="F179" i="32"/>
  <c r="F272" i="32"/>
  <c r="F357" i="32"/>
  <c r="F462" i="32"/>
  <c r="F346" i="32"/>
  <c r="F159" i="32"/>
  <c r="F321" i="32"/>
  <c r="F464" i="32"/>
  <c r="F494" i="32"/>
  <c r="F300" i="32"/>
  <c r="F325" i="32"/>
  <c r="F134" i="32"/>
  <c r="F431" i="32"/>
  <c r="F131" i="32"/>
  <c r="F516" i="32"/>
  <c r="F391" i="32"/>
  <c r="F7" i="32"/>
  <c r="F107" i="32"/>
  <c r="F447" i="32"/>
  <c r="F271" i="32"/>
  <c r="F189" i="32"/>
  <c r="F364" i="32"/>
  <c r="F66" i="32"/>
  <c r="F401" i="32"/>
  <c r="F508" i="32"/>
  <c r="F169" i="32"/>
  <c r="F210" i="32"/>
  <c r="F197" i="32"/>
  <c r="F168" i="32"/>
  <c r="F455" i="32"/>
  <c r="F68" i="32"/>
  <c r="F217" i="32"/>
  <c r="F89" i="32"/>
  <c r="F102" i="32"/>
  <c r="F363" i="32"/>
  <c r="F14" i="32"/>
  <c r="F390" i="32"/>
  <c r="F417" i="32"/>
  <c r="F183" i="32"/>
  <c r="F181" i="32"/>
  <c r="F521" i="32"/>
  <c r="F254" i="32"/>
  <c r="F178" i="32"/>
  <c r="F60" i="32"/>
  <c r="F220" i="32"/>
  <c r="F311" i="32"/>
  <c r="F387" i="32"/>
  <c r="F194" i="32"/>
  <c r="F530" i="32"/>
  <c r="F510" i="32"/>
  <c r="F377" i="32"/>
  <c r="F78" i="32"/>
  <c r="F482" i="32"/>
  <c r="F347" i="32"/>
  <c r="F406" i="32"/>
  <c r="F531" i="32"/>
  <c r="F205" i="32"/>
  <c r="F138" i="30"/>
  <c r="F437" i="32"/>
  <c r="F428" i="32"/>
  <c r="F64" i="32"/>
  <c r="F535" i="32"/>
  <c r="F356" i="32"/>
  <c r="F472" i="32"/>
  <c r="F398" i="32"/>
  <c r="F296" i="32"/>
  <c r="F124" i="32"/>
  <c r="F59" i="30"/>
  <c r="F304" i="32"/>
  <c r="F91" i="32"/>
  <c r="F407" i="32"/>
  <c r="F310" i="32"/>
  <c r="F445" i="32"/>
  <c r="F151" i="32"/>
  <c r="F291" i="30"/>
  <c r="F185" i="30"/>
  <c r="F83" i="30"/>
  <c r="F218" i="32"/>
  <c r="F236" i="30"/>
  <c r="F343" i="30"/>
  <c r="F286" i="45"/>
  <c r="F308" i="32"/>
  <c r="F166" i="32"/>
  <c r="F361" i="30"/>
  <c r="F276" i="45"/>
  <c r="F358" i="32"/>
  <c r="F10" i="32"/>
  <c r="F57" i="45"/>
  <c r="F261" i="45"/>
  <c r="F157" i="32"/>
  <c r="F113" i="32"/>
  <c r="F191" i="45"/>
  <c r="F47" i="30"/>
  <c r="F43" i="30"/>
  <c r="F112" i="30"/>
  <c r="F324" i="45"/>
  <c r="F194" i="45"/>
  <c r="F48" i="32"/>
  <c r="F55" i="32"/>
  <c r="F39" i="32"/>
  <c r="F332" i="32"/>
  <c r="F8" i="30"/>
  <c r="F422" i="30"/>
  <c r="F459" i="30"/>
  <c r="F285" i="30"/>
  <c r="F160" i="45"/>
  <c r="F230" i="30"/>
  <c r="F280" i="45"/>
  <c r="F21" i="45"/>
  <c r="F432" i="30"/>
  <c r="F378" i="32"/>
  <c r="F402" i="30"/>
  <c r="F131" i="45"/>
  <c r="F231" i="45"/>
  <c r="F312" i="32"/>
  <c r="F76" i="32"/>
  <c r="F367" i="32"/>
  <c r="F509" i="32"/>
  <c r="F267" i="30"/>
  <c r="F115" i="30"/>
  <c r="F176" i="45"/>
  <c r="F320" i="45"/>
  <c r="F95" i="30"/>
  <c r="F88" i="32"/>
  <c r="F74" i="30"/>
  <c r="F426" i="30"/>
  <c r="F192" i="45"/>
  <c r="F99" i="30"/>
  <c r="F200" i="32"/>
  <c r="F102" i="30"/>
  <c r="F282" i="45"/>
  <c r="F103" i="32"/>
  <c r="F56" i="32"/>
  <c r="F235" i="31"/>
  <c r="F301" i="31"/>
  <c r="F91" i="31"/>
  <c r="F323" i="31"/>
  <c r="F222" i="31"/>
  <c r="F217" i="31"/>
  <c r="F300" i="31"/>
  <c r="F127" i="31"/>
  <c r="F250" i="31"/>
  <c r="F226" i="31"/>
  <c r="F319" i="31"/>
  <c r="F179" i="31"/>
  <c r="F284" i="31"/>
  <c r="F166" i="31"/>
  <c r="F296" i="31"/>
  <c r="F309" i="31"/>
  <c r="F168" i="31"/>
  <c r="F228" i="31"/>
  <c r="F309" i="30"/>
  <c r="F17" i="30"/>
  <c r="F533" i="32"/>
  <c r="F256" i="45"/>
  <c r="F450" i="32"/>
  <c r="F38" i="32"/>
  <c r="F15" i="32"/>
  <c r="F17" i="45"/>
  <c r="F274" i="45"/>
  <c r="F196" i="45"/>
  <c r="F236" i="45"/>
  <c r="F283" i="45"/>
  <c r="F167" i="45"/>
  <c r="F183" i="45"/>
  <c r="F182" i="45"/>
  <c r="F111" i="45"/>
  <c r="F186" i="45"/>
  <c r="F273" i="45"/>
  <c r="F242" i="45"/>
  <c r="F210" i="45"/>
  <c r="F173" i="45"/>
  <c r="F191" i="32"/>
  <c r="F111" i="30"/>
  <c r="F108" i="30"/>
  <c r="F262" i="30"/>
  <c r="F350" i="30"/>
  <c r="F283" i="30"/>
  <c r="F391" i="30"/>
  <c r="F272" i="30"/>
  <c r="F254" i="30"/>
  <c r="F282" i="30"/>
  <c r="F139" i="30"/>
  <c r="F45" i="31"/>
  <c r="F402" i="32"/>
  <c r="F241" i="45"/>
  <c r="F423" i="30"/>
  <c r="F103" i="30"/>
  <c r="F247" i="30"/>
  <c r="F428" i="30"/>
  <c r="F275" i="30"/>
  <c r="F272" i="31"/>
  <c r="F124" i="31"/>
  <c r="F100" i="31"/>
  <c r="F322" i="31"/>
  <c r="F196" i="31"/>
  <c r="F23" i="45"/>
  <c r="F390" i="30"/>
  <c r="F143" i="31"/>
  <c r="F282" i="31"/>
  <c r="F46" i="30"/>
  <c r="F209" i="30"/>
  <c r="F318" i="30"/>
  <c r="F254" i="31"/>
  <c r="F103" i="31"/>
  <c r="F206" i="31"/>
  <c r="F227" i="31"/>
  <c r="F128" i="30"/>
  <c r="F308" i="30"/>
  <c r="F210" i="30"/>
  <c r="F444" i="30"/>
  <c r="F442" i="30"/>
  <c r="F310" i="45"/>
  <c r="F303" i="45"/>
  <c r="F233" i="30"/>
  <c r="F129" i="31"/>
  <c r="F347" i="31"/>
  <c r="F411" i="30"/>
  <c r="F334" i="30"/>
  <c r="F72" i="30"/>
  <c r="F136" i="45"/>
  <c r="F96" i="31"/>
  <c r="F104" i="30"/>
  <c r="F35" i="31"/>
  <c r="F154" i="45"/>
  <c r="F189" i="45"/>
  <c r="F319" i="45"/>
  <c r="F159" i="31"/>
  <c r="F165" i="45"/>
  <c r="F122" i="45"/>
  <c r="F251" i="31"/>
  <c r="F349" i="30"/>
  <c r="F114" i="31"/>
  <c r="F329" i="31"/>
  <c r="F38" i="45"/>
  <c r="F285" i="45"/>
  <c r="F111" i="31"/>
  <c r="F256" i="30"/>
  <c r="F213" i="31"/>
  <c r="F150" i="30"/>
  <c r="F430" i="30"/>
  <c r="F136" i="31"/>
  <c r="F16" i="45"/>
  <c r="F143" i="45"/>
  <c r="F315" i="45"/>
  <c r="F248" i="31"/>
  <c r="F119" i="31"/>
  <c r="F207" i="31"/>
  <c r="F230" i="31"/>
  <c r="F279" i="30"/>
  <c r="F290" i="30"/>
  <c r="F238" i="45"/>
  <c r="F3" i="31"/>
  <c r="F167" i="31"/>
  <c r="F221" i="45"/>
  <c r="F307" i="45"/>
  <c r="F54" i="30"/>
  <c r="F304" i="45"/>
  <c r="F337" i="30"/>
  <c r="F290" i="45"/>
  <c r="F289" i="30"/>
  <c r="F410" i="30"/>
  <c r="F284" i="30"/>
  <c r="F64" i="31"/>
  <c r="F19" i="45"/>
  <c r="F89" i="45"/>
  <c r="F292" i="30"/>
  <c r="F57" i="31"/>
  <c r="F145" i="30"/>
  <c r="F123" i="31"/>
  <c r="F338" i="31"/>
  <c r="F441" i="30"/>
  <c r="F240" i="45"/>
  <c r="F364" i="30"/>
  <c r="F13" i="31"/>
  <c r="F200" i="31"/>
  <c r="F339" i="31"/>
  <c r="F198" i="31"/>
  <c r="F299" i="31"/>
  <c r="F192" i="31"/>
  <c r="F80" i="30"/>
  <c r="F160" i="30"/>
  <c r="F239" i="30"/>
  <c r="F338" i="30"/>
  <c r="F249" i="45"/>
  <c r="F140" i="45"/>
  <c r="F56" i="45"/>
  <c r="F31" i="30"/>
  <c r="F27" i="45"/>
  <c r="F452" i="30"/>
  <c r="F212" i="45"/>
  <c r="F225" i="30"/>
  <c r="F247" i="45"/>
  <c r="F387" i="30"/>
  <c r="F431" i="30"/>
  <c r="F2" i="32"/>
  <c r="F117" i="45"/>
  <c r="F487" i="32"/>
  <c r="F152" i="31"/>
  <c r="F318" i="45"/>
  <c r="F24" i="45"/>
  <c r="F409" i="30"/>
  <c r="F174" i="31"/>
  <c r="F352" i="30"/>
  <c r="F394" i="30"/>
  <c r="F206" i="45"/>
  <c r="F84" i="30"/>
  <c r="F75" i="32"/>
  <c r="F434" i="30"/>
  <c r="F133" i="31"/>
  <c r="F419" i="32"/>
  <c r="F161" i="45"/>
  <c r="F115" i="45"/>
  <c r="F162" i="31"/>
  <c r="F301" i="45"/>
  <c r="F4" i="32"/>
  <c r="F229" i="32"/>
  <c r="F24" i="30"/>
  <c r="F439" i="30"/>
  <c r="F394" i="32"/>
  <c r="F20" i="45"/>
  <c r="F204" i="30"/>
  <c r="F171" i="30"/>
  <c r="F153" i="30"/>
  <c r="F219" i="30"/>
  <c r="F312" i="30"/>
  <c r="F453" i="30"/>
  <c r="F149" i="45"/>
  <c r="F205" i="31"/>
  <c r="F31" i="45"/>
  <c r="F199" i="45"/>
  <c r="F129" i="45"/>
  <c r="F264" i="30"/>
  <c r="F182" i="32"/>
  <c r="F195" i="45"/>
  <c r="F345" i="32"/>
  <c r="F106" i="32"/>
  <c r="F505" i="32"/>
  <c r="F86" i="32"/>
  <c r="F376" i="32"/>
  <c r="F135" i="32"/>
  <c r="F239" i="32"/>
  <c r="F454" i="32"/>
  <c r="F137" i="32"/>
  <c r="F237" i="32"/>
  <c r="F228" i="32"/>
  <c r="F328" i="32"/>
  <c r="F260" i="32"/>
  <c r="F214" i="32"/>
  <c r="F266" i="32"/>
  <c r="F268" i="32"/>
  <c r="F476" i="32"/>
  <c r="F93" i="32"/>
  <c r="F380" i="32"/>
  <c r="F427" i="32"/>
  <c r="F343" i="32"/>
  <c r="F416" i="32"/>
  <c r="F186" i="32"/>
  <c r="F342" i="32"/>
  <c r="F440" i="32"/>
  <c r="F204" i="32"/>
  <c r="F232" i="45"/>
  <c r="F267" i="32"/>
  <c r="F139" i="32"/>
  <c r="F415" i="32"/>
  <c r="F160" i="32"/>
  <c r="F125" i="32"/>
  <c r="F504" i="32"/>
  <c r="F26" i="32"/>
  <c r="F211" i="32"/>
  <c r="F32" i="32"/>
  <c r="F371" i="32"/>
  <c r="F465" i="32"/>
  <c r="F389" i="32"/>
  <c r="F474" i="32"/>
  <c r="F175" i="32"/>
  <c r="F116" i="32"/>
  <c r="F384" i="32"/>
  <c r="F443" i="32"/>
  <c r="F282" i="32"/>
  <c r="F281" i="32"/>
  <c r="F383" i="32"/>
  <c r="F289" i="32"/>
  <c r="F317" i="32"/>
  <c r="F136" i="32"/>
  <c r="F297" i="32"/>
  <c r="F523" i="32"/>
  <c r="F201" i="32"/>
  <c r="F518" i="32"/>
  <c r="F350" i="32"/>
  <c r="F209" i="32"/>
  <c r="F404" i="32"/>
  <c r="F373" i="32"/>
  <c r="F261" i="32"/>
  <c r="F252" i="32"/>
  <c r="F171" i="32"/>
  <c r="F172" i="32"/>
  <c r="F63" i="32"/>
  <c r="F513" i="32"/>
  <c r="F223" i="32"/>
  <c r="F459" i="32"/>
  <c r="F392" i="32"/>
  <c r="F28" i="32"/>
  <c r="F423" i="32"/>
  <c r="F528" i="32"/>
  <c r="F95" i="32"/>
  <c r="F501" i="32"/>
  <c r="F156" i="32"/>
  <c r="F334" i="32"/>
  <c r="F400" i="32"/>
  <c r="F370" i="32"/>
  <c r="F335" i="32"/>
  <c r="F149" i="32"/>
  <c r="F303" i="32"/>
  <c r="F164" i="32"/>
  <c r="F145" i="32"/>
  <c r="F411" i="32"/>
  <c r="F329" i="32"/>
  <c r="F333" i="32"/>
  <c r="F366" i="32"/>
  <c r="F82" i="32"/>
  <c r="F463" i="32"/>
  <c r="F170" i="32"/>
  <c r="F442" i="32"/>
  <c r="F140" i="32"/>
  <c r="F61" i="32"/>
  <c r="F83" i="32"/>
  <c r="F386" i="32"/>
  <c r="F177" i="32"/>
  <c r="F195" i="32"/>
  <c r="F238" i="32"/>
  <c r="F8" i="32"/>
  <c r="F247" i="32"/>
  <c r="F381" i="32"/>
  <c r="F522" i="32"/>
  <c r="F119" i="32"/>
  <c r="F138" i="32"/>
  <c r="F517" i="32"/>
  <c r="F243" i="32"/>
  <c r="F368" i="32"/>
  <c r="F439" i="32"/>
  <c r="F270" i="32"/>
  <c r="F73" i="32"/>
  <c r="F393" i="32"/>
  <c r="F413" i="32"/>
  <c r="F382" i="32"/>
  <c r="F365" i="32"/>
  <c r="F9" i="32"/>
  <c r="F144" i="32"/>
  <c r="F162" i="32"/>
  <c r="F468" i="32"/>
  <c r="F430" i="32"/>
  <c r="F438" i="32"/>
  <c r="F192" i="32"/>
  <c r="F361" i="32"/>
  <c r="F441" i="32"/>
  <c r="F13" i="32"/>
  <c r="F426" i="32"/>
  <c r="F287" i="32"/>
  <c r="F466" i="32"/>
  <c r="F142" i="32"/>
  <c r="F42" i="32"/>
  <c r="F180" i="32"/>
  <c r="F360" i="32"/>
  <c r="F429" i="32"/>
  <c r="F54" i="32"/>
  <c r="F327" i="32"/>
  <c r="F326" i="32"/>
  <c r="F293" i="32"/>
  <c r="F316" i="32"/>
  <c r="F340" i="32"/>
  <c r="F351" i="32"/>
  <c r="F176" i="32"/>
  <c r="F46" i="32"/>
  <c r="F299" i="32"/>
  <c r="F240" i="32"/>
  <c r="F128" i="32"/>
  <c r="F290" i="32"/>
  <c r="F489" i="32"/>
  <c r="F112" i="32"/>
  <c r="F485" i="32"/>
  <c r="F330" i="32"/>
  <c r="F432" i="32"/>
  <c r="F234" i="32"/>
  <c r="F388" i="32"/>
  <c r="F130" i="32"/>
  <c r="F323" i="32"/>
  <c r="F491" i="32"/>
  <c r="F379" i="32"/>
  <c r="F6" i="32"/>
  <c r="F227" i="32"/>
  <c r="F98" i="32"/>
  <c r="F349" i="32"/>
  <c r="F301" i="32"/>
  <c r="F64" i="45"/>
  <c r="F297" i="45"/>
  <c r="F186" i="30"/>
  <c r="F421" i="32"/>
  <c r="F324" i="32"/>
  <c r="F202" i="32"/>
  <c r="F202" i="45"/>
  <c r="F7" i="45"/>
  <c r="F335" i="30"/>
  <c r="F344" i="31"/>
  <c r="F286" i="31"/>
  <c r="F208" i="45"/>
  <c r="F197" i="31"/>
  <c r="F317" i="45"/>
  <c r="F68" i="30"/>
  <c r="F87" i="31"/>
  <c r="F148" i="32"/>
  <c r="F29" i="31"/>
  <c r="F255" i="31"/>
  <c r="F121" i="32"/>
  <c r="F46" i="31"/>
  <c r="F268" i="31"/>
  <c r="F328" i="30"/>
  <c r="F238" i="31"/>
  <c r="F395" i="30"/>
  <c r="F213" i="45"/>
  <c r="F191" i="30"/>
  <c r="F172" i="30"/>
  <c r="F271" i="45"/>
  <c r="F212" i="31"/>
  <c r="F171" i="45"/>
  <c r="F478" i="32"/>
  <c r="F118" i="45"/>
  <c r="F214" i="45"/>
  <c r="F131" i="31"/>
  <c r="F92" i="30"/>
  <c r="F257" i="32"/>
  <c r="F288" i="31"/>
  <c r="F135" i="31"/>
  <c r="F94" i="45"/>
  <c r="F164" i="31"/>
  <c r="F321" i="31"/>
  <c r="F312" i="45"/>
  <c r="F443" i="30"/>
  <c r="F433" i="30"/>
  <c r="F203" i="31"/>
  <c r="F250" i="30"/>
  <c r="F223" i="31"/>
  <c r="F269" i="30"/>
  <c r="F228" i="30"/>
  <c r="F359" i="30"/>
  <c r="F87" i="30"/>
  <c r="F253" i="30"/>
  <c r="F260" i="30"/>
  <c r="F189" i="30"/>
  <c r="F295" i="30"/>
  <c r="F316" i="30"/>
  <c r="F221" i="30"/>
  <c r="F63" i="30"/>
  <c r="F240" i="30"/>
  <c r="F296" i="30"/>
  <c r="F192" i="30"/>
  <c r="F66" i="30"/>
  <c r="F348" i="30"/>
  <c r="F305" i="30"/>
  <c r="F156" i="30"/>
  <c r="F177" i="30"/>
  <c r="F259" i="30"/>
  <c r="F195" i="30"/>
  <c r="F218" i="30"/>
  <c r="F26" i="30"/>
  <c r="F45" i="30"/>
  <c r="F263" i="30"/>
  <c r="F184" i="30"/>
  <c r="F179" i="30"/>
  <c r="F105" i="30"/>
  <c r="F310" i="30"/>
  <c r="F447" i="30"/>
  <c r="F400" i="30"/>
  <c r="F96" i="30"/>
  <c r="F119" i="30"/>
  <c r="F234" i="30"/>
  <c r="F304" i="30"/>
  <c r="F25" i="30"/>
  <c r="F330" i="30"/>
  <c r="F94" i="30"/>
  <c r="F336" i="30"/>
  <c r="F49" i="30"/>
  <c r="F202" i="30"/>
  <c r="F281" i="30"/>
  <c r="F397" i="30"/>
  <c r="F313" i="30"/>
  <c r="F300" i="30"/>
  <c r="F377" i="30"/>
  <c r="F134" i="30"/>
  <c r="F306" i="30"/>
  <c r="F393" i="30"/>
  <c r="F408" i="30"/>
  <c r="F255" i="30"/>
  <c r="F458" i="30"/>
  <c r="F360" i="30"/>
  <c r="F455" i="30"/>
  <c r="F366" i="30"/>
  <c r="F34" i="30"/>
  <c r="F51" i="30"/>
  <c r="F107" i="30"/>
  <c r="F22" i="30"/>
  <c r="F168" i="30"/>
  <c r="F327" i="30"/>
  <c r="F208" i="30"/>
  <c r="F181" i="30"/>
  <c r="F396" i="30"/>
  <c r="F427" i="30"/>
  <c r="F419" i="30"/>
  <c r="F116" i="30"/>
  <c r="F449" i="30"/>
  <c r="F162" i="30"/>
  <c r="F416" i="30"/>
  <c r="F78" i="30"/>
  <c r="F203" i="30"/>
  <c r="F211" i="30"/>
  <c r="F435" i="30"/>
  <c r="F101" i="30"/>
  <c r="F342" i="30"/>
  <c r="F114" i="30"/>
  <c r="F448" i="30"/>
  <c r="F106" i="30"/>
  <c r="F297" i="30"/>
  <c r="F3" i="30"/>
  <c r="F131" i="30"/>
  <c r="F142" i="30"/>
  <c r="F347" i="30"/>
  <c r="F214" i="30"/>
  <c r="F124" i="30"/>
  <c r="F227" i="30"/>
  <c r="F265" i="30"/>
  <c r="F346" i="30"/>
  <c r="F154" i="30"/>
  <c r="F389" i="30"/>
  <c r="F339" i="30"/>
  <c r="F201" i="30"/>
  <c r="F14" i="30"/>
  <c r="F354" i="30"/>
  <c r="F457" i="30"/>
  <c r="F368" i="30"/>
  <c r="F380" i="30"/>
  <c r="F376" i="30"/>
  <c r="F173" i="30"/>
  <c r="F317" i="30"/>
  <c r="F136" i="30"/>
  <c r="F246" i="30"/>
  <c r="F232" i="30"/>
  <c r="F373" i="30"/>
  <c r="F30" i="30"/>
  <c r="F117" i="30"/>
  <c r="F226" i="45"/>
  <c r="F385" i="32"/>
  <c r="F500" i="32"/>
  <c r="F424" i="32"/>
  <c r="F6" i="45"/>
  <c r="F331" i="30"/>
  <c r="F328" i="31"/>
  <c r="F152" i="32"/>
  <c r="F258" i="45"/>
  <c r="F155" i="30"/>
  <c r="F260" i="45"/>
  <c r="F182" i="30"/>
  <c r="F170" i="30"/>
  <c r="F280" i="31"/>
  <c r="F263" i="31"/>
  <c r="F109" i="45"/>
  <c r="F52" i="45"/>
  <c r="F122" i="31"/>
  <c r="F343" i="31"/>
  <c r="F289" i="45"/>
  <c r="F82" i="30"/>
  <c r="F175" i="31"/>
  <c r="F422" i="32"/>
  <c r="F286" i="32"/>
  <c r="F277" i="45"/>
  <c r="F383" i="30"/>
  <c r="F417" i="30"/>
  <c r="F283" i="31"/>
  <c r="F65" i="30"/>
  <c r="F14" i="45"/>
  <c r="F100" i="30"/>
  <c r="F151" i="30"/>
  <c r="F418" i="30"/>
  <c r="F164" i="30"/>
  <c r="F154" i="32"/>
  <c r="F307" i="30"/>
  <c r="F320" i="32"/>
  <c r="F206" i="30"/>
  <c r="F167" i="30"/>
  <c r="F141" i="45"/>
  <c r="F202" i="31"/>
  <c r="F276" i="30"/>
  <c r="F214" i="31"/>
  <c r="F106" i="45"/>
  <c r="F446" i="32"/>
  <c r="F151" i="45"/>
  <c r="F78" i="31"/>
  <c r="F277" i="31"/>
  <c r="F369" i="30"/>
  <c r="F63" i="45"/>
  <c r="F295" i="45"/>
  <c r="F84" i="31"/>
  <c r="F94" i="31"/>
  <c r="F137" i="31"/>
  <c r="F129" i="32"/>
  <c r="F410" i="32"/>
  <c r="F32" i="30"/>
  <c r="F310" i="31"/>
  <c r="F205" i="45"/>
  <c r="F253" i="45"/>
  <c r="F66" i="45"/>
  <c r="F268" i="45"/>
  <c r="F132" i="45"/>
  <c r="F155" i="45"/>
  <c r="F85" i="45"/>
  <c r="F128" i="45"/>
  <c r="F60" i="45"/>
  <c r="F92" i="45"/>
  <c r="F175" i="45"/>
  <c r="F138" i="45"/>
  <c r="F306" i="45"/>
  <c r="F72" i="45"/>
  <c r="F215" i="45"/>
  <c r="F300" i="45"/>
  <c r="F252" i="45"/>
  <c r="F172" i="45"/>
  <c r="F125" i="45"/>
  <c r="F34" i="45"/>
  <c r="F227" i="45"/>
  <c r="F4" i="45"/>
  <c r="F255" i="45"/>
  <c r="F291" i="45"/>
  <c r="F51" i="45"/>
  <c r="F116" i="45"/>
  <c r="F302" i="45"/>
  <c r="F229" i="45"/>
  <c r="F166" i="45"/>
  <c r="F313" i="45"/>
  <c r="F28" i="45"/>
  <c r="F135" i="45"/>
  <c r="F193" i="45"/>
  <c r="F239" i="45"/>
  <c r="F95" i="45"/>
  <c r="F245" i="45"/>
  <c r="F146" i="45"/>
  <c r="F74" i="45"/>
  <c r="F110" i="45"/>
  <c r="F145" i="45"/>
  <c r="F22" i="45"/>
  <c r="F48" i="45"/>
  <c r="F39" i="45"/>
  <c r="F200" i="45"/>
  <c r="F216" i="45"/>
  <c r="F222" i="45"/>
  <c r="F323" i="45"/>
  <c r="F264" i="45"/>
  <c r="F287" i="45"/>
  <c r="F234" i="45"/>
  <c r="F316" i="45"/>
  <c r="F184" i="45"/>
  <c r="F67" i="45"/>
  <c r="F250" i="45"/>
  <c r="F294" i="45"/>
  <c r="F267" i="45"/>
  <c r="F279" i="45"/>
  <c r="F3" i="45"/>
  <c r="F244" i="45"/>
  <c r="F168" i="45"/>
  <c r="F127" i="45"/>
  <c r="F59" i="45"/>
  <c r="F314" i="45"/>
  <c r="F185" i="45"/>
  <c r="F358" i="30"/>
  <c r="F349" i="31"/>
  <c r="F499" i="32"/>
  <c r="F114" i="32"/>
  <c r="F458" i="32"/>
  <c r="F162" i="45"/>
  <c r="F263" i="45"/>
  <c r="F163" i="31"/>
  <c r="F435" i="32"/>
  <c r="F308" i="31"/>
  <c r="F532" i="32"/>
  <c r="F269" i="32"/>
  <c r="F249" i="31"/>
  <c r="F197" i="45"/>
  <c r="F296" i="45"/>
  <c r="F246" i="45"/>
  <c r="F323" i="30"/>
  <c r="F331" i="31"/>
  <c r="F75" i="45"/>
  <c r="F331" i="32"/>
  <c r="F105" i="32"/>
  <c r="F36" i="30"/>
  <c r="F206" i="32"/>
  <c r="F37" i="45"/>
  <c r="F159" i="30"/>
  <c r="F243" i="30"/>
  <c r="F266" i="31"/>
  <c r="F257" i="30"/>
  <c r="F420" i="30"/>
  <c r="F221" i="31"/>
  <c r="F276" i="31"/>
  <c r="F405" i="30"/>
  <c r="F134" i="45"/>
  <c r="F178" i="31"/>
  <c r="F104" i="31"/>
  <c r="F498" i="32"/>
  <c r="F43" i="45"/>
  <c r="F274" i="30"/>
  <c r="F434" i="32"/>
  <c r="F191" i="31"/>
  <c r="F492" i="32"/>
  <c r="F415" i="30"/>
  <c r="F398" i="30"/>
  <c r="F18" i="45"/>
  <c r="F298" i="32"/>
  <c r="F210" i="31"/>
  <c r="F329" i="30"/>
  <c r="F381" i="30"/>
  <c r="F97" i="30"/>
  <c r="F341" i="31"/>
  <c r="F200" i="30"/>
  <c r="F97" i="31"/>
  <c r="F201" i="45"/>
  <c r="F215" i="30"/>
  <c r="F107" i="45"/>
  <c r="F30" i="31"/>
  <c r="F315" i="30"/>
  <c r="F382" i="30"/>
  <c r="F143" i="30"/>
  <c r="F53" i="31"/>
  <c r="F114" i="45"/>
  <c r="F266" i="30"/>
  <c r="F280" i="30"/>
  <c r="F363" i="30"/>
  <c r="F249" i="30"/>
  <c r="F345" i="30"/>
  <c r="F121" i="45"/>
  <c r="F144" i="31"/>
  <c r="F486" i="32"/>
  <c r="F198" i="32"/>
  <c r="F142" i="31"/>
  <c r="F29" i="45"/>
  <c r="F176" i="30"/>
  <c r="F248" i="45"/>
  <c r="F341" i="30"/>
  <c r="F241" i="31"/>
  <c r="F262" i="45"/>
  <c r="F305" i="45"/>
  <c r="F193" i="31"/>
  <c r="F273" i="30"/>
  <c r="F13" i="45"/>
  <c r="F215" i="31"/>
  <c r="F461" i="30"/>
  <c r="F125" i="31"/>
  <c r="F83" i="45"/>
  <c r="F189" i="31"/>
  <c r="F265" i="45"/>
  <c r="F374" i="30"/>
  <c r="F196" i="30"/>
  <c r="F309" i="32"/>
  <c r="F322" i="30"/>
  <c r="F425" i="32"/>
  <c r="F233" i="31"/>
  <c r="F325" i="45"/>
  <c r="F46" i="45"/>
  <c r="F270" i="45"/>
  <c r="F457" i="32"/>
  <c r="F534" i="32"/>
  <c r="F302" i="32"/>
  <c r="F275" i="45"/>
  <c r="F536" i="32"/>
  <c r="F375" i="32"/>
  <c r="F470" i="32"/>
  <c r="F26" i="45"/>
  <c r="F183" i="30"/>
  <c r="F12" i="45"/>
  <c r="F446" i="30"/>
  <c r="F79" i="30"/>
  <c r="F304" i="31"/>
  <c r="F5" i="45"/>
  <c r="F175" i="30"/>
  <c r="F303" i="30"/>
  <c r="F351" i="30"/>
  <c r="F414" i="30"/>
  <c r="F314" i="30"/>
  <c r="F407" i="30"/>
  <c r="F76" i="31"/>
  <c r="F187" i="30"/>
  <c r="F229" i="30"/>
  <c r="F36" i="45"/>
  <c r="F15" i="45"/>
  <c r="F65" i="31"/>
  <c r="F344" i="30"/>
  <c r="F113" i="31"/>
  <c r="F257" i="45"/>
  <c r="F59" i="32"/>
  <c r="F397" i="32"/>
  <c r="F108" i="32"/>
  <c r="F471" i="32"/>
  <c r="F313" i="32"/>
  <c r="F132" i="30"/>
  <c r="F177" i="45"/>
  <c r="F169" i="30"/>
  <c r="F93" i="30"/>
  <c r="F243" i="45"/>
  <c r="F303" i="31"/>
  <c r="F240" i="31"/>
  <c r="F165" i="31"/>
  <c r="F102" i="31"/>
  <c r="F158" i="30"/>
  <c r="F194" i="30"/>
  <c r="F437" i="30"/>
  <c r="F56" i="30"/>
  <c r="F413" i="30"/>
  <c r="F333" i="30"/>
  <c r="F287" i="30"/>
  <c r="F157" i="45"/>
  <c r="F2" i="45"/>
  <c r="F93" i="45"/>
  <c r="F77" i="31"/>
  <c r="F203" i="32"/>
  <c r="F378" i="30"/>
  <c r="F412" i="30"/>
  <c r="F219" i="45"/>
  <c r="F269" i="45"/>
  <c r="F218" i="45"/>
  <c r="F159" i="45"/>
  <c r="F436" i="30"/>
  <c r="F130" i="30"/>
  <c r="F76" i="45"/>
  <c r="F69" i="45"/>
  <c r="F207" i="30"/>
  <c r="F63" i="31"/>
  <c r="F142" i="45"/>
  <c r="F10" i="45"/>
  <c r="F294" i="30"/>
  <c r="F385" i="30"/>
  <c r="F473" i="32"/>
  <c r="F490" i="32"/>
  <c r="F514" i="32"/>
  <c r="F314" i="32"/>
  <c r="F348" i="32"/>
  <c r="F196" i="32"/>
  <c r="F122" i="32"/>
  <c r="F127" i="32"/>
  <c r="F284" i="32"/>
  <c r="F174" i="32"/>
  <c r="F11" i="32"/>
  <c r="F433" i="32"/>
  <c r="F27" i="32"/>
  <c r="F41" i="45"/>
  <c r="F30" i="45"/>
  <c r="F223" i="45"/>
  <c r="F357" i="30"/>
  <c r="F355" i="30"/>
  <c r="F25" i="45"/>
  <c r="F356" i="30"/>
  <c r="F144" i="30"/>
  <c r="F223" i="30"/>
  <c r="F298" i="31"/>
  <c r="F332" i="31"/>
  <c r="F92" i="31"/>
  <c r="F102" i="45"/>
  <c r="F86" i="30"/>
  <c r="F24" i="31"/>
  <c r="F320" i="30"/>
  <c r="F37" i="30"/>
  <c r="F126" i="32"/>
  <c r="F520" i="32"/>
  <c r="F198" i="30"/>
  <c r="F231" i="30"/>
  <c r="F242" i="31"/>
  <c r="F319" i="30"/>
  <c r="F311" i="45"/>
  <c r="F379" i="30"/>
  <c r="F325" i="30"/>
  <c r="F450" i="30"/>
  <c r="F406" i="30"/>
  <c r="F246" i="31"/>
  <c r="F294" i="32"/>
  <c r="F181" i="45"/>
  <c r="F171" i="31"/>
  <c r="F220" i="45"/>
  <c r="F337" i="31"/>
  <c r="F74" i="31"/>
  <c r="F318" i="31"/>
  <c r="F288" i="30"/>
  <c r="F469" i="32"/>
  <c r="F289" i="31"/>
  <c r="F33" i="32"/>
  <c r="F225" i="32"/>
  <c r="F143" i="32"/>
  <c r="F33" i="31"/>
  <c r="F251" i="30"/>
  <c r="F180" i="30"/>
  <c r="F216" i="30"/>
  <c r="F118" i="30"/>
  <c r="F55" i="45"/>
  <c r="F146" i="32"/>
  <c r="F62" i="45"/>
  <c r="F451" i="32"/>
  <c r="F405" i="32"/>
  <c r="F412" i="32"/>
  <c r="F120" i="30"/>
  <c r="F61" i="30"/>
  <c r="F19" i="30"/>
  <c r="F211" i="45"/>
  <c r="F120" i="45"/>
  <c r="F29" i="32"/>
  <c r="F421" i="30"/>
  <c r="F104" i="45"/>
  <c r="F339" i="32"/>
  <c r="F359" i="32"/>
  <c r="F341" i="32"/>
  <c r="F319" i="32"/>
  <c r="F444" i="32"/>
  <c r="F101" i="31"/>
  <c r="F90" i="32"/>
  <c r="F224" i="32"/>
  <c r="F307" i="32"/>
  <c r="F372" i="32"/>
  <c r="F23" i="32"/>
  <c r="F222" i="30"/>
  <c r="F115" i="32"/>
  <c r="F451" i="30"/>
  <c r="F190" i="45"/>
  <c r="F124" i="45"/>
  <c r="F326" i="30"/>
  <c r="F31" i="32"/>
  <c r="F211" i="31"/>
  <c r="F488" i="32"/>
  <c r="F495" i="32"/>
  <c r="F284" i="45"/>
  <c r="F337" i="32"/>
  <c r="F253" i="32"/>
  <c r="F440" i="30"/>
  <c r="F229" i="31"/>
  <c r="F91" i="45"/>
  <c r="F52" i="30"/>
  <c r="F283" i="32"/>
  <c r="F467" i="32"/>
  <c r="F127" i="30"/>
  <c r="F399" i="30"/>
  <c r="F371" i="30"/>
  <c r="F33" i="45"/>
  <c r="F82" i="45"/>
  <c r="F525" i="32"/>
  <c r="F436" i="32"/>
  <c r="F418" i="32"/>
  <c r="F315" i="31"/>
  <c r="F306" i="31"/>
  <c r="F258" i="30"/>
  <c r="F438" i="30"/>
  <c r="F362" i="30"/>
  <c r="F277" i="30"/>
  <c r="F265" i="31"/>
  <c r="F292" i="45"/>
  <c r="F152" i="45"/>
  <c r="F148" i="31"/>
  <c r="F209" i="45"/>
  <c r="F228" i="45"/>
  <c r="F13" i="30"/>
  <c r="F269" i="31"/>
  <c r="F59" i="31"/>
  <c r="F242" i="30"/>
  <c r="F540" i="32"/>
  <c r="F305" i="32"/>
  <c r="F207" i="32"/>
  <c r="F318" i="32"/>
  <c r="F414" i="32"/>
  <c r="F85" i="32"/>
  <c r="F133" i="32"/>
  <c r="F178" i="30"/>
  <c r="F336" i="32"/>
  <c r="F87" i="45"/>
  <c r="F90" i="30"/>
  <c r="F348" i="31"/>
  <c r="F95" i="31"/>
  <c r="F108" i="31"/>
  <c r="F169" i="31"/>
  <c r="F184" i="31"/>
  <c r="F307" i="31"/>
  <c r="F216" i="31"/>
  <c r="F325" i="31"/>
  <c r="F295" i="31"/>
  <c r="F231" i="31"/>
  <c r="F126" i="31"/>
  <c r="F7" i="31"/>
  <c r="F208" i="31"/>
  <c r="F160" i="31"/>
  <c r="F316" i="31"/>
  <c r="F130" i="31"/>
  <c r="F199" i="31"/>
  <c r="F145" i="31"/>
  <c r="F244" i="30"/>
  <c r="F245" i="30"/>
  <c r="F375" i="30"/>
  <c r="F301" i="30"/>
  <c r="F425" i="30"/>
  <c r="F193" i="30"/>
  <c r="F55" i="30"/>
  <c r="F28" i="30"/>
  <c r="F148" i="30"/>
  <c r="F403" i="30"/>
  <c r="F125" i="30"/>
  <c r="F429" i="30"/>
  <c r="F248" i="30"/>
  <c r="F401" i="30"/>
  <c r="F278" i="30"/>
  <c r="F224" i="30"/>
  <c r="F205" i="30"/>
  <c r="F305" i="31"/>
  <c r="F100" i="45"/>
  <c r="F179" i="45"/>
  <c r="F49" i="45"/>
  <c r="F203" i="45"/>
  <c r="F254" i="45"/>
  <c r="F103" i="45"/>
  <c r="F224" i="31"/>
  <c r="F249" i="32"/>
  <c r="F187" i="45"/>
  <c r="F230" i="32"/>
  <c r="F50" i="45"/>
  <c r="F493" i="32"/>
  <c r="F226" i="32"/>
  <c r="F526" i="32"/>
  <c r="F163" i="32"/>
  <c r="F112" i="45"/>
  <c r="F89" i="30"/>
  <c r="F225" i="31"/>
  <c r="F137" i="45"/>
  <c r="F190" i="30"/>
  <c r="F126" i="45"/>
  <c r="F3" i="32"/>
  <c r="F322" i="32"/>
  <c r="F69" i="32"/>
  <c r="F306" i="32"/>
  <c r="F251" i="32"/>
  <c r="F213" i="32"/>
  <c r="F146" i="30"/>
  <c r="F266" i="45"/>
  <c r="F123" i="45"/>
  <c r="F111" i="32"/>
  <c r="F403" i="32"/>
  <c r="F502" i="32"/>
  <c r="F81" i="31"/>
  <c r="F48" i="30"/>
  <c r="F188" i="30"/>
  <c r="F217" i="30"/>
  <c r="F62" i="32"/>
  <c r="F235" i="30"/>
  <c r="F456" i="30"/>
  <c r="F149" i="30"/>
  <c r="F174" i="30"/>
  <c r="F74" i="32"/>
  <c r="F51" i="32"/>
  <c r="F308" i="45"/>
  <c r="F138" i="31"/>
  <c r="F218" i="31"/>
  <c r="F53" i="45"/>
  <c r="F281" i="45"/>
  <c r="F285" i="32"/>
  <c r="F99" i="32"/>
  <c r="F16" i="32"/>
  <c r="F222" i="32"/>
  <c r="F315" i="32"/>
  <c r="F148" i="45"/>
  <c r="F236" i="31"/>
  <c r="F84" i="32"/>
  <c r="F140" i="31"/>
  <c r="F137" i="30"/>
  <c r="F57" i="32"/>
  <c r="F369" i="32"/>
  <c r="F65" i="32"/>
  <c r="F259" i="32"/>
  <c r="F265" i="32"/>
  <c r="F453" i="32"/>
  <c r="F462" i="30"/>
  <c r="F47" i="45"/>
  <c r="F118" i="32"/>
  <c r="F53" i="32"/>
  <c r="F409" i="32"/>
  <c r="F481" i="32"/>
  <c r="F81" i="32"/>
  <c r="F475" i="32"/>
  <c r="F291" i="32"/>
  <c r="F61" i="45"/>
  <c r="F288" i="45"/>
  <c r="F279" i="32"/>
  <c r="F104" i="32"/>
  <c r="F529" i="32"/>
  <c r="F245" i="32"/>
  <c r="F456" i="32"/>
  <c r="F178" i="45"/>
  <c r="F345" i="31"/>
  <c r="F139" i="45"/>
  <c r="F130" i="45"/>
  <c r="F105" i="45"/>
  <c r="F150" i="32"/>
  <c r="F161" i="31"/>
  <c r="F281" i="31"/>
  <c r="F335" i="31"/>
  <c r="F50" i="32"/>
  <c r="F496" i="32"/>
  <c r="F452" i="32"/>
  <c r="F87" i="32"/>
  <c r="F321" i="45"/>
  <c r="F100" i="32"/>
  <c r="F275" i="32"/>
  <c r="F123" i="32"/>
  <c r="F299" i="45"/>
  <c r="F299" i="30"/>
  <c r="F170" i="31"/>
  <c r="F479" i="32"/>
  <c r="F252" i="30"/>
  <c r="F354" i="32"/>
  <c r="F5" i="32"/>
  <c r="F97" i="32"/>
  <c r="F258" i="32"/>
  <c r="F264" i="32"/>
  <c r="F322" i="45"/>
  <c r="F370" i="30"/>
  <c r="F144" i="45"/>
  <c r="F188" i="45"/>
  <c r="F209" i="31"/>
  <c r="F298" i="30"/>
  <c r="F225" i="45"/>
  <c r="F230" i="45"/>
  <c r="F75" i="30"/>
  <c r="F164" i="45"/>
  <c r="F233" i="32"/>
  <c r="F511" i="32"/>
  <c r="F20" i="32"/>
  <c r="F77" i="32"/>
  <c r="F539" i="32"/>
  <c r="F338" i="32"/>
  <c r="F272" i="45"/>
  <c r="F147" i="31"/>
  <c r="F278" i="45"/>
  <c r="F198" i="45"/>
  <c r="F262" i="31"/>
  <c r="F293" i="45"/>
  <c r="F386" i="30"/>
  <c r="F170" i="45"/>
  <c r="F7" i="30"/>
  <c r="F28" i="31"/>
  <c r="F290" i="31"/>
  <c r="F252" i="31"/>
  <c r="F245" i="31"/>
  <c r="F109" i="31"/>
  <c r="F188" i="31"/>
  <c r="F195" i="31"/>
  <c r="F180" i="31"/>
  <c r="F234" i="31"/>
  <c r="F71" i="31"/>
  <c r="F274" i="31"/>
  <c r="F146" i="31"/>
  <c r="F154" i="31"/>
  <c r="F326" i="31"/>
  <c r="F83" i="31"/>
  <c r="F99" i="31"/>
  <c r="F80" i="31"/>
  <c r="F314" i="31"/>
  <c r="F88" i="31"/>
  <c r="F247" i="31"/>
  <c r="F342" i="31"/>
  <c r="F204" i="31"/>
  <c r="F93" i="31"/>
  <c r="F158" i="31"/>
  <c r="F237" i="31"/>
  <c r="F75" i="31"/>
  <c r="F44" i="31"/>
  <c r="F239" i="31"/>
  <c r="F261" i="31"/>
  <c r="F186" i="31"/>
  <c r="F43" i="31"/>
  <c r="F50" i="31"/>
  <c r="F259" i="31"/>
  <c r="F182" i="31"/>
  <c r="F260" i="31"/>
  <c r="F8" i="31"/>
  <c r="F34" i="31"/>
  <c r="F285" i="31"/>
  <c r="F320" i="31"/>
  <c r="F253" i="31"/>
  <c r="F244" i="31"/>
  <c r="F183" i="31"/>
  <c r="F49" i="31"/>
  <c r="F185" i="31"/>
  <c r="F47" i="31"/>
  <c r="F190" i="31"/>
  <c r="F220" i="31"/>
  <c r="F334" i="31"/>
  <c r="F279" i="31"/>
  <c r="F291" i="31"/>
  <c r="F54" i="31"/>
  <c r="F141" i="31"/>
  <c r="F22" i="31"/>
  <c r="F317" i="31"/>
  <c r="F292" i="31"/>
  <c r="F270" i="31"/>
  <c r="F312" i="31"/>
  <c r="F333" i="31"/>
  <c r="F151" i="31"/>
  <c r="F346" i="31"/>
  <c r="F324" i="31"/>
  <c r="F293" i="31"/>
  <c r="F267" i="31"/>
  <c r="F297" i="31"/>
  <c r="F313" i="31"/>
  <c r="F311" i="31"/>
  <c r="F153" i="31"/>
  <c r="F177" i="31"/>
  <c r="F68" i="31"/>
  <c r="F176" i="31"/>
  <c r="F172" i="31"/>
  <c r="F187" i="31"/>
  <c r="F173" i="31"/>
  <c r="F340" i="31"/>
  <c r="F156" i="31"/>
  <c r="F139" i="31"/>
  <c r="F32" i="31"/>
  <c r="F132" i="31"/>
  <c r="F17" i="31"/>
  <c r="F165" i="30"/>
  <c r="F298" i="45"/>
  <c r="F199" i="32"/>
  <c r="F26" i="31"/>
  <c r="F110" i="32"/>
  <c r="F483" i="32"/>
  <c r="F384" i="30"/>
  <c r="F152" i="30" l="1"/>
  <c r="F62" i="30"/>
  <c r="F60" i="30"/>
  <c r="F123" i="30"/>
  <c r="F141" i="30"/>
  <c r="F126" i="30"/>
  <c r="F293" i="30"/>
  <c r="F129" i="30"/>
  <c r="F109" i="30"/>
  <c r="F77" i="30"/>
  <c r="F270" i="30"/>
  <c r="F302" i="30"/>
  <c r="F73" i="30"/>
  <c r="F122" i="30"/>
  <c r="F220" i="30"/>
  <c r="F140" i="30"/>
  <c r="F71" i="30"/>
  <c r="F58" i="30"/>
  <c r="F241" i="30"/>
  <c r="F76" i="30"/>
  <c r="F69" i="30"/>
  <c r="F286" i="30"/>
  <c r="F91" i="30"/>
  <c r="F133" i="30"/>
  <c r="F57" i="30"/>
  <c r="F85" i="30"/>
  <c r="F135" i="30"/>
  <c r="F237" i="30"/>
  <c r="F226" i="30"/>
  <c r="F88" i="30"/>
  <c r="F321" i="30"/>
  <c r="F64" i="30"/>
  <c r="F157" i="30"/>
  <c r="F121" i="30"/>
  <c r="F324" i="30"/>
  <c r="B16" i="1" l="1"/>
  <c r="R15" i="3" s="1"/>
  <c r="B14" i="1"/>
  <c r="R93" i="4" s="1"/>
  <c r="B15" i="1"/>
  <c r="R29" i="2" s="1"/>
  <c r="B13" i="1"/>
  <c r="R24" i="5" s="1"/>
  <c r="R12" i="3"/>
  <c r="R115" i="3"/>
  <c r="R7" i="3"/>
  <c r="R59" i="3"/>
  <c r="R3" i="3"/>
  <c r="R45" i="3"/>
  <c r="R46" i="3"/>
  <c r="R85" i="3"/>
  <c r="Q11" i="3"/>
  <c r="R42" i="3"/>
  <c r="Q12" i="3"/>
  <c r="R49" i="3"/>
  <c r="R96" i="3"/>
  <c r="R90" i="3"/>
  <c r="R58" i="3"/>
  <c r="R98" i="3"/>
  <c r="R102" i="3"/>
  <c r="R63" i="3"/>
  <c r="R34" i="3"/>
  <c r="R67" i="3"/>
  <c r="R74" i="3"/>
  <c r="Q13" i="3"/>
  <c r="R82" i="3"/>
  <c r="R51" i="3"/>
  <c r="R86" i="3"/>
  <c r="R48" i="3"/>
  <c r="R77" i="3"/>
  <c r="R56" i="3"/>
  <c r="R35" i="3"/>
  <c r="R38" i="3"/>
  <c r="R11" i="3"/>
  <c r="Q9" i="3"/>
  <c r="R78" i="3"/>
  <c r="R94" i="3"/>
  <c r="R39" i="3"/>
  <c r="R87" i="3"/>
  <c r="Q14" i="3"/>
  <c r="R28" i="3"/>
  <c r="R99" i="3"/>
  <c r="R108" i="3"/>
  <c r="Q8" i="3"/>
  <c r="Q7" i="3"/>
  <c r="Q10" i="3"/>
  <c r="R100" i="3"/>
  <c r="R31" i="3"/>
  <c r="R53" i="3"/>
  <c r="R92" i="3"/>
  <c r="R5" i="3"/>
  <c r="R9" i="3"/>
  <c r="R71" i="3"/>
  <c r="Q6" i="3"/>
  <c r="R79" i="3"/>
  <c r="R84" i="3"/>
  <c r="R110" i="3"/>
  <c r="R29" i="3"/>
  <c r="R75" i="3"/>
  <c r="R6" i="3"/>
  <c r="R30" i="3"/>
  <c r="R14" i="3"/>
  <c r="R26" i="3"/>
  <c r="R93" i="3"/>
  <c r="R22" i="3"/>
  <c r="Q25" i="4"/>
  <c r="R44" i="4"/>
  <c r="R121" i="4"/>
  <c r="R200" i="4"/>
  <c r="R136" i="4"/>
  <c r="R84" i="4"/>
  <c r="R52" i="4"/>
  <c r="Q10" i="4"/>
  <c r="R19" i="4"/>
  <c r="R71" i="4"/>
  <c r="R157" i="4"/>
  <c r="R207" i="4"/>
  <c r="R8" i="4"/>
  <c r="R34" i="4"/>
  <c r="R105" i="4"/>
  <c r="R33" i="4"/>
  <c r="R6" i="4"/>
  <c r="R213" i="4"/>
  <c r="Q5" i="4"/>
  <c r="R11" i="4"/>
  <c r="Q17" i="4"/>
  <c r="R58" i="4"/>
  <c r="R96" i="4"/>
  <c r="R192" i="4"/>
  <c r="R146" i="4"/>
  <c r="R77" i="4"/>
  <c r="R210" i="4"/>
  <c r="R189" i="4"/>
  <c r="R161" i="4"/>
  <c r="R147" i="4"/>
  <c r="R203" i="4"/>
  <c r="R100" i="4"/>
  <c r="R133" i="4"/>
  <c r="R99" i="4"/>
  <c r="R188" i="4"/>
  <c r="Q22" i="4"/>
  <c r="R72" i="4"/>
  <c r="R13" i="4"/>
  <c r="Q7" i="4"/>
  <c r="R118" i="4"/>
  <c r="R152" i="4"/>
  <c r="R29" i="4"/>
  <c r="R168" i="4"/>
  <c r="R76" i="4"/>
  <c r="R197" i="4"/>
  <c r="R125" i="4"/>
  <c r="R88" i="4"/>
  <c r="R110" i="4"/>
  <c r="R174" i="4"/>
  <c r="R3" i="4"/>
  <c r="R131" i="4"/>
  <c r="R9" i="4"/>
  <c r="R119" i="4"/>
  <c r="R66" i="4"/>
  <c r="Q24" i="4"/>
  <c r="R141" i="4"/>
  <c r="R122" i="4"/>
  <c r="R195" i="4"/>
  <c r="R202" i="4"/>
  <c r="R124" i="4"/>
  <c r="R171" i="4"/>
  <c r="R198" i="4"/>
  <c r="R22" i="4"/>
  <c r="R12" i="4"/>
  <c r="R158" i="4"/>
  <c r="R172" i="4"/>
  <c r="R67" i="4"/>
  <c r="R155" i="4"/>
  <c r="R94" i="4"/>
  <c r="R70" i="4"/>
  <c r="R75" i="4"/>
  <c r="R74" i="4"/>
  <c r="Q12" i="4"/>
  <c r="R199" i="4"/>
  <c r="R159" i="4"/>
  <c r="R85" i="4"/>
  <c r="R163" i="4"/>
  <c r="R55" i="4"/>
  <c r="R107" i="4"/>
  <c r="R59" i="4"/>
  <c r="R148" i="4"/>
  <c r="R50" i="4"/>
  <c r="R112" i="4"/>
  <c r="R28" i="4"/>
  <c r="R21" i="4"/>
  <c r="R53" i="4"/>
  <c r="R142" i="4"/>
  <c r="R35" i="4"/>
  <c r="R17" i="4"/>
  <c r="R82" i="4"/>
  <c r="R206" i="4"/>
  <c r="R193" i="4"/>
  <c r="R120" i="4"/>
  <c r="R208" i="4"/>
  <c r="R154" i="4"/>
  <c r="R86" i="4"/>
  <c r="R153" i="4"/>
  <c r="R144" i="4"/>
  <c r="R63" i="4"/>
  <c r="R139" i="4"/>
  <c r="R103" i="4"/>
  <c r="R164" i="4"/>
  <c r="R129" i="4"/>
  <c r="Q16" i="4"/>
  <c r="R101" i="4"/>
  <c r="R194" i="4"/>
  <c r="R31" i="4"/>
  <c r="R151" i="4"/>
  <c r="Q18" i="4"/>
  <c r="R165" i="4"/>
  <c r="R36" i="4"/>
  <c r="R78" i="4"/>
  <c r="Q8" i="4"/>
  <c r="R56" i="4"/>
  <c r="R180" i="4"/>
  <c r="Q11" i="4"/>
  <c r="R134" i="4"/>
  <c r="Q26" i="4"/>
  <c r="R185" i="4"/>
  <c r="R37" i="4"/>
  <c r="R205" i="4"/>
  <c r="R97" i="4"/>
  <c r="R182" i="4"/>
  <c r="R87" i="4"/>
  <c r="R7" i="4"/>
  <c r="R54" i="4"/>
  <c r="R178" i="4"/>
  <c r="R15" i="4"/>
  <c r="R30" i="4"/>
  <c r="R160" i="4"/>
  <c r="R106" i="4"/>
  <c r="R211" i="4"/>
  <c r="R62" i="4"/>
  <c r="Q9" i="4"/>
  <c r="R81" i="4"/>
  <c r="Q13" i="4"/>
  <c r="R4" i="4"/>
  <c r="R135" i="4"/>
  <c r="R212" i="4"/>
  <c r="R91" i="4"/>
  <c r="R176" i="4"/>
  <c r="R42" i="4"/>
  <c r="Q6" i="4"/>
  <c r="R49" i="4"/>
  <c r="R18" i="4"/>
  <c r="R79" i="4"/>
  <c r="Q19" i="4"/>
  <c r="R51" i="4"/>
  <c r="R137" i="4"/>
  <c r="R57" i="4"/>
  <c r="Q4" i="4"/>
  <c r="R102" i="4"/>
  <c r="R190" i="4"/>
  <c r="R83" i="4"/>
  <c r="R32" i="4"/>
  <c r="R196" i="4"/>
  <c r="R111" i="4"/>
  <c r="R167" i="4"/>
  <c r="R23" i="4"/>
  <c r="R138" i="4"/>
  <c r="R26" i="4"/>
  <c r="R113" i="4"/>
  <c r="Q15" i="4"/>
  <c r="R65" i="4"/>
  <c r="R68" i="4"/>
  <c r="R48" i="4"/>
  <c r="R60" i="4"/>
  <c r="R40" i="4"/>
  <c r="R46" i="4"/>
  <c r="R24" i="4"/>
  <c r="R204" i="4"/>
  <c r="R20" i="4"/>
  <c r="Q3" i="4"/>
  <c r="R38" i="4"/>
  <c r="R130" i="4"/>
  <c r="Q20" i="4"/>
  <c r="R92" i="4"/>
  <c r="R25" i="4"/>
  <c r="R114" i="4"/>
  <c r="R143" i="4"/>
  <c r="R14" i="4"/>
  <c r="Q14" i="4"/>
  <c r="R123" i="4"/>
  <c r="R173" i="4"/>
  <c r="R109" i="4"/>
  <c r="R145" i="4"/>
  <c r="R61" i="4"/>
  <c r="R187" i="4"/>
  <c r="R39" i="4"/>
  <c r="R169" i="4"/>
  <c r="R150" i="4"/>
  <c r="R149" i="4"/>
  <c r="R175" i="4"/>
  <c r="R16" i="4"/>
  <c r="R10" i="4"/>
  <c r="R127" i="4"/>
  <c r="R90" i="4"/>
  <c r="R73" i="4"/>
  <c r="R47" i="4"/>
  <c r="R170" i="4"/>
  <c r="R181" i="4"/>
  <c r="R80" i="4"/>
  <c r="R179" i="4"/>
  <c r="R64" i="4"/>
  <c r="R177" i="4"/>
  <c r="R116" i="4"/>
  <c r="R117" i="4"/>
  <c r="R89" i="4"/>
  <c r="R115" i="4"/>
  <c r="R95" i="4"/>
  <c r="R5" i="4"/>
  <c r="R98" i="4"/>
  <c r="R166" i="4"/>
  <c r="R43" i="4"/>
  <c r="Q21" i="4"/>
  <c r="R191" i="4"/>
  <c r="R126" i="4"/>
  <c r="R104" i="4"/>
  <c r="R41" i="4"/>
  <c r="R140" i="4"/>
  <c r="R186" i="4"/>
  <c r="R201" i="4"/>
  <c r="R132" i="4"/>
  <c r="R27" i="4"/>
  <c r="Q23" i="4"/>
  <c r="R108" i="4"/>
  <c r="R128" i="4"/>
  <c r="R209" i="4"/>
  <c r="R69" i="4"/>
  <c r="R184" i="4"/>
  <c r="R162" i="4"/>
  <c r="R156" i="4"/>
  <c r="R45" i="4"/>
  <c r="R183" i="4"/>
  <c r="R79" i="2" l="1"/>
  <c r="R17" i="2"/>
  <c r="R9" i="2"/>
  <c r="R38" i="2"/>
  <c r="R40" i="2"/>
  <c r="R4" i="3"/>
  <c r="R113" i="3"/>
  <c r="R112" i="3"/>
  <c r="R25" i="3"/>
  <c r="R73" i="3"/>
  <c r="R64" i="3"/>
  <c r="R81" i="3"/>
  <c r="R76" i="3"/>
  <c r="R65" i="3"/>
  <c r="R41" i="3"/>
  <c r="Q4" i="3"/>
  <c r="R52" i="3"/>
  <c r="R68" i="3"/>
  <c r="R95" i="3"/>
  <c r="R105" i="3"/>
  <c r="R114" i="3"/>
  <c r="R23" i="3"/>
  <c r="R80" i="3"/>
  <c r="R69" i="3"/>
  <c r="R55" i="3"/>
  <c r="R13" i="3"/>
  <c r="R104" i="3"/>
  <c r="R88" i="3"/>
  <c r="R70" i="3"/>
  <c r="R89" i="3"/>
  <c r="R54" i="3"/>
  <c r="R109" i="3"/>
  <c r="R8" i="3"/>
  <c r="R36" i="3"/>
  <c r="R27" i="3"/>
  <c r="R24" i="3"/>
  <c r="R91" i="3"/>
  <c r="R20" i="3"/>
  <c r="R60" i="3"/>
  <c r="R43" i="3"/>
  <c r="R18" i="3"/>
  <c r="R16" i="3"/>
  <c r="R57" i="3"/>
  <c r="R19" i="3"/>
  <c r="Q3" i="3"/>
  <c r="R83" i="3"/>
  <c r="R61" i="3"/>
  <c r="R44" i="3"/>
  <c r="R10" i="3"/>
  <c r="R21" i="3"/>
  <c r="R17" i="3"/>
  <c r="R111" i="3"/>
  <c r="R40" i="3"/>
  <c r="R32" i="3"/>
  <c r="R101" i="3"/>
  <c r="R50" i="3"/>
  <c r="R66" i="3"/>
  <c r="R103" i="3"/>
  <c r="R72" i="3"/>
  <c r="R62" i="3"/>
  <c r="R37" i="3"/>
  <c r="R97" i="3"/>
  <c r="R33" i="3"/>
  <c r="R47" i="3"/>
  <c r="Q5" i="3"/>
  <c r="R107" i="3"/>
  <c r="R106" i="3"/>
  <c r="Q9" i="2"/>
  <c r="R33" i="2"/>
  <c r="R63" i="2"/>
  <c r="R48" i="2"/>
  <c r="Q8" i="2"/>
  <c r="R76" i="2"/>
  <c r="R74" i="2"/>
  <c r="R24" i="2"/>
  <c r="R70" i="2"/>
  <c r="R30" i="2"/>
  <c r="Q13" i="2"/>
  <c r="R68" i="2"/>
  <c r="R58" i="2"/>
  <c r="Q11" i="2"/>
  <c r="Q7" i="2"/>
  <c r="R21" i="2"/>
  <c r="Q5" i="2"/>
  <c r="R8" i="2"/>
  <c r="Q3" i="2"/>
  <c r="R25" i="2"/>
  <c r="R35" i="2"/>
  <c r="Q4" i="2"/>
  <c r="R54" i="2"/>
  <c r="R19" i="2"/>
  <c r="R37" i="2"/>
  <c r="R13" i="2"/>
  <c r="R49" i="2"/>
  <c r="Q14" i="2"/>
  <c r="R16" i="2"/>
  <c r="R69" i="2"/>
  <c r="R61" i="2"/>
  <c r="R59" i="2"/>
  <c r="R18" i="2"/>
  <c r="R39" i="2"/>
  <c r="R44" i="2"/>
  <c r="R45" i="2"/>
  <c r="R43" i="2"/>
  <c r="R62" i="2"/>
  <c r="Q6" i="2"/>
  <c r="R52" i="2"/>
  <c r="R34" i="2"/>
  <c r="R55" i="2"/>
  <c r="R31" i="2"/>
  <c r="R12" i="2"/>
  <c r="R3" i="2"/>
  <c r="R5" i="2"/>
  <c r="R60" i="2"/>
  <c r="R71" i="2"/>
  <c r="R27" i="2"/>
  <c r="R10" i="2"/>
  <c r="R51" i="2"/>
  <c r="R6" i="2"/>
  <c r="R56" i="2"/>
  <c r="R80" i="2"/>
  <c r="R72" i="2"/>
  <c r="R22" i="2"/>
  <c r="R66" i="2"/>
  <c r="R32" i="2"/>
  <c r="R47" i="2"/>
  <c r="R73" i="2"/>
  <c r="R26" i="2"/>
  <c r="R20" i="2"/>
  <c r="Q12" i="2"/>
  <c r="R7" i="2"/>
  <c r="R46" i="2"/>
  <c r="R77" i="2"/>
  <c r="R75" i="2"/>
  <c r="R53" i="2"/>
  <c r="R65" i="2"/>
  <c r="R41" i="2"/>
  <c r="R42" i="2"/>
  <c r="Q10" i="2"/>
  <c r="R50" i="2"/>
  <c r="R4" i="2"/>
  <c r="R67" i="2"/>
  <c r="R14" i="2"/>
  <c r="R57" i="2"/>
  <c r="R28" i="2"/>
  <c r="R64" i="2"/>
  <c r="R11" i="2"/>
  <c r="R36" i="2"/>
  <c r="R81" i="2"/>
  <c r="R23" i="2"/>
  <c r="R15" i="2"/>
  <c r="R78" i="2"/>
  <c r="R19" i="5"/>
  <c r="R30" i="5"/>
  <c r="R138" i="5"/>
  <c r="Q18" i="5"/>
  <c r="R20" i="5"/>
  <c r="R13" i="5"/>
  <c r="R28" i="5"/>
  <c r="R66" i="5"/>
  <c r="R125" i="5"/>
  <c r="Q20" i="5"/>
  <c r="R72" i="5"/>
  <c r="R37" i="5"/>
  <c r="R86" i="5"/>
  <c r="R62" i="5"/>
  <c r="R15" i="5"/>
  <c r="R29" i="5"/>
  <c r="R93" i="5"/>
  <c r="Q26" i="5"/>
  <c r="R70" i="5"/>
  <c r="R38" i="5"/>
  <c r="R96" i="5"/>
  <c r="Q23" i="5"/>
  <c r="R55" i="5"/>
  <c r="R97" i="5"/>
  <c r="R7" i="5"/>
  <c r="R8" i="5"/>
  <c r="R23" i="5"/>
  <c r="R139" i="5"/>
  <c r="R131" i="5"/>
  <c r="R22" i="5"/>
  <c r="Q15" i="5"/>
  <c r="R109" i="5"/>
  <c r="R121" i="5"/>
  <c r="R132" i="5"/>
  <c r="Q22" i="5"/>
  <c r="R33" i="5"/>
  <c r="R16" i="5"/>
  <c r="B17" i="1"/>
  <c r="B20" i="1" s="1"/>
  <c r="Q46" i="5" s="1"/>
  <c r="R45" i="5"/>
  <c r="R53" i="5"/>
  <c r="R117" i="5"/>
  <c r="R64" i="5"/>
  <c r="R50" i="5"/>
  <c r="R39" i="5"/>
  <c r="R116" i="5"/>
  <c r="R27" i="5"/>
  <c r="Q11" i="5"/>
  <c r="R112" i="5"/>
  <c r="R3" i="5"/>
  <c r="R115" i="5"/>
  <c r="R35" i="5"/>
  <c r="R89" i="5"/>
  <c r="R41" i="5"/>
  <c r="Q9" i="5"/>
  <c r="Q5" i="5"/>
  <c r="R107" i="5"/>
  <c r="R4" i="5"/>
  <c r="R85" i="5"/>
  <c r="R68" i="5"/>
  <c r="Q4" i="5"/>
  <c r="Q24" i="5"/>
  <c r="R52" i="5"/>
  <c r="R56" i="5"/>
  <c r="R12" i="5"/>
  <c r="R57" i="5"/>
  <c r="R18" i="5"/>
  <c r="R36" i="5"/>
  <c r="R102" i="5"/>
  <c r="R95" i="5"/>
  <c r="R80" i="5"/>
  <c r="Q19" i="5"/>
  <c r="R76" i="5"/>
  <c r="R74" i="5"/>
  <c r="R113" i="5"/>
  <c r="R104" i="5"/>
  <c r="R61" i="5"/>
  <c r="R14" i="5"/>
  <c r="R79" i="5"/>
  <c r="Q16" i="5"/>
  <c r="R60" i="5"/>
  <c r="Q13" i="5"/>
  <c r="R81" i="5"/>
  <c r="R101" i="5"/>
  <c r="R26" i="5"/>
  <c r="R40" i="5"/>
  <c r="R134" i="5"/>
  <c r="R21" i="5"/>
  <c r="R88" i="5"/>
  <c r="R87" i="5"/>
  <c r="R17" i="5"/>
  <c r="R105" i="5"/>
  <c r="Q12" i="5"/>
  <c r="R135" i="5"/>
  <c r="R126" i="5"/>
  <c r="R75" i="5"/>
  <c r="Q17" i="5"/>
  <c r="R46" i="5"/>
  <c r="R69" i="5"/>
  <c r="R94" i="5"/>
  <c r="R124" i="5"/>
  <c r="R54" i="5"/>
  <c r="R123" i="5"/>
  <c r="R77" i="5"/>
  <c r="R59" i="5"/>
  <c r="R119" i="5"/>
  <c r="R120" i="5"/>
  <c r="R11" i="5"/>
  <c r="Q10" i="5"/>
  <c r="R122" i="5"/>
  <c r="R71" i="5"/>
  <c r="R137" i="5"/>
  <c r="R44" i="5"/>
  <c r="R32" i="5"/>
  <c r="R6" i="5"/>
  <c r="R83" i="5"/>
  <c r="R108" i="5"/>
  <c r="R99" i="5"/>
  <c r="R25" i="5"/>
  <c r="R103" i="5"/>
  <c r="R67" i="5"/>
  <c r="Q3" i="5"/>
  <c r="R90" i="5"/>
  <c r="Q14" i="5"/>
  <c r="Q8" i="5"/>
  <c r="R63" i="5"/>
  <c r="R34" i="5"/>
  <c r="R31" i="5"/>
  <c r="R9" i="5"/>
  <c r="Q21" i="5"/>
  <c r="R48" i="5"/>
  <c r="R91" i="5"/>
  <c r="R65" i="5"/>
  <c r="R49" i="5"/>
  <c r="R100" i="5"/>
  <c r="R58" i="5"/>
  <c r="R78" i="5"/>
  <c r="R110" i="5"/>
  <c r="R106" i="5"/>
  <c r="R114" i="5"/>
  <c r="Q6" i="5"/>
  <c r="R129" i="5"/>
  <c r="R128" i="5"/>
  <c r="R47" i="5"/>
  <c r="R5" i="5"/>
  <c r="R92" i="5"/>
  <c r="R118" i="5"/>
  <c r="R98" i="5"/>
  <c r="R73" i="5"/>
  <c r="R43" i="5"/>
  <c r="R51" i="5"/>
  <c r="R130" i="5"/>
  <c r="R133" i="5"/>
  <c r="R42" i="5"/>
  <c r="R136" i="5"/>
  <c r="R10" i="5"/>
  <c r="R127" i="5"/>
  <c r="Q7" i="5"/>
  <c r="R84" i="5"/>
  <c r="R111" i="5"/>
  <c r="R82" i="5"/>
  <c r="Q25" i="5"/>
  <c r="Q27" i="5"/>
  <c r="Q28" i="5"/>
  <c r="Q36" i="5"/>
  <c r="Q29" i="5"/>
  <c r="Q31" i="5"/>
  <c r="Q88" i="5"/>
  <c r="Q106" i="5"/>
  <c r="Q116" i="5"/>
  <c r="Q114" i="5"/>
  <c r="Q75" i="5"/>
  <c r="Q128" i="5"/>
  <c r="Q66" i="5"/>
  <c r="Q32" i="5"/>
  <c r="Q137" i="5"/>
  <c r="Q60" i="5"/>
  <c r="Q96" i="5"/>
  <c r="Q70" i="5"/>
  <c r="Q81" i="5"/>
  <c r="Q90" i="5"/>
  <c r="Q122" i="5"/>
  <c r="Q115" i="5"/>
  <c r="Q91" i="5"/>
  <c r="Q35" i="5"/>
  <c r="Q79" i="5"/>
  <c r="Q44" i="5"/>
  <c r="Q83" i="5"/>
  <c r="Q130" i="5"/>
  <c r="Q118" i="5"/>
  <c r="Q82" i="5"/>
  <c r="Q85" i="5"/>
  <c r="Q124" i="5"/>
  <c r="Q47" i="5"/>
  <c r="Q134" i="5"/>
  <c r="Q67" i="5"/>
  <c r="Q45" i="5"/>
  <c r="Q94" i="5"/>
  <c r="Q80" i="5"/>
  <c r="Q50" i="5"/>
  <c r="Q54" i="5"/>
  <c r="Q126" i="5"/>
  <c r="Q104" i="5"/>
  <c r="Q56" i="5"/>
  <c r="Q48" i="5"/>
  <c r="Q57" i="5"/>
  <c r="Q65" i="5"/>
  <c r="Q59" i="5"/>
  <c r="Q117" i="5"/>
  <c r="Q133" i="5"/>
  <c r="Q64" i="5"/>
  <c r="Q129" i="5"/>
  <c r="Q93" i="5"/>
  <c r="Q131" i="5"/>
  <c r="Q102" i="5"/>
  <c r="Q108" i="5"/>
  <c r="Q37" i="5"/>
  <c r="Q41" i="5"/>
  <c r="Q73" i="5"/>
  <c r="Q136" i="5"/>
  <c r="Q55" i="5"/>
  <c r="Q127" i="5"/>
  <c r="Q52" i="5"/>
  <c r="Q112" i="5"/>
  <c r="Q121" i="5"/>
  <c r="Q107" i="5"/>
  <c r="Q92" i="5"/>
  <c r="Q63" i="5"/>
  <c r="Q111" i="5"/>
  <c r="Q101" i="5"/>
  <c r="Q78" i="5"/>
  <c r="Q30" i="5"/>
  <c r="Q138" i="5"/>
  <c r="Q84" i="5"/>
  <c r="B3" i="1"/>
  <c r="S117" i="5" s="1"/>
  <c r="Q113" i="5"/>
  <c r="Q49" i="5"/>
  <c r="Q100" i="5"/>
  <c r="Q135" i="5"/>
  <c r="Q33" i="5"/>
  <c r="Q119" i="5"/>
  <c r="Q105" i="5"/>
  <c r="Q43" i="5"/>
  <c r="Q61" i="5"/>
  <c r="Q89" i="5"/>
  <c r="Q53" i="5"/>
  <c r="Q86" i="5"/>
  <c r="Q58" i="5"/>
  <c r="Q62" i="5"/>
  <c r="Q74" i="5"/>
  <c r="Q51" i="5"/>
  <c r="Q76" i="5"/>
  <c r="Q71" i="5"/>
  <c r="Q40" i="5"/>
  <c r="Q139" i="5"/>
  <c r="Q103" i="5"/>
  <c r="Q109" i="5"/>
  <c r="Q34" i="5"/>
  <c r="Q77" i="5"/>
  <c r="Q98" i="5"/>
  <c r="Q72" i="5"/>
  <c r="Q68" i="5"/>
  <c r="Q125" i="5"/>
  <c r="Q97" i="5"/>
  <c r="Q132" i="5"/>
  <c r="Q120" i="5"/>
  <c r="Q99" i="5"/>
  <c r="Q110" i="5"/>
  <c r="Q42" i="5"/>
  <c r="Q39" i="5"/>
  <c r="Q38" i="5"/>
  <c r="B23" i="1"/>
  <c r="B22" i="1"/>
  <c r="B21" i="1"/>
  <c r="Q87" i="5"/>
  <c r="Q123" i="5"/>
  <c r="Q69" i="5"/>
  <c r="Q95" i="5"/>
  <c r="S83" i="5"/>
  <c r="D12" i="1" l="1"/>
  <c r="Q30" i="4"/>
  <c r="Q31" i="4"/>
  <c r="Q29" i="4"/>
  <c r="Q27" i="4"/>
  <c r="Q32" i="4"/>
  <c r="Q38" i="4"/>
  <c r="Q28" i="4"/>
  <c r="S48" i="5"/>
  <c r="S37" i="5"/>
  <c r="S133" i="5"/>
  <c r="S100" i="5"/>
  <c r="S126" i="5"/>
  <c r="S32" i="5"/>
  <c r="Z32" i="5" s="1"/>
  <c r="S75" i="5"/>
  <c r="Z75" i="5" s="1"/>
  <c r="S55" i="5"/>
  <c r="S132" i="5"/>
  <c r="S136" i="5"/>
  <c r="S71" i="5"/>
  <c r="S82" i="5"/>
  <c r="S65" i="5"/>
  <c r="S91" i="5"/>
  <c r="S21" i="5"/>
  <c r="S90" i="5"/>
  <c r="S103" i="5"/>
  <c r="S66" i="5"/>
  <c r="S81" i="5"/>
  <c r="S13" i="5"/>
  <c r="Z13" i="5" s="1"/>
  <c r="S105" i="5"/>
  <c r="S78" i="5"/>
  <c r="S50" i="5"/>
  <c r="S30" i="5"/>
  <c r="S134" i="5"/>
  <c r="Z133" i="5" s="1"/>
  <c r="S128" i="5"/>
  <c r="S76" i="5"/>
  <c r="Z76" i="5" s="1"/>
  <c r="S44" i="5"/>
  <c r="Z44" i="5" s="1"/>
  <c r="S36" i="5"/>
  <c r="S14" i="5"/>
  <c r="Z14" i="5" s="1"/>
  <c r="S113" i="5"/>
  <c r="S39" i="5"/>
  <c r="Z39" i="5" s="1"/>
  <c r="S62" i="5"/>
  <c r="S15" i="5"/>
  <c r="S89" i="5"/>
  <c r="S72" i="5"/>
  <c r="S19" i="5"/>
  <c r="Z19" i="5" s="1"/>
  <c r="S29" i="5"/>
  <c r="Z29" i="5" s="1"/>
  <c r="S22" i="5"/>
  <c r="Z22" i="5" s="1"/>
  <c r="S114" i="5"/>
  <c r="S7" i="5"/>
  <c r="S131" i="5"/>
  <c r="S42" i="5"/>
  <c r="Z48" i="5" s="1"/>
  <c r="S60" i="5"/>
  <c r="S35" i="5"/>
  <c r="S59" i="5"/>
  <c r="S97" i="5"/>
  <c r="S23" i="5"/>
  <c r="Z23" i="5" s="1"/>
  <c r="S125" i="5"/>
  <c r="S67" i="5"/>
  <c r="S63" i="5"/>
  <c r="Z62" i="5" s="1"/>
  <c r="S28" i="5"/>
  <c r="Z28" i="5" s="1"/>
  <c r="N30" i="28" s="1"/>
  <c r="S94" i="5"/>
  <c r="S116" i="5"/>
  <c r="S53" i="5"/>
  <c r="S47" i="5"/>
  <c r="S49" i="5"/>
  <c r="Z49" i="5" s="1"/>
  <c r="S104" i="5"/>
  <c r="S98" i="5"/>
  <c r="S52" i="5"/>
  <c r="S46" i="5"/>
  <c r="S40" i="5"/>
  <c r="Z40" i="5" s="1"/>
  <c r="S17" i="5"/>
  <c r="S57" i="5"/>
  <c r="S18" i="5"/>
  <c r="Z18" i="5" s="1"/>
  <c r="S102" i="5"/>
  <c r="S120" i="5"/>
  <c r="S99" i="5"/>
  <c r="S124" i="5"/>
  <c r="S24" i="5"/>
  <c r="S27" i="5"/>
  <c r="Z27" i="5" s="1"/>
  <c r="S70" i="5"/>
  <c r="S110" i="5"/>
  <c r="S107" i="5"/>
  <c r="S4" i="5"/>
  <c r="Z4" i="5" s="1"/>
  <c r="S130" i="5"/>
  <c r="S10" i="5"/>
  <c r="Z10" i="5" s="1"/>
  <c r="S92" i="5"/>
  <c r="S135" i="5"/>
  <c r="S45" i="5"/>
  <c r="Z45" i="5" s="1"/>
  <c r="N47" i="28" s="1"/>
  <c r="S80" i="5"/>
  <c r="Z80" i="5" s="1"/>
  <c r="S6" i="5"/>
  <c r="Z6" i="5" s="1"/>
  <c r="N8" i="28" s="1"/>
  <c r="S88" i="5"/>
  <c r="Z88" i="5" s="1"/>
  <c r="S95" i="5"/>
  <c r="S64" i="5"/>
  <c r="S34" i="5"/>
  <c r="S74" i="5"/>
  <c r="S122" i="5"/>
  <c r="S109" i="5"/>
  <c r="Z105" i="5" s="1"/>
  <c r="S69" i="5"/>
  <c r="Z70" i="5" s="1"/>
  <c r="S16" i="5"/>
  <c r="S118" i="5"/>
  <c r="S8" i="5"/>
  <c r="Z7" i="5" s="1"/>
  <c r="S31" i="5"/>
  <c r="Z31" i="5" s="1"/>
  <c r="N33" i="28" s="1"/>
  <c r="S5" i="5"/>
  <c r="Z5" i="5" s="1"/>
  <c r="S26" i="5"/>
  <c r="Z26" i="5" s="1"/>
  <c r="S25" i="5"/>
  <c r="Z25" i="5" s="1"/>
  <c r="S121" i="5"/>
  <c r="S127" i="5"/>
  <c r="Z132" i="5" s="1"/>
  <c r="S112" i="5"/>
  <c r="S73" i="5"/>
  <c r="Z74" i="5" s="1"/>
  <c r="S43" i="5"/>
  <c r="Z43" i="5" s="1"/>
  <c r="S129" i="5"/>
  <c r="Z127" i="5" s="1"/>
  <c r="S38" i="5"/>
  <c r="S111" i="5"/>
  <c r="S139" i="5"/>
  <c r="Z139" i="5" s="1"/>
  <c r="S87" i="5"/>
  <c r="S51" i="5"/>
  <c r="S61" i="5"/>
  <c r="S93" i="5"/>
  <c r="S96" i="5"/>
  <c r="S68" i="5"/>
  <c r="Z68" i="5" s="1"/>
  <c r="S58" i="5"/>
  <c r="S79" i="5"/>
  <c r="Z78" i="5" s="1"/>
  <c r="S106" i="5"/>
  <c r="S3" i="5"/>
  <c r="Z3" i="5" s="1"/>
  <c r="S101" i="5"/>
  <c r="Z106" i="5" s="1"/>
  <c r="S11" i="5"/>
  <c r="Z11" i="5" s="1"/>
  <c r="S77" i="5"/>
  <c r="Z83" i="5" s="1"/>
  <c r="S12" i="5"/>
  <c r="Z12" i="5" s="1"/>
  <c r="N14" i="28" s="1"/>
  <c r="S137" i="5"/>
  <c r="Z137" i="5" s="1"/>
  <c r="S56" i="5"/>
  <c r="Z56" i="5" s="1"/>
  <c r="N58" i="28" s="1"/>
  <c r="S86" i="5"/>
  <c r="S85" i="5"/>
  <c r="S33" i="5"/>
  <c r="Z35" i="5" s="1"/>
  <c r="S108" i="5"/>
  <c r="S138" i="5"/>
  <c r="Z136" i="5" s="1"/>
  <c r="S20" i="5"/>
  <c r="Z20" i="5" s="1"/>
  <c r="S9" i="5"/>
  <c r="Z9" i="5" s="1"/>
  <c r="N11" i="28" s="1"/>
  <c r="S41" i="5"/>
  <c r="Z41" i="5" s="1"/>
  <c r="S54" i="5"/>
  <c r="S119" i="5"/>
  <c r="Z117" i="5" s="1"/>
  <c r="S115" i="5"/>
  <c r="S123" i="5"/>
  <c r="S84" i="5"/>
  <c r="Q88" i="4"/>
  <c r="Q200" i="4"/>
  <c r="Q37" i="4"/>
  <c r="Q170" i="4"/>
  <c r="Q179" i="4"/>
  <c r="Q156" i="4"/>
  <c r="Q80" i="4"/>
  <c r="Q35" i="4"/>
  <c r="Q158" i="4"/>
  <c r="Q143" i="4"/>
  <c r="Q49" i="4"/>
  <c r="Q210" i="4"/>
  <c r="Q197" i="4"/>
  <c r="Q205" i="4"/>
  <c r="Q78" i="4"/>
  <c r="Q138" i="4"/>
  <c r="Q69" i="4"/>
  <c r="Q92" i="4"/>
  <c r="Q109" i="4"/>
  <c r="Q208" i="4"/>
  <c r="Q67" i="4"/>
  <c r="Q56" i="4"/>
  <c r="Q211" i="4"/>
  <c r="Q137" i="4"/>
  <c r="Q166" i="4"/>
  <c r="Q185" i="4"/>
  <c r="Q50" i="4"/>
  <c r="Q147" i="4"/>
  <c r="Q85" i="4"/>
  <c r="Q81" i="4"/>
  <c r="Q123" i="4"/>
  <c r="Q102" i="4"/>
  <c r="Q186" i="4"/>
  <c r="Q127" i="4"/>
  <c r="Q130" i="4"/>
  <c r="Q144" i="4"/>
  <c r="Q152" i="4"/>
  <c r="Q57" i="4"/>
  <c r="Q148" i="4"/>
  <c r="Q66" i="4"/>
  <c r="Q154" i="4"/>
  <c r="Q89" i="4"/>
  <c r="Q167" i="4"/>
  <c r="Q43" i="4"/>
  <c r="B4" i="1"/>
  <c r="Q91" i="4"/>
  <c r="Q55" i="4"/>
  <c r="Q169" i="4"/>
  <c r="Q176" i="4"/>
  <c r="Q68" i="4"/>
  <c r="Q153" i="4"/>
  <c r="Q54" i="4"/>
  <c r="Q194" i="4"/>
  <c r="Q198" i="4"/>
  <c r="Q53" i="4"/>
  <c r="Q175" i="4"/>
  <c r="Q191" i="4"/>
  <c r="Q168" i="4"/>
  <c r="Q86" i="4"/>
  <c r="Q189" i="4"/>
  <c r="Q124" i="4"/>
  <c r="Q132" i="4"/>
  <c r="Q160" i="4"/>
  <c r="Q76" i="4"/>
  <c r="Q178" i="4"/>
  <c r="Q107" i="4"/>
  <c r="Q106" i="4"/>
  <c r="Q52" i="4"/>
  <c r="Q116" i="4"/>
  <c r="Q60" i="4"/>
  <c r="Q96" i="4"/>
  <c r="Q146" i="4"/>
  <c r="Q131" i="4"/>
  <c r="Q141" i="4"/>
  <c r="Q150" i="4"/>
  <c r="Q135" i="4"/>
  <c r="Q188" i="4"/>
  <c r="Q157" i="4"/>
  <c r="Q120" i="4"/>
  <c r="Q51" i="4"/>
  <c r="Q65" i="4"/>
  <c r="Q181" i="4"/>
  <c r="Q117" i="4"/>
  <c r="Q209" i="4"/>
  <c r="Q79" i="4"/>
  <c r="Q47" i="4"/>
  <c r="Q61" i="4"/>
  <c r="Q33" i="4"/>
  <c r="Q201" i="4"/>
  <c r="Q84" i="4"/>
  <c r="Q36" i="4"/>
  <c r="Q164" i="4"/>
  <c r="Q125" i="4"/>
  <c r="Q207" i="4"/>
  <c r="Q183" i="4"/>
  <c r="Q97" i="4"/>
  <c r="Q94" i="4"/>
  <c r="Q196" i="4"/>
  <c r="Q112" i="4"/>
  <c r="Q129" i="4"/>
  <c r="Q177" i="4"/>
  <c r="Q75" i="4"/>
  <c r="Q101" i="4"/>
  <c r="B24" i="1"/>
  <c r="E23" i="1" s="1"/>
  <c r="Q73" i="4"/>
  <c r="Q184" i="4"/>
  <c r="Q203" i="4"/>
  <c r="Q113" i="4"/>
  <c r="Q119" i="4"/>
  <c r="Q115" i="4"/>
  <c r="Q95" i="4"/>
  <c r="Q199" i="4"/>
  <c r="Q190" i="4"/>
  <c r="Q64" i="4"/>
  <c r="Q139" i="4"/>
  <c r="Q180" i="4"/>
  <c r="Q63" i="4"/>
  <c r="Q134" i="4"/>
  <c r="Q195" i="4"/>
  <c r="Q77" i="4"/>
  <c r="Q45" i="4"/>
  <c r="Q159" i="4"/>
  <c r="Q151" i="4"/>
  <c r="Q103" i="4"/>
  <c r="Q174" i="4"/>
  <c r="Q90" i="4"/>
  <c r="Q192" i="4"/>
  <c r="Q128" i="4"/>
  <c r="Q87" i="4"/>
  <c r="Q202" i="4"/>
  <c r="Q100" i="4"/>
  <c r="Q58" i="4"/>
  <c r="Q44" i="4"/>
  <c r="Q41" i="4"/>
  <c r="Q136" i="4"/>
  <c r="Q114" i="4"/>
  <c r="Q149" i="4"/>
  <c r="Q72" i="4"/>
  <c r="Q62" i="4"/>
  <c r="Q46" i="4"/>
  <c r="Q110" i="4"/>
  <c r="Q193" i="4"/>
  <c r="Q145" i="4"/>
  <c r="Q42" i="4"/>
  <c r="Q171" i="4"/>
  <c r="Q118" i="4"/>
  <c r="Q162" i="4"/>
  <c r="Q82" i="4"/>
  <c r="Q187" i="4"/>
  <c r="Q40" i="4"/>
  <c r="Q161" i="4"/>
  <c r="Q155" i="4"/>
  <c r="Q71" i="4"/>
  <c r="Q165" i="4"/>
  <c r="Q48" i="4"/>
  <c r="Q34" i="4"/>
  <c r="Q133" i="4"/>
  <c r="Q105" i="4"/>
  <c r="Q93" i="4"/>
  <c r="Q104" i="4"/>
  <c r="Q142" i="4"/>
  <c r="Q74" i="4"/>
  <c r="Q98" i="4"/>
  <c r="Q111" i="4"/>
  <c r="Q121" i="4"/>
  <c r="Q206" i="4"/>
  <c r="Q122" i="4"/>
  <c r="Q213" i="4"/>
  <c r="Q99" i="4"/>
  <c r="Q140" i="4"/>
  <c r="Q173" i="4"/>
  <c r="Q212" i="4"/>
  <c r="Q163" i="4"/>
  <c r="Q59" i="4"/>
  <c r="Q83" i="4"/>
  <c r="Q172" i="4"/>
  <c r="Q204" i="4"/>
  <c r="Q126" i="4"/>
  <c r="Q70" i="4"/>
  <c r="Q108" i="4"/>
  <c r="Q182" i="4"/>
  <c r="Q39" i="4"/>
  <c r="Q15" i="3"/>
  <c r="Q84" i="3"/>
  <c r="Q25" i="3"/>
  <c r="Q87" i="3"/>
  <c r="Q74" i="3"/>
  <c r="Q80" i="3"/>
  <c r="Q21" i="3"/>
  <c r="Q46" i="3"/>
  <c r="Q102" i="3"/>
  <c r="Q83" i="3"/>
  <c r="Q26" i="3"/>
  <c r="Q45" i="3"/>
  <c r="Q37" i="3"/>
  <c r="Q91" i="3"/>
  <c r="Q50" i="3"/>
  <c r="Q66" i="3"/>
  <c r="Q109" i="3"/>
  <c r="Q95" i="3"/>
  <c r="Q60" i="3"/>
  <c r="Q89" i="3"/>
  <c r="Q33" i="3"/>
  <c r="Q31" i="3"/>
  <c r="Q97" i="3"/>
  <c r="Q86" i="3"/>
  <c r="Q49" i="3"/>
  <c r="Q108" i="3"/>
  <c r="Q114" i="3"/>
  <c r="Q81" i="3"/>
  <c r="Q75" i="3"/>
  <c r="Q18" i="3"/>
  <c r="Q52" i="3"/>
  <c r="Q24" i="3"/>
  <c r="Q48" i="3"/>
  <c r="Q111" i="3"/>
  <c r="Q65" i="3"/>
  <c r="Q19" i="3"/>
  <c r="Q93" i="3"/>
  <c r="Q28" i="3"/>
  <c r="Q34" i="3"/>
  <c r="Q73" i="3"/>
  <c r="Q29" i="3"/>
  <c r="Q57" i="3"/>
  <c r="Q42" i="3"/>
  <c r="Q99" i="3"/>
  <c r="Q96" i="3"/>
  <c r="Q110" i="3"/>
  <c r="Q79" i="3"/>
  <c r="Q72" i="3"/>
  <c r="Q85" i="3"/>
  <c r="Q41" i="3"/>
  <c r="Q107" i="3"/>
  <c r="Q92" i="3"/>
  <c r="Q30" i="3"/>
  <c r="Q64" i="3"/>
  <c r="Q39" i="3"/>
  <c r="Q70" i="3"/>
  <c r="Q40" i="3"/>
  <c r="Q55" i="3"/>
  <c r="Q112" i="3"/>
  <c r="Q43" i="3"/>
  <c r="B6" i="1"/>
  <c r="Q82" i="3"/>
  <c r="Q90" i="3"/>
  <c r="Q35" i="3"/>
  <c r="Q23" i="3"/>
  <c r="Q76" i="3"/>
  <c r="Q78" i="3"/>
  <c r="Q56" i="3"/>
  <c r="Q62" i="3"/>
  <c r="Q67" i="3"/>
  <c r="Q32" i="3"/>
  <c r="Q22" i="3"/>
  <c r="Q100" i="3"/>
  <c r="Q47" i="3"/>
  <c r="Q59" i="3"/>
  <c r="Q77" i="3"/>
  <c r="Q69" i="3"/>
  <c r="Q88" i="3"/>
  <c r="Q38" i="3"/>
  <c r="Q16" i="3"/>
  <c r="Q113" i="3"/>
  <c r="Q103" i="3"/>
  <c r="Q94" i="3"/>
  <c r="Q98" i="3"/>
  <c r="Q106" i="3"/>
  <c r="Q115" i="3"/>
  <c r="Q104" i="3"/>
  <c r="Q68" i="3"/>
  <c r="Q27" i="3"/>
  <c r="Q20" i="3"/>
  <c r="Q63" i="3"/>
  <c r="Q101" i="3"/>
  <c r="Q17" i="3"/>
  <c r="Q61" i="3"/>
  <c r="Q51" i="3"/>
  <c r="Q36" i="3"/>
  <c r="Q53" i="3"/>
  <c r="Q44" i="3"/>
  <c r="Q58" i="3"/>
  <c r="Q71" i="3"/>
  <c r="Q105" i="3"/>
  <c r="Q54" i="3"/>
  <c r="Q50" i="2"/>
  <c r="Q59" i="2"/>
  <c r="Q31" i="2"/>
  <c r="Q53" i="2"/>
  <c r="Q36" i="2"/>
  <c r="Q70" i="2"/>
  <c r="Q15" i="2"/>
  <c r="Q79" i="2"/>
  <c r="Q81" i="2"/>
  <c r="Q17" i="2"/>
  <c r="Q69" i="2"/>
  <c r="Q52" i="2"/>
  <c r="Q28" i="2"/>
  <c r="Q72" i="2"/>
  <c r="Q56" i="2"/>
  <c r="Q27" i="2"/>
  <c r="Q60" i="2"/>
  <c r="Q73" i="2"/>
  <c r="Q18" i="2"/>
  <c r="Q71" i="2"/>
  <c r="Q24" i="2"/>
  <c r="Q75" i="2"/>
  <c r="Q34" i="2"/>
  <c r="Q47" i="2"/>
  <c r="Q48" i="2"/>
  <c r="Q74" i="2"/>
  <c r="Q33" i="2"/>
  <c r="Q51" i="2"/>
  <c r="Q78" i="2"/>
  <c r="Q20" i="2"/>
  <c r="Q23" i="2"/>
  <c r="Q80" i="2"/>
  <c r="Q45" i="2"/>
  <c r="Q43" i="2"/>
  <c r="Q44" i="2"/>
  <c r="Q37" i="2"/>
  <c r="Q65" i="2"/>
  <c r="Q42" i="2"/>
  <c r="Q77" i="2"/>
  <c r="Q57" i="2"/>
  <c r="Q22" i="2"/>
  <c r="Q49" i="2"/>
  <c r="Q35" i="2"/>
  <c r="Q68" i="2"/>
  <c r="Q46" i="2"/>
  <c r="Q25" i="2"/>
  <c r="Q64" i="2"/>
  <c r="Q67" i="2"/>
  <c r="Q55" i="2"/>
  <c r="Q32" i="2"/>
  <c r="Q39" i="2"/>
  <c r="Q63" i="2"/>
  <c r="Q38" i="2"/>
  <c r="B5" i="1"/>
  <c r="Q66" i="2"/>
  <c r="Q29" i="2"/>
  <c r="Q26" i="2"/>
  <c r="Q76" i="2"/>
  <c r="Q30" i="2"/>
  <c r="Q16" i="2"/>
  <c r="Q61" i="2"/>
  <c r="Q21" i="2"/>
  <c r="Q62" i="2"/>
  <c r="Q40" i="2"/>
  <c r="Q41" i="2"/>
  <c r="Q58" i="2"/>
  <c r="Q19" i="2"/>
  <c r="Q54" i="2"/>
  <c r="Z38" i="5"/>
  <c r="Z102" i="5"/>
  <c r="Z72" i="5"/>
  <c r="Z37" i="5"/>
  <c r="Z100" i="5"/>
  <c r="N27" i="7"/>
  <c r="N13" i="7"/>
  <c r="N18" i="7"/>
  <c r="Z77" i="5" l="1"/>
  <c r="Z51" i="5"/>
  <c r="Z95" i="5"/>
  <c r="Z112" i="5"/>
  <c r="Z60" i="5"/>
  <c r="Z57" i="5"/>
  <c r="Z66" i="5"/>
  <c r="Z128" i="5"/>
  <c r="Z116" i="5"/>
  <c r="Z114" i="5"/>
  <c r="Z30" i="5"/>
  <c r="Z82" i="5"/>
  <c r="Z135" i="5"/>
  <c r="Z64" i="5"/>
  <c r="Z129" i="5"/>
  <c r="Z81" i="5"/>
  <c r="Z50" i="5"/>
  <c r="Z126" i="5"/>
  <c r="Z125" i="5"/>
  <c r="Z103" i="5"/>
  <c r="Z65" i="5"/>
  <c r="Z21" i="5"/>
  <c r="N23" i="28" s="1"/>
  <c r="Z53" i="5"/>
  <c r="Z42" i="5"/>
  <c r="Z71" i="5"/>
  <c r="Z134" i="5"/>
  <c r="Z119" i="5"/>
  <c r="Z111" i="5"/>
  <c r="Z33" i="5"/>
  <c r="Z54" i="5"/>
  <c r="Z99" i="5"/>
  <c r="Z8" i="5"/>
  <c r="Z87" i="5"/>
  <c r="Z52" i="5"/>
  <c r="Z97" i="5"/>
  <c r="Z73" i="5"/>
  <c r="Z131" i="5"/>
  <c r="Z130" i="5"/>
  <c r="Z46" i="5"/>
  <c r="Z86" i="5"/>
  <c r="Z108" i="5"/>
  <c r="Z109" i="5"/>
  <c r="Z118" i="5"/>
  <c r="Z101" i="5"/>
  <c r="Z115" i="5"/>
  <c r="Z58" i="5"/>
  <c r="Z63" i="5"/>
  <c r="Z110" i="5"/>
  <c r="Z69" i="5"/>
  <c r="Z120" i="5"/>
  <c r="Z36" i="5"/>
  <c r="Z79" i="5"/>
  <c r="Z61" i="5"/>
  <c r="Z93" i="5"/>
  <c r="Z84" i="5"/>
  <c r="Z138" i="5"/>
  <c r="N34" i="28"/>
  <c r="Z55" i="5"/>
  <c r="N57" i="28" s="1"/>
  <c r="Z122" i="5"/>
  <c r="Z91" i="5"/>
  <c r="Z123" i="5"/>
  <c r="Z15" i="5"/>
  <c r="Z67" i="5"/>
  <c r="Z16" i="5"/>
  <c r="Z59" i="5"/>
  <c r="N61" i="28" s="1"/>
  <c r="Z98" i="5"/>
  <c r="N21" i="28"/>
  <c r="Z47" i="5"/>
  <c r="N49" i="28" s="1"/>
  <c r="Z34" i="5"/>
  <c r="N36" i="28" s="1"/>
  <c r="Z17" i="5"/>
  <c r="Z113" i="5"/>
  <c r="Z94" i="5"/>
  <c r="Z89" i="5"/>
  <c r="Z121" i="5"/>
  <c r="Z104" i="5"/>
  <c r="N13" i="28"/>
  <c r="Z92" i="5"/>
  <c r="Z24" i="5"/>
  <c r="Z96" i="5"/>
  <c r="Z124" i="5"/>
  <c r="Z107" i="5"/>
  <c r="Z85" i="5"/>
  <c r="N12" i="28"/>
  <c r="Z90" i="5"/>
  <c r="S75" i="2"/>
  <c r="Z75" i="2" s="1"/>
  <c r="S61" i="2"/>
  <c r="Z61" i="2" s="1"/>
  <c r="S42" i="2"/>
  <c r="Z42" i="2" s="1"/>
  <c r="S3" i="2"/>
  <c r="Z3" i="2" s="1"/>
  <c r="S24" i="2"/>
  <c r="Z24" i="2" s="1"/>
  <c r="S51" i="2"/>
  <c r="Z51" i="2" s="1"/>
  <c r="S48" i="2"/>
  <c r="Z48" i="2" s="1"/>
  <c r="S31" i="2"/>
  <c r="Z31" i="2" s="1"/>
  <c r="S10" i="2"/>
  <c r="Z10" i="2" s="1"/>
  <c r="S12" i="2"/>
  <c r="Z12" i="2" s="1"/>
  <c r="S30" i="2"/>
  <c r="Z30" i="2" s="1"/>
  <c r="S7" i="2"/>
  <c r="Z7" i="2" s="1"/>
  <c r="S41" i="2"/>
  <c r="Z41" i="2" s="1"/>
  <c r="S37" i="2"/>
  <c r="Z37" i="2" s="1"/>
  <c r="S21" i="2"/>
  <c r="Z21" i="2" s="1"/>
  <c r="S18" i="2"/>
  <c r="Z18" i="2" s="1"/>
  <c r="S39" i="2"/>
  <c r="Z39" i="2" s="1"/>
  <c r="S35" i="2"/>
  <c r="Z35" i="2" s="1"/>
  <c r="S25" i="2"/>
  <c r="Z25" i="2" s="1"/>
  <c r="S59" i="2"/>
  <c r="Z59" i="2" s="1"/>
  <c r="S72" i="2"/>
  <c r="Z72" i="2" s="1"/>
  <c r="S52" i="2"/>
  <c r="Z52" i="2" s="1"/>
  <c r="S71" i="2"/>
  <c r="Z71" i="2" s="1"/>
  <c r="S65" i="2"/>
  <c r="Z65" i="2" s="1"/>
  <c r="S66" i="2"/>
  <c r="Z66" i="2" s="1"/>
  <c r="S81" i="2"/>
  <c r="Z81" i="2" s="1"/>
  <c r="S78" i="2"/>
  <c r="Z78" i="2" s="1"/>
  <c r="S17" i="2"/>
  <c r="Z17" i="2" s="1"/>
  <c r="S4" i="2"/>
  <c r="Z4" i="2" s="1"/>
  <c r="S20" i="2"/>
  <c r="Z20" i="2" s="1"/>
  <c r="S16" i="2"/>
  <c r="Z16" i="2" s="1"/>
  <c r="S9" i="2"/>
  <c r="Z9" i="2" s="1"/>
  <c r="S15" i="2"/>
  <c r="S49" i="2"/>
  <c r="Z49" i="2" s="1"/>
  <c r="S46" i="2"/>
  <c r="Z46" i="2" s="1"/>
  <c r="S73" i="2"/>
  <c r="Z73" i="2" s="1"/>
  <c r="S19" i="2"/>
  <c r="Z19" i="2" s="1"/>
  <c r="S27" i="2"/>
  <c r="Z27" i="2" s="1"/>
  <c r="S44" i="2"/>
  <c r="Z44" i="2" s="1"/>
  <c r="S53" i="2"/>
  <c r="Z53" i="2" s="1"/>
  <c r="S69" i="2"/>
  <c r="Z69" i="2" s="1"/>
  <c r="S57" i="2"/>
  <c r="Z57" i="2" s="1"/>
  <c r="S6" i="2"/>
  <c r="Z6" i="2" s="1"/>
  <c r="S50" i="2"/>
  <c r="Z50" i="2" s="1"/>
  <c r="S58" i="2"/>
  <c r="Z58" i="2" s="1"/>
  <c r="S80" i="2"/>
  <c r="Z80" i="2" s="1"/>
  <c r="S70" i="2"/>
  <c r="Z70" i="2" s="1"/>
  <c r="S13" i="2"/>
  <c r="Z13" i="2" s="1"/>
  <c r="S56" i="2"/>
  <c r="S67" i="2"/>
  <c r="Z67" i="2" s="1"/>
  <c r="S60" i="2"/>
  <c r="Z60" i="2" s="1"/>
  <c r="S64" i="2"/>
  <c r="Z64" i="2" s="1"/>
  <c r="S5" i="2"/>
  <c r="Z5" i="2" s="1"/>
  <c r="S62" i="2"/>
  <c r="Z62" i="2" s="1"/>
  <c r="S22" i="2"/>
  <c r="S77" i="2"/>
  <c r="Z77" i="2" s="1"/>
  <c r="S14" i="2"/>
  <c r="Z14" i="2" s="1"/>
  <c r="S8" i="2"/>
  <c r="Z8" i="2" s="1"/>
  <c r="S55" i="2"/>
  <c r="Z56" i="2" s="1"/>
  <c r="S28" i="2"/>
  <c r="Z28" i="2" s="1"/>
  <c r="A1" i="28"/>
  <c r="S36" i="2"/>
  <c r="Z36" i="2" s="1"/>
  <c r="S63" i="2"/>
  <c r="Z63" i="2" s="1"/>
  <c r="S26" i="2"/>
  <c r="Z26" i="2" s="1"/>
  <c r="S23" i="2"/>
  <c r="Z22" i="2" s="1"/>
  <c r="S11" i="2"/>
  <c r="Z11" i="2" s="1"/>
  <c r="S43" i="2"/>
  <c r="Z43" i="2" s="1"/>
  <c r="S68" i="2"/>
  <c r="Z68" i="2" s="1"/>
  <c r="S32" i="2"/>
  <c r="Z32" i="2" s="1"/>
  <c r="S34" i="2"/>
  <c r="Z34" i="2" s="1"/>
  <c r="S33" i="2"/>
  <c r="Z33" i="2" s="1"/>
  <c r="S47" i="2"/>
  <c r="Z47" i="2" s="1"/>
  <c r="S74" i="2"/>
  <c r="Z74" i="2" s="1"/>
  <c r="S38" i="2"/>
  <c r="Z38" i="2" s="1"/>
  <c r="S29" i="2"/>
  <c r="Z29" i="2" s="1"/>
  <c r="S45" i="2"/>
  <c r="Z45" i="2" s="1"/>
  <c r="S54" i="2"/>
  <c r="Z54" i="2" s="1"/>
  <c r="S79" i="2"/>
  <c r="Z79" i="2" s="1"/>
  <c r="S76" i="2"/>
  <c r="Z76" i="2" s="1"/>
  <c r="S40" i="2"/>
  <c r="Z40" i="2" s="1"/>
  <c r="S71" i="3"/>
  <c r="S101" i="3"/>
  <c r="S100" i="3"/>
  <c r="S92" i="3"/>
  <c r="Z92" i="3" s="1"/>
  <c r="S98" i="3"/>
  <c r="S51" i="3"/>
  <c r="S7" i="3"/>
  <c r="Z7" i="3" s="1"/>
  <c r="S83" i="3"/>
  <c r="S15" i="3"/>
  <c r="S6" i="3"/>
  <c r="Z6" i="3" s="1"/>
  <c r="S35" i="3"/>
  <c r="Z35" i="3" s="1"/>
  <c r="S37" i="3"/>
  <c r="Z37" i="3" s="1"/>
  <c r="S70" i="3"/>
  <c r="Z70" i="3" s="1"/>
  <c r="S115" i="3"/>
  <c r="Z115" i="3" s="1"/>
  <c r="S77" i="3"/>
  <c r="S102" i="3"/>
  <c r="Z101" i="3" s="1"/>
  <c r="S80" i="3"/>
  <c r="S94" i="3"/>
  <c r="S68" i="3"/>
  <c r="Z68" i="3" s="1"/>
  <c r="S57" i="3"/>
  <c r="S61" i="3"/>
  <c r="Z61" i="3" s="1"/>
  <c r="S60" i="3"/>
  <c r="Z60" i="3" s="1"/>
  <c r="S67" i="3"/>
  <c r="Z67" i="3" s="1"/>
  <c r="S58" i="3"/>
  <c r="Z58" i="3" s="1"/>
  <c r="S3" i="3"/>
  <c r="Z3" i="3" s="1"/>
  <c r="S86" i="3"/>
  <c r="Z86" i="3" s="1"/>
  <c r="S5" i="3"/>
  <c r="Z5" i="3" s="1"/>
  <c r="S33" i="3"/>
  <c r="Z33" i="3" s="1"/>
  <c r="S36" i="3"/>
  <c r="S95" i="3"/>
  <c r="S96" i="3"/>
  <c r="S29" i="3"/>
  <c r="Z29" i="3" s="1"/>
  <c r="S47" i="3"/>
  <c r="Z47" i="3" s="1"/>
  <c r="S107" i="3"/>
  <c r="S105" i="3"/>
  <c r="Z102" i="3" s="1"/>
  <c r="S48" i="3"/>
  <c r="Z48" i="3" s="1"/>
  <c r="S87" i="3"/>
  <c r="Z87" i="3" s="1"/>
  <c r="S81" i="3"/>
  <c r="Z83" i="3" s="1"/>
  <c r="S28" i="3"/>
  <c r="Z28" i="3" s="1"/>
  <c r="S18" i="3"/>
  <c r="S113" i="3"/>
  <c r="S74" i="3"/>
  <c r="S63" i="3"/>
  <c r="S103" i="3"/>
  <c r="Z95" i="3" s="1"/>
  <c r="S99" i="3"/>
  <c r="Z100" i="3" s="1"/>
  <c r="S84" i="3"/>
  <c r="S39" i="3"/>
  <c r="Z36" i="3" s="1"/>
  <c r="S32" i="3"/>
  <c r="Z32" i="3" s="1"/>
  <c r="S65" i="3"/>
  <c r="Z65" i="3" s="1"/>
  <c r="S45" i="3"/>
  <c r="E18" i="45"/>
  <c r="S34" i="3"/>
  <c r="Z34" i="3" s="1"/>
  <c r="S54" i="3"/>
  <c r="S21" i="3"/>
  <c r="Z21" i="3" s="1"/>
  <c r="S11" i="3"/>
  <c r="Z11" i="3" s="1"/>
  <c r="S24" i="3"/>
  <c r="Z24" i="3" s="1"/>
  <c r="S110" i="3"/>
  <c r="Z110" i="3" s="1"/>
  <c r="S90" i="3"/>
  <c r="S38" i="3"/>
  <c r="Z38" i="3" s="1"/>
  <c r="S41" i="3"/>
  <c r="S62" i="3"/>
  <c r="Z63" i="3" s="1"/>
  <c r="S16" i="3"/>
  <c r="S13" i="3"/>
  <c r="Z13" i="3" s="1"/>
  <c r="S97" i="3"/>
  <c r="S20" i="3"/>
  <c r="Z20" i="3" s="1"/>
  <c r="S66" i="3"/>
  <c r="Z66" i="3" s="1"/>
  <c r="S22" i="3"/>
  <c r="Z22" i="3" s="1"/>
  <c r="S14" i="3"/>
  <c r="Z14" i="3" s="1"/>
  <c r="S108" i="3"/>
  <c r="Z107" i="3" s="1"/>
  <c r="S40" i="3"/>
  <c r="S79" i="3"/>
  <c r="S72" i="3"/>
  <c r="S104" i="3"/>
  <c r="Z103" i="3" s="1"/>
  <c r="S9" i="3"/>
  <c r="Z9" i="3" s="1"/>
  <c r="S49" i="3"/>
  <c r="S73" i="3"/>
  <c r="Z74" i="3" s="1"/>
  <c r="S26" i="3"/>
  <c r="Z26" i="3" s="1"/>
  <c r="S4" i="3"/>
  <c r="Z4" i="3" s="1"/>
  <c r="S76" i="3"/>
  <c r="Z71" i="3" s="1"/>
  <c r="S46" i="3"/>
  <c r="Z45" i="3" s="1"/>
  <c r="S91" i="3"/>
  <c r="Z94" i="3" s="1"/>
  <c r="S12" i="3"/>
  <c r="Z12" i="3" s="1"/>
  <c r="S23" i="3"/>
  <c r="Z23" i="3" s="1"/>
  <c r="S25" i="3"/>
  <c r="Z25" i="3" s="1"/>
  <c r="S75" i="3"/>
  <c r="Z76" i="3" s="1"/>
  <c r="S52" i="3"/>
  <c r="Z51" i="3" s="1"/>
  <c r="S53" i="3"/>
  <c r="Z52" i="3" s="1"/>
  <c r="S17" i="3"/>
  <c r="S69" i="3"/>
  <c r="Z69" i="3" s="1"/>
  <c r="S89" i="3"/>
  <c r="Z90" i="3" s="1"/>
  <c r="S31" i="3"/>
  <c r="Z31" i="3" s="1"/>
  <c r="S43" i="3"/>
  <c r="Z41" i="3" s="1"/>
  <c r="S114" i="3"/>
  <c r="Z113" i="3" s="1"/>
  <c r="S64" i="3"/>
  <c r="Z64" i="3" s="1"/>
  <c r="S44" i="3"/>
  <c r="Z44" i="3" s="1"/>
  <c r="S10" i="3"/>
  <c r="Z10" i="3" s="1"/>
  <c r="S93" i="3"/>
  <c r="Z98" i="3" s="1"/>
  <c r="S59" i="3"/>
  <c r="Z59" i="3" s="1"/>
  <c r="S106" i="3"/>
  <c r="Z108" i="3" s="1"/>
  <c r="S27" i="3"/>
  <c r="Z27" i="3" s="1"/>
  <c r="S8" i="3"/>
  <c r="Z8" i="3" s="1"/>
  <c r="S111" i="3"/>
  <c r="S82" i="3"/>
  <c r="Z84" i="3" s="1"/>
  <c r="S30" i="3"/>
  <c r="Z30" i="3" s="1"/>
  <c r="S88" i="3"/>
  <c r="Z88" i="3" s="1"/>
  <c r="S56" i="3"/>
  <c r="Z57" i="3" s="1"/>
  <c r="S19" i="3"/>
  <c r="Z18" i="3" s="1"/>
  <c r="E260" i="45"/>
  <c r="E208" i="45"/>
  <c r="E27" i="45"/>
  <c r="E288" i="45"/>
  <c r="E120" i="45"/>
  <c r="E275" i="45"/>
  <c r="E277" i="45"/>
  <c r="E16" i="45"/>
  <c r="E211" i="45"/>
  <c r="E58" i="45"/>
  <c r="E316" i="45"/>
  <c r="E23" i="45"/>
  <c r="E39" i="45"/>
  <c r="E219" i="45"/>
  <c r="E274" i="45"/>
  <c r="E132" i="45"/>
  <c r="E140" i="45"/>
  <c r="E52" i="45"/>
  <c r="E60" i="45"/>
  <c r="E163" i="45"/>
  <c r="E24" i="45"/>
  <c r="E175" i="45"/>
  <c r="E146" i="45"/>
  <c r="E165" i="45"/>
  <c r="E103" i="45"/>
  <c r="E247" i="45"/>
  <c r="E22" i="45"/>
  <c r="E241" i="45"/>
  <c r="E222" i="45"/>
  <c r="E113" i="45"/>
  <c r="E176" i="45"/>
  <c r="E124" i="45"/>
  <c r="E72" i="45"/>
  <c r="E239" i="45"/>
  <c r="E56" i="45"/>
  <c r="E13" i="45"/>
  <c r="E8" i="45"/>
  <c r="E134" i="45"/>
  <c r="E306" i="45"/>
  <c r="E96" i="45"/>
  <c r="E196" i="45"/>
  <c r="E294" i="45"/>
  <c r="E33" i="45"/>
  <c r="E187" i="45"/>
  <c r="E198" i="45"/>
  <c r="E136" i="45"/>
  <c r="E188" i="45"/>
  <c r="E230" i="45"/>
  <c r="E147" i="45"/>
  <c r="E320" i="45"/>
  <c r="E87" i="45"/>
  <c r="E41" i="45"/>
  <c r="E3" i="45"/>
  <c r="E298" i="45"/>
  <c r="E141" i="45"/>
  <c r="E128" i="45"/>
  <c r="E106" i="45"/>
  <c r="E244" i="45"/>
  <c r="E55" i="45"/>
  <c r="E171" i="45"/>
  <c r="E154" i="45"/>
  <c r="E46" i="45"/>
  <c r="E325" i="45"/>
  <c r="E290" i="45"/>
  <c r="E232" i="45"/>
  <c r="E123" i="45"/>
  <c r="E97" i="45"/>
  <c r="E99" i="45"/>
  <c r="E313" i="45"/>
  <c r="E4" i="45"/>
  <c r="E20" i="45"/>
  <c r="E291" i="45"/>
  <c r="E36" i="45"/>
  <c r="E293" i="45"/>
  <c r="E115" i="45"/>
  <c r="E105" i="45"/>
  <c r="E138" i="45"/>
  <c r="E64" i="45"/>
  <c r="E173" i="45"/>
  <c r="E78" i="45"/>
  <c r="E70" i="45"/>
  <c r="E45" i="45"/>
  <c r="E184" i="45"/>
  <c r="E185" i="45"/>
  <c r="E295" i="45"/>
  <c r="E197" i="45"/>
  <c r="E310" i="45"/>
  <c r="E160" i="45"/>
  <c r="E86" i="45"/>
  <c r="E281" i="45"/>
  <c r="E6" i="45"/>
  <c r="E32" i="45"/>
  <c r="E162" i="45"/>
  <c r="E54" i="45"/>
  <c r="E280" i="45"/>
  <c r="E102" i="45"/>
  <c r="E301" i="45"/>
  <c r="E158" i="45"/>
  <c r="E69" i="45"/>
  <c r="E127" i="45"/>
  <c r="E251" i="45"/>
  <c r="E285" i="45"/>
  <c r="E25" i="45"/>
  <c r="E202" i="45"/>
  <c r="E227" i="45"/>
  <c r="E272" i="45"/>
  <c r="E85" i="45"/>
  <c r="E161" i="45"/>
  <c r="E49" i="45"/>
  <c r="E50" i="45"/>
  <c r="E299" i="45"/>
  <c r="E199" i="45"/>
  <c r="E286" i="45"/>
  <c r="E315" i="45"/>
  <c r="E43" i="45"/>
  <c r="E178" i="45"/>
  <c r="E217" i="45"/>
  <c r="E57" i="45"/>
  <c r="E235" i="45"/>
  <c r="E314" i="45"/>
  <c r="E189" i="45"/>
  <c r="E31" i="45"/>
  <c r="E150" i="45"/>
  <c r="E118" i="45"/>
  <c r="E214" i="45"/>
  <c r="E121" i="45"/>
  <c r="E44" i="45"/>
  <c r="E254" i="45"/>
  <c r="E53" i="45"/>
  <c r="E139" i="45"/>
  <c r="E249" i="45"/>
  <c r="E292" i="45"/>
  <c r="E137" i="45"/>
  <c r="E63" i="45"/>
  <c r="E153" i="45"/>
  <c r="E278" i="45"/>
  <c r="E190" i="45"/>
  <c r="E119" i="45"/>
  <c r="E142" i="45"/>
  <c r="E110" i="45"/>
  <c r="E305" i="45"/>
  <c r="E48" i="45"/>
  <c r="E26" i="45"/>
  <c r="E21" i="45"/>
  <c r="E84" i="45"/>
  <c r="E92" i="45"/>
  <c r="E228" i="45"/>
  <c r="E5" i="45"/>
  <c r="E79" i="45"/>
  <c r="E81" i="45"/>
  <c r="E34" i="45"/>
  <c r="E155" i="45"/>
  <c r="E309" i="45"/>
  <c r="E183" i="45"/>
  <c r="E300" i="45"/>
  <c r="E262" i="45"/>
  <c r="E10" i="45"/>
  <c r="E266" i="45"/>
  <c r="E182" i="45"/>
  <c r="E233" i="45"/>
  <c r="E194" i="45"/>
  <c r="E38" i="45"/>
  <c r="S78" i="3"/>
  <c r="Z75" i="3" s="1"/>
  <c r="S109" i="3"/>
  <c r="Z111" i="3" s="1"/>
  <c r="S42" i="3"/>
  <c r="Z42" i="3" s="1"/>
  <c r="S50" i="3"/>
  <c r="Z50" i="3" s="1"/>
  <c r="S85" i="3"/>
  <c r="Z82" i="3" s="1"/>
  <c r="S112" i="3"/>
  <c r="Z112" i="3" s="1"/>
  <c r="S55" i="3"/>
  <c r="Z54" i="3" s="1"/>
  <c r="E61" i="45"/>
  <c r="E255" i="45"/>
  <c r="E104" i="45"/>
  <c r="E284" i="45"/>
  <c r="E304" i="45"/>
  <c r="E259" i="45"/>
  <c r="E82" i="45"/>
  <c r="E264" i="45"/>
  <c r="E156" i="45"/>
  <c r="E324" i="45"/>
  <c r="E201" i="45"/>
  <c r="E318" i="45"/>
  <c r="E172" i="45"/>
  <c r="E51" i="45"/>
  <c r="E35" i="45"/>
  <c r="E243" i="45"/>
  <c r="E237" i="45"/>
  <c r="E323" i="45"/>
  <c r="E322" i="45"/>
  <c r="E126" i="45"/>
  <c r="E83" i="45"/>
  <c r="E88" i="45"/>
  <c r="E149" i="45"/>
  <c r="E297" i="45"/>
  <c r="E17" i="45"/>
  <c r="E207" i="45"/>
  <c r="E311" i="45"/>
  <c r="E226" i="45"/>
  <c r="E15" i="45"/>
  <c r="E62" i="45"/>
  <c r="E179" i="45"/>
  <c r="E225" i="45"/>
  <c r="E131" i="45"/>
  <c r="E220" i="45"/>
  <c r="E174" i="45"/>
  <c r="E164" i="45"/>
  <c r="E168" i="45"/>
  <c r="E223" i="45"/>
  <c r="E152" i="45"/>
  <c r="E263" i="45"/>
  <c r="E276" i="45"/>
  <c r="E65" i="45"/>
  <c r="E204" i="45"/>
  <c r="E101" i="45"/>
  <c r="E213" i="45"/>
  <c r="E73" i="45"/>
  <c r="E224" i="45"/>
  <c r="E116" i="45"/>
  <c r="E74" i="45"/>
  <c r="E234" i="45"/>
  <c r="E240" i="45"/>
  <c r="E256" i="45"/>
  <c r="E122" i="45"/>
  <c r="E258" i="45"/>
  <c r="E248" i="45"/>
  <c r="E216" i="45"/>
  <c r="E111" i="45"/>
  <c r="E93" i="45"/>
  <c r="E37" i="45"/>
  <c r="E66" i="45"/>
  <c r="E273" i="45"/>
  <c r="E319" i="45"/>
  <c r="E321" i="45"/>
  <c r="E95" i="45"/>
  <c r="E169" i="45"/>
  <c r="E151" i="45"/>
  <c r="E76" i="45"/>
  <c r="E157" i="45"/>
  <c r="E112" i="45"/>
  <c r="E29" i="45"/>
  <c r="E289" i="45"/>
  <c r="E125" i="45"/>
  <c r="E195" i="45"/>
  <c r="E238" i="45"/>
  <c r="E215" i="45"/>
  <c r="E221" i="45"/>
  <c r="E94" i="45"/>
  <c r="E7" i="45"/>
  <c r="E250" i="45"/>
  <c r="E14" i="45"/>
  <c r="E253" i="45"/>
  <c r="E229" i="45"/>
  <c r="E236" i="45"/>
  <c r="E246" i="45"/>
  <c r="E75" i="45"/>
  <c r="E80" i="45"/>
  <c r="E12" i="45"/>
  <c r="E40" i="45"/>
  <c r="E312" i="45"/>
  <c r="E269" i="45"/>
  <c r="E303" i="45"/>
  <c r="E9" i="45"/>
  <c r="E193" i="45"/>
  <c r="E283" i="45"/>
  <c r="E30" i="45"/>
  <c r="E114" i="45"/>
  <c r="E68" i="45"/>
  <c r="E107" i="45"/>
  <c r="E271" i="45"/>
  <c r="E159" i="45"/>
  <c r="E317" i="45"/>
  <c r="E203" i="45"/>
  <c r="E205" i="45"/>
  <c r="E47" i="45"/>
  <c r="E242" i="45"/>
  <c r="E302" i="45"/>
  <c r="E200" i="45"/>
  <c r="E133" i="45"/>
  <c r="E191" i="45"/>
  <c r="E287" i="45"/>
  <c r="E270" i="45"/>
  <c r="E143" i="45"/>
  <c r="E282" i="45"/>
  <c r="E167" i="45"/>
  <c r="E210" i="45"/>
  <c r="E257" i="45"/>
  <c r="E100" i="45"/>
  <c r="E59" i="45"/>
  <c r="E212" i="45"/>
  <c r="E261" i="45"/>
  <c r="E77" i="45"/>
  <c r="E279" i="45"/>
  <c r="E267" i="45"/>
  <c r="E71" i="45"/>
  <c r="E67" i="45"/>
  <c r="E268" i="45"/>
  <c r="E308" i="45"/>
  <c r="E2" i="45"/>
  <c r="E145" i="45"/>
  <c r="E218" i="45"/>
  <c r="E307" i="45"/>
  <c r="E148" i="45"/>
  <c r="E296" i="45"/>
  <c r="E144" i="45"/>
  <c r="E42" i="45"/>
  <c r="E166" i="45"/>
  <c r="E170" i="45"/>
  <c r="E135" i="45"/>
  <c r="E180" i="45"/>
  <c r="E186" i="45"/>
  <c r="E11" i="45"/>
  <c r="E130" i="45"/>
  <c r="E245" i="45"/>
  <c r="E108" i="45"/>
  <c r="E90" i="45"/>
  <c r="E28" i="45"/>
  <c r="E89" i="45"/>
  <c r="E98" i="45"/>
  <c r="E265" i="45"/>
  <c r="E19" i="45"/>
  <c r="E231" i="45"/>
  <c r="E91" i="45"/>
  <c r="E192" i="45"/>
  <c r="E177" i="45"/>
  <c r="E252" i="45"/>
  <c r="E129" i="45"/>
  <c r="E181" i="45"/>
  <c r="E117" i="45"/>
  <c r="E206" i="45"/>
  <c r="E109" i="45"/>
  <c r="E209" i="45"/>
  <c r="S149" i="4"/>
  <c r="S109" i="4"/>
  <c r="S152" i="4"/>
  <c r="S4" i="4"/>
  <c r="Z4" i="4" s="1"/>
  <c r="S49" i="4"/>
  <c r="S122" i="4"/>
  <c r="S141" i="4"/>
  <c r="Z141" i="4" s="1"/>
  <c r="S185" i="4"/>
  <c r="Z185" i="4" s="1"/>
  <c r="S91" i="4"/>
  <c r="S51" i="4"/>
  <c r="S111" i="4"/>
  <c r="Z111" i="4" s="1"/>
  <c r="S125" i="4"/>
  <c r="S90" i="4"/>
  <c r="S102" i="4"/>
  <c r="Z102" i="4" s="1"/>
  <c r="S208" i="4"/>
  <c r="Z208" i="4" s="1"/>
  <c r="S143" i="4"/>
  <c r="S142" i="4"/>
  <c r="S50" i="4"/>
  <c r="S70" i="4"/>
  <c r="S132" i="4"/>
  <c r="S88" i="4"/>
  <c r="S153" i="4"/>
  <c r="S172" i="4"/>
  <c r="S145" i="4"/>
  <c r="S84" i="4"/>
  <c r="S129" i="4"/>
  <c r="S157" i="4"/>
  <c r="S183" i="4"/>
  <c r="S80" i="4"/>
  <c r="S158" i="4"/>
  <c r="Z158" i="4" s="1"/>
  <c r="S17" i="4"/>
  <c r="S118" i="4"/>
  <c r="Z118" i="4" s="1"/>
  <c r="S191" i="4"/>
  <c r="S147" i="4"/>
  <c r="Z145" i="4" s="1"/>
  <c r="S160" i="4"/>
  <c r="Z157" i="4" s="1"/>
  <c r="S167" i="4"/>
  <c r="Z167" i="4" s="1"/>
  <c r="S99" i="4"/>
  <c r="Z99" i="4" s="1"/>
  <c r="S148" i="4"/>
  <c r="Z147" i="4" s="1"/>
  <c r="S25" i="4"/>
  <c r="S100" i="4"/>
  <c r="S117" i="4"/>
  <c r="Z117" i="4" s="1"/>
  <c r="S63" i="4"/>
  <c r="S106" i="4"/>
  <c r="S207" i="4"/>
  <c r="S30" i="4"/>
  <c r="Z30" i="4" s="1"/>
  <c r="S198" i="4"/>
  <c r="S13" i="4"/>
  <c r="S150" i="4"/>
  <c r="S174" i="4"/>
  <c r="S85" i="4"/>
  <c r="S77" i="4"/>
  <c r="S193" i="4"/>
  <c r="S194" i="4"/>
  <c r="S188" i="4"/>
  <c r="Z188" i="4" s="1"/>
  <c r="S190" i="4"/>
  <c r="S24" i="4"/>
  <c r="S209" i="4"/>
  <c r="S43" i="4"/>
  <c r="S98" i="4"/>
  <c r="Z98" i="4" s="1"/>
  <c r="S61" i="4"/>
  <c r="Z61" i="4" s="1"/>
  <c r="S7" i="4"/>
  <c r="S210" i="4"/>
  <c r="S116" i="4"/>
  <c r="Z116" i="4" s="1"/>
  <c r="S23" i="4"/>
  <c r="Z23" i="4" s="1"/>
  <c r="S138" i="4"/>
  <c r="S27" i="4"/>
  <c r="Z27" i="4" s="1"/>
  <c r="S110" i="4"/>
  <c r="S83" i="4"/>
  <c r="Z85" i="4" s="1"/>
  <c r="S18" i="4"/>
  <c r="Z17" i="4" s="1"/>
  <c r="S144" i="4"/>
  <c r="S205" i="4"/>
  <c r="Z205" i="4" s="1"/>
  <c r="S165" i="4"/>
  <c r="S146" i="4"/>
  <c r="S29" i="4"/>
  <c r="Z29" i="4" s="1"/>
  <c r="S170" i="4"/>
  <c r="S124" i="4"/>
  <c r="S202" i="4"/>
  <c r="S52" i="4"/>
  <c r="S11" i="4"/>
  <c r="Z11" i="4" s="1"/>
  <c r="S177" i="4"/>
  <c r="Z177" i="4" s="1"/>
  <c r="S195" i="4"/>
  <c r="Z195" i="4" s="1"/>
  <c r="E178" i="32"/>
  <c r="E541" i="32"/>
  <c r="E218" i="32"/>
  <c r="E299" i="32"/>
  <c r="E474" i="32"/>
  <c r="E239" i="32"/>
  <c r="E470" i="32"/>
  <c r="E301" i="32"/>
  <c r="E187" i="32"/>
  <c r="E387" i="32"/>
  <c r="E487" i="32"/>
  <c r="E48" i="32"/>
  <c r="E8" i="32"/>
  <c r="E76" i="32"/>
  <c r="E130" i="32"/>
  <c r="S66" i="4"/>
  <c r="S74" i="4"/>
  <c r="S86" i="4"/>
  <c r="S97" i="4"/>
  <c r="S53" i="4"/>
  <c r="Z49" i="4" s="1"/>
  <c r="S156" i="4"/>
  <c r="S19" i="4"/>
  <c r="Z19" i="4" s="1"/>
  <c r="S180" i="4"/>
  <c r="S199" i="4"/>
  <c r="S121" i="4"/>
  <c r="Z122" i="4" s="1"/>
  <c r="S75" i="4"/>
  <c r="S197" i="4"/>
  <c r="Z198" i="4" s="1"/>
  <c r="S38" i="4"/>
  <c r="S69" i="4"/>
  <c r="S176" i="4"/>
  <c r="S5" i="4"/>
  <c r="Z5" i="4" s="1"/>
  <c r="S62" i="4"/>
  <c r="Z62" i="4" s="1"/>
  <c r="S65" i="4"/>
  <c r="Z63" i="4" s="1"/>
  <c r="S171" i="4"/>
  <c r="Z176" i="4" s="1"/>
  <c r="S20" i="4"/>
  <c r="S36" i="4"/>
  <c r="Z36" i="4" s="1"/>
  <c r="S58" i="4"/>
  <c r="Z58" i="4" s="1"/>
  <c r="S187" i="4"/>
  <c r="Z187" i="4" s="1"/>
  <c r="S136" i="4"/>
  <c r="S162" i="4"/>
  <c r="Z160" i="4" s="1"/>
  <c r="S32" i="4"/>
  <c r="Z32" i="4" s="1"/>
  <c r="S104" i="4"/>
  <c r="Z104" i="4" s="1"/>
  <c r="S33" i="4"/>
  <c r="S137" i="4"/>
  <c r="S114" i="4"/>
  <c r="S151" i="4"/>
  <c r="Z152" i="4" s="1"/>
  <c r="S40" i="4"/>
  <c r="S192" i="4"/>
  <c r="Z194" i="4" s="1"/>
  <c r="S46" i="4"/>
  <c r="Z52" i="4" s="1"/>
  <c r="S159" i="4"/>
  <c r="Z162" i="4" s="1"/>
  <c r="S54" i="4"/>
  <c r="Z54" i="4" s="1"/>
  <c r="S186" i="4"/>
  <c r="Z186" i="4" s="1"/>
  <c r="S12" i="4"/>
  <c r="Z12" i="4" s="1"/>
  <c r="S3" i="4"/>
  <c r="Z3" i="4" s="1"/>
  <c r="S140" i="4"/>
  <c r="Z144" i="4" s="1"/>
  <c r="S26" i="4"/>
  <c r="Z26" i="4" s="1"/>
  <c r="S211" i="4"/>
  <c r="Z210" i="4" s="1"/>
  <c r="S15" i="4"/>
  <c r="Z15" i="4" s="1"/>
  <c r="S181" i="4"/>
  <c r="S82" i="4"/>
  <c r="Z86" i="4" s="1"/>
  <c r="S175" i="4"/>
  <c r="S154" i="4"/>
  <c r="Z149" i="4" s="1"/>
  <c r="S212" i="4"/>
  <c r="S10" i="4"/>
  <c r="Z10" i="4" s="1"/>
  <c r="S163" i="4"/>
  <c r="Z163" i="4" s="1"/>
  <c r="S16" i="4"/>
  <c r="Z25" i="4" s="1"/>
  <c r="S213" i="4"/>
  <c r="Z213" i="4" s="1"/>
  <c r="S196" i="4"/>
  <c r="S135" i="4"/>
  <c r="Z140" i="4" s="1"/>
  <c r="S93" i="4"/>
  <c r="Z91" i="4" s="1"/>
  <c r="S203" i="4"/>
  <c r="S22" i="4"/>
  <c r="Z22" i="4" s="1"/>
  <c r="S200" i="4"/>
  <c r="S168" i="4"/>
  <c r="S131" i="4"/>
  <c r="S201" i="4"/>
  <c r="S71" i="4"/>
  <c r="S64" i="4"/>
  <c r="S73" i="4"/>
  <c r="S184" i="4"/>
  <c r="Z184" i="4" s="1"/>
  <c r="E11" i="32"/>
  <c r="E508" i="32"/>
  <c r="E406" i="32"/>
  <c r="E266" i="32"/>
  <c r="E258" i="32"/>
  <c r="E424" i="32"/>
  <c r="E366" i="32"/>
  <c r="E267" i="32"/>
  <c r="E58" i="32"/>
  <c r="E369" i="32"/>
  <c r="E190" i="32"/>
  <c r="E106" i="32"/>
  <c r="E10" i="32"/>
  <c r="E378" i="32"/>
  <c r="E20" i="32"/>
  <c r="E238" i="32"/>
  <c r="B9" i="1"/>
  <c r="E507" i="32"/>
  <c r="E510" i="32"/>
  <c r="E475" i="32"/>
  <c r="E375" i="32"/>
  <c r="E367" i="32"/>
  <c r="E377" i="32"/>
  <c r="E169" i="32"/>
  <c r="E164" i="32"/>
  <c r="E325" i="32"/>
  <c r="E115" i="32"/>
  <c r="E458" i="32"/>
  <c r="E339" i="32"/>
  <c r="E129" i="32"/>
  <c r="E225" i="32"/>
  <c r="E74" i="32"/>
  <c r="E330" i="32"/>
  <c r="E449" i="32"/>
  <c r="E83" i="32"/>
  <c r="E454" i="32"/>
  <c r="E408" i="32"/>
  <c r="E310" i="32"/>
  <c r="E105" i="30"/>
  <c r="E84" i="30"/>
  <c r="E94" i="30"/>
  <c r="E22" i="31"/>
  <c r="E233" i="30"/>
  <c r="E124" i="31"/>
  <c r="E68" i="31"/>
  <c r="E29" i="31"/>
  <c r="E56" i="30"/>
  <c r="E360" i="30"/>
  <c r="E320" i="30"/>
  <c r="E135" i="30"/>
  <c r="E384" i="30"/>
  <c r="E254" i="31"/>
  <c r="E386" i="32"/>
  <c r="E30" i="30"/>
  <c r="E72" i="30"/>
  <c r="E275" i="30"/>
  <c r="E314" i="31"/>
  <c r="E230" i="30"/>
  <c r="E363" i="30"/>
  <c r="E32" i="31"/>
  <c r="E303" i="31"/>
  <c r="E221" i="31"/>
  <c r="E339" i="31"/>
  <c r="E65" i="30"/>
  <c r="E40" i="31"/>
  <c r="E307" i="31"/>
  <c r="E387" i="30"/>
  <c r="E450" i="30"/>
  <c r="E78" i="30"/>
  <c r="E355" i="30"/>
  <c r="E287" i="30"/>
  <c r="E359" i="30"/>
  <c r="E256" i="31"/>
  <c r="E206" i="31"/>
  <c r="E207" i="31"/>
  <c r="E11" i="31"/>
  <c r="E197" i="30"/>
  <c r="E141" i="31"/>
  <c r="E156" i="30"/>
  <c r="E333" i="31"/>
  <c r="E131" i="31"/>
  <c r="E335" i="30"/>
  <c r="E104" i="30"/>
  <c r="E33" i="31"/>
  <c r="E181" i="30"/>
  <c r="E315" i="30"/>
  <c r="E186" i="30"/>
  <c r="E397" i="30"/>
  <c r="E188" i="31"/>
  <c r="E147" i="31"/>
  <c r="E426" i="30"/>
  <c r="E411" i="30"/>
  <c r="E205" i="30"/>
  <c r="E270" i="30"/>
  <c r="E235" i="31"/>
  <c r="E287" i="31"/>
  <c r="E425" i="30"/>
  <c r="E109" i="31"/>
  <c r="E77" i="31"/>
  <c r="E266" i="30"/>
  <c r="E308" i="30"/>
  <c r="E336" i="30"/>
  <c r="E78" i="31"/>
  <c r="E344" i="30"/>
  <c r="E167" i="31"/>
  <c r="E226" i="30"/>
  <c r="E304" i="30"/>
  <c r="E257" i="31"/>
  <c r="E217" i="31"/>
  <c r="E93" i="31"/>
  <c r="E152" i="31"/>
  <c r="E239" i="30"/>
  <c r="E410" i="30"/>
  <c r="E313" i="31"/>
  <c r="E140" i="31"/>
  <c r="E277" i="30"/>
  <c r="E198" i="31"/>
  <c r="E326" i="31"/>
  <c r="E11" i="30"/>
  <c r="E253" i="30"/>
  <c r="E277" i="31"/>
  <c r="E137" i="30"/>
  <c r="E213" i="31"/>
  <c r="E177" i="31"/>
  <c r="E455" i="30"/>
  <c r="E337" i="31"/>
  <c r="E77" i="30"/>
  <c r="E115" i="30"/>
  <c r="E73" i="31"/>
  <c r="E243" i="30"/>
  <c r="E81" i="30"/>
  <c r="E311" i="30"/>
  <c r="E328" i="30"/>
  <c r="E437" i="30"/>
  <c r="E430" i="30"/>
  <c r="E395" i="30"/>
  <c r="E47" i="31"/>
  <c r="E3" i="30"/>
  <c r="E28" i="30"/>
  <c r="E327" i="30"/>
  <c r="E70" i="31"/>
  <c r="E87" i="30"/>
  <c r="E170" i="30"/>
  <c r="E136" i="30"/>
  <c r="E409" i="30"/>
  <c r="E139" i="31"/>
  <c r="E302" i="30"/>
  <c r="E404" i="30"/>
  <c r="E31" i="30"/>
  <c r="E335" i="31"/>
  <c r="E305" i="31"/>
  <c r="E211" i="30"/>
  <c r="E12" i="31"/>
  <c r="E18" i="30"/>
  <c r="E452" i="30"/>
  <c r="E152" i="30"/>
  <c r="E339" i="30"/>
  <c r="E178" i="31"/>
  <c r="E126" i="30"/>
  <c r="E240" i="31"/>
  <c r="E234" i="30"/>
  <c r="E263" i="30"/>
  <c r="E138" i="30"/>
  <c r="E42" i="31"/>
  <c r="E175" i="31"/>
  <c r="E200" i="31"/>
  <c r="E319" i="30"/>
  <c r="E295" i="31"/>
  <c r="E144" i="31"/>
  <c r="E34" i="31"/>
  <c r="E456" i="30"/>
  <c r="E347" i="30"/>
  <c r="E18" i="32"/>
  <c r="E493" i="32"/>
  <c r="E116" i="31"/>
  <c r="E233" i="31"/>
  <c r="E392" i="30"/>
  <c r="E100" i="30"/>
  <c r="E46" i="30"/>
  <c r="E52" i="31"/>
  <c r="E374" i="30"/>
  <c r="E74" i="30"/>
  <c r="E459" i="30"/>
  <c r="E132" i="30"/>
  <c r="E238" i="30"/>
  <c r="E180" i="32"/>
  <c r="E123" i="32"/>
  <c r="E63" i="30"/>
  <c r="E326" i="32"/>
  <c r="E241" i="32"/>
  <c r="E191" i="32"/>
  <c r="E133" i="32"/>
  <c r="E317" i="32"/>
  <c r="E315" i="32"/>
  <c r="E506" i="32"/>
  <c r="E61" i="32"/>
  <c r="E128" i="32"/>
  <c r="E523" i="32"/>
  <c r="E480" i="32"/>
  <c r="E287" i="32"/>
  <c r="E248" i="32"/>
  <c r="E439" i="32"/>
  <c r="E419" i="30"/>
  <c r="E54" i="32"/>
  <c r="E340" i="32"/>
  <c r="E349" i="32"/>
  <c r="E462" i="32"/>
  <c r="E161" i="32"/>
  <c r="E305" i="32"/>
  <c r="E448" i="32"/>
  <c r="E25" i="31"/>
  <c r="E149" i="31"/>
  <c r="E49" i="31"/>
  <c r="E365" i="30"/>
  <c r="E274" i="31"/>
  <c r="E114" i="31"/>
  <c r="E130" i="30"/>
  <c r="E102" i="30"/>
  <c r="E346" i="30"/>
  <c r="E163" i="32"/>
  <c r="E407" i="30"/>
  <c r="E14" i="31"/>
  <c r="E112" i="31"/>
  <c r="E377" i="30"/>
  <c r="E212" i="31"/>
  <c r="E141" i="30"/>
  <c r="E20" i="31"/>
  <c r="E429" i="30"/>
  <c r="E10" i="30"/>
  <c r="E364" i="30"/>
  <c r="E321" i="30"/>
  <c r="E51" i="31"/>
  <c r="E68" i="30"/>
  <c r="E148" i="31"/>
  <c r="E140" i="30"/>
  <c r="E283" i="31"/>
  <c r="E21" i="32"/>
  <c r="E162" i="30"/>
  <c r="E492" i="32"/>
  <c r="E195" i="30"/>
  <c r="E100" i="31"/>
  <c r="E408" i="30"/>
  <c r="E148" i="30"/>
  <c r="E176" i="31"/>
  <c r="E382" i="30"/>
  <c r="E353" i="30"/>
  <c r="E149" i="30"/>
  <c r="E334" i="31"/>
  <c r="E54" i="30"/>
  <c r="E216" i="31"/>
  <c r="E179" i="31"/>
  <c r="E253" i="32"/>
  <c r="E173" i="31"/>
  <c r="E469" i="32"/>
  <c r="E122" i="30"/>
  <c r="E234" i="31"/>
  <c r="E230" i="31"/>
  <c r="E284" i="31"/>
  <c r="E171" i="31"/>
  <c r="E263" i="31"/>
  <c r="E165" i="30"/>
  <c r="E159" i="31"/>
  <c r="E416" i="30"/>
  <c r="E350" i="30"/>
  <c r="E104" i="31"/>
  <c r="E219" i="31"/>
  <c r="E21" i="30"/>
  <c r="E27" i="31"/>
  <c r="E341" i="30"/>
  <c r="E151" i="31"/>
  <c r="E108" i="31"/>
  <c r="E315" i="31"/>
  <c r="E2" i="30"/>
  <c r="E102" i="31"/>
  <c r="E285" i="31"/>
  <c r="E58" i="31"/>
  <c r="E134" i="30"/>
  <c r="E428" i="30"/>
  <c r="E245" i="30"/>
  <c r="E332" i="30"/>
  <c r="E281" i="31"/>
  <c r="E97" i="30"/>
  <c r="E202" i="31"/>
  <c r="E154" i="32"/>
  <c r="E268" i="30"/>
  <c r="E196" i="31"/>
  <c r="E327" i="31"/>
  <c r="E90" i="31"/>
  <c r="E401" i="30"/>
  <c r="E39" i="30"/>
  <c r="E223" i="30"/>
  <c r="E283" i="30"/>
  <c r="E116" i="30"/>
  <c r="E185" i="30"/>
  <c r="E66" i="30"/>
  <c r="E146" i="30"/>
  <c r="E71" i="30"/>
  <c r="E53" i="30"/>
  <c r="E218" i="31"/>
  <c r="E383" i="30"/>
  <c r="E521" i="32"/>
  <c r="E357" i="32"/>
  <c r="E321" i="32"/>
  <c r="E282" i="32"/>
  <c r="E117" i="32"/>
  <c r="E200" i="32"/>
  <c r="E296" i="31"/>
  <c r="E347" i="31"/>
  <c r="E121" i="30"/>
  <c r="E262" i="31"/>
  <c r="E242" i="30"/>
  <c r="E207" i="30"/>
  <c r="E337" i="32"/>
  <c r="E194" i="32"/>
  <c r="E298" i="31"/>
  <c r="E132" i="31"/>
  <c r="E431" i="30"/>
  <c r="E220" i="31"/>
  <c r="E278" i="30"/>
  <c r="E468" i="32"/>
  <c r="E143" i="32"/>
  <c r="E169" i="30"/>
  <c r="E38" i="31"/>
  <c r="E48" i="30"/>
  <c r="E82" i="30"/>
  <c r="E417" i="30"/>
  <c r="E290" i="31"/>
  <c r="E45" i="30"/>
  <c r="E40" i="32"/>
  <c r="E356" i="30"/>
  <c r="E317" i="30"/>
  <c r="E418" i="30"/>
  <c r="E44" i="31"/>
  <c r="E259" i="31"/>
  <c r="E274" i="30"/>
  <c r="E86" i="31"/>
  <c r="E22" i="32"/>
  <c r="E98" i="32"/>
  <c r="E460" i="32"/>
  <c r="E127" i="32"/>
  <c r="E184" i="32"/>
  <c r="E484" i="32"/>
  <c r="E416" i="32"/>
  <c r="E202" i="32"/>
  <c r="E372" i="32"/>
  <c r="E234" i="32"/>
  <c r="E141" i="32"/>
  <c r="E444" i="32"/>
  <c r="E288" i="32"/>
  <c r="E175" i="32"/>
  <c r="E328" i="32"/>
  <c r="E490" i="32"/>
  <c r="E329" i="31"/>
  <c r="E201" i="32"/>
  <c r="E213" i="32"/>
  <c r="E371" i="32"/>
  <c r="E358" i="32"/>
  <c r="E502" i="32"/>
  <c r="E33" i="32"/>
  <c r="E415" i="32"/>
  <c r="E259" i="32"/>
  <c r="E63" i="32"/>
  <c r="E334" i="32"/>
  <c r="E452" i="32"/>
  <c r="E396" i="32"/>
  <c r="E278" i="32"/>
  <c r="E312" i="32"/>
  <c r="E433" i="32"/>
  <c r="E461" i="32"/>
  <c r="E35" i="32"/>
  <c r="E135" i="32"/>
  <c r="E164" i="30"/>
  <c r="E101" i="31"/>
  <c r="E156" i="31"/>
  <c r="E334" i="30"/>
  <c r="E164" i="31"/>
  <c r="E184" i="30"/>
  <c r="E255" i="30"/>
  <c r="E98" i="30"/>
  <c r="E257" i="32"/>
  <c r="E55" i="31"/>
  <c r="E63" i="31"/>
  <c r="E208" i="30"/>
  <c r="E303" i="30"/>
  <c r="E436" i="30"/>
  <c r="E444" i="30"/>
  <c r="E15" i="31"/>
  <c r="E460" i="30"/>
  <c r="E168" i="31"/>
  <c r="E396" i="30"/>
  <c r="E229" i="30"/>
  <c r="E250" i="31"/>
  <c r="E118" i="30"/>
  <c r="E203" i="31"/>
  <c r="E69" i="30"/>
  <c r="E36" i="30"/>
  <c r="E182" i="30"/>
  <c r="E90" i="30"/>
  <c r="E379" i="30"/>
  <c r="E23" i="30"/>
  <c r="E453" i="30"/>
  <c r="E505" i="32"/>
  <c r="E250" i="32"/>
  <c r="E158" i="32"/>
  <c r="E182" i="32"/>
  <c r="E89" i="32"/>
  <c r="E155" i="32"/>
  <c r="E430" i="32"/>
  <c r="E316" i="32"/>
  <c r="E101" i="32"/>
  <c r="E497" i="32"/>
  <c r="E39" i="32"/>
  <c r="E284" i="32"/>
  <c r="E144" i="30"/>
  <c r="E310" i="31"/>
  <c r="E124" i="30"/>
  <c r="E119" i="31"/>
  <c r="E34" i="30"/>
  <c r="E83" i="30"/>
  <c r="E273" i="31"/>
  <c r="E93" i="30"/>
  <c r="E269" i="32"/>
  <c r="E235" i="30"/>
  <c r="E250" i="30"/>
  <c r="E110" i="30"/>
  <c r="E160" i="31"/>
  <c r="E103" i="30"/>
  <c r="E324" i="30"/>
  <c r="E319" i="31"/>
  <c r="E113" i="30"/>
  <c r="E486" i="32"/>
  <c r="E385" i="30"/>
  <c r="E399" i="32"/>
  <c r="E389" i="30"/>
  <c r="E363" i="32"/>
  <c r="E272" i="30"/>
  <c r="E532" i="32"/>
  <c r="E4" i="31"/>
  <c r="E145" i="31"/>
  <c r="E340" i="31"/>
  <c r="E329" i="30"/>
  <c r="E227" i="31"/>
  <c r="E7" i="31"/>
  <c r="E209" i="31"/>
  <c r="E306" i="30"/>
  <c r="E190" i="30"/>
  <c r="E304" i="31"/>
  <c r="E294" i="30"/>
  <c r="E121" i="32"/>
  <c r="E17" i="31"/>
  <c r="E110" i="31"/>
  <c r="E10" i="31"/>
  <c r="E534" i="32"/>
  <c r="E299" i="30"/>
  <c r="E391" i="30"/>
  <c r="E192" i="30"/>
  <c r="E301" i="30"/>
  <c r="E28" i="31"/>
  <c r="E216" i="32"/>
  <c r="E166" i="31"/>
  <c r="E340" i="30"/>
  <c r="E320" i="32"/>
  <c r="E111" i="30"/>
  <c r="E135" i="31"/>
  <c r="E165" i="31"/>
  <c r="E17" i="30"/>
  <c r="E399" i="30"/>
  <c r="E446" i="32"/>
  <c r="E60" i="31"/>
  <c r="E368" i="30"/>
  <c r="E213" i="30"/>
  <c r="E313" i="30"/>
  <c r="E220" i="30"/>
  <c r="E293" i="31"/>
  <c r="E40" i="30"/>
  <c r="E125" i="31"/>
  <c r="E65" i="31"/>
  <c r="E70" i="30"/>
  <c r="E25" i="30"/>
  <c r="E82" i="31"/>
  <c r="E275" i="31"/>
  <c r="E178" i="30"/>
  <c r="E293" i="32"/>
  <c r="E276" i="32"/>
  <c r="E538" i="32"/>
  <c r="E142" i="32"/>
  <c r="E442" i="32"/>
  <c r="E456" i="32"/>
  <c r="E197" i="32"/>
  <c r="E163" i="30"/>
  <c r="E479" i="32"/>
  <c r="E238" i="31"/>
  <c r="E170" i="32"/>
  <c r="E240" i="32"/>
  <c r="E332" i="32"/>
  <c r="E249" i="32"/>
  <c r="E511" i="32"/>
  <c r="E327" i="32"/>
  <c r="E224" i="32"/>
  <c r="E102" i="32"/>
  <c r="E165" i="32"/>
  <c r="E379" i="32"/>
  <c r="E306" i="32"/>
  <c r="E62" i="32"/>
  <c r="E209" i="32"/>
  <c r="E235" i="32"/>
  <c r="E37" i="32"/>
  <c r="E280" i="32"/>
  <c r="E157" i="32"/>
  <c r="E166" i="32"/>
  <c r="E381" i="32"/>
  <c r="E221" i="32"/>
  <c r="E380" i="32"/>
  <c r="E412" i="32"/>
  <c r="E261" i="32"/>
  <c r="E294" i="32"/>
  <c r="E25" i="32"/>
  <c r="E13" i="32"/>
  <c r="E370" i="32"/>
  <c r="E311" i="32"/>
  <c r="E453" i="32"/>
  <c r="E300" i="32"/>
  <c r="E50" i="32"/>
  <c r="E214" i="32"/>
  <c r="E401" i="32"/>
  <c r="E336" i="32"/>
  <c r="E393" i="32"/>
  <c r="E247" i="32"/>
  <c r="E353" i="32"/>
  <c r="E145" i="32"/>
  <c r="E260" i="32"/>
  <c r="E53" i="32"/>
  <c r="E515" i="32"/>
  <c r="E75" i="32"/>
  <c r="E212" i="32"/>
  <c r="E211" i="32"/>
  <c r="E138" i="32"/>
  <c r="E264" i="32"/>
  <c r="E59" i="32"/>
  <c r="E69" i="32"/>
  <c r="E265" i="32"/>
  <c r="E388" i="32"/>
  <c r="E2" i="32"/>
  <c r="E384" i="32"/>
  <c r="E251" i="32"/>
  <c r="E488" i="32"/>
  <c r="E223" i="32"/>
  <c r="E524" i="32"/>
  <c r="E304" i="32"/>
  <c r="E126" i="32"/>
  <c r="E100" i="32"/>
  <c r="E42" i="32"/>
  <c r="E463" i="32"/>
  <c r="E477" i="32"/>
  <c r="E8" i="30"/>
  <c r="E303" i="32"/>
  <c r="E201" i="31"/>
  <c r="E320" i="31"/>
  <c r="E196" i="30"/>
  <c r="E440" i="30"/>
  <c r="E441" i="30"/>
  <c r="E373" i="32"/>
  <c r="E123" i="31"/>
  <c r="E236" i="30"/>
  <c r="E418" i="32"/>
  <c r="E246" i="30"/>
  <c r="E271" i="31"/>
  <c r="E348" i="30"/>
  <c r="E8" i="31"/>
  <c r="E272" i="31"/>
  <c r="E129" i="30"/>
  <c r="E94" i="31"/>
  <c r="E358" i="30"/>
  <c r="E288" i="30"/>
  <c r="E476" i="32"/>
  <c r="E90" i="32"/>
  <c r="E281" i="32"/>
  <c r="E147" i="32"/>
  <c r="E385" i="32"/>
  <c r="E471" i="32"/>
  <c r="E533" i="32"/>
  <c r="E420" i="30"/>
  <c r="E150" i="31"/>
  <c r="E37" i="31"/>
  <c r="E45" i="31"/>
  <c r="E89" i="31"/>
  <c r="E211" i="31"/>
  <c r="E114" i="30"/>
  <c r="E325" i="30"/>
  <c r="E67" i="31"/>
  <c r="E369" i="30"/>
  <c r="E92" i="30"/>
  <c r="E257" i="30"/>
  <c r="E241" i="31"/>
  <c r="E307" i="30"/>
  <c r="E184" i="31"/>
  <c r="E261" i="31"/>
  <c r="E147" i="30"/>
  <c r="E193" i="31"/>
  <c r="E192" i="31"/>
  <c r="E259" i="30"/>
  <c r="E214" i="31"/>
  <c r="E155" i="31"/>
  <c r="E95" i="31"/>
  <c r="E87" i="31"/>
  <c r="E158" i="30"/>
  <c r="E29" i="30"/>
  <c r="E246" i="31"/>
  <c r="E296" i="30"/>
  <c r="E19" i="30"/>
  <c r="E118" i="31"/>
  <c r="E162" i="31"/>
  <c r="E15" i="30"/>
  <c r="E166" i="30"/>
  <c r="E301" i="31"/>
  <c r="E232" i="31"/>
  <c r="E133" i="31"/>
  <c r="E454" i="30"/>
  <c r="E152" i="32"/>
  <c r="E443" i="32"/>
  <c r="E307" i="32"/>
  <c r="E108" i="32"/>
  <c r="E527" i="32"/>
  <c r="E189" i="32"/>
  <c r="E360" i="32"/>
  <c r="E485" i="32"/>
  <c r="E404" i="32"/>
  <c r="E289" i="32"/>
  <c r="E503" i="32"/>
  <c r="E112" i="32"/>
  <c r="E118" i="32"/>
  <c r="E313" i="32"/>
  <c r="E19" i="32"/>
  <c r="E96" i="32"/>
  <c r="E109" i="32"/>
  <c r="E71" i="32"/>
  <c r="E482" i="32"/>
  <c r="E5" i="32"/>
  <c r="E173" i="32"/>
  <c r="E537" i="32"/>
  <c r="E47" i="32"/>
  <c r="E208" i="32"/>
  <c r="E356" i="32"/>
  <c r="E193" i="32"/>
  <c r="E279" i="32"/>
  <c r="E286" i="32"/>
  <c r="E114" i="32"/>
  <c r="E514" i="32"/>
  <c r="E242" i="32"/>
  <c r="E427" i="32"/>
  <c r="E79" i="32"/>
  <c r="E333" i="32"/>
  <c r="E263" i="32"/>
  <c r="E472" i="32"/>
  <c r="E429" i="32"/>
  <c r="E159" i="32"/>
  <c r="E202" i="30"/>
  <c r="E24" i="32"/>
  <c r="E59" i="30"/>
  <c r="E183" i="32"/>
  <c r="E162" i="32"/>
  <c r="E285" i="32"/>
  <c r="E41" i="32"/>
  <c r="E14" i="32"/>
  <c r="E526" i="32"/>
  <c r="E364" i="32"/>
  <c r="E275" i="32"/>
  <c r="E220" i="32"/>
  <c r="E219" i="32"/>
  <c r="E407" i="32"/>
  <c r="E528" i="32"/>
  <c r="E450" i="32"/>
  <c r="E226" i="32"/>
  <c r="S6" i="4"/>
  <c r="Z7" i="4" s="1"/>
  <c r="S60" i="4"/>
  <c r="S134" i="4"/>
  <c r="S173" i="4"/>
  <c r="Z172" i="4" s="1"/>
  <c r="S47" i="4"/>
  <c r="Z47" i="4" s="1"/>
  <c r="S59" i="4"/>
  <c r="Z59" i="4" s="1"/>
  <c r="S81" i="4"/>
  <c r="Z81" i="4" s="1"/>
  <c r="S45" i="4"/>
  <c r="Z43" i="4" s="1"/>
  <c r="S92" i="4"/>
  <c r="Z93" i="4" s="1"/>
  <c r="S169" i="4"/>
  <c r="S120" i="4"/>
  <c r="S89" i="4"/>
  <c r="S189" i="4"/>
  <c r="Z192" i="4" s="1"/>
  <c r="S166" i="4"/>
  <c r="S112" i="4"/>
  <c r="Z112" i="4" s="1"/>
  <c r="S161" i="4"/>
  <c r="Z159" i="4" s="1"/>
  <c r="S128" i="4"/>
  <c r="S57" i="4"/>
  <c r="Z50" i="4" s="1"/>
  <c r="S8" i="4"/>
  <c r="Z8" i="4" s="1"/>
  <c r="S101" i="4"/>
  <c r="Z100" i="4" s="1"/>
  <c r="S133" i="4"/>
  <c r="Z134" i="4" s="1"/>
  <c r="S76" i="4"/>
  <c r="Z77" i="4" s="1"/>
  <c r="S179" i="4"/>
  <c r="S204" i="4"/>
  <c r="Z202" i="4" s="1"/>
  <c r="S56" i="4"/>
  <c r="S42" i="4"/>
  <c r="Z42" i="4" s="1"/>
  <c r="S78" i="4"/>
  <c r="S103" i="4"/>
  <c r="Z103" i="4" s="1"/>
  <c r="S79" i="4"/>
  <c r="Z75" i="4" s="1"/>
  <c r="S206" i="4"/>
  <c r="Z203" i="4" s="1"/>
  <c r="S155" i="4"/>
  <c r="S34" i="4"/>
  <c r="Z38" i="4" s="1"/>
  <c r="S107" i="4"/>
  <c r="Z107" i="4" s="1"/>
  <c r="S35" i="4"/>
  <c r="Z35" i="4" s="1"/>
  <c r="S28" i="4"/>
  <c r="Z28" i="4" s="1"/>
  <c r="S72" i="4"/>
  <c r="Z72" i="4" s="1"/>
  <c r="S9" i="4"/>
  <c r="Z9" i="4" s="1"/>
  <c r="S123" i="4"/>
  <c r="S113" i="4"/>
  <c r="S127" i="4"/>
  <c r="S67" i="4"/>
  <c r="Z67" i="4" s="1"/>
  <c r="S87" i="4"/>
  <c r="S55" i="4"/>
  <c r="Z56" i="4" s="1"/>
  <c r="S126" i="4"/>
  <c r="Z125" i="4" s="1"/>
  <c r="S21" i="4"/>
  <c r="S119" i="4"/>
  <c r="S164" i="4"/>
  <c r="Z171" i="4" s="1"/>
  <c r="S37" i="4"/>
  <c r="Z37" i="4" s="1"/>
  <c r="S108" i="4"/>
  <c r="S182" i="4"/>
  <c r="Z180" i="4" s="1"/>
  <c r="S96" i="4"/>
  <c r="Z96" i="4" s="1"/>
  <c r="S14" i="4"/>
  <c r="Z13" i="4" s="1"/>
  <c r="S68" i="4"/>
  <c r="S178" i="4"/>
  <c r="Z183" i="4" s="1"/>
  <c r="S115" i="4"/>
  <c r="S44" i="4"/>
  <c r="Z44" i="4" s="1"/>
  <c r="S139" i="4"/>
  <c r="S95" i="4"/>
  <c r="Z97" i="4" s="1"/>
  <c r="S39" i="4"/>
  <c r="Z39" i="4" s="1"/>
  <c r="S94" i="4"/>
  <c r="Z95" i="4" s="1"/>
  <c r="S105" i="4"/>
  <c r="Z106" i="4" s="1"/>
  <c r="S31" i="4"/>
  <c r="Z31" i="4" s="1"/>
  <c r="S41" i="4"/>
  <c r="S48" i="4"/>
  <c r="Z53" i="4" s="1"/>
  <c r="S130" i="4"/>
  <c r="E529" i="32"/>
  <c r="E525" i="32"/>
  <c r="E44" i="32"/>
  <c r="E323" i="32"/>
  <c r="E309" i="32"/>
  <c r="E111" i="32"/>
  <c r="E78" i="32"/>
  <c r="E49" i="32"/>
  <c r="E391" i="32"/>
  <c r="E84" i="32"/>
  <c r="E540" i="32"/>
  <c r="E16" i="32"/>
  <c r="E140" i="32"/>
  <c r="E516" i="32"/>
  <c r="E352" i="32"/>
  <c r="E246" i="32"/>
  <c r="E26" i="32"/>
  <c r="E423" i="32"/>
  <c r="E495" i="32"/>
  <c r="E66" i="32"/>
  <c r="E255" i="32"/>
  <c r="E411" i="32"/>
  <c r="E243" i="32"/>
  <c r="E350" i="32"/>
  <c r="E94" i="32"/>
  <c r="E167" i="32"/>
  <c r="E421" i="32"/>
  <c r="E329" i="32"/>
  <c r="E292" i="32"/>
  <c r="E205" i="32"/>
  <c r="E342" i="32"/>
  <c r="E93" i="32"/>
  <c r="E277" i="32"/>
  <c r="E85" i="32"/>
  <c r="E270" i="32"/>
  <c r="E125" i="32"/>
  <c r="E462" i="30"/>
  <c r="E464" i="32"/>
  <c r="E237" i="30"/>
  <c r="E212" i="30"/>
  <c r="E186" i="31"/>
  <c r="E138" i="31"/>
  <c r="E57" i="30"/>
  <c r="E244" i="30"/>
  <c r="E434" i="30"/>
  <c r="E185" i="31"/>
  <c r="E206" i="30"/>
  <c r="E249" i="30"/>
  <c r="E179" i="30"/>
  <c r="E154" i="31"/>
  <c r="E9" i="31"/>
  <c r="E413" i="30"/>
  <c r="E330" i="30"/>
  <c r="E422" i="32"/>
  <c r="E295" i="30"/>
  <c r="E171" i="30"/>
  <c r="E153" i="30"/>
  <c r="E30" i="31"/>
  <c r="E443" i="30"/>
  <c r="E62" i="31"/>
  <c r="E71" i="31"/>
  <c r="E189" i="30"/>
  <c r="E322" i="30"/>
  <c r="E332" i="31"/>
  <c r="E131" i="30"/>
  <c r="E386" i="30"/>
  <c r="E247" i="31"/>
  <c r="E325" i="31"/>
  <c r="E199" i="31"/>
  <c r="E231" i="31"/>
  <c r="E231" i="30"/>
  <c r="E20" i="30"/>
  <c r="E31" i="31"/>
  <c r="E349" i="31"/>
  <c r="E117" i="30"/>
  <c r="E107" i="30"/>
  <c r="E76" i="30"/>
  <c r="E107" i="31"/>
  <c r="E322" i="31"/>
  <c r="E157" i="31"/>
  <c r="E310" i="30"/>
  <c r="E85" i="30"/>
  <c r="E333" i="30"/>
  <c r="E142" i="30"/>
  <c r="E366" i="30"/>
  <c r="E16" i="31"/>
  <c r="E276" i="30"/>
  <c r="E338" i="30"/>
  <c r="E270" i="31"/>
  <c r="E13" i="30"/>
  <c r="E190" i="31"/>
  <c r="E136" i="31"/>
  <c r="E108" i="30"/>
  <c r="E168" i="30"/>
  <c r="E89" i="30"/>
  <c r="E438" i="30"/>
  <c r="E227" i="30"/>
  <c r="E58" i="30"/>
  <c r="E349" i="30"/>
  <c r="E225" i="30"/>
  <c r="E219" i="30"/>
  <c r="E121" i="31"/>
  <c r="E381" i="30"/>
  <c r="E445" i="30"/>
  <c r="E97" i="31"/>
  <c r="E96" i="30"/>
  <c r="E139" i="30"/>
  <c r="E324" i="31"/>
  <c r="E105" i="31"/>
  <c r="E130" i="31"/>
  <c r="E194" i="30"/>
  <c r="E96" i="31"/>
  <c r="E318" i="30"/>
  <c r="E242" i="31"/>
  <c r="E14" i="30"/>
  <c r="E160" i="30"/>
  <c r="E6" i="31"/>
  <c r="E256" i="30"/>
  <c r="E204" i="31"/>
  <c r="E292" i="31"/>
  <c r="E120" i="30"/>
  <c r="E80" i="31"/>
  <c r="E262" i="30"/>
  <c r="E378" i="30"/>
  <c r="E344" i="31"/>
  <c r="E86" i="30"/>
  <c r="E161" i="30"/>
  <c r="E336" i="31"/>
  <c r="E215" i="30"/>
  <c r="E346" i="31"/>
  <c r="E41" i="31"/>
  <c r="E99" i="30"/>
  <c r="E150" i="30"/>
  <c r="E352" i="30"/>
  <c r="E128" i="30"/>
  <c r="E400" i="30"/>
  <c r="E316" i="30"/>
  <c r="E145" i="30"/>
  <c r="E390" i="30"/>
  <c r="E221" i="30"/>
  <c r="E309" i="30"/>
  <c r="E435" i="32"/>
  <c r="E274" i="32"/>
  <c r="E292" i="30"/>
  <c r="E18" i="31"/>
  <c r="E72" i="31"/>
  <c r="E35" i="31"/>
  <c r="E370" i="30"/>
  <c r="E64" i="30"/>
  <c r="E67" i="30"/>
  <c r="E432" i="30"/>
  <c r="E19" i="31"/>
  <c r="E146" i="32"/>
  <c r="E284" i="30"/>
  <c r="E117" i="31"/>
  <c r="E193" i="30"/>
  <c r="E84" i="31"/>
  <c r="E174" i="31"/>
  <c r="E286" i="31"/>
  <c r="E59" i="31"/>
  <c r="E32" i="30"/>
  <c r="E127" i="31"/>
  <c r="E446" i="30"/>
  <c r="E393" i="30"/>
  <c r="E228" i="30"/>
  <c r="E52" i="30"/>
  <c r="E209" i="30"/>
  <c r="E251" i="31"/>
  <c r="E54" i="31"/>
  <c r="E218" i="30"/>
  <c r="E419" i="32"/>
  <c r="E226" i="31"/>
  <c r="E338" i="31"/>
  <c r="E321" i="31"/>
  <c r="E273" i="30"/>
  <c r="E16" i="30"/>
  <c r="E158" i="31"/>
  <c r="E173" i="30"/>
  <c r="E415" i="30"/>
  <c r="E88" i="30"/>
  <c r="E258" i="31"/>
  <c r="E177" i="30"/>
  <c r="E61" i="30"/>
  <c r="E260" i="30"/>
  <c r="E331" i="30"/>
  <c r="E55" i="32"/>
  <c r="E383" i="32"/>
  <c r="E436" i="32"/>
  <c r="E331" i="32"/>
  <c r="E205" i="31"/>
  <c r="E245" i="32"/>
  <c r="E227" i="32"/>
  <c r="E347" i="32"/>
  <c r="E88" i="32"/>
  <c r="E38" i="32"/>
  <c r="E64" i="32"/>
  <c r="E324" i="32"/>
  <c r="E56" i="32"/>
  <c r="E397" i="32"/>
  <c r="E171" i="32"/>
  <c r="E343" i="32"/>
  <c r="E322" i="32"/>
  <c r="E441" i="32"/>
  <c r="E539" i="32"/>
  <c r="E77" i="32"/>
  <c r="E519" i="32"/>
  <c r="E481" i="32"/>
  <c r="E319" i="32"/>
  <c r="E6" i="32"/>
  <c r="E29" i="32"/>
  <c r="E188" i="30"/>
  <c r="E217" i="32"/>
  <c r="E106" i="31"/>
  <c r="E302" i="31"/>
  <c r="E214" i="30"/>
  <c r="E330" i="31"/>
  <c r="E137" i="31"/>
  <c r="E251" i="30"/>
  <c r="E62" i="30"/>
  <c r="E55" i="30"/>
  <c r="E85" i="31"/>
  <c r="E119" i="30"/>
  <c r="E120" i="31"/>
  <c r="E172" i="31"/>
  <c r="E195" i="31"/>
  <c r="E56" i="31"/>
  <c r="E198" i="30"/>
  <c r="E183" i="30"/>
  <c r="E376" i="30"/>
  <c r="E412" i="30"/>
  <c r="E92" i="31"/>
  <c r="E113" i="31"/>
  <c r="E64" i="31"/>
  <c r="E317" i="31"/>
  <c r="E191" i="31"/>
  <c r="E172" i="30"/>
  <c r="E126" i="31"/>
  <c r="E106" i="30"/>
  <c r="E403" i="30"/>
  <c r="E60" i="30"/>
  <c r="E276" i="31"/>
  <c r="E153" i="31"/>
  <c r="E163" i="31"/>
  <c r="E458" i="30"/>
  <c r="E176" i="32"/>
  <c r="E373" i="30"/>
  <c r="E199" i="30"/>
  <c r="E57" i="31"/>
  <c r="E351" i="30"/>
  <c r="E228" i="31"/>
  <c r="E28" i="32"/>
  <c r="E341" i="31"/>
  <c r="E266" i="31"/>
  <c r="E348" i="31"/>
  <c r="E24" i="31"/>
  <c r="E198" i="32"/>
  <c r="E61" i="31"/>
  <c r="E289" i="30"/>
  <c r="E308" i="31"/>
  <c r="E79" i="30"/>
  <c r="E298" i="32"/>
  <c r="E115" i="31"/>
  <c r="E80" i="30"/>
  <c r="E372" i="30"/>
  <c r="E265" i="31"/>
  <c r="E95" i="30"/>
  <c r="E289" i="31"/>
  <c r="E208" i="31"/>
  <c r="E127" i="30"/>
  <c r="E47" i="30"/>
  <c r="E176" i="30"/>
  <c r="E361" i="30"/>
  <c r="E268" i="31"/>
  <c r="E457" i="30"/>
  <c r="E252" i="31"/>
  <c r="E206" i="32"/>
  <c r="E161" i="31"/>
  <c r="E129" i="31"/>
  <c r="E297" i="30"/>
  <c r="E309" i="31"/>
  <c r="E323" i="31"/>
  <c r="E248" i="30"/>
  <c r="E342" i="30"/>
  <c r="E142" i="31"/>
  <c r="E35" i="30"/>
  <c r="E187" i="30"/>
  <c r="E38" i="30"/>
  <c r="E21" i="31"/>
  <c r="E439" i="30"/>
  <c r="E187" i="31"/>
  <c r="E133" i="30"/>
  <c r="E311" i="31"/>
  <c r="E194" i="31"/>
  <c r="E197" i="31"/>
  <c r="E222" i="31"/>
  <c r="E44" i="30"/>
  <c r="E216" i="30"/>
  <c r="E22" i="30"/>
  <c r="E223" i="31"/>
  <c r="E294" i="31"/>
  <c r="E420" i="32"/>
  <c r="E203" i="32"/>
  <c r="E23" i="32"/>
  <c r="E192" i="32"/>
  <c r="E32" i="32"/>
  <c r="E264" i="30"/>
  <c r="E13" i="31"/>
  <c r="E243" i="31"/>
  <c r="E36" i="31"/>
  <c r="E291" i="30"/>
  <c r="E73" i="30"/>
  <c r="E143" i="31"/>
  <c r="E123" i="30"/>
  <c r="E98" i="31"/>
  <c r="E447" i="30"/>
  <c r="E405" i="30"/>
  <c r="E312" i="30"/>
  <c r="E461" i="30"/>
  <c r="E50" i="31"/>
  <c r="E279" i="31"/>
  <c r="E305" i="30"/>
  <c r="E300" i="30"/>
  <c r="E2" i="31"/>
  <c r="E5" i="30"/>
  <c r="E91" i="31"/>
  <c r="E513" i="32"/>
  <c r="E75" i="31"/>
  <c r="E280" i="30"/>
  <c r="E278" i="31"/>
  <c r="E201" i="30"/>
  <c r="E122" i="31"/>
  <c r="E31" i="32"/>
  <c r="E169" i="31"/>
  <c r="E410" i="32"/>
  <c r="E210" i="31"/>
  <c r="E7" i="32"/>
  <c r="E119" i="32"/>
  <c r="E431" i="32"/>
  <c r="E489" i="32"/>
  <c r="E131" i="32"/>
  <c r="E210" i="32"/>
  <c r="E376" i="32"/>
  <c r="E296" i="32"/>
  <c r="E413" i="32"/>
  <c r="E122" i="32"/>
  <c r="E233" i="32"/>
  <c r="E27" i="32"/>
  <c r="E232" i="32"/>
  <c r="E160" i="32"/>
  <c r="E124" i="32"/>
  <c r="E467" i="32"/>
  <c r="E45" i="32"/>
  <c r="E107" i="32"/>
  <c r="E291" i="32"/>
  <c r="E388" i="30"/>
  <c r="E95" i="32"/>
  <c r="E252" i="32"/>
  <c r="E501" i="32"/>
  <c r="E181" i="32"/>
  <c r="E174" i="32"/>
  <c r="E49" i="30"/>
  <c r="E478" i="32"/>
  <c r="E437" i="32"/>
  <c r="E134" i="32"/>
  <c r="E168" i="32"/>
  <c r="E196" i="32"/>
  <c r="E73" i="32"/>
  <c r="E314" i="32"/>
  <c r="E402" i="32"/>
  <c r="E139" i="32"/>
  <c r="E231" i="32"/>
  <c r="E67" i="32"/>
  <c r="E345" i="30"/>
  <c r="E424" i="30"/>
  <c r="E51" i="30"/>
  <c r="E229" i="31"/>
  <c r="E23" i="31"/>
  <c r="E91" i="30"/>
  <c r="E345" i="31"/>
  <c r="E66" i="31"/>
  <c r="E9" i="30"/>
  <c r="E425" i="32"/>
  <c r="E375" i="30"/>
  <c r="E293" i="30"/>
  <c r="E24" i="30"/>
  <c r="E224" i="30"/>
  <c r="E255" i="31"/>
  <c r="E134" i="31"/>
  <c r="E299" i="31"/>
  <c r="E281" i="30"/>
  <c r="E53" i="31"/>
  <c r="E248" i="31"/>
  <c r="E12" i="30"/>
  <c r="E267" i="31"/>
  <c r="E48" i="31"/>
  <c r="E244" i="31"/>
  <c r="E76" i="31"/>
  <c r="E83" i="31"/>
  <c r="E5" i="31"/>
  <c r="E245" i="31"/>
  <c r="E180" i="31"/>
  <c r="E279" i="30"/>
  <c r="E7" i="30"/>
  <c r="E394" i="30"/>
  <c r="E36" i="32"/>
  <c r="E207" i="32"/>
  <c r="E504" i="32"/>
  <c r="E302" i="32"/>
  <c r="E185" i="32"/>
  <c r="E172" i="32"/>
  <c r="E3" i="32"/>
  <c r="E15" i="32"/>
  <c r="E440" i="32"/>
  <c r="E344" i="32"/>
  <c r="E149" i="32"/>
  <c r="E182" i="31"/>
  <c r="E79" i="31"/>
  <c r="E239" i="31"/>
  <c r="E394" i="32"/>
  <c r="E398" i="30"/>
  <c r="E442" i="30"/>
  <c r="E357" i="30"/>
  <c r="E174" i="30"/>
  <c r="E170" i="31"/>
  <c r="E103" i="31"/>
  <c r="E155" i="30"/>
  <c r="E200" i="30"/>
  <c r="E210" i="30"/>
  <c r="E50" i="30"/>
  <c r="E331" i="31"/>
  <c r="E46" i="31"/>
  <c r="E269" i="30"/>
  <c r="E318" i="31"/>
  <c r="E261" i="30"/>
  <c r="E191" i="30"/>
  <c r="E433" i="30"/>
  <c r="E232" i="30"/>
  <c r="E267" i="30"/>
  <c r="E236" i="31"/>
  <c r="E46" i="32"/>
  <c r="E282" i="31"/>
  <c r="E167" i="30"/>
  <c r="E422" i="30"/>
  <c r="E26" i="30"/>
  <c r="E354" i="30"/>
  <c r="E112" i="30"/>
  <c r="E435" i="30"/>
  <c r="E290" i="30"/>
  <c r="E380" i="30"/>
  <c r="E280" i="31"/>
  <c r="E328" i="31"/>
  <c r="E75" i="30"/>
  <c r="E43" i="31"/>
  <c r="E316" i="31"/>
  <c r="E37" i="30"/>
  <c r="E43" i="30"/>
  <c r="E457" i="32"/>
  <c r="E189" i="31"/>
  <c r="E449" i="30"/>
  <c r="E137" i="32"/>
  <c r="E536" i="32"/>
  <c r="E69" i="31"/>
  <c r="E298" i="30"/>
  <c r="E282" i="30"/>
  <c r="E326" i="30"/>
  <c r="E297" i="31"/>
  <c r="E448" i="30"/>
  <c r="E343" i="30"/>
  <c r="E215" i="31"/>
  <c r="E99" i="31"/>
  <c r="E427" i="30"/>
  <c r="E434" i="32"/>
  <c r="E241" i="30"/>
  <c r="E337" i="30"/>
  <c r="E451" i="30"/>
  <c r="E264" i="31"/>
  <c r="E151" i="30"/>
  <c r="E288" i="31"/>
  <c r="E225" i="31"/>
  <c r="E143" i="30"/>
  <c r="E109" i="30"/>
  <c r="E146" i="31"/>
  <c r="E371" i="30"/>
  <c r="E400" i="32"/>
  <c r="E345" i="32"/>
  <c r="E254" i="32"/>
  <c r="E417" i="32"/>
  <c r="E222" i="30"/>
  <c r="E105" i="32"/>
  <c r="E81" i="31"/>
  <c r="E153" i="32"/>
  <c r="E368" i="32"/>
  <c r="E483" i="32"/>
  <c r="E522" i="32"/>
  <c r="E65" i="32"/>
  <c r="E60" i="32"/>
  <c r="E72" i="32"/>
  <c r="E262" i="32"/>
  <c r="E455" i="32"/>
  <c r="E509" i="32"/>
  <c r="E272" i="32"/>
  <c r="E52" i="32"/>
  <c r="E144" i="32"/>
  <c r="E80" i="32"/>
  <c r="E136" i="32"/>
  <c r="E116" i="32"/>
  <c r="E362" i="32"/>
  <c r="E395" i="32"/>
  <c r="E268" i="32"/>
  <c r="E34" i="32"/>
  <c r="E17" i="32"/>
  <c r="E365" i="32"/>
  <c r="E271" i="32"/>
  <c r="E254" i="30"/>
  <c r="E409" i="32"/>
  <c r="E222" i="32"/>
  <c r="E535" i="32"/>
  <c r="E451" i="32"/>
  <c r="E104" i="32"/>
  <c r="E445" i="32"/>
  <c r="E354" i="32"/>
  <c r="E518" i="32"/>
  <c r="E87" i="32"/>
  <c r="E43" i="32"/>
  <c r="E150" i="32"/>
  <c r="E530" i="32"/>
  <c r="E33" i="30"/>
  <c r="E228" i="32"/>
  <c r="E215" i="32"/>
  <c r="E496" i="32"/>
  <c r="E12" i="32"/>
  <c r="E273" i="32"/>
  <c r="E229" i="32"/>
  <c r="E447" i="32"/>
  <c r="E113" i="32"/>
  <c r="E188" i="32"/>
  <c r="E9" i="32"/>
  <c r="E405" i="32"/>
  <c r="E382" i="32"/>
  <c r="E81" i="32"/>
  <c r="E51" i="32"/>
  <c r="E91" i="32"/>
  <c r="E438" i="32"/>
  <c r="E531" i="32"/>
  <c r="E498" i="32"/>
  <c r="E517" i="32"/>
  <c r="E494" i="32"/>
  <c r="E392" i="32"/>
  <c r="E195" i="32"/>
  <c r="E355" i="32"/>
  <c r="E70" i="32"/>
  <c r="E132" i="32"/>
  <c r="E308" i="32"/>
  <c r="E244" i="32"/>
  <c r="E414" i="32"/>
  <c r="E237" i="32"/>
  <c r="E297" i="32"/>
  <c r="E295" i="32"/>
  <c r="E318" i="32"/>
  <c r="E6" i="30"/>
  <c r="E247" i="30"/>
  <c r="E159" i="30"/>
  <c r="E343" i="31"/>
  <c r="E156" i="32"/>
  <c r="E406" i="30"/>
  <c r="E306" i="31"/>
  <c r="E41" i="30"/>
  <c r="E203" i="30"/>
  <c r="E175" i="30"/>
  <c r="E265" i="30"/>
  <c r="E312" i="31"/>
  <c r="E157" i="30"/>
  <c r="E362" i="30"/>
  <c r="E42" i="30"/>
  <c r="E240" i="30"/>
  <c r="E181" i="31"/>
  <c r="E269" i="31"/>
  <c r="E252" i="30"/>
  <c r="E186" i="32"/>
  <c r="E290" i="32"/>
  <c r="E151" i="32"/>
  <c r="E341" i="32"/>
  <c r="E97" i="32"/>
  <c r="E432" i="32"/>
  <c r="E224" i="31"/>
  <c r="E204" i="30"/>
  <c r="E249" i="31"/>
  <c r="E4" i="30"/>
  <c r="E342" i="31"/>
  <c r="E74" i="31"/>
  <c r="E217" i="30"/>
  <c r="E111" i="31"/>
  <c r="E414" i="30"/>
  <c r="E258" i="30"/>
  <c r="E3" i="31"/>
  <c r="E237" i="31"/>
  <c r="E374" i="32"/>
  <c r="E128" i="31"/>
  <c r="E180" i="30"/>
  <c r="E361" i="32"/>
  <c r="E286" i="30"/>
  <c r="E260" i="31"/>
  <c r="E285" i="30"/>
  <c r="E423" i="30"/>
  <c r="E154" i="30"/>
  <c r="E300" i="31"/>
  <c r="E314" i="30"/>
  <c r="E402" i="30"/>
  <c r="E390" i="32"/>
  <c r="E27" i="30"/>
  <c r="E179" i="32"/>
  <c r="E323" i="30"/>
  <c r="E125" i="30"/>
  <c r="E183" i="31"/>
  <c r="E291" i="31"/>
  <c r="E88" i="31"/>
  <c r="E101" i="30"/>
  <c r="E253" i="31"/>
  <c r="E271" i="30"/>
  <c r="E39" i="31"/>
  <c r="E512" i="32"/>
  <c r="E256" i="32"/>
  <c r="E398" i="32"/>
  <c r="E426" i="32"/>
  <c r="E99" i="32"/>
  <c r="E491" i="32"/>
  <c r="E421" i="30"/>
  <c r="E57" i="32"/>
  <c r="E403" i="32"/>
  <c r="E351" i="32"/>
  <c r="E30" i="32"/>
  <c r="E199" i="32"/>
  <c r="E26" i="31"/>
  <c r="E465" i="32"/>
  <c r="E82" i="32"/>
  <c r="E4" i="32"/>
  <c r="E92" i="32"/>
  <c r="E120" i="32"/>
  <c r="E346" i="32"/>
  <c r="E110" i="32"/>
  <c r="E389" i="32"/>
  <c r="E148" i="32"/>
  <c r="E68" i="32"/>
  <c r="E466" i="32"/>
  <c r="E520" i="32"/>
  <c r="E204" i="32"/>
  <c r="E499" i="32"/>
  <c r="E367" i="30"/>
  <c r="E428" i="32"/>
  <c r="E500" i="32"/>
  <c r="E348" i="32"/>
  <c r="E103" i="32"/>
  <c r="E177" i="32"/>
  <c r="E459" i="32"/>
  <c r="E473" i="32"/>
  <c r="E86" i="32"/>
  <c r="E335" i="32"/>
  <c r="E236" i="32"/>
  <c r="E230" i="32"/>
  <c r="E359" i="32"/>
  <c r="E338" i="32"/>
  <c r="E283" i="32"/>
  <c r="N10" i="28"/>
  <c r="N6" i="28"/>
  <c r="N42" i="28"/>
  <c r="N52" i="28"/>
  <c r="N39" i="28"/>
  <c r="N53" i="28"/>
  <c r="N44" i="28"/>
  <c r="N43" i="28"/>
  <c r="N55" i="28"/>
  <c r="N40" i="28"/>
  <c r="N46" i="28"/>
  <c r="N38" i="28"/>
  <c r="N31" i="28"/>
  <c r="N7" i="28"/>
  <c r="N48" i="28"/>
  <c r="N25" i="28"/>
  <c r="N64" i="28"/>
  <c r="N20" i="28"/>
  <c r="N5" i="28"/>
  <c r="N41" i="28"/>
  <c r="N45" i="28"/>
  <c r="N59" i="28"/>
  <c r="N16" i="28"/>
  <c r="N27" i="28"/>
  <c r="N51" i="28"/>
  <c r="N63" i="28"/>
  <c r="N22" i="28"/>
  <c r="N28" i="28"/>
  <c r="N29" i="28"/>
  <c r="N50" i="28"/>
  <c r="N15" i="28"/>
  <c r="N9" i="28"/>
  <c r="N60" i="28"/>
  <c r="N26" i="28"/>
  <c r="AA111" i="5"/>
  <c r="AA58" i="5"/>
  <c r="AA10" i="5"/>
  <c r="AA74" i="5"/>
  <c r="AA4" i="5"/>
  <c r="AA11" i="5"/>
  <c r="AA135" i="5"/>
  <c r="AA110" i="5"/>
  <c r="AA139" i="5"/>
  <c r="AA41" i="5"/>
  <c r="AA87" i="5"/>
  <c r="Y5" i="5"/>
  <c r="Y68" i="5"/>
  <c r="Y53" i="5"/>
  <c r="Y96" i="5"/>
  <c r="Y9" i="5"/>
  <c r="Y18" i="5"/>
  <c r="Y79" i="5"/>
  <c r="Y83" i="5"/>
  <c r="Y118" i="5"/>
  <c r="Y29" i="5"/>
  <c r="Y54" i="5"/>
  <c r="Y93" i="5"/>
  <c r="Y69" i="5"/>
  <c r="Y19" i="5"/>
  <c r="Y136" i="5"/>
  <c r="Y126" i="5"/>
  <c r="Y138" i="5"/>
  <c r="Y38" i="5"/>
  <c r="AA102" i="5"/>
  <c r="AA114" i="5"/>
  <c r="AA60" i="5"/>
  <c r="AA53" i="5"/>
  <c r="AA65" i="5"/>
  <c r="Y24" i="5"/>
  <c r="Y21" i="5"/>
  <c r="Y4" i="5"/>
  <c r="Y61" i="5"/>
  <c r="Y75" i="5"/>
  <c r="Y125" i="5"/>
  <c r="AA3" i="5"/>
  <c r="Y40" i="5"/>
  <c r="Y70" i="5"/>
  <c r="Y101" i="5"/>
  <c r="Y3" i="5"/>
  <c r="J3" i="28" s="1"/>
  <c r="Y37" i="5"/>
  <c r="Y59" i="5"/>
  <c r="Y113" i="5"/>
  <c r="Y117" i="5"/>
  <c r="Y99" i="5"/>
  <c r="Y97" i="5"/>
  <c r="Y8" i="5"/>
  <c r="Y34" i="5"/>
  <c r="Y6" i="5"/>
  <c r="Y71" i="5"/>
  <c r="Y87" i="5"/>
  <c r="Y42" i="5"/>
  <c r="Y55" i="5"/>
  <c r="Y80" i="5"/>
  <c r="AA113" i="5"/>
  <c r="AA105" i="5"/>
  <c r="AA97" i="5"/>
  <c r="AA69" i="5"/>
  <c r="AA42" i="5"/>
  <c r="AA106" i="5"/>
  <c r="AA95" i="5"/>
  <c r="AA127" i="5"/>
  <c r="AA15" i="5"/>
  <c r="AA94" i="5"/>
  <c r="AA46" i="5"/>
  <c r="AA137" i="5"/>
  <c r="AA20" i="5"/>
  <c r="AA17" i="5"/>
  <c r="AA98" i="5"/>
  <c r="AA138" i="5"/>
  <c r="AA54" i="5"/>
  <c r="AA83" i="5"/>
  <c r="AA51" i="5"/>
  <c r="AA47" i="5"/>
  <c r="AA72" i="5"/>
  <c r="AA129" i="5"/>
  <c r="AA66" i="5"/>
  <c r="AA21" i="5"/>
  <c r="AA75" i="5"/>
  <c r="AA34" i="5"/>
  <c r="AA33" i="5"/>
  <c r="AA100" i="5"/>
  <c r="AA112" i="5"/>
  <c r="AA45" i="5"/>
  <c r="AA29" i="5"/>
  <c r="AA88" i="5"/>
  <c r="AA124" i="5"/>
  <c r="AA19" i="5"/>
  <c r="AA38" i="5"/>
  <c r="AA35" i="5"/>
  <c r="AA134" i="5"/>
  <c r="AA101" i="5"/>
  <c r="N24" i="28"/>
  <c r="N62" i="28"/>
  <c r="N37" i="28"/>
  <c r="N56" i="28"/>
  <c r="N54" i="28"/>
  <c r="N32" i="28"/>
  <c r="N71" i="7"/>
  <c r="N77" i="7"/>
  <c r="Z15" i="3" l="1"/>
  <c r="Z77" i="3"/>
  <c r="Z70" i="4"/>
  <c r="Z80" i="4"/>
  <c r="Z209" i="4"/>
  <c r="Z174" i="4"/>
  <c r="Z138" i="4"/>
  <c r="Z90" i="4"/>
  <c r="Z46" i="3"/>
  <c r="Z132" i="4"/>
  <c r="Z40" i="4"/>
  <c r="Z136" i="4"/>
  <c r="Z114" i="4"/>
  <c r="Z109" i="4"/>
  <c r="Z20" i="4"/>
  <c r="Z148" i="4"/>
  <c r="Z129" i="4"/>
  <c r="Z207" i="4"/>
  <c r="Z66" i="4"/>
  <c r="Z191" i="4"/>
  <c r="Z84" i="4"/>
  <c r="Z142" i="4"/>
  <c r="Z146" i="4"/>
  <c r="Z99" i="3"/>
  <c r="Z85" i="3"/>
  <c r="Z53" i="3"/>
  <c r="Z62" i="3"/>
  <c r="Z114" i="3"/>
  <c r="Z97" i="3"/>
  <c r="Z39" i="3"/>
  <c r="Z81" i="3"/>
  <c r="Z80" i="3"/>
  <c r="Z16" i="3"/>
  <c r="Z96" i="3"/>
  <c r="Z106" i="3"/>
  <c r="Z72" i="3"/>
  <c r="Z76" i="4"/>
  <c r="Z60" i="4"/>
  <c r="W62" i="28" s="1"/>
  <c r="Z178" i="4"/>
  <c r="Z123" i="4"/>
  <c r="Z165" i="4"/>
  <c r="Z197" i="4"/>
  <c r="Z83" i="4"/>
  <c r="Z150" i="4"/>
  <c r="Z109" i="3"/>
  <c r="Z19" i="3"/>
  <c r="Z73" i="3"/>
  <c r="Z43" i="3"/>
  <c r="Z40" i="3"/>
  <c r="Z89" i="3"/>
  <c r="Z49" i="3"/>
  <c r="Z79" i="3"/>
  <c r="Z17" i="3"/>
  <c r="Z104" i="3"/>
  <c r="Z93" i="3"/>
  <c r="Z56" i="3"/>
  <c r="Z91" i="3"/>
  <c r="Z78" i="3"/>
  <c r="Z55" i="3"/>
  <c r="Z105" i="3"/>
  <c r="Z120" i="4"/>
  <c r="Z92" i="4"/>
  <c r="Z128" i="4"/>
  <c r="Z119" i="4"/>
  <c r="Z164" i="4"/>
  <c r="Z87" i="4"/>
  <c r="Z166" i="4"/>
  <c r="Z57" i="4"/>
  <c r="W59" i="28" s="1"/>
  <c r="Z133" i="4"/>
  <c r="Z201" i="4"/>
  <c r="Z206" i="4"/>
  <c r="Z179" i="4"/>
  <c r="Z45" i="4"/>
  <c r="Z113" i="4"/>
  <c r="Z34" i="4"/>
  <c r="Z21" i="4"/>
  <c r="Z182" i="4"/>
  <c r="Z161" i="4"/>
  <c r="Z71" i="4"/>
  <c r="Z48" i="4"/>
  <c r="W50" i="28" s="1"/>
  <c r="Z121" i="4"/>
  <c r="Z169" i="4"/>
  <c r="Z211" i="4"/>
  <c r="Z41" i="4"/>
  <c r="Z16" i="4"/>
  <c r="Z151" i="4"/>
  <c r="Z196" i="4"/>
  <c r="Z204" i="4"/>
  <c r="Z64" i="4"/>
  <c r="Z101" i="4"/>
  <c r="Z181" i="4"/>
  <c r="Z127" i="4"/>
  <c r="Z154" i="4"/>
  <c r="Z131" i="4"/>
  <c r="Z55" i="4"/>
  <c r="Z137" i="4"/>
  <c r="Z124" i="4"/>
  <c r="Z46" i="4"/>
  <c r="Z126" i="4"/>
  <c r="Z110" i="4"/>
  <c r="Z115" i="4"/>
  <c r="Z79" i="4"/>
  <c r="Z130" i="4"/>
  <c r="Z68" i="4"/>
  <c r="Z135" i="4"/>
  <c r="Z175" i="4"/>
  <c r="Z33" i="4"/>
  <c r="Z73" i="4"/>
  <c r="Z200" i="4"/>
  <c r="Z65" i="4"/>
  <c r="Z199" i="4"/>
  <c r="Z168" i="4"/>
  <c r="Z108" i="4"/>
  <c r="Z139" i="4"/>
  <c r="Z6" i="4"/>
  <c r="Z212" i="4"/>
  <c r="Z189" i="4"/>
  <c r="Z193" i="4"/>
  <c r="Z74" i="4"/>
  <c r="Z173" i="4"/>
  <c r="Z14" i="4"/>
  <c r="Z105" i="4"/>
  <c r="Z24" i="4"/>
  <c r="Z190" i="4"/>
  <c r="Z18" i="4"/>
  <c r="Z78" i="4"/>
  <c r="Z156" i="4"/>
  <c r="Z82" i="4"/>
  <c r="Z170" i="4"/>
  <c r="Z89" i="4"/>
  <c r="Z69" i="4"/>
  <c r="Z143" i="4"/>
  <c r="Z88" i="4"/>
  <c r="Z94" i="4"/>
  <c r="Z51" i="4"/>
  <c r="Z153" i="4"/>
  <c r="Z155" i="4"/>
  <c r="N19" i="28"/>
  <c r="N35" i="28"/>
  <c r="Z23" i="2"/>
  <c r="Z55" i="2"/>
  <c r="N18" i="28"/>
  <c r="AA133" i="5"/>
  <c r="AA117" i="5"/>
  <c r="AA52" i="5"/>
  <c r="AA77" i="5"/>
  <c r="AA78" i="5"/>
  <c r="AA59" i="5"/>
  <c r="AA85" i="5"/>
  <c r="AA26" i="5"/>
  <c r="AA122" i="5"/>
  <c r="AA8" i="5"/>
  <c r="AA9" i="5"/>
  <c r="Y13" i="5"/>
  <c r="AA79" i="5"/>
  <c r="AA18" i="5"/>
  <c r="AA61" i="5"/>
  <c r="AA63" i="5"/>
  <c r="AA27" i="5"/>
  <c r="AA126" i="5"/>
  <c r="AA123" i="5"/>
  <c r="AA22" i="5"/>
  <c r="AA23" i="5"/>
  <c r="Y129" i="5"/>
  <c r="Y115" i="5"/>
  <c r="Y84" i="5"/>
  <c r="Y51" i="5"/>
  <c r="Y63" i="5"/>
  <c r="Y106" i="5"/>
  <c r="Y105" i="5"/>
  <c r="Y102" i="5"/>
  <c r="Y72" i="5"/>
  <c r="Y44" i="5"/>
  <c r="Y135" i="5"/>
  <c r="Y26" i="5"/>
  <c r="Y123" i="5"/>
  <c r="Y31" i="5"/>
  <c r="Y47" i="5"/>
  <c r="Y139" i="5"/>
  <c r="Y52" i="5"/>
  <c r="Y85" i="5"/>
  <c r="Y92" i="5"/>
  <c r="Y74" i="5"/>
  <c r="Y57" i="5"/>
  <c r="Y133" i="5"/>
  <c r="Y127" i="5"/>
  <c r="Y30" i="5"/>
  <c r="Y36" i="5"/>
  <c r="Y121" i="5"/>
  <c r="Y16" i="5"/>
  <c r="Y114" i="5"/>
  <c r="Y65" i="5"/>
  <c r="Y48" i="5"/>
  <c r="Y111" i="5"/>
  <c r="Y132" i="5"/>
  <c r="Y119" i="5"/>
  <c r="Y15" i="5"/>
  <c r="Y112" i="5"/>
  <c r="Y100" i="5"/>
  <c r="AA118" i="5"/>
  <c r="AA125" i="5"/>
  <c r="AA84" i="5"/>
  <c r="AA96" i="5"/>
  <c r="AA40" i="5"/>
  <c r="AA32" i="5"/>
  <c r="AA82" i="5"/>
  <c r="AA48" i="5"/>
  <c r="AA108" i="5"/>
  <c r="Y20" i="5"/>
  <c r="Y56" i="5"/>
  <c r="Y95" i="5"/>
  <c r="Y45" i="5"/>
  <c r="Y90" i="5"/>
  <c r="Y134" i="5"/>
  <c r="Y58" i="5"/>
  <c r="Y109" i="5"/>
  <c r="Y86" i="5"/>
  <c r="Y110" i="5"/>
  <c r="Y137" i="5"/>
  <c r="Y27" i="5"/>
  <c r="Y128" i="5"/>
  <c r="Y50" i="5"/>
  <c r="Y67" i="5"/>
  <c r="AA115" i="5"/>
  <c r="AA121" i="5"/>
  <c r="AA130" i="5"/>
  <c r="AA73" i="5"/>
  <c r="AA25" i="5"/>
  <c r="AA70" i="5"/>
  <c r="AA30" i="5"/>
  <c r="AA107" i="5"/>
  <c r="AA99" i="5"/>
  <c r="AA57" i="5"/>
  <c r="AA31" i="5"/>
  <c r="AA131" i="5"/>
  <c r="AA7" i="5"/>
  <c r="AA6" i="5"/>
  <c r="AA128" i="5"/>
  <c r="AA64" i="5"/>
  <c r="AA44" i="5"/>
  <c r="AA89" i="5"/>
  <c r="AA68" i="5"/>
  <c r="AA49" i="5"/>
  <c r="AA50" i="5"/>
  <c r="AA93" i="5"/>
  <c r="AA56" i="5"/>
  <c r="AA14" i="5"/>
  <c r="AA81" i="5"/>
  <c r="AA86" i="5"/>
  <c r="AA91" i="5"/>
  <c r="AA55" i="5"/>
  <c r="AA43" i="5"/>
  <c r="AA71" i="5"/>
  <c r="AA16" i="5"/>
  <c r="AA37" i="5"/>
  <c r="AA104" i="5"/>
  <c r="AA136" i="5"/>
  <c r="AA62" i="5"/>
  <c r="AA92" i="5"/>
  <c r="AA36" i="5"/>
  <c r="AA119" i="5"/>
  <c r="Y122" i="5"/>
  <c r="Y130" i="5"/>
  <c r="Y103" i="5"/>
  <c r="Y107" i="5"/>
  <c r="Y32" i="5"/>
  <c r="Y33" i="5"/>
  <c r="Y11" i="5"/>
  <c r="Y77" i="5"/>
  <c r="Y23" i="5"/>
  <c r="Y66" i="5"/>
  <c r="Y76" i="5"/>
  <c r="Y94" i="5"/>
  <c r="Y60" i="5"/>
  <c r="Y7" i="5"/>
  <c r="Y14" i="5"/>
  <c r="Y120" i="5"/>
  <c r="Y22" i="5"/>
  <c r="Y91" i="5"/>
  <c r="Y78" i="5"/>
  <c r="Y98" i="5"/>
  <c r="Y25" i="5"/>
  <c r="Y124" i="5"/>
  <c r="Y108" i="5"/>
  <c r="Y64" i="5"/>
  <c r="Y28" i="5"/>
  <c r="AA90" i="5"/>
  <c r="AA12" i="5"/>
  <c r="AA67" i="5"/>
  <c r="AA109" i="5"/>
  <c r="Y17" i="5"/>
  <c r="Y10" i="5"/>
  <c r="Y88" i="5"/>
  <c r="Y35" i="5"/>
  <c r="Y43" i="5"/>
  <c r="Y41" i="5"/>
  <c r="Y116" i="5"/>
  <c r="Y46" i="5"/>
  <c r="Y62" i="5"/>
  <c r="Y12" i="5"/>
  <c r="Y49" i="5"/>
  <c r="Y39" i="5"/>
  <c r="Y73" i="5"/>
  <c r="Y89" i="5"/>
  <c r="Y131" i="5"/>
  <c r="Y82" i="5"/>
  <c r="Y81" i="5"/>
  <c r="Y104" i="5"/>
  <c r="AA116" i="5"/>
  <c r="AA5" i="5"/>
  <c r="AA39" i="5"/>
  <c r="AA76" i="5"/>
  <c r="AA132" i="5"/>
  <c r="AA80" i="5"/>
  <c r="AA13" i="5"/>
  <c r="AA24" i="5"/>
  <c r="AA28" i="5"/>
  <c r="AA120" i="5"/>
  <c r="AA103" i="5"/>
  <c r="N17" i="28"/>
  <c r="A283" i="32"/>
  <c r="A367" i="30"/>
  <c r="A209" i="45"/>
  <c r="A39" i="31"/>
  <c r="A359" i="32"/>
  <c r="A236" i="32"/>
  <c r="A86" i="32"/>
  <c r="A459" i="32"/>
  <c r="A103" i="32"/>
  <c r="A500" i="32"/>
  <c r="A204" i="32"/>
  <c r="A466" i="32"/>
  <c r="A148" i="32"/>
  <c r="A110" i="32"/>
  <c r="A120" i="32"/>
  <c r="A4" i="32"/>
  <c r="A465" i="32"/>
  <c r="A199" i="32"/>
  <c r="A351" i="32"/>
  <c r="A57" i="32"/>
  <c r="A491" i="32"/>
  <c r="A426" i="32"/>
  <c r="A256" i="32"/>
  <c r="A253" i="31"/>
  <c r="A88" i="31"/>
  <c r="A183" i="31"/>
  <c r="A323" i="30"/>
  <c r="A27" i="30"/>
  <c r="A402" i="30"/>
  <c r="A300" i="31"/>
  <c r="A423" i="30"/>
  <c r="A260" i="31"/>
  <c r="A361" i="32"/>
  <c r="A128" i="31"/>
  <c r="A237" i="31"/>
  <c r="A258" i="30"/>
  <c r="A111" i="31"/>
  <c r="A74" i="31"/>
  <c r="A4" i="30"/>
  <c r="A204" i="30"/>
  <c r="A432" i="32"/>
  <c r="A341" i="32"/>
  <c r="A290" i="32"/>
  <c r="A252" i="30"/>
  <c r="A181" i="31"/>
  <c r="A42" i="30"/>
  <c r="A157" i="30"/>
  <c r="A265" i="30"/>
  <c r="A203" i="30"/>
  <c r="A306" i="31"/>
  <c r="A156" i="32"/>
  <c r="A159" i="30"/>
  <c r="A6" i="30"/>
  <c r="A295" i="32"/>
  <c r="A237" i="32"/>
  <c r="A244" i="32"/>
  <c r="A132" i="32"/>
  <c r="A355" i="32"/>
  <c r="A392" i="32"/>
  <c r="A517" i="32"/>
  <c r="A531" i="32"/>
  <c r="A91" i="32"/>
  <c r="A81" i="32"/>
  <c r="A405" i="32"/>
  <c r="A188" i="32"/>
  <c r="A447" i="32"/>
  <c r="A273" i="32"/>
  <c r="A496" i="32"/>
  <c r="A228" i="32"/>
  <c r="A530" i="32"/>
  <c r="A43" i="32"/>
  <c r="A518" i="32"/>
  <c r="A445" i="32"/>
  <c r="A451" i="32"/>
  <c r="A222" i="32"/>
  <c r="A254" i="30"/>
  <c r="A365" i="32"/>
  <c r="A34" i="32"/>
  <c r="A395" i="32"/>
  <c r="A116" i="32"/>
  <c r="A80" i="32"/>
  <c r="A52" i="32"/>
  <c r="A509" i="32"/>
  <c r="A262" i="32"/>
  <c r="A60" i="32"/>
  <c r="A522" i="32"/>
  <c r="A368" i="32"/>
  <c r="A81" i="31"/>
  <c r="A222" i="30"/>
  <c r="A254" i="32"/>
  <c r="A400" i="32"/>
  <c r="A146" i="31"/>
  <c r="A143" i="30"/>
  <c r="A288" i="31"/>
  <c r="A264" i="31"/>
  <c r="A337" i="30"/>
  <c r="A434" i="32"/>
  <c r="A99" i="31"/>
  <c r="A343" i="30"/>
  <c r="A297" i="31"/>
  <c r="A282" i="30"/>
  <c r="A69" i="31"/>
  <c r="A137" i="32"/>
  <c r="A189" i="31"/>
  <c r="A43" i="30"/>
  <c r="A316" i="31"/>
  <c r="A75" i="30"/>
  <c r="A280" i="31"/>
  <c r="A290" i="30"/>
  <c r="A112" i="30"/>
  <c r="A26" i="30"/>
  <c r="A167" i="30"/>
  <c r="A46" i="32"/>
  <c r="A267" i="30"/>
  <c r="A433" i="30"/>
  <c r="A261" i="30"/>
  <c r="A269" i="30"/>
  <c r="A331" i="31"/>
  <c r="A210" i="30"/>
  <c r="A155" i="30"/>
  <c r="A170" i="31"/>
  <c r="A357" i="30"/>
  <c r="A398" i="30"/>
  <c r="A239" i="31"/>
  <c r="A182" i="31"/>
  <c r="A344" i="32"/>
  <c r="A15" i="32"/>
  <c r="A172" i="32"/>
  <c r="A302" i="32"/>
  <c r="A207" i="32"/>
  <c r="A394" i="30"/>
  <c r="A279" i="30"/>
  <c r="A245" i="31"/>
  <c r="A83" i="31"/>
  <c r="A244" i="31"/>
  <c r="A267" i="31"/>
  <c r="A248" i="31"/>
  <c r="A281" i="30"/>
  <c r="A134" i="31"/>
  <c r="A224" i="30"/>
  <c r="A293" i="30"/>
  <c r="A425" i="32"/>
  <c r="A66" i="31"/>
  <c r="A91" i="30"/>
  <c r="A229" i="31"/>
  <c r="A424" i="30"/>
  <c r="A67" i="32"/>
  <c r="A139" i="32"/>
  <c r="A314" i="32"/>
  <c r="A196" i="32"/>
  <c r="A134" i="32"/>
  <c r="A478" i="32"/>
  <c r="A174" i="32"/>
  <c r="A501" i="32"/>
  <c r="A95" i="32"/>
  <c r="A291" i="32"/>
  <c r="A45" i="32"/>
  <c r="A124" i="32"/>
  <c r="A232" i="32"/>
  <c r="A233" i="32"/>
  <c r="A413" i="32"/>
  <c r="A376" i="32"/>
  <c r="A131" i="32"/>
  <c r="A431" i="32"/>
  <c r="A7" i="32"/>
  <c r="A410" i="32"/>
  <c r="A31" i="32"/>
  <c r="A201" i="30"/>
  <c r="A280" i="30"/>
  <c r="A513" i="32"/>
  <c r="A5" i="30"/>
  <c r="A300" i="30"/>
  <c r="A279" i="31"/>
  <c r="A461" i="30"/>
  <c r="A405" i="30"/>
  <c r="A98" i="31"/>
  <c r="A143" i="31"/>
  <c r="A291" i="30"/>
  <c r="A243" i="31"/>
  <c r="A264" i="30"/>
  <c r="A192" i="32"/>
  <c r="A203" i="32"/>
  <c r="A294" i="31"/>
  <c r="A22" i="30"/>
  <c r="A44" i="30"/>
  <c r="A197" i="31"/>
  <c r="A311" i="31"/>
  <c r="A187" i="31"/>
  <c r="A21" i="31"/>
  <c r="A187" i="30"/>
  <c r="A142" i="31"/>
  <c r="A248" i="30"/>
  <c r="A309" i="31"/>
  <c r="A129" i="31"/>
  <c r="A206" i="32"/>
  <c r="A457" i="30"/>
  <c r="A361" i="30"/>
  <c r="A47" i="30"/>
  <c r="A208" i="31"/>
  <c r="A95" i="30"/>
  <c r="A372" i="30"/>
  <c r="A115" i="31"/>
  <c r="A79" i="30"/>
  <c r="A289" i="30"/>
  <c r="A198" i="32"/>
  <c r="A348" i="31"/>
  <c r="A341" i="31"/>
  <c r="A228" i="31"/>
  <c r="A57" i="31"/>
  <c r="A373" i="30"/>
  <c r="A458" i="30"/>
  <c r="A153" i="31"/>
  <c r="A60" i="30"/>
  <c r="A106" i="30"/>
  <c r="A172" i="30"/>
  <c r="A317" i="31"/>
  <c r="A113" i="31"/>
  <c r="A412" i="30"/>
  <c r="A183" i="30"/>
  <c r="A56" i="31"/>
  <c r="A172" i="31"/>
  <c r="A119" i="30"/>
  <c r="A55" i="30"/>
  <c r="A251" i="30"/>
  <c r="A330" i="31"/>
  <c r="A302" i="31"/>
  <c r="A217" i="32"/>
  <c r="A29" i="32"/>
  <c r="A319" i="32"/>
  <c r="A519" i="32"/>
  <c r="A539" i="32"/>
  <c r="A322" i="32"/>
  <c r="A171" i="32"/>
  <c r="A56" i="32"/>
  <c r="A64" i="32"/>
  <c r="A88" i="32"/>
  <c r="A227" i="32"/>
  <c r="A205" i="31"/>
  <c r="A436" i="32"/>
  <c r="A55" i="32"/>
  <c r="A260" i="30"/>
  <c r="A177" i="30"/>
  <c r="A88" i="30"/>
  <c r="A173" i="30"/>
  <c r="A16" i="30"/>
  <c r="A321" i="31"/>
  <c r="A226" i="31"/>
  <c r="A218" i="30"/>
  <c r="A251" i="31"/>
  <c r="A52" i="30"/>
  <c r="A393" i="30"/>
  <c r="A127" i="31"/>
  <c r="A59" i="31"/>
  <c r="A174" i="31"/>
  <c r="A193" i="30"/>
  <c r="A284" i="30"/>
  <c r="A19" i="31"/>
  <c r="A67" i="30"/>
  <c r="A370" i="30"/>
  <c r="A72" i="31"/>
  <c r="A292" i="30"/>
  <c r="A435" i="32"/>
  <c r="A221" i="30"/>
  <c r="A145" i="30"/>
  <c r="A400" i="30"/>
  <c r="A352" i="30"/>
  <c r="A99" i="30"/>
  <c r="A346" i="31"/>
  <c r="A336" i="31"/>
  <c r="A86" i="30"/>
  <c r="A378" i="30"/>
  <c r="A80" i="31"/>
  <c r="A292" i="31"/>
  <c r="A256" i="30"/>
  <c r="A160" i="30"/>
  <c r="A242" i="31"/>
  <c r="A96" i="31"/>
  <c r="A130" i="31"/>
  <c r="A324" i="31"/>
  <c r="A96" i="30"/>
  <c r="A445" i="30"/>
  <c r="A121" i="31"/>
  <c r="A225" i="30"/>
  <c r="A58" i="30"/>
  <c r="A438" i="30"/>
  <c r="A168" i="30"/>
  <c r="A136" i="31"/>
  <c r="A13" i="30"/>
  <c r="A338" i="30"/>
  <c r="A16" i="31"/>
  <c r="A142" i="30"/>
  <c r="A85" i="30"/>
  <c r="A157" i="31"/>
  <c r="A107" i="31"/>
  <c r="A107" i="30"/>
  <c r="A349" i="31"/>
  <c r="A20" i="30"/>
  <c r="A231" i="31"/>
  <c r="A325" i="31"/>
  <c r="A386" i="30"/>
  <c r="A332" i="31"/>
  <c r="A189" i="30"/>
  <c r="A62" i="31"/>
  <c r="A30" i="31"/>
  <c r="A171" i="30"/>
  <c r="A422" i="32"/>
  <c r="A413" i="30"/>
  <c r="A154" i="31"/>
  <c r="A249" i="30"/>
  <c r="A185" i="31"/>
  <c r="A244" i="30"/>
  <c r="A138" i="31"/>
  <c r="A212" i="30"/>
  <c r="A464" i="32"/>
  <c r="A125" i="32"/>
  <c r="A85" i="32"/>
  <c r="A93" i="32"/>
  <c r="A205" i="32"/>
  <c r="A329" i="32"/>
  <c r="A167" i="32"/>
  <c r="A350" i="32"/>
  <c r="A411" i="32"/>
  <c r="A66" i="32"/>
  <c r="A423" i="32"/>
  <c r="A246" i="32"/>
  <c r="A516" i="32"/>
  <c r="A16" i="32"/>
  <c r="A84" i="32"/>
  <c r="A49" i="32"/>
  <c r="A111" i="32"/>
  <c r="A323" i="32"/>
  <c r="A525" i="32"/>
  <c r="W42" i="28"/>
  <c r="W41" i="28"/>
  <c r="W22" i="28"/>
  <c r="W58" i="28"/>
  <c r="W11" i="28"/>
  <c r="W30" i="28"/>
  <c r="AA60" i="4"/>
  <c r="W10" i="28"/>
  <c r="AA123" i="4"/>
  <c r="W49" i="28"/>
  <c r="W9" i="28"/>
  <c r="A450" i="32"/>
  <c r="A407" i="32"/>
  <c r="A220" i="32"/>
  <c r="A364" i="32"/>
  <c r="A14" i="32"/>
  <c r="A285" i="32"/>
  <c r="A183" i="32"/>
  <c r="A24" i="32"/>
  <c r="A159" i="32"/>
  <c r="A472" i="32"/>
  <c r="A333" i="32"/>
  <c r="A427" i="32"/>
  <c r="A514" i="32"/>
  <c r="A286" i="32"/>
  <c r="A193" i="32"/>
  <c r="A208" i="32"/>
  <c r="A537" i="32"/>
  <c r="A5" i="32"/>
  <c r="A71" i="32"/>
  <c r="A96" i="32"/>
  <c r="A313" i="32"/>
  <c r="A112" i="32"/>
  <c r="A289" i="32"/>
  <c r="A485" i="32"/>
  <c r="A189" i="32"/>
  <c r="A108" i="32"/>
  <c r="A443" i="32"/>
  <c r="A454" i="30"/>
  <c r="A232" i="31"/>
  <c r="A166" i="30"/>
  <c r="A162" i="31"/>
  <c r="A19" i="30"/>
  <c r="A246" i="31"/>
  <c r="A158" i="30"/>
  <c r="A95" i="31"/>
  <c r="A214" i="31"/>
  <c r="A192" i="31"/>
  <c r="A147" i="30"/>
  <c r="A184" i="31"/>
  <c r="A241" i="31"/>
  <c r="A92" i="30"/>
  <c r="A67" i="31"/>
  <c r="A114" i="30"/>
  <c r="A89" i="31"/>
  <c r="A37" i="31"/>
  <c r="A420" i="30"/>
  <c r="A471" i="32"/>
  <c r="A147" i="32"/>
  <c r="A90" i="32"/>
  <c r="A288" i="30"/>
  <c r="A94" i="31"/>
  <c r="A272" i="31"/>
  <c r="A348" i="30"/>
  <c r="A246" i="30"/>
  <c r="A236" i="30"/>
  <c r="A373" i="32"/>
  <c r="A440" i="30"/>
  <c r="A320" i="31"/>
  <c r="A303" i="32"/>
  <c r="A477" i="32"/>
  <c r="A42" i="32"/>
  <c r="A126" i="32"/>
  <c r="A524" i="32"/>
  <c r="A488" i="32"/>
  <c r="A384" i="32"/>
  <c r="A388" i="32"/>
  <c r="A69" i="32"/>
  <c r="A264" i="32"/>
  <c r="A211" i="32"/>
  <c r="A75" i="32"/>
  <c r="A53" i="32"/>
  <c r="A145" i="32"/>
  <c r="A247" i="32"/>
  <c r="A336" i="32"/>
  <c r="A214" i="32"/>
  <c r="A300" i="32"/>
  <c r="A311" i="32"/>
  <c r="A13" i="32"/>
  <c r="A294" i="32"/>
  <c r="A412" i="32"/>
  <c r="A221" i="32"/>
  <c r="A166" i="32"/>
  <c r="A280" i="32"/>
  <c r="A235" i="32"/>
  <c r="A62" i="32"/>
  <c r="A379" i="32"/>
  <c r="A102" i="32"/>
  <c r="A327" i="32"/>
  <c r="A249" i="32"/>
  <c r="A240" i="32"/>
  <c r="A238" i="31"/>
  <c r="A163" i="30"/>
  <c r="A456" i="32"/>
  <c r="A142" i="32"/>
  <c r="A276" i="32"/>
  <c r="A178" i="30"/>
  <c r="A82" i="31"/>
  <c r="A70" i="30"/>
  <c r="A125" i="31"/>
  <c r="A293" i="31"/>
  <c r="A313" i="30"/>
  <c r="A368" i="30"/>
  <c r="A446" i="32"/>
  <c r="A17" i="30"/>
  <c r="A135" i="31"/>
  <c r="A320" i="32"/>
  <c r="A166" i="31"/>
  <c r="A28" i="31"/>
  <c r="A192" i="30"/>
  <c r="A299" i="30"/>
  <c r="A10" i="31"/>
  <c r="A17" i="31"/>
  <c r="A294" i="30"/>
  <c r="A190" i="30"/>
  <c r="A209" i="31"/>
  <c r="A227" i="31"/>
  <c r="A340" i="31"/>
  <c r="A4" i="31"/>
  <c r="A272" i="30"/>
  <c r="A389" i="30"/>
  <c r="A385" i="30"/>
  <c r="A113" i="30"/>
  <c r="A324" i="30"/>
  <c r="A160" i="31"/>
  <c r="A250" i="30"/>
  <c r="A269" i="32"/>
  <c r="A273" i="31"/>
  <c r="A34" i="30"/>
  <c r="A124" i="30"/>
  <c r="A144" i="30"/>
  <c r="A39" i="32"/>
  <c r="A101" i="32"/>
  <c r="A430" i="32"/>
  <c r="A89" i="32"/>
  <c r="A158" i="32"/>
  <c r="A505" i="32"/>
  <c r="A23" i="30"/>
  <c r="A90" i="30"/>
  <c r="A36" i="30"/>
  <c r="A203" i="31"/>
  <c r="A250" i="31"/>
  <c r="A396" i="30"/>
  <c r="A460" i="30"/>
  <c r="A444" i="30"/>
  <c r="A303" i="30"/>
  <c r="A63" i="31"/>
  <c r="A257" i="32"/>
  <c r="A255" i="30"/>
  <c r="A164" i="31"/>
  <c r="A156" i="31"/>
  <c r="A164" i="30"/>
  <c r="A35" i="32"/>
  <c r="A433" i="32"/>
  <c r="A278" i="32"/>
  <c r="A452" i="32"/>
  <c r="A63" i="32"/>
  <c r="A415" i="32"/>
  <c r="A502" i="32"/>
  <c r="A371" i="32"/>
  <c r="A201" i="32"/>
  <c r="A490" i="32"/>
  <c r="A175" i="32"/>
  <c r="A444" i="32"/>
  <c r="A234" i="32"/>
  <c r="A202" i="32"/>
  <c r="A484" i="32"/>
  <c r="A127" i="32"/>
  <c r="A98" i="32"/>
  <c r="A86" i="31"/>
  <c r="A259" i="31"/>
  <c r="A418" i="30"/>
  <c r="A356" i="30"/>
  <c r="A45" i="30"/>
  <c r="A417" i="30"/>
  <c r="A48" i="30"/>
  <c r="A169" i="30"/>
  <c r="A468" i="32"/>
  <c r="A220" i="31"/>
  <c r="A132" i="31"/>
  <c r="A194" i="32"/>
  <c r="A207" i="30"/>
  <c r="A262" i="31"/>
  <c r="A347" i="31"/>
  <c r="A200" i="32"/>
  <c r="A282" i="32"/>
  <c r="A357" i="32"/>
  <c r="A383" i="30"/>
  <c r="A53" i="30"/>
  <c r="A146" i="30"/>
  <c r="A185" i="30"/>
  <c r="A283" i="30"/>
  <c r="A39" i="30"/>
  <c r="A90" i="31"/>
  <c r="A196" i="31"/>
  <c r="A154" i="32"/>
  <c r="A97" i="30"/>
  <c r="A332" i="30"/>
  <c r="A428" i="30"/>
  <c r="A58" i="31"/>
  <c r="A102" i="31"/>
  <c r="A315" i="31"/>
  <c r="A151" i="31"/>
  <c r="A27" i="31"/>
  <c r="A219" i="31"/>
  <c r="A350" i="30"/>
  <c r="A159" i="31"/>
  <c r="A263" i="31"/>
  <c r="A284" i="31"/>
  <c r="A234" i="31"/>
  <c r="A469" i="32"/>
  <c r="A253" i="32"/>
  <c r="A216" i="31"/>
  <c r="A334" i="31"/>
  <c r="A353" i="30"/>
  <c r="A176" i="31"/>
  <c r="A408" i="30"/>
  <c r="A195" i="30"/>
  <c r="A162" i="30"/>
  <c r="A283" i="31"/>
  <c r="A148" i="31"/>
  <c r="A51" i="31"/>
  <c r="A364" i="30"/>
  <c r="A429" i="30"/>
  <c r="A141" i="30"/>
  <c r="A377" i="30"/>
  <c r="A14" i="31"/>
  <c r="A163" i="32"/>
  <c r="A102" i="30"/>
  <c r="A114" i="31"/>
  <c r="A365" i="30"/>
  <c r="A149" i="31"/>
  <c r="A448" i="32"/>
  <c r="A161" i="32"/>
  <c r="A349" i="32"/>
  <c r="A54" i="32"/>
  <c r="A439" i="32"/>
  <c r="A287" i="32"/>
  <c r="A523" i="32"/>
  <c r="A61" i="32"/>
  <c r="A315" i="32"/>
  <c r="A133" i="32"/>
  <c r="A241" i="32"/>
  <c r="A63" i="30"/>
  <c r="A180" i="32"/>
  <c r="A132" i="30"/>
  <c r="A74" i="30"/>
  <c r="A52" i="31"/>
  <c r="A100" i="30"/>
  <c r="A233" i="31"/>
  <c r="A493" i="32"/>
  <c r="A347" i="30"/>
  <c r="A34" i="31"/>
  <c r="A295" i="31"/>
  <c r="A200" i="31"/>
  <c r="A42" i="31"/>
  <c r="A263" i="30"/>
  <c r="A240" i="31"/>
  <c r="A178" i="31"/>
  <c r="A152" i="30"/>
  <c r="A18" i="30"/>
  <c r="A211" i="30"/>
  <c r="A335" i="31"/>
  <c r="A404" i="30"/>
  <c r="A139" i="31"/>
  <c r="A136" i="30"/>
  <c r="A87" i="30"/>
  <c r="A327" i="30"/>
  <c r="A3" i="30"/>
  <c r="A395" i="30"/>
  <c r="A437" i="30"/>
  <c r="A311" i="30"/>
  <c r="A243" i="30"/>
  <c r="A115" i="30"/>
  <c r="A337" i="31"/>
  <c r="A177" i="31"/>
  <c r="A137" i="30"/>
  <c r="A253" i="30"/>
  <c r="A326" i="31"/>
  <c r="A277" i="30"/>
  <c r="A313" i="31"/>
  <c r="A239" i="30"/>
  <c r="A93" i="31"/>
  <c r="A257" i="31"/>
  <c r="A226" i="30"/>
  <c r="A344" i="30"/>
  <c r="A336" i="30"/>
  <c r="A266" i="30"/>
  <c r="A109" i="31"/>
  <c r="A287" i="31"/>
  <c r="A270" i="30"/>
  <c r="A411" i="30"/>
  <c r="A147" i="31"/>
  <c r="A397" i="30"/>
  <c r="A315" i="30"/>
  <c r="A33" i="31"/>
  <c r="A335" i="30"/>
  <c r="A333" i="31"/>
  <c r="A141" i="31"/>
  <c r="A11" i="31"/>
  <c r="A206" i="31"/>
  <c r="A359" i="30"/>
  <c r="A355" i="30"/>
  <c r="A450" i="30"/>
  <c r="A307" i="31"/>
  <c r="A65" i="30"/>
  <c r="A221" i="31"/>
  <c r="A32" i="31"/>
  <c r="A230" i="30"/>
  <c r="A275" i="30"/>
  <c r="A30" i="30"/>
  <c r="A254" i="31"/>
  <c r="A135" i="30"/>
  <c r="A360" i="30"/>
  <c r="A29" i="31"/>
  <c r="A124" i="31"/>
  <c r="A22" i="31"/>
  <c r="A84" i="30"/>
  <c r="A310" i="32"/>
  <c r="A454" i="32"/>
  <c r="A449" i="32"/>
  <c r="A74" i="32"/>
  <c r="A129" i="32"/>
  <c r="A458" i="32"/>
  <c r="A325" i="32"/>
  <c r="A169" i="32"/>
  <c r="A367" i="32"/>
  <c r="A475" i="32"/>
  <c r="A507" i="32"/>
  <c r="A238" i="32"/>
  <c r="A378" i="32"/>
  <c r="A106" i="32"/>
  <c r="A369" i="32"/>
  <c r="A267" i="32"/>
  <c r="A424" i="32"/>
  <c r="A266" i="32"/>
  <c r="A508" i="32"/>
  <c r="W24" i="28"/>
  <c r="W27" i="28"/>
  <c r="W12" i="28"/>
  <c r="AA149" i="4"/>
  <c r="W17" i="28"/>
  <c r="W28" i="28"/>
  <c r="Y136" i="4"/>
  <c r="Y28" i="4"/>
  <c r="Y111" i="4"/>
  <c r="Y7" i="4"/>
  <c r="Y59" i="4"/>
  <c r="Y76" i="4"/>
  <c r="Y92" i="4"/>
  <c r="Y192" i="4"/>
  <c r="Y112" i="4"/>
  <c r="Y124" i="4"/>
  <c r="Y72" i="4"/>
  <c r="Y108" i="4"/>
  <c r="Y139" i="4"/>
  <c r="AA3" i="4"/>
  <c r="X5" i="28" s="1"/>
  <c r="Y140" i="4"/>
  <c r="W5" i="28"/>
  <c r="Y117" i="4"/>
  <c r="Y79" i="4"/>
  <c r="Y34" i="4"/>
  <c r="Y43" i="4"/>
  <c r="AA186" i="4"/>
  <c r="AA135" i="4"/>
  <c r="W38" i="28"/>
  <c r="W64" i="28"/>
  <c r="W35" i="28"/>
  <c r="W21" i="28"/>
  <c r="W51" i="28"/>
  <c r="A76" i="32"/>
  <c r="A48" i="32"/>
  <c r="A387" i="32"/>
  <c r="A301" i="32"/>
  <c r="A239" i="32"/>
  <c r="A299" i="32"/>
  <c r="A541" i="32"/>
  <c r="W13" i="28"/>
  <c r="AA199" i="4"/>
  <c r="AA17" i="4"/>
  <c r="W19" i="28"/>
  <c r="AA108" i="4"/>
  <c r="W8" i="28"/>
  <c r="AA193" i="4"/>
  <c r="W16" i="28"/>
  <c r="W32" i="28"/>
  <c r="AA117" i="4"/>
  <c r="W26" i="28"/>
  <c r="AA24" i="4"/>
  <c r="AA18" i="4"/>
  <c r="W20" i="28"/>
  <c r="AA78" i="4"/>
  <c r="AA89" i="4"/>
  <c r="AA88" i="4"/>
  <c r="AA51" i="4"/>
  <c r="W53" i="28"/>
  <c r="AA153" i="4"/>
  <c r="A109" i="45"/>
  <c r="A117" i="45"/>
  <c r="A129" i="45"/>
  <c r="A177" i="45"/>
  <c r="A91" i="45"/>
  <c r="A19" i="45"/>
  <c r="A98" i="45"/>
  <c r="A28" i="45"/>
  <c r="A108" i="45"/>
  <c r="A130" i="45"/>
  <c r="A186" i="45"/>
  <c r="A135" i="45"/>
  <c r="A166" i="45"/>
  <c r="A144" i="45"/>
  <c r="A148" i="45"/>
  <c r="A218" i="45"/>
  <c r="A2" i="45"/>
  <c r="A268" i="45"/>
  <c r="A71" i="45"/>
  <c r="A279" i="45"/>
  <c r="A261" i="45"/>
  <c r="A59" i="45"/>
  <c r="A257" i="45"/>
  <c r="A167" i="45"/>
  <c r="A143" i="45"/>
  <c r="A287" i="45"/>
  <c r="A133" i="45"/>
  <c r="A302" i="45"/>
  <c r="A47" i="45"/>
  <c r="A203" i="45"/>
  <c r="A159" i="45"/>
  <c r="A107" i="45"/>
  <c r="A114" i="45"/>
  <c r="A283" i="45"/>
  <c r="A9" i="45"/>
  <c r="A269" i="45"/>
  <c r="A40" i="45"/>
  <c r="A80" i="45"/>
  <c r="A246" i="45"/>
  <c r="A229" i="45"/>
  <c r="A14" i="45"/>
  <c r="A7" i="45"/>
  <c r="A221" i="45"/>
  <c r="A238" i="45"/>
  <c r="A125" i="45"/>
  <c r="A29" i="45"/>
  <c r="A157" i="45"/>
  <c r="A151" i="45"/>
  <c r="A95" i="45"/>
  <c r="A319" i="45"/>
  <c r="A66" i="45"/>
  <c r="A93" i="45"/>
  <c r="A216" i="45"/>
  <c r="A258" i="45"/>
  <c r="A256" i="45"/>
  <c r="A234" i="45"/>
  <c r="A116" i="45"/>
  <c r="A73" i="45"/>
  <c r="A101" i="45"/>
  <c r="A65" i="45"/>
  <c r="A263" i="45"/>
  <c r="A223" i="45"/>
  <c r="A164" i="45"/>
  <c r="A220" i="45"/>
  <c r="A225" i="45"/>
  <c r="A62" i="45"/>
  <c r="A226" i="45"/>
  <c r="A207" i="45"/>
  <c r="A297" i="45"/>
  <c r="A88" i="45"/>
  <c r="A126" i="45"/>
  <c r="A323" i="45"/>
  <c r="A243" i="45"/>
  <c r="A51" i="45"/>
  <c r="A318" i="45"/>
  <c r="A324" i="45"/>
  <c r="A264" i="45"/>
  <c r="A259" i="45"/>
  <c r="A284" i="45"/>
  <c r="A255" i="45"/>
  <c r="AA42" i="3"/>
  <c r="A194" i="45"/>
  <c r="A182" i="45"/>
  <c r="A10" i="45"/>
  <c r="A300" i="45"/>
  <c r="A309" i="45"/>
  <c r="A34" i="45"/>
  <c r="A79" i="45"/>
  <c r="A228" i="45"/>
  <c r="A84" i="45"/>
  <c r="A26" i="45"/>
  <c r="A305" i="45"/>
  <c r="A142" i="45"/>
  <c r="A190" i="45"/>
  <c r="A153" i="45"/>
  <c r="A137" i="45"/>
  <c r="A249" i="45"/>
  <c r="A53" i="45"/>
  <c r="A44" i="45"/>
  <c r="A214" i="45"/>
  <c r="A150" i="45"/>
  <c r="A189" i="45"/>
  <c r="A235" i="45"/>
  <c r="A217" i="45"/>
  <c r="A43" i="45"/>
  <c r="A286" i="45"/>
  <c r="A299" i="45"/>
  <c r="A49" i="45"/>
  <c r="A85" i="45"/>
  <c r="A227" i="45"/>
  <c r="A25" i="45"/>
  <c r="A251" i="45"/>
  <c r="A69" i="45"/>
  <c r="A301" i="45"/>
  <c r="A280" i="45"/>
  <c r="A162" i="45"/>
  <c r="A6" i="45"/>
  <c r="A86" i="45"/>
  <c r="A310" i="45"/>
  <c r="A295" i="45"/>
  <c r="A184" i="45"/>
  <c r="A70" i="45"/>
  <c r="A173" i="45"/>
  <c r="A138" i="45"/>
  <c r="A115" i="45"/>
  <c r="A36" i="45"/>
  <c r="A20" i="45"/>
  <c r="A313" i="45"/>
  <c r="A97" i="45"/>
  <c r="A232" i="45"/>
  <c r="A325" i="45"/>
  <c r="A154" i="45"/>
  <c r="A55" i="45"/>
  <c r="A106" i="45"/>
  <c r="A141" i="45"/>
  <c r="A3" i="45"/>
  <c r="A87" i="45"/>
  <c r="A147" i="45"/>
  <c r="A188" i="45"/>
  <c r="A198" i="45"/>
  <c r="A33" i="45"/>
  <c r="A196" i="45"/>
  <c r="A306" i="45"/>
  <c r="A8" i="45"/>
  <c r="A56" i="45"/>
  <c r="A72" i="45"/>
  <c r="A176" i="45"/>
  <c r="A222" i="45"/>
  <c r="A22" i="45"/>
  <c r="A103" i="45"/>
  <c r="A146" i="45"/>
  <c r="A24" i="45"/>
  <c r="A60" i="45"/>
  <c r="A140" i="45"/>
  <c r="A274" i="45"/>
  <c r="A39" i="45"/>
  <c r="A316" i="45"/>
  <c r="A211" i="45"/>
  <c r="A277" i="45"/>
  <c r="A120" i="45"/>
  <c r="A27" i="45"/>
  <c r="A260" i="45"/>
  <c r="E64" i="28"/>
  <c r="E61" i="28"/>
  <c r="E44" i="28"/>
  <c r="AA90" i="3"/>
  <c r="AA25" i="3"/>
  <c r="F59" i="28" s="1"/>
  <c r="E59" i="28"/>
  <c r="E46" i="28"/>
  <c r="E38" i="28"/>
  <c r="E43" i="28"/>
  <c r="AA14" i="3"/>
  <c r="F48" i="28" s="1"/>
  <c r="E48" i="28"/>
  <c r="AA66" i="3"/>
  <c r="E49" i="28"/>
  <c r="E58" i="28"/>
  <c r="E55" i="28"/>
  <c r="AA32" i="3"/>
  <c r="AA17" i="3"/>
  <c r="E51" i="28"/>
  <c r="AA83" i="3"/>
  <c r="E63" i="28"/>
  <c r="AA33" i="3"/>
  <c r="AA56" i="3"/>
  <c r="AA37" i="3"/>
  <c r="E40" i="28"/>
  <c r="AA6" i="3"/>
  <c r="F40" i="28" s="1"/>
  <c r="AA105" i="3"/>
  <c r="E13" i="28"/>
  <c r="E28" i="28"/>
  <c r="E30" i="28"/>
  <c r="E10" i="28"/>
  <c r="E15" i="28"/>
  <c r="E29" i="28"/>
  <c r="E11" i="28"/>
  <c r="E22" i="28"/>
  <c r="E19" i="28"/>
  <c r="E20" i="28"/>
  <c r="E9" i="28"/>
  <c r="E14" i="28"/>
  <c r="E33" i="28"/>
  <c r="E5" i="28"/>
  <c r="A338" i="32"/>
  <c r="A230" i="32"/>
  <c r="A335" i="32"/>
  <c r="A473" i="32"/>
  <c r="A177" i="32"/>
  <c r="A348" i="32"/>
  <c r="A428" i="32"/>
  <c r="A499" i="32"/>
  <c r="A520" i="32"/>
  <c r="A68" i="32"/>
  <c r="A389" i="32"/>
  <c r="A346" i="32"/>
  <c r="A92" i="32"/>
  <c r="A82" i="32"/>
  <c r="A26" i="31"/>
  <c r="A30" i="32"/>
  <c r="A403" i="32"/>
  <c r="A421" i="30"/>
  <c r="A99" i="32"/>
  <c r="A398" i="32"/>
  <c r="A512" i="32"/>
  <c r="A271" i="30"/>
  <c r="A101" i="30"/>
  <c r="A291" i="31"/>
  <c r="A125" i="30"/>
  <c r="A179" i="32"/>
  <c r="A390" i="32"/>
  <c r="A314" i="30"/>
  <c r="A154" i="30"/>
  <c r="A285" i="30"/>
  <c r="A286" i="30"/>
  <c r="A180" i="30"/>
  <c r="A374" i="32"/>
  <c r="A3" i="31"/>
  <c r="A414" i="30"/>
  <c r="A217" i="30"/>
  <c r="A342" i="31"/>
  <c r="A249" i="31"/>
  <c r="A224" i="31"/>
  <c r="A97" i="32"/>
  <c r="A151" i="32"/>
  <c r="A186" i="32"/>
  <c r="A269" i="31"/>
  <c r="A240" i="30"/>
  <c r="A362" i="30"/>
  <c r="A312" i="31"/>
  <c r="A175" i="30"/>
  <c r="A41" i="30"/>
  <c r="A406" i="30"/>
  <c r="A343" i="31"/>
  <c r="A247" i="30"/>
  <c r="A318" i="32"/>
  <c r="A297" i="32"/>
  <c r="A414" i="32"/>
  <c r="A308" i="32"/>
  <c r="A70" i="32"/>
  <c r="A195" i="32"/>
  <c r="A494" i="32"/>
  <c r="A498" i="32"/>
  <c r="A438" i="32"/>
  <c r="A51" i="32"/>
  <c r="A382" i="32"/>
  <c r="A9" i="32"/>
  <c r="A113" i="32"/>
  <c r="A229" i="32"/>
  <c r="A12" i="32"/>
  <c r="A215" i="32"/>
  <c r="A33" i="30"/>
  <c r="A150" i="32"/>
  <c r="A87" i="32"/>
  <c r="A354" i="32"/>
  <c r="A104" i="32"/>
  <c r="A535" i="32"/>
  <c r="A409" i="32"/>
  <c r="A271" i="32"/>
  <c r="A17" i="32"/>
  <c r="A268" i="32"/>
  <c r="A362" i="32"/>
  <c r="A136" i="32"/>
  <c r="A144" i="32"/>
  <c r="A272" i="32"/>
  <c r="A455" i="32"/>
  <c r="A72" i="32"/>
  <c r="A65" i="32"/>
  <c r="A483" i="32"/>
  <c r="A153" i="32"/>
  <c r="A105" i="32"/>
  <c r="A417" i="32"/>
  <c r="A345" i="32"/>
  <c r="A371" i="30"/>
  <c r="A109" i="30"/>
  <c r="A225" i="31"/>
  <c r="A151" i="30"/>
  <c r="A451" i="30"/>
  <c r="A241" i="30"/>
  <c r="A427" i="30"/>
  <c r="A215" i="31"/>
  <c r="A448" i="30"/>
  <c r="A326" i="30"/>
  <c r="A298" i="30"/>
  <c r="A536" i="32"/>
  <c r="A449" i="30"/>
  <c r="A457" i="32"/>
  <c r="A37" i="30"/>
  <c r="A43" i="31"/>
  <c r="A328" i="31"/>
  <c r="A380" i="30"/>
  <c r="A435" i="30"/>
  <c r="A354" i="30"/>
  <c r="A422" i="30"/>
  <c r="A282" i="31"/>
  <c r="A236" i="31"/>
  <c r="A232" i="30"/>
  <c r="A191" i="30"/>
  <c r="A318" i="31"/>
  <c r="A46" i="31"/>
  <c r="A50" i="30"/>
  <c r="A200" i="30"/>
  <c r="A103" i="31"/>
  <c r="A174" i="30"/>
  <c r="A442" i="30"/>
  <c r="A394" i="32"/>
  <c r="A79" i="31"/>
  <c r="A149" i="32"/>
  <c r="A440" i="32"/>
  <c r="A3" i="32"/>
  <c r="A185" i="32"/>
  <c r="A504" i="32"/>
  <c r="A36" i="32"/>
  <c r="A7" i="30"/>
  <c r="A180" i="31"/>
  <c r="A5" i="31"/>
  <c r="A76" i="31"/>
  <c r="A48" i="31"/>
  <c r="A12" i="30"/>
  <c r="A53" i="31"/>
  <c r="A299" i="31"/>
  <c r="A255" i="31"/>
  <c r="A24" i="30"/>
  <c r="A375" i="30"/>
  <c r="A9" i="30"/>
  <c r="A345" i="31"/>
  <c r="A23" i="31"/>
  <c r="A51" i="30"/>
  <c r="A345" i="30"/>
  <c r="A231" i="32"/>
  <c r="A402" i="32"/>
  <c r="A73" i="32"/>
  <c r="A168" i="32"/>
  <c r="A437" i="32"/>
  <c r="A49" i="30"/>
  <c r="A181" i="32"/>
  <c r="A252" i="32"/>
  <c r="A388" i="30"/>
  <c r="A107" i="32"/>
  <c r="A467" i="32"/>
  <c r="A160" i="32"/>
  <c r="A27" i="32"/>
  <c r="A122" i="32"/>
  <c r="A296" i="32"/>
  <c r="A210" i="32"/>
  <c r="A489" i="32"/>
  <c r="A119" i="32"/>
  <c r="A210" i="31"/>
  <c r="A169" i="31"/>
  <c r="A122" i="31"/>
  <c r="A278" i="31"/>
  <c r="A75" i="31"/>
  <c r="A91" i="31"/>
  <c r="A2" i="31"/>
  <c r="A305" i="30"/>
  <c r="A50" i="31"/>
  <c r="A312" i="30"/>
  <c r="A447" i="30"/>
  <c r="A123" i="30"/>
  <c r="A73" i="30"/>
  <c r="A36" i="31"/>
  <c r="A13" i="31"/>
  <c r="A32" i="32"/>
  <c r="A23" i="32"/>
  <c r="A420" i="32"/>
  <c r="A223" i="31"/>
  <c r="A216" i="30"/>
  <c r="A222" i="31"/>
  <c r="A194" i="31"/>
  <c r="A133" i="30"/>
  <c r="A439" i="30"/>
  <c r="A38" i="30"/>
  <c r="A35" i="30"/>
  <c r="A342" i="30"/>
  <c r="A323" i="31"/>
  <c r="A297" i="30"/>
  <c r="A161" i="31"/>
  <c r="A252" i="31"/>
  <c r="A268" i="31"/>
  <c r="A176" i="30"/>
  <c r="A127" i="30"/>
  <c r="A289" i="31"/>
  <c r="A265" i="31"/>
  <c r="A80" i="30"/>
  <c r="A298" i="32"/>
  <c r="A308" i="31"/>
  <c r="A61" i="31"/>
  <c r="A24" i="31"/>
  <c r="A266" i="31"/>
  <c r="A28" i="32"/>
  <c r="A351" i="30"/>
  <c r="A199" i="30"/>
  <c r="A176" i="32"/>
  <c r="A163" i="31"/>
  <c r="A276" i="31"/>
  <c r="A403" i="30"/>
  <c r="A126" i="31"/>
  <c r="A191" i="31"/>
  <c r="A64" i="31"/>
  <c r="A92" i="31"/>
  <c r="A376" i="30"/>
  <c r="A198" i="30"/>
  <c r="A195" i="31"/>
  <c r="A120" i="31"/>
  <c r="A85" i="31"/>
  <c r="A62" i="30"/>
  <c r="A137" i="31"/>
  <c r="A214" i="30"/>
  <c r="A106" i="31"/>
  <c r="A188" i="30"/>
  <c r="A6" i="32"/>
  <c r="A481" i="32"/>
  <c r="A77" i="32"/>
  <c r="A441" i="32"/>
  <c r="A343" i="32"/>
  <c r="A397" i="32"/>
  <c r="A324" i="32"/>
  <c r="A38" i="32"/>
  <c r="A347" i="32"/>
  <c r="A245" i="32"/>
  <c r="A331" i="32"/>
  <c r="A383" i="32"/>
  <c r="A331" i="30"/>
  <c r="A61" i="30"/>
  <c r="A258" i="31"/>
  <c r="A415" i="30"/>
  <c r="A158" i="31"/>
  <c r="A273" i="30"/>
  <c r="A338" i="31"/>
  <c r="A419" i="32"/>
  <c r="A54" i="31"/>
  <c r="A209" i="30"/>
  <c r="A228" i="30"/>
  <c r="A446" i="30"/>
  <c r="A32" i="30"/>
  <c r="A286" i="31"/>
  <c r="A84" i="31"/>
  <c r="A117" i="31"/>
  <c r="A146" i="32"/>
  <c r="A432" i="30"/>
  <c r="A64" i="30"/>
  <c r="A35" i="31"/>
  <c r="A18" i="31"/>
  <c r="A274" i="32"/>
  <c r="A309" i="30"/>
  <c r="A390" i="30"/>
  <c r="A316" i="30"/>
  <c r="A128" i="30"/>
  <c r="A150" i="30"/>
  <c r="A41" i="31"/>
  <c r="A215" i="30"/>
  <c r="A161" i="30"/>
  <c r="A344" i="31"/>
  <c r="A262" i="30"/>
  <c r="A120" i="30"/>
  <c r="A204" i="31"/>
  <c r="A6" i="31"/>
  <c r="A14" i="30"/>
  <c r="A318" i="30"/>
  <c r="A194" i="30"/>
  <c r="A105" i="31"/>
  <c r="A139" i="30"/>
  <c r="A97" i="31"/>
  <c r="A381" i="30"/>
  <c r="A219" i="30"/>
  <c r="A349" i="30"/>
  <c r="A227" i="30"/>
  <c r="A89" i="30"/>
  <c r="A108" i="30"/>
  <c r="A190" i="31"/>
  <c r="A270" i="31"/>
  <c r="A276" i="30"/>
  <c r="A366" i="30"/>
  <c r="A333" i="30"/>
  <c r="A310" i="30"/>
  <c r="A322" i="31"/>
  <c r="A76" i="30"/>
  <c r="A117" i="30"/>
  <c r="A31" i="31"/>
  <c r="A231" i="30"/>
  <c r="A199" i="31"/>
  <c r="A247" i="31"/>
  <c r="A131" i="30"/>
  <c r="A322" i="30"/>
  <c r="A71" i="31"/>
  <c r="A443" i="30"/>
  <c r="A153" i="30"/>
  <c r="A295" i="30"/>
  <c r="A330" i="30"/>
  <c r="A9" i="31"/>
  <c r="A179" i="30"/>
  <c r="A206" i="30"/>
  <c r="A434" i="30"/>
  <c r="A57" i="30"/>
  <c r="A186" i="31"/>
  <c r="A237" i="30"/>
  <c r="A462" i="30"/>
  <c r="A270" i="32"/>
  <c r="A277" i="32"/>
  <c r="A342" i="32"/>
  <c r="A292" i="32"/>
  <c r="A421" i="32"/>
  <c r="A94" i="32"/>
  <c r="A243" i="32"/>
  <c r="A255" i="32"/>
  <c r="A495" i="32"/>
  <c r="A26" i="32"/>
  <c r="A352" i="32"/>
  <c r="A140" i="32"/>
  <c r="A540" i="32"/>
  <c r="A391" i="32"/>
  <c r="A78" i="32"/>
  <c r="A309" i="32"/>
  <c r="A44" i="32"/>
  <c r="A529" i="32"/>
  <c r="AA53" i="4"/>
  <c r="W55" i="28"/>
  <c r="W33" i="28"/>
  <c r="AA44" i="4"/>
  <c r="W46" i="28"/>
  <c r="AA183" i="4"/>
  <c r="W15" i="28"/>
  <c r="AA13" i="4"/>
  <c r="W39" i="28"/>
  <c r="AA120" i="4"/>
  <c r="AA119" i="4"/>
  <c r="W37" i="28"/>
  <c r="W40" i="28"/>
  <c r="W44" i="28"/>
  <c r="AA100" i="4"/>
  <c r="W52" i="28"/>
  <c r="AA50" i="4"/>
  <c r="AA166" i="4"/>
  <c r="W45" i="28"/>
  <c r="W61" i="28"/>
  <c r="AA57" i="4"/>
  <c r="A226" i="32"/>
  <c r="A528" i="32"/>
  <c r="A219" i="32"/>
  <c r="A275" i="32"/>
  <c r="A526" i="32"/>
  <c r="A41" i="32"/>
  <c r="A162" i="32"/>
  <c r="A59" i="30"/>
  <c r="A202" i="30"/>
  <c r="A429" i="32"/>
  <c r="A263" i="32"/>
  <c r="A79" i="32"/>
  <c r="A242" i="32"/>
  <c r="A114" i="32"/>
  <c r="A279" i="32"/>
  <c r="A356" i="32"/>
  <c r="A47" i="32"/>
  <c r="A173" i="32"/>
  <c r="A482" i="32"/>
  <c r="A109" i="32"/>
  <c r="A19" i="32"/>
  <c r="A118" i="32"/>
  <c r="A503" i="32"/>
  <c r="A404" i="32"/>
  <c r="A360" i="32"/>
  <c r="A527" i="32"/>
  <c r="A307" i="32"/>
  <c r="A152" i="32"/>
  <c r="A133" i="31"/>
  <c r="A301" i="31"/>
  <c r="A15" i="30"/>
  <c r="A118" i="31"/>
  <c r="A296" i="30"/>
  <c r="A29" i="30"/>
  <c r="A87" i="31"/>
  <c r="A155" i="31"/>
  <c r="A259" i="30"/>
  <c r="A193" i="31"/>
  <c r="A261" i="31"/>
  <c r="A307" i="30"/>
  <c r="A257" i="30"/>
  <c r="A369" i="30"/>
  <c r="A325" i="30"/>
  <c r="A211" i="31"/>
  <c r="A45" i="31"/>
  <c r="A150" i="31"/>
  <c r="A533" i="32"/>
  <c r="A385" i="32"/>
  <c r="A281" i="32"/>
  <c r="A476" i="32"/>
  <c r="A358" i="30"/>
  <c r="A129" i="30"/>
  <c r="A8" i="31"/>
  <c r="A271" i="31"/>
  <c r="A418" i="32"/>
  <c r="A123" i="31"/>
  <c r="A441" i="30"/>
  <c r="A196" i="30"/>
  <c r="A201" i="31"/>
  <c r="A8" i="30"/>
  <c r="A463" i="32"/>
  <c r="A100" i="32"/>
  <c r="A304" i="32"/>
  <c r="A223" i="32"/>
  <c r="A251" i="32"/>
  <c r="A2" i="32"/>
  <c r="A265" i="32"/>
  <c r="A59" i="32"/>
  <c r="A138" i="32"/>
  <c r="A212" i="32"/>
  <c r="A515" i="32"/>
  <c r="A260" i="32"/>
  <c r="A353" i="32"/>
  <c r="A393" i="32"/>
  <c r="A401" i="32"/>
  <c r="A50" i="32"/>
  <c r="A453" i="32"/>
  <c r="A370" i="32"/>
  <c r="A25" i="32"/>
  <c r="A261" i="32"/>
  <c r="A380" i="32"/>
  <c r="A381" i="32"/>
  <c r="A157" i="32"/>
  <c r="A37" i="32"/>
  <c r="A209" i="32"/>
  <c r="A306" i="32"/>
  <c r="A165" i="32"/>
  <c r="A224" i="32"/>
  <c r="A511" i="32"/>
  <c r="A332" i="32"/>
  <c r="A170" i="32"/>
  <c r="A479" i="32"/>
  <c r="A197" i="32"/>
  <c r="A442" i="32"/>
  <c r="A538" i="32"/>
  <c r="A293" i="32"/>
  <c r="A275" i="31"/>
  <c r="A25" i="30"/>
  <c r="A65" i="31"/>
  <c r="A40" i="30"/>
  <c r="A220" i="30"/>
  <c r="A213" i="30"/>
  <c r="A60" i="31"/>
  <c r="A399" i="30"/>
  <c r="A165" i="31"/>
  <c r="A111" i="30"/>
  <c r="A340" i="30"/>
  <c r="A216" i="32"/>
  <c r="A301" i="30"/>
  <c r="A391" i="30"/>
  <c r="A534" i="32"/>
  <c r="A110" i="31"/>
  <c r="A121" i="32"/>
  <c r="A304" i="31"/>
  <c r="A306" i="30"/>
  <c r="A7" i="31"/>
  <c r="A329" i="30"/>
  <c r="A145" i="31"/>
  <c r="A532" i="32"/>
  <c r="A363" i="32"/>
  <c r="A399" i="32"/>
  <c r="A486" i="32"/>
  <c r="A319" i="31"/>
  <c r="A103" i="30"/>
  <c r="A110" i="30"/>
  <c r="A235" i="30"/>
  <c r="A93" i="30"/>
  <c r="A83" i="30"/>
  <c r="A119" i="31"/>
  <c r="A310" i="31"/>
  <c r="A284" i="32"/>
  <c r="A497" i="32"/>
  <c r="A316" i="32"/>
  <c r="A155" i="32"/>
  <c r="A182" i="32"/>
  <c r="A250" i="32"/>
  <c r="A453" i="30"/>
  <c r="A379" i="30"/>
  <c r="A182" i="30"/>
  <c r="A69" i="30"/>
  <c r="A118" i="30"/>
  <c r="A229" i="30"/>
  <c r="A168" i="31"/>
  <c r="A15" i="31"/>
  <c r="A436" i="30"/>
  <c r="A208" i="30"/>
  <c r="A55" i="31"/>
  <c r="A98" i="30"/>
  <c r="A184" i="30"/>
  <c r="A334" i="30"/>
  <c r="A101" i="31"/>
  <c r="A135" i="32"/>
  <c r="A461" i="32"/>
  <c r="A312" i="32"/>
  <c r="A396" i="32"/>
  <c r="A334" i="32"/>
  <c r="A259" i="32"/>
  <c r="A33" i="32"/>
  <c r="A358" i="32"/>
  <c r="A213" i="32"/>
  <c r="A329" i="31"/>
  <c r="A328" i="32"/>
  <c r="A288" i="32"/>
  <c r="A141" i="32"/>
  <c r="A372" i="32"/>
  <c r="A416" i="32"/>
  <c r="A184" i="32"/>
  <c r="A460" i="32"/>
  <c r="A22" i="32"/>
  <c r="A274" i="30"/>
  <c r="A44" i="31"/>
  <c r="A317" i="30"/>
  <c r="A40" i="32"/>
  <c r="A290" i="31"/>
  <c r="A82" i="30"/>
  <c r="A38" i="31"/>
  <c r="A143" i="32"/>
  <c r="A278" i="30"/>
  <c r="A431" i="30"/>
  <c r="A298" i="31"/>
  <c r="A337" i="32"/>
  <c r="A242" i="30"/>
  <c r="A121" i="30"/>
  <c r="A296" i="31"/>
  <c r="A117" i="32"/>
  <c r="A321" i="32"/>
  <c r="A521" i="32"/>
  <c r="A218" i="31"/>
  <c r="A71" i="30"/>
  <c r="A66" i="30"/>
  <c r="A116" i="30"/>
  <c r="A223" i="30"/>
  <c r="A401" i="30"/>
  <c r="A327" i="31"/>
  <c r="A268" i="30"/>
  <c r="A202" i="31"/>
  <c r="A281" i="31"/>
  <c r="A245" i="30"/>
  <c r="A134" i="30"/>
  <c r="A285" i="31"/>
  <c r="A2" i="30"/>
  <c r="A108" i="31"/>
  <c r="A341" i="30"/>
  <c r="A21" i="30"/>
  <c r="A104" i="31"/>
  <c r="A416" i="30"/>
  <c r="A165" i="30"/>
  <c r="A171" i="31"/>
  <c r="A230" i="31"/>
  <c r="A122" i="30"/>
  <c r="A173" i="31"/>
  <c r="A179" i="31"/>
  <c r="A54" i="30"/>
  <c r="A149" i="30"/>
  <c r="A382" i="30"/>
  <c r="A148" i="30"/>
  <c r="A100" i="31"/>
  <c r="A492" i="32"/>
  <c r="A21" i="32"/>
  <c r="A140" i="30"/>
  <c r="A68" i="30"/>
  <c r="A321" i="30"/>
  <c r="A10" i="30"/>
  <c r="A20" i="31"/>
  <c r="A212" i="31"/>
  <c r="A112" i="31"/>
  <c r="A407" i="30"/>
  <c r="A346" i="30"/>
  <c r="A130" i="30"/>
  <c r="A274" i="31"/>
  <c r="A49" i="31"/>
  <c r="A25" i="31"/>
  <c r="A305" i="32"/>
  <c r="A462" i="32"/>
  <c r="A340" i="32"/>
  <c r="A419" i="30"/>
  <c r="A248" i="32"/>
  <c r="A480" i="32"/>
  <c r="A128" i="32"/>
  <c r="A506" i="32"/>
  <c r="A317" i="32"/>
  <c r="A191" i="32"/>
  <c r="A326" i="32"/>
  <c r="A123" i="32"/>
  <c r="A238" i="30"/>
  <c r="A459" i="30"/>
  <c r="A374" i="30"/>
  <c r="A46" i="30"/>
  <c r="A392" i="30"/>
  <c r="A116" i="31"/>
  <c r="A18" i="32"/>
  <c r="A456" i="30"/>
  <c r="A144" i="31"/>
  <c r="A319" i="30"/>
  <c r="A175" i="31"/>
  <c r="A138" i="30"/>
  <c r="A234" i="30"/>
  <c r="A126" i="30"/>
  <c r="A339" i="30"/>
  <c r="A452" i="30"/>
  <c r="A12" i="31"/>
  <c r="A305" i="31"/>
  <c r="A31" i="30"/>
  <c r="A302" i="30"/>
  <c r="A409" i="30"/>
  <c r="A170" i="30"/>
  <c r="A70" i="31"/>
  <c r="A28" i="30"/>
  <c r="A47" i="31"/>
  <c r="A430" i="30"/>
  <c r="A328" i="30"/>
  <c r="A81" i="30"/>
  <c r="A73" i="31"/>
  <c r="A77" i="30"/>
  <c r="A455" i="30"/>
  <c r="A213" i="31"/>
  <c r="A277" i="31"/>
  <c r="A11" i="30"/>
  <c r="A198" i="31"/>
  <c r="A140" i="31"/>
  <c r="A410" i="30"/>
  <c r="A152" i="31"/>
  <c r="A217" i="31"/>
  <c r="A304" i="30"/>
  <c r="A167" i="31"/>
  <c r="A78" i="31"/>
  <c r="A308" i="30"/>
  <c r="A77" i="31"/>
  <c r="A425" i="30"/>
  <c r="A235" i="31"/>
  <c r="A205" i="30"/>
  <c r="A426" i="30"/>
  <c r="A188" i="31"/>
  <c r="A186" i="30"/>
  <c r="A181" i="30"/>
  <c r="A104" i="30"/>
  <c r="A131" i="31"/>
  <c r="A156" i="30"/>
  <c r="A197" i="30"/>
  <c r="A207" i="31"/>
  <c r="A256" i="31"/>
  <c r="A287" i="30"/>
  <c r="A78" i="30"/>
  <c r="A387" i="30"/>
  <c r="A40" i="31"/>
  <c r="A339" i="31"/>
  <c r="A303" i="31"/>
  <c r="A363" i="30"/>
  <c r="A314" i="31"/>
  <c r="A72" i="30"/>
  <c r="A386" i="32"/>
  <c r="A384" i="30"/>
  <c r="A320" i="30"/>
  <c r="A56" i="30"/>
  <c r="A68" i="31"/>
  <c r="A233" i="30"/>
  <c r="A94" i="30"/>
  <c r="A105" i="30"/>
  <c r="A408" i="32"/>
  <c r="A83" i="32"/>
  <c r="A330" i="32"/>
  <c r="A225" i="32"/>
  <c r="A339" i="32"/>
  <c r="A115" i="32"/>
  <c r="A164" i="32"/>
  <c r="A377" i="32"/>
  <c r="A375" i="32"/>
  <c r="A510" i="32"/>
  <c r="A20" i="32"/>
  <c r="A10" i="32"/>
  <c r="A190" i="32"/>
  <c r="A58" i="32"/>
  <c r="A366" i="32"/>
  <c r="A258" i="32"/>
  <c r="A406" i="32"/>
  <c r="A11" i="32"/>
  <c r="AA133" i="4"/>
  <c r="AA213" i="4"/>
  <c r="AA179" i="4"/>
  <c r="W14" i="28"/>
  <c r="W56" i="28"/>
  <c r="AA54" i="4"/>
  <c r="X56" i="28" s="1"/>
  <c r="W54" i="28"/>
  <c r="W47" i="28"/>
  <c r="W36" i="28"/>
  <c r="W34" i="28"/>
  <c r="AA138" i="4"/>
  <c r="W60" i="28"/>
  <c r="AA58" i="4"/>
  <c r="AA5" i="4"/>
  <c r="X7" i="28" s="1"/>
  <c r="W7" i="28"/>
  <c r="AA66" i="4"/>
  <c r="AA161" i="4"/>
  <c r="A130" i="32"/>
  <c r="A8" i="32"/>
  <c r="A487" i="32"/>
  <c r="A187" i="32"/>
  <c r="A470" i="32"/>
  <c r="A474" i="32"/>
  <c r="A218" i="32"/>
  <c r="A178" i="32"/>
  <c r="AA48" i="4"/>
  <c r="W31" i="28"/>
  <c r="W29" i="28"/>
  <c r="W25" i="28"/>
  <c r="AA211" i="4"/>
  <c r="W63" i="28"/>
  <c r="W43" i="28"/>
  <c r="W18" i="28"/>
  <c r="AA191" i="4"/>
  <c r="AA204" i="4"/>
  <c r="AA167" i="4"/>
  <c r="AA181" i="4"/>
  <c r="AA131" i="4"/>
  <c r="W57" i="28"/>
  <c r="AA55" i="4"/>
  <c r="X57" i="28" s="1"/>
  <c r="W48" i="28"/>
  <c r="AA4" i="4"/>
  <c r="X6" i="28" s="1"/>
  <c r="W6" i="28"/>
  <c r="AA110" i="4"/>
  <c r="A206" i="45"/>
  <c r="A181" i="45"/>
  <c r="A252" i="45"/>
  <c r="A192" i="45"/>
  <c r="A231" i="45"/>
  <c r="A265" i="45"/>
  <c r="A89" i="45"/>
  <c r="A90" i="45"/>
  <c r="A245" i="45"/>
  <c r="A11" i="45"/>
  <c r="A180" i="45"/>
  <c r="A170" i="45"/>
  <c r="A42" i="45"/>
  <c r="A296" i="45"/>
  <c r="A307" i="45"/>
  <c r="A145" i="45"/>
  <c r="A308" i="45"/>
  <c r="A67" i="45"/>
  <c r="A267" i="45"/>
  <c r="A77" i="45"/>
  <c r="A212" i="45"/>
  <c r="A100" i="45"/>
  <c r="A210" i="45"/>
  <c r="A282" i="45"/>
  <c r="A270" i="45"/>
  <c r="A191" i="45"/>
  <c r="A200" i="45"/>
  <c r="A242" i="45"/>
  <c r="A205" i="45"/>
  <c r="A317" i="45"/>
  <c r="A271" i="45"/>
  <c r="A68" i="45"/>
  <c r="A30" i="45"/>
  <c r="A193" i="45"/>
  <c r="A303" i="45"/>
  <c r="A312" i="45"/>
  <c r="A12" i="45"/>
  <c r="A75" i="45"/>
  <c r="A236" i="45"/>
  <c r="A253" i="45"/>
  <c r="A250" i="45"/>
  <c r="A94" i="45"/>
  <c r="A215" i="45"/>
  <c r="A195" i="45"/>
  <c r="A289" i="45"/>
  <c r="A112" i="45"/>
  <c r="A76" i="45"/>
  <c r="A169" i="45"/>
  <c r="A321" i="45"/>
  <c r="A273" i="45"/>
  <c r="A37" i="45"/>
  <c r="A111" i="45"/>
  <c r="A248" i="45"/>
  <c r="A122" i="45"/>
  <c r="A240" i="45"/>
  <c r="A74" i="45"/>
  <c r="A224" i="45"/>
  <c r="A213" i="45"/>
  <c r="A204" i="45"/>
  <c r="A276" i="45"/>
  <c r="A152" i="45"/>
  <c r="A168" i="45"/>
  <c r="A174" i="45"/>
  <c r="A131" i="45"/>
  <c r="A179" i="45"/>
  <c r="A15" i="45"/>
  <c r="A311" i="45"/>
  <c r="A17" i="45"/>
  <c r="A149" i="45"/>
  <c r="A83" i="45"/>
  <c r="A322" i="45"/>
  <c r="A237" i="45"/>
  <c r="A35" i="45"/>
  <c r="A172" i="45"/>
  <c r="A201" i="45"/>
  <c r="A156" i="45"/>
  <c r="A82" i="45"/>
  <c r="A304" i="45"/>
  <c r="A104" i="45"/>
  <c r="A61" i="45"/>
  <c r="A38" i="45"/>
  <c r="A233" i="45"/>
  <c r="A266" i="45"/>
  <c r="A262" i="45"/>
  <c r="A183" i="45"/>
  <c r="A155" i="45"/>
  <c r="A81" i="45"/>
  <c r="A5" i="45"/>
  <c r="A92" i="45"/>
  <c r="A21" i="45"/>
  <c r="A48" i="45"/>
  <c r="A110" i="45"/>
  <c r="A119" i="45"/>
  <c r="A278" i="45"/>
  <c r="A63" i="45"/>
  <c r="A292" i="45"/>
  <c r="A139" i="45"/>
  <c r="A254" i="45"/>
  <c r="A121" i="45"/>
  <c r="A118" i="45"/>
  <c r="A31" i="45"/>
  <c r="A314" i="45"/>
  <c r="A57" i="45"/>
  <c r="A178" i="45"/>
  <c r="A315" i="45"/>
  <c r="A199" i="45"/>
  <c r="A50" i="45"/>
  <c r="A161" i="45"/>
  <c r="A272" i="45"/>
  <c r="A202" i="45"/>
  <c r="A285" i="45"/>
  <c r="A127" i="45"/>
  <c r="A158" i="45"/>
  <c r="A102" i="45"/>
  <c r="A54" i="45"/>
  <c r="A32" i="45"/>
  <c r="A281" i="45"/>
  <c r="A160" i="45"/>
  <c r="A197" i="45"/>
  <c r="A185" i="45"/>
  <c r="A45" i="45"/>
  <c r="A78" i="45"/>
  <c r="A64" i="45"/>
  <c r="A105" i="45"/>
  <c r="A293" i="45"/>
  <c r="A291" i="45"/>
  <c r="A4" i="45"/>
  <c r="A99" i="45"/>
  <c r="A123" i="45"/>
  <c r="A290" i="45"/>
  <c r="A46" i="45"/>
  <c r="A171" i="45"/>
  <c r="A244" i="45"/>
  <c r="A128" i="45"/>
  <c r="A298" i="45"/>
  <c r="A41" i="45"/>
  <c r="A320" i="45"/>
  <c r="A230" i="45"/>
  <c r="A136" i="45"/>
  <c r="A187" i="45"/>
  <c r="A294" i="45"/>
  <c r="A96" i="45"/>
  <c r="A134" i="45"/>
  <c r="A13" i="45"/>
  <c r="A239" i="45"/>
  <c r="A124" i="45"/>
  <c r="A113" i="45"/>
  <c r="A241" i="45"/>
  <c r="A247" i="45"/>
  <c r="A165" i="45"/>
  <c r="A175" i="45"/>
  <c r="A163" i="45"/>
  <c r="A52" i="45"/>
  <c r="A132" i="45"/>
  <c r="A219" i="45"/>
  <c r="A23" i="45"/>
  <c r="A58" i="45"/>
  <c r="A16" i="45"/>
  <c r="A275" i="45"/>
  <c r="A288" i="45"/>
  <c r="A208" i="45"/>
  <c r="E52" i="28"/>
  <c r="E42" i="28"/>
  <c r="AA44" i="3"/>
  <c r="AA52" i="3"/>
  <c r="E57" i="28"/>
  <c r="AA94" i="3"/>
  <c r="E60" i="28"/>
  <c r="AA85" i="3"/>
  <c r="E56" i="28"/>
  <c r="AA20" i="3"/>
  <c r="F54" i="28" s="1"/>
  <c r="E54" i="28"/>
  <c r="E47" i="28"/>
  <c r="AA110" i="3"/>
  <c r="E45" i="28"/>
  <c r="AA11" i="3"/>
  <c r="F45" i="28" s="1"/>
  <c r="A18" i="45"/>
  <c r="AA36" i="3"/>
  <c r="AA62" i="3"/>
  <c r="E62" i="28"/>
  <c r="AA87" i="3"/>
  <c r="AA47" i="3"/>
  <c r="AA39" i="3"/>
  <c r="E39" i="28"/>
  <c r="Y112" i="3"/>
  <c r="Y97" i="3"/>
  <c r="Y21" i="3"/>
  <c r="Y90" i="3"/>
  <c r="Y34" i="3"/>
  <c r="Y101" i="3"/>
  <c r="Y65" i="3"/>
  <c r="E37" i="28"/>
  <c r="Y20" i="3"/>
  <c r="Y56" i="3"/>
  <c r="Y71" i="3"/>
  <c r="Y30" i="3"/>
  <c r="Y37" i="3"/>
  <c r="Y109" i="3"/>
  <c r="Y70" i="3"/>
  <c r="Y41" i="3"/>
  <c r="AA3" i="3"/>
  <c r="F37" i="28" s="1"/>
  <c r="Y18" i="3"/>
  <c r="Y93" i="3"/>
  <c r="Y80" i="3"/>
  <c r="Y43" i="3"/>
  <c r="Y13" i="3"/>
  <c r="Y81" i="3"/>
  <c r="Y61" i="3"/>
  <c r="Y22" i="3"/>
  <c r="Y42" i="3"/>
  <c r="Y5" i="3"/>
  <c r="Y113" i="3"/>
  <c r="Y74" i="3"/>
  <c r="Y98" i="3"/>
  <c r="Y75" i="3"/>
  <c r="Y9" i="3"/>
  <c r="Y79" i="3"/>
  <c r="Y15" i="3"/>
  <c r="Y86" i="3"/>
  <c r="Y6" i="3"/>
  <c r="Y49" i="3"/>
  <c r="Y91" i="3"/>
  <c r="Y60" i="3"/>
  <c r="Y63" i="3"/>
  <c r="Y16" i="3"/>
  <c r="Y29" i="3"/>
  <c r="Y83" i="3"/>
  <c r="Y94" i="3"/>
  <c r="Y99" i="3"/>
  <c r="Y4" i="3"/>
  <c r="Y92" i="3"/>
  <c r="Y102" i="3"/>
  <c r="Y85" i="3"/>
  <c r="Y32" i="3"/>
  <c r="Y106" i="3"/>
  <c r="Y23" i="3"/>
  <c r="Y77" i="3"/>
  <c r="Y76" i="3"/>
  <c r="Y82" i="3"/>
  <c r="Y104" i="3"/>
  <c r="Y59" i="3"/>
  <c r="Y62" i="3"/>
  <c r="AA67" i="3"/>
  <c r="AA68" i="3"/>
  <c r="AA80" i="3"/>
  <c r="AA35" i="3"/>
  <c r="E50" i="28"/>
  <c r="AA16" i="3"/>
  <c r="E41" i="28"/>
  <c r="AA106" i="3"/>
  <c r="E31" i="28"/>
  <c r="E34" i="28"/>
  <c r="E24" i="28"/>
  <c r="E16" i="28"/>
  <c r="E25" i="28"/>
  <c r="E7" i="28"/>
  <c r="E8" i="28"/>
  <c r="E21" i="28"/>
  <c r="Z15" i="2"/>
  <c r="D13" i="1"/>
  <c r="D17" i="1" s="1"/>
  <c r="E18" i="28"/>
  <c r="E6" i="28"/>
  <c r="E27" i="28"/>
  <c r="E23" i="28"/>
  <c r="E32" i="28"/>
  <c r="E12" i="28"/>
  <c r="E26" i="28"/>
  <c r="N290" i="7"/>
  <c r="N289" i="7"/>
  <c r="N85" i="7"/>
  <c r="N243" i="7"/>
  <c r="N237" i="7"/>
  <c r="N82" i="7"/>
  <c r="N270" i="7"/>
  <c r="N94" i="7"/>
  <c r="N141" i="7"/>
  <c r="N292" i="7"/>
  <c r="N148" i="7"/>
  <c r="N131" i="7"/>
  <c r="N305" i="7"/>
  <c r="N560" i="7"/>
  <c r="N134" i="7"/>
  <c r="N450" i="7"/>
  <c r="N48" i="7"/>
  <c r="N522" i="7"/>
  <c r="N226" i="7"/>
  <c r="N53" i="7"/>
  <c r="N231" i="7"/>
  <c r="N229" i="7"/>
  <c r="N73" i="7"/>
  <c r="N102" i="7"/>
  <c r="N207" i="7"/>
  <c r="N171" i="7"/>
  <c r="N495" i="7"/>
  <c r="N406" i="7"/>
  <c r="N326" i="7"/>
  <c r="N514" i="7"/>
  <c r="N476" i="7"/>
  <c r="N360" i="7"/>
  <c r="N516" i="7"/>
  <c r="N118" i="7"/>
  <c r="N424" i="7"/>
  <c r="N547" i="7"/>
  <c r="N46" i="7"/>
  <c r="N30" i="7"/>
  <c r="N479" i="7"/>
  <c r="N587" i="7"/>
  <c r="N162" i="7"/>
  <c r="N306" i="7"/>
  <c r="N470" i="7"/>
  <c r="N524" i="7"/>
  <c r="N275" i="7"/>
  <c r="N579" i="7"/>
  <c r="N352" i="7"/>
  <c r="N485" i="7"/>
  <c r="N24" i="7"/>
  <c r="N533" i="7"/>
  <c r="N222" i="7"/>
  <c r="N169" i="7"/>
  <c r="N343" i="7"/>
  <c r="N138" i="7"/>
  <c r="N291" i="7"/>
  <c r="N92" i="7"/>
  <c r="N269" i="7"/>
  <c r="N212" i="7"/>
  <c r="N461" i="7"/>
  <c r="N508" i="7"/>
  <c r="N457" i="7"/>
  <c r="N301" i="7"/>
  <c r="N456" i="7"/>
  <c r="N425" i="7"/>
  <c r="N449" i="7"/>
  <c r="N394" i="7"/>
  <c r="N354" i="7"/>
  <c r="N378" i="7"/>
  <c r="N423" i="7"/>
  <c r="N166" i="7"/>
  <c r="N591" i="7"/>
  <c r="N280" i="7"/>
  <c r="N613" i="7"/>
  <c r="N330" i="7"/>
  <c r="N596" i="7"/>
  <c r="N427" i="7"/>
  <c r="N50" i="7"/>
  <c r="N112" i="7"/>
  <c r="N308" i="7"/>
  <c r="N538" i="7"/>
  <c r="N364" i="7"/>
  <c r="N453" i="7"/>
  <c r="N562" i="7"/>
  <c r="N323" i="7"/>
  <c r="N377" i="7"/>
  <c r="N592" i="7"/>
  <c r="N359" i="7"/>
  <c r="N58" i="7"/>
  <c r="N217" i="7"/>
  <c r="N379" i="7"/>
  <c r="N384" i="7"/>
  <c r="N368" i="7"/>
  <c r="N49" i="7"/>
  <c r="N527" i="7"/>
  <c r="N76" i="7"/>
  <c r="N156" i="7"/>
  <c r="N388" i="7"/>
  <c r="N572" i="7"/>
  <c r="N26" i="7"/>
  <c r="N469" i="7"/>
  <c r="N116" i="7"/>
  <c r="N595" i="7"/>
  <c r="N502" i="7"/>
  <c r="N458" i="7"/>
  <c r="N603" i="7"/>
  <c r="N104" i="7"/>
  <c r="N284" i="7"/>
  <c r="N313" i="7"/>
  <c r="N17" i="7"/>
  <c r="N224" i="7"/>
  <c r="N97" i="7"/>
  <c r="N500" i="7"/>
  <c r="N552" i="7"/>
  <c r="N151" i="7"/>
  <c r="N137" i="7"/>
  <c r="N75" i="7"/>
  <c r="N41" i="7"/>
  <c r="N589" i="7"/>
  <c r="N432" i="7"/>
  <c r="N113" i="7"/>
  <c r="N504" i="7"/>
  <c r="N515" i="7"/>
  <c r="N248" i="7"/>
  <c r="N196" i="7"/>
  <c r="N537" i="7"/>
  <c r="N29" i="7"/>
  <c r="N274" i="7"/>
  <c r="N253" i="7"/>
  <c r="N43" i="7"/>
  <c r="N56" i="7"/>
  <c r="N272" i="7"/>
  <c r="N238" i="7"/>
  <c r="N241" i="7"/>
  <c r="N184" i="7"/>
  <c r="N34" i="7"/>
  <c r="N52" i="7"/>
  <c r="N205" i="7"/>
  <c r="N390" i="7"/>
  <c r="N318" i="7"/>
  <c r="N477" i="7"/>
  <c r="N400" i="7"/>
  <c r="N398" i="7"/>
  <c r="N437" i="7"/>
  <c r="N350" i="7"/>
  <c r="N23" i="7"/>
  <c r="N380" i="7"/>
  <c r="N573" i="7"/>
  <c r="N608" i="7"/>
  <c r="N597" i="7"/>
  <c r="N586" i="7"/>
  <c r="N60" i="7"/>
  <c r="N168" i="7"/>
  <c r="N176" i="7"/>
  <c r="N392" i="7"/>
  <c r="N210" i="7"/>
  <c r="N223" i="7"/>
  <c r="N426" i="7"/>
  <c r="N267" i="7"/>
  <c r="N563" i="7"/>
  <c r="N475" i="7"/>
  <c r="N565" i="7"/>
  <c r="N194" i="7"/>
  <c r="N610" i="7"/>
  <c r="N545" i="7"/>
  <c r="N614" i="7"/>
  <c r="N386" i="7"/>
  <c r="N361" i="7"/>
  <c r="N264" i="7"/>
  <c r="N203" i="7"/>
  <c r="N161" i="7"/>
  <c r="N186" i="7"/>
  <c r="N322" i="7"/>
  <c r="N123" i="7"/>
  <c r="N357" i="7"/>
  <c r="N201" i="7"/>
  <c r="N239" i="7"/>
  <c r="N362" i="7"/>
  <c r="N219" i="7"/>
  <c r="N338" i="7"/>
  <c r="N19" i="7"/>
  <c r="N583" i="7"/>
  <c r="N300" i="7"/>
  <c r="N120" i="7"/>
  <c r="N491" i="7"/>
  <c r="N439" i="7"/>
  <c r="N281" i="7"/>
  <c r="N101" i="7"/>
  <c r="N32" i="7"/>
  <c r="N70" i="7"/>
  <c r="N550" i="7"/>
  <c r="N451" i="7"/>
  <c r="N266" i="7"/>
  <c r="N455" i="7"/>
  <c r="N532" i="7"/>
  <c r="E34" i="7"/>
  <c r="N409" i="7"/>
  <c r="N567" i="7"/>
  <c r="N190" i="7"/>
  <c r="N440" i="7"/>
  <c r="N158" i="7"/>
  <c r="N580" i="7"/>
  <c r="N594" i="7"/>
  <c r="N452" i="7"/>
  <c r="N373" i="7"/>
  <c r="N466" i="7"/>
  <c r="N164" i="7"/>
  <c r="N88" i="7"/>
  <c r="N246" i="7"/>
  <c r="N519" i="7"/>
  <c r="N442" i="7"/>
  <c r="N333" i="7"/>
  <c r="N421" i="7"/>
  <c r="N420" i="7"/>
  <c r="N460" i="7"/>
  <c r="N472" i="7"/>
  <c r="N188" i="7"/>
  <c r="N107" i="7"/>
  <c r="N268" i="7"/>
  <c r="N128" i="7"/>
  <c r="N585" i="7"/>
  <c r="N197" i="7"/>
  <c r="N383" i="7"/>
  <c r="N192" i="7"/>
  <c r="N182" i="7"/>
  <c r="N259" i="7"/>
  <c r="N37" i="7"/>
  <c r="N528" i="7"/>
  <c r="N529" i="7"/>
  <c r="N445" i="7"/>
  <c r="N576" i="7"/>
  <c r="N45" i="7"/>
  <c r="N154" i="7"/>
  <c r="N261" i="7"/>
  <c r="N236" i="7"/>
  <c r="N47" i="7"/>
  <c r="N371" i="7"/>
  <c r="N520" i="7"/>
  <c r="N16" i="7"/>
  <c r="N183" i="7"/>
  <c r="N252" i="7"/>
  <c r="N609" i="7"/>
  <c r="N218" i="7"/>
  <c r="N518" i="7"/>
  <c r="N575" i="7"/>
  <c r="N316" i="7"/>
  <c r="N262" i="7"/>
  <c r="N385" i="7"/>
  <c r="N374" i="7"/>
  <c r="N487" i="7"/>
  <c r="N152" i="7"/>
  <c r="N590" i="7"/>
  <c r="N414" i="7"/>
  <c r="N68" i="7"/>
  <c r="N348" i="7"/>
  <c r="N296" i="7"/>
  <c r="N254" i="7"/>
  <c r="N542" i="7"/>
  <c r="N340" i="7"/>
  <c r="N467" i="7"/>
  <c r="N321" i="7"/>
  <c r="N198" i="7"/>
  <c r="N468" i="7"/>
  <c r="N435" i="7"/>
  <c r="N304" i="7"/>
  <c r="N62" i="7"/>
  <c r="N193" i="7"/>
  <c r="N578" i="7"/>
  <c r="N473" i="7"/>
  <c r="N216" i="7"/>
  <c r="N204" i="7"/>
  <c r="N15" i="7"/>
  <c r="N66" i="7"/>
  <c r="N174" i="7"/>
  <c r="N525" i="7"/>
  <c r="N366" i="7"/>
  <c r="N404" i="7"/>
  <c r="N403" i="7"/>
  <c r="N606" i="7"/>
  <c r="N106" i="7"/>
  <c r="N96" i="7"/>
  <c r="N584" i="7"/>
  <c r="N263" i="7"/>
  <c r="N59" i="7"/>
  <c r="N345" i="7"/>
  <c r="N601" i="7"/>
  <c r="N554" i="7"/>
  <c r="N317" i="7"/>
  <c r="N462" i="7"/>
  <c r="N150" i="7"/>
  <c r="N299" i="7"/>
  <c r="N503" i="7"/>
  <c r="N200" i="7"/>
  <c r="N571" i="7"/>
  <c r="N410" i="7"/>
  <c r="N521" i="7"/>
  <c r="N320" i="7"/>
  <c r="N507" i="7"/>
  <c r="N570" i="7"/>
  <c r="N474" i="7"/>
  <c r="N553" i="7"/>
  <c r="N600" i="7"/>
  <c r="N556" i="7"/>
  <c r="N555" i="7"/>
  <c r="N497" i="7"/>
  <c r="N159" i="7"/>
  <c r="N35" i="7"/>
  <c r="N490" i="7"/>
  <c r="N177" i="7"/>
  <c r="E276" i="7"/>
  <c r="N334" i="7"/>
  <c r="N133" i="7"/>
  <c r="N411" i="7"/>
  <c r="N258" i="7"/>
  <c r="N83" i="7"/>
  <c r="N513" i="7"/>
  <c r="N355" i="7"/>
  <c r="N265" i="7"/>
  <c r="N581" i="7"/>
  <c r="N179" i="7"/>
  <c r="N531" i="7"/>
  <c r="N25" i="7"/>
  <c r="N110" i="7"/>
  <c r="N40" i="7"/>
  <c r="N242" i="7"/>
  <c r="N215" i="7"/>
  <c r="N273" i="7"/>
  <c r="N93" i="7"/>
  <c r="N543" i="7"/>
  <c r="N349" i="7"/>
  <c r="N436" i="7"/>
  <c r="N63" i="7"/>
  <c r="N448" i="7"/>
  <c r="N95" i="7"/>
  <c r="N100" i="7"/>
  <c r="N227" i="7"/>
  <c r="N74" i="7"/>
  <c r="N415" i="7"/>
  <c r="N464" i="7"/>
  <c r="N558" i="7"/>
  <c r="N605" i="7"/>
  <c r="N295" i="7"/>
  <c r="N557" i="7"/>
  <c r="N309" i="7"/>
  <c r="N167" i="7"/>
  <c r="N492" i="7"/>
  <c r="N441" i="7"/>
  <c r="N551" i="7"/>
  <c r="N412" i="7"/>
  <c r="N393" i="7"/>
  <c r="N307" i="7"/>
  <c r="N611" i="7"/>
  <c r="N80" i="7"/>
  <c r="N577" i="7"/>
  <c r="N245" i="7"/>
  <c r="N434" i="7"/>
  <c r="N363" i="7"/>
  <c r="N78" i="7"/>
  <c r="N325" i="7"/>
  <c r="N87" i="7"/>
  <c r="N367" i="7"/>
  <c r="N530" i="7"/>
  <c r="N604" i="7"/>
  <c r="N72" i="7"/>
  <c r="E359" i="7"/>
  <c r="N312" i="7"/>
  <c r="N20" i="7"/>
  <c r="N566" i="7"/>
  <c r="N428" i="7"/>
  <c r="N153" i="7"/>
  <c r="N391" i="7"/>
  <c r="N319" i="7"/>
  <c r="N446" i="7"/>
  <c r="N233" i="7"/>
  <c r="N288" i="7"/>
  <c r="N489" i="7"/>
  <c r="N483" i="7"/>
  <c r="N331" i="7"/>
  <c r="N549" i="7"/>
  <c r="N81" i="7"/>
  <c r="N568" i="7"/>
  <c r="N494" i="7"/>
  <c r="N86" i="7"/>
  <c r="N510" i="7"/>
  <c r="N251" i="7"/>
  <c r="N130" i="7"/>
  <c r="N509" i="7"/>
  <c r="N232" i="7"/>
  <c r="N433" i="7"/>
  <c r="N298" i="7"/>
  <c r="N208" i="7"/>
  <c r="N387" i="7"/>
  <c r="N255" i="7"/>
  <c r="N395" i="7"/>
  <c r="N315" i="7"/>
  <c r="N480" i="7"/>
  <c r="N136" i="7"/>
  <c r="N416" i="7"/>
  <c r="N408" i="7"/>
  <c r="N438" i="7"/>
  <c r="N297" i="7"/>
  <c r="N124" i="7"/>
  <c r="N588" i="7"/>
  <c r="N139" i="7"/>
  <c r="N185" i="7"/>
  <c r="N199" i="7"/>
  <c r="N465" i="7"/>
  <c r="N496" i="7"/>
  <c r="N209" i="7"/>
  <c r="N21" i="7"/>
  <c r="N478" i="7"/>
  <c r="N422" i="7"/>
  <c r="N311" i="7"/>
  <c r="N293" i="7"/>
  <c r="N463" i="7"/>
  <c r="N302" i="7"/>
  <c r="N125" i="7"/>
  <c r="N347" i="7"/>
  <c r="N294" i="7"/>
  <c r="N356" i="7"/>
  <c r="N126" i="7"/>
  <c r="N206" i="7"/>
  <c r="N526" i="7"/>
  <c r="N486" i="7"/>
  <c r="N482" i="7"/>
  <c r="N278" i="7"/>
  <c r="N79" i="7"/>
  <c r="N353" i="7"/>
  <c r="N122" i="7"/>
  <c r="N256" i="7"/>
  <c r="N335" i="7"/>
  <c r="N51" i="7"/>
  <c r="N481" i="7"/>
  <c r="N582" i="7"/>
  <c r="N65" i="7"/>
  <c r="N501" i="7"/>
  <c r="N303" i="7"/>
  <c r="N249" i="7"/>
  <c r="N539" i="7"/>
  <c r="N454" i="7"/>
  <c r="N143" i="7"/>
  <c r="N536" i="7"/>
  <c r="N129" i="7"/>
  <c r="N157" i="7"/>
  <c r="N225" i="7"/>
  <c r="N257" i="7"/>
  <c r="N498" i="7"/>
  <c r="N517" i="7"/>
  <c r="N561" i="7"/>
  <c r="N493" i="7"/>
  <c r="N140" i="7"/>
  <c r="N369" i="7"/>
  <c r="N328" i="7"/>
  <c r="N146" i="7"/>
  <c r="N228" i="7"/>
  <c r="N221" i="7"/>
  <c r="N402" i="7"/>
  <c r="N413" i="7"/>
  <c r="N616" i="7"/>
  <c r="N447" i="7"/>
  <c r="N189" i="7"/>
  <c r="N324" i="7"/>
  <c r="N260" i="7"/>
  <c r="N593" i="7"/>
  <c r="N230" i="7"/>
  <c r="N429" i="7"/>
  <c r="N44" i="7"/>
  <c r="N235" i="7"/>
  <c r="N407" i="7"/>
  <c r="N286" i="7"/>
  <c r="N99" i="7"/>
  <c r="N329" i="7"/>
  <c r="N202" i="7"/>
  <c r="N535" i="7"/>
  <c r="N105" i="7"/>
  <c r="N488" i="7"/>
  <c r="N39" i="7"/>
  <c r="N505" i="7"/>
  <c r="N399" i="7"/>
  <c r="N471" i="7"/>
  <c r="N397" i="7"/>
  <c r="N214" i="7"/>
  <c r="N181" i="7"/>
  <c r="N191" i="7"/>
  <c r="N234" i="7"/>
  <c r="N336" i="7"/>
  <c r="N195" i="7"/>
  <c r="N381" i="7"/>
  <c r="N213" i="7"/>
  <c r="N512" i="7"/>
  <c r="N506" i="7"/>
  <c r="N90" i="7"/>
  <c r="N285" i="7"/>
  <c r="N523" i="7"/>
  <c r="N211" i="7"/>
  <c r="N240" i="7"/>
  <c r="N84" i="7"/>
  <c r="N67" i="7"/>
  <c r="N142" i="7"/>
  <c r="N244" i="7"/>
  <c r="N372" i="7"/>
  <c r="N250" i="7"/>
  <c r="N358" i="7"/>
  <c r="N344" i="7"/>
  <c r="N276" i="7"/>
  <c r="N180" i="7"/>
  <c r="N339" i="7"/>
  <c r="N431" i="7"/>
  <c r="N42" i="7"/>
  <c r="N602" i="7"/>
  <c r="N544" i="7"/>
  <c r="N417" i="7"/>
  <c r="N559" i="7"/>
  <c r="N287" i="7"/>
  <c r="N155" i="7"/>
  <c r="N430" i="7"/>
  <c r="N598" i="7"/>
  <c r="N615" i="7"/>
  <c r="N277" i="7"/>
  <c r="N108" i="7"/>
  <c r="N54" i="7"/>
  <c r="N135" i="7"/>
  <c r="E13" i="7"/>
  <c r="N396" i="7"/>
  <c r="N172" i="7"/>
  <c r="N57" i="7"/>
  <c r="N103" i="7"/>
  <c r="N279" i="7"/>
  <c r="N119" i="7"/>
  <c r="N443" i="7"/>
  <c r="N534" i="7"/>
  <c r="N574" i="7"/>
  <c r="N147" i="7"/>
  <c r="N375" i="7"/>
  <c r="N170" i="7"/>
  <c r="N109" i="7"/>
  <c r="N61" i="7"/>
  <c r="N38" i="7"/>
  <c r="N419" i="7"/>
  <c r="N370" i="7"/>
  <c r="N314" i="7"/>
  <c r="N127" i="7"/>
  <c r="N382" i="7"/>
  <c r="N132" i="7"/>
  <c r="N163" i="7"/>
  <c r="N418" i="7"/>
  <c r="N33" i="7"/>
  <c r="N31" i="7"/>
  <c r="N564" i="7"/>
  <c r="N346" i="7"/>
  <c r="N484" i="7"/>
  <c r="N115" i="7"/>
  <c r="N69" i="7"/>
  <c r="N178" i="7"/>
  <c r="N111" i="7"/>
  <c r="N376" i="7"/>
  <c r="N327" i="7"/>
  <c r="N607" i="7"/>
  <c r="N332" i="7"/>
  <c r="N247" i="7"/>
  <c r="N165" i="7"/>
  <c r="N401" i="7"/>
  <c r="N173" i="7"/>
  <c r="N499" i="7"/>
  <c r="N121" i="7"/>
  <c r="N14" i="7"/>
  <c r="N160" i="7"/>
  <c r="N28" i="7"/>
  <c r="N337" i="7"/>
  <c r="N612" i="7"/>
  <c r="N114" i="7"/>
  <c r="N64" i="7"/>
  <c r="N310" i="7"/>
  <c r="N444" i="7"/>
  <c r="N365" i="7"/>
  <c r="N351" i="7"/>
  <c r="N511" i="7"/>
  <c r="N459" i="7"/>
  <c r="N342" i="7"/>
  <c r="N569" i="7"/>
  <c r="N282" i="7"/>
  <c r="N389" i="7"/>
  <c r="N89" i="7"/>
  <c r="N187" i="7"/>
  <c r="N36" i="7"/>
  <c r="N144" i="7"/>
  <c r="N548" i="7"/>
  <c r="N117" i="7"/>
  <c r="N541" i="7"/>
  <c r="N599" i="7"/>
  <c r="N540" i="7"/>
  <c r="N271" i="7"/>
  <c r="N220" i="7"/>
  <c r="N145" i="7"/>
  <c r="E27" i="7"/>
  <c r="N283" i="7"/>
  <c r="N546" i="7"/>
  <c r="N22" i="7"/>
  <c r="N405" i="7"/>
  <c r="N91" i="7"/>
  <c r="N149" i="7"/>
  <c r="N55" i="7"/>
  <c r="N175" i="7"/>
  <c r="E270" i="7"/>
  <c r="E48" i="7"/>
  <c r="E250" i="7"/>
  <c r="E21" i="7"/>
  <c r="E120" i="7"/>
  <c r="E114" i="7"/>
  <c r="E522" i="7"/>
  <c r="E567" i="7"/>
  <c r="E122" i="7"/>
  <c r="E420" i="7"/>
  <c r="E283" i="7"/>
  <c r="E313" i="7"/>
  <c r="E441" i="7"/>
  <c r="E373" i="7"/>
  <c r="E408" i="7"/>
  <c r="E328" i="7"/>
  <c r="E547" i="7"/>
  <c r="E436" i="7"/>
  <c r="E400" i="7"/>
  <c r="N341" i="7"/>
  <c r="E430" i="7"/>
  <c r="E155" i="7"/>
  <c r="E130" i="7"/>
  <c r="E322" i="7"/>
  <c r="E480" i="7"/>
  <c r="E447" i="7"/>
  <c r="E159" i="7"/>
  <c r="E156" i="7"/>
  <c r="E486" i="7"/>
  <c r="E476" i="7"/>
  <c r="E358" i="7"/>
  <c r="E162" i="7"/>
  <c r="E72" i="7"/>
  <c r="E279" i="7"/>
  <c r="N98" i="7"/>
  <c r="E288" i="7"/>
  <c r="E150" i="7"/>
  <c r="E134" i="7"/>
  <c r="E192" i="7"/>
  <c r="E247" i="7"/>
  <c r="E77" i="7"/>
  <c r="E52" i="7"/>
  <c r="E263" i="7"/>
  <c r="E154" i="7"/>
  <c r="E91" i="7"/>
  <c r="E260" i="7"/>
  <c r="E16" i="7"/>
  <c r="E448" i="7"/>
  <c r="E20" i="7"/>
  <c r="E79" i="7"/>
  <c r="E271" i="7"/>
  <c r="E18" i="7"/>
  <c r="E38" i="7"/>
  <c r="E15" i="7"/>
  <c r="E193" i="7"/>
  <c r="E304" i="7"/>
  <c r="E50" i="7"/>
  <c r="E439" i="7"/>
  <c r="E475" i="7"/>
  <c r="E116" i="7"/>
  <c r="E460" i="7"/>
  <c r="E352" i="7"/>
  <c r="E164" i="7"/>
  <c r="E399" i="7"/>
  <c r="E455" i="7"/>
  <c r="E490" i="7"/>
  <c r="E350" i="7"/>
  <c r="E387" i="7"/>
  <c r="E58" i="7"/>
  <c r="E381" i="7"/>
  <c r="E330" i="7"/>
  <c r="E117" i="7"/>
  <c r="E405" i="7"/>
  <c r="E331" i="7"/>
  <c r="E335" i="7"/>
  <c r="E367" i="7"/>
  <c r="E504" i="7"/>
  <c r="E108" i="7"/>
  <c r="E366" i="7"/>
  <c r="E324" i="7"/>
  <c r="E278" i="7"/>
  <c r="E362" i="7"/>
  <c r="E371" i="7"/>
  <c r="E406" i="7"/>
  <c r="E293" i="7"/>
  <c r="E145" i="7"/>
  <c r="E127" i="7"/>
  <c r="E245" i="7"/>
  <c r="E535" i="7"/>
  <c r="E347" i="7"/>
  <c r="E32" i="7"/>
  <c r="E344" i="7"/>
  <c r="E184" i="7"/>
  <c r="E71" i="7"/>
  <c r="E409" i="7"/>
  <c r="E262" i="7"/>
  <c r="E290" i="7"/>
  <c r="E45" i="7"/>
  <c r="E191" i="7"/>
  <c r="E67" i="7"/>
  <c r="E312" i="7"/>
  <c r="E268" i="7"/>
  <c r="E61" i="7"/>
  <c r="E147" i="7"/>
  <c r="E364" i="7"/>
  <c r="E317" i="7"/>
  <c r="E404" i="7"/>
  <c r="E275" i="7"/>
  <c r="E123" i="7"/>
  <c r="E393" i="7"/>
  <c r="E143" i="7"/>
  <c r="E379" i="7"/>
  <c r="E17" i="7"/>
  <c r="E149" i="7"/>
  <c r="E382" i="7"/>
  <c r="E113" i="7"/>
  <c r="E384" i="7"/>
  <c r="E26" i="7"/>
  <c r="E212" i="7"/>
  <c r="AA40" i="4" l="1"/>
  <c r="AA106" i="4"/>
  <c r="AA114" i="4"/>
  <c r="AA171" i="4"/>
  <c r="AA115" i="4"/>
  <c r="AA9" i="4"/>
  <c r="X11" i="28" s="1"/>
  <c r="AA148" i="4"/>
  <c r="AA134" i="4"/>
  <c r="AA112" i="4"/>
  <c r="AA81" i="4"/>
  <c r="AA7" i="4"/>
  <c r="AA184" i="4"/>
  <c r="AA25" i="4"/>
  <c r="Y88" i="4"/>
  <c r="Y180" i="4"/>
  <c r="Y48" i="4"/>
  <c r="Y187" i="4"/>
  <c r="Y134" i="4"/>
  <c r="Y20" i="4"/>
  <c r="Y86" i="4"/>
  <c r="Y146" i="4"/>
  <c r="Y44" i="4"/>
  <c r="Y129" i="4"/>
  <c r="Y40" i="4"/>
  <c r="Y143" i="4"/>
  <c r="Y41" i="4"/>
  <c r="Y121" i="4"/>
  <c r="Y65" i="4"/>
  <c r="Y203" i="4"/>
  <c r="Y125" i="4"/>
  <c r="Y69" i="4"/>
  <c r="Y18" i="4"/>
  <c r="Y91" i="4"/>
  <c r="Y118" i="4"/>
  <c r="Y56" i="4"/>
  <c r="Y177" i="4"/>
  <c r="Y110" i="4"/>
  <c r="Y191" i="4"/>
  <c r="Y90" i="4"/>
  <c r="Y162" i="4"/>
  <c r="Y25" i="4"/>
  <c r="Y205" i="4"/>
  <c r="Y62" i="4"/>
  <c r="Y38" i="4"/>
  <c r="Y78" i="4"/>
  <c r="Y179" i="4"/>
  <c r="Y29" i="4"/>
  <c r="Y12" i="4"/>
  <c r="Y164" i="4"/>
  <c r="Y52" i="4"/>
  <c r="Y22" i="4"/>
  <c r="Y159" i="4"/>
  <c r="Y182" i="4"/>
  <c r="Y169" i="4"/>
  <c r="Y156" i="4"/>
  <c r="Y61" i="4"/>
  <c r="Y100" i="4"/>
  <c r="Y36" i="4"/>
  <c r="Y193" i="4"/>
  <c r="Y60" i="4"/>
  <c r="Y87" i="4"/>
  <c r="Y51" i="4"/>
  <c r="Y189" i="4"/>
  <c r="Y101" i="4"/>
  <c r="Y63" i="4"/>
  <c r="Y120" i="4"/>
  <c r="Y66" i="4"/>
  <c r="Y198" i="4"/>
  <c r="Y37" i="4"/>
  <c r="Y201" i="4"/>
  <c r="Y67" i="4"/>
  <c r="Y42" i="4"/>
  <c r="Y181" i="4"/>
  <c r="Y185" i="4"/>
  <c r="Y142" i="4"/>
  <c r="Y212" i="4"/>
  <c r="Y32" i="4"/>
  <c r="Y155" i="4"/>
  <c r="Y126" i="4"/>
  <c r="Y54" i="4"/>
  <c r="Y106" i="4"/>
  <c r="Y95" i="4"/>
  <c r="Y211" i="4"/>
  <c r="Y83" i="4"/>
  <c r="AA96" i="4"/>
  <c r="AA79" i="4"/>
  <c r="AA207" i="4"/>
  <c r="AA91" i="4"/>
  <c r="Y70" i="4"/>
  <c r="Y131" i="4"/>
  <c r="Y194" i="4"/>
  <c r="Y119" i="4"/>
  <c r="Y170" i="4"/>
  <c r="Y186" i="4"/>
  <c r="Y199" i="4"/>
  <c r="Y81" i="4"/>
  <c r="Y157" i="4"/>
  <c r="Y19" i="4"/>
  <c r="Y113" i="4"/>
  <c r="Y10" i="4"/>
  <c r="Y127" i="4"/>
  <c r="Y197" i="4"/>
  <c r="Y77" i="4"/>
  <c r="Y161" i="4"/>
  <c r="Y33" i="4"/>
  <c r="Y173" i="4"/>
  <c r="Y130" i="4"/>
  <c r="Y152" i="4"/>
  <c r="Y206" i="4"/>
  <c r="Y166" i="4"/>
  <c r="Y147" i="4"/>
  <c r="Y104" i="4"/>
  <c r="Y46" i="4"/>
  <c r="Y172" i="4"/>
  <c r="Y64" i="4"/>
  <c r="Y55" i="4"/>
  <c r="Y167" i="4"/>
  <c r="Y153" i="4"/>
  <c r="Y57" i="4"/>
  <c r="Y23" i="4"/>
  <c r="Y103" i="4"/>
  <c r="Y196" i="4"/>
  <c r="Y35" i="4"/>
  <c r="Y207" i="4"/>
  <c r="Y114" i="4"/>
  <c r="Y74" i="4"/>
  <c r="Y209" i="4"/>
  <c r="Y158" i="4"/>
  <c r="Y15" i="4"/>
  <c r="Y3" i="4"/>
  <c r="S3" i="28" s="1"/>
  <c r="AA162" i="4"/>
  <c r="AA152" i="4"/>
  <c r="AA104" i="4"/>
  <c r="AA187" i="4"/>
  <c r="AA36" i="4"/>
  <c r="AA175" i="4"/>
  <c r="AA33" i="4"/>
  <c r="X35" i="28" s="1"/>
  <c r="AA200" i="4"/>
  <c r="AA19" i="4"/>
  <c r="X21" i="28" s="1"/>
  <c r="AA65" i="4"/>
  <c r="AA195" i="4"/>
  <c r="AA11" i="4"/>
  <c r="X13" i="28" s="1"/>
  <c r="AA168" i="4"/>
  <c r="AA205" i="4"/>
  <c r="AA139" i="4"/>
  <c r="AA6" i="4"/>
  <c r="X8" i="28" s="1"/>
  <c r="AA98" i="4"/>
  <c r="AA189" i="4"/>
  <c r="AA74" i="4"/>
  <c r="AA105" i="4"/>
  <c r="AA99" i="4"/>
  <c r="AA190" i="4"/>
  <c r="AA156" i="4"/>
  <c r="AA170" i="4"/>
  <c r="AA69" i="4"/>
  <c r="AA208" i="4"/>
  <c r="AA111" i="4"/>
  <c r="AA141" i="4"/>
  <c r="AA155" i="4"/>
  <c r="AA31" i="4"/>
  <c r="X33" i="28" s="1"/>
  <c r="AA97" i="4"/>
  <c r="AA180" i="4"/>
  <c r="AA37" i="4"/>
  <c r="X39" i="28" s="1"/>
  <c r="AA125" i="4"/>
  <c r="AA128" i="4"/>
  <c r="AA72" i="4"/>
  <c r="AA103" i="4"/>
  <c r="AA42" i="4"/>
  <c r="X44" i="28" s="1"/>
  <c r="AA77" i="4"/>
  <c r="AA159" i="4"/>
  <c r="AA87" i="4"/>
  <c r="AA43" i="4"/>
  <c r="AA172" i="4"/>
  <c r="AA80" i="4"/>
  <c r="AA201" i="4"/>
  <c r="AA140" i="4"/>
  <c r="AA163" i="4"/>
  <c r="AA174" i="4"/>
  <c r="AA210" i="4"/>
  <c r="AA12" i="4"/>
  <c r="X14" i="28" s="1"/>
  <c r="AA52" i="4"/>
  <c r="X54" i="28" s="1"/>
  <c r="AA45" i="4"/>
  <c r="X47" i="28" s="1"/>
  <c r="AA113" i="4"/>
  <c r="AA32" i="4"/>
  <c r="X34" i="28" s="1"/>
  <c r="W23" i="28"/>
  <c r="AA63" i="4"/>
  <c r="AA198" i="4"/>
  <c r="AA182" i="4"/>
  <c r="AA90" i="4"/>
  <c r="AA177" i="4"/>
  <c r="AA29" i="4"/>
  <c r="X31" i="28" s="1"/>
  <c r="AA169" i="4"/>
  <c r="AA85" i="4"/>
  <c r="AA27" i="4"/>
  <c r="AA23" i="4"/>
  <c r="AA61" i="4"/>
  <c r="X63" i="28" s="1"/>
  <c r="AA41" i="4"/>
  <c r="AA16" i="4"/>
  <c r="X18" i="28" s="1"/>
  <c r="AA188" i="4"/>
  <c r="AA84" i="4"/>
  <c r="AA196" i="4"/>
  <c r="AA64" i="4"/>
  <c r="AA147" i="4"/>
  <c r="AA145" i="4"/>
  <c r="AA158" i="4"/>
  <c r="AA127" i="4"/>
  <c r="AA154" i="4"/>
  <c r="AA137" i="4"/>
  <c r="AA124" i="4"/>
  <c r="AA46" i="4"/>
  <c r="X48" i="28" s="1"/>
  <c r="AA126" i="4"/>
  <c r="AA82" i="3"/>
  <c r="AA75" i="3"/>
  <c r="AA57" i="3"/>
  <c r="AA30" i="3"/>
  <c r="AA59" i="3"/>
  <c r="AA10" i="3"/>
  <c r="AA41" i="3"/>
  <c r="AA19" i="3"/>
  <c r="AA51" i="3"/>
  <c r="AA12" i="3"/>
  <c r="F46" i="28" s="1"/>
  <c r="AA74" i="3"/>
  <c r="AA9" i="3"/>
  <c r="F43" i="28" s="1"/>
  <c r="AA43" i="3"/>
  <c r="AA99" i="3"/>
  <c r="AA89" i="3"/>
  <c r="AA24" i="3"/>
  <c r="AA49" i="3"/>
  <c r="AA77" i="3"/>
  <c r="AA79" i="3"/>
  <c r="AA48" i="3"/>
  <c r="AA93" i="3"/>
  <c r="AA86" i="3"/>
  <c r="AA60" i="3"/>
  <c r="AA91" i="3"/>
  <c r="AA115" i="3"/>
  <c r="AA78" i="3"/>
  <c r="AA92" i="3"/>
  <c r="AA50" i="3"/>
  <c r="AA84" i="3"/>
  <c r="AA8" i="3"/>
  <c r="F42" i="28" s="1"/>
  <c r="AA98" i="3"/>
  <c r="AA113" i="3"/>
  <c r="AA69" i="3"/>
  <c r="AA76" i="3"/>
  <c r="AA23" i="3"/>
  <c r="AA71" i="3"/>
  <c r="AA103" i="3"/>
  <c r="AA107" i="3"/>
  <c r="AA22" i="3"/>
  <c r="F56" i="28" s="1"/>
  <c r="AA13" i="3"/>
  <c r="F47" i="28" s="1"/>
  <c r="AA38" i="3"/>
  <c r="AA72" i="3"/>
  <c r="AA96" i="3"/>
  <c r="AA7" i="3"/>
  <c r="F41" i="28" s="1"/>
  <c r="AA70" i="3"/>
  <c r="AA81" i="3"/>
  <c r="AA61" i="3"/>
  <c r="Y38" i="3"/>
  <c r="Y53" i="3"/>
  <c r="Y25" i="3"/>
  <c r="Y8" i="3"/>
  <c r="Y105" i="3"/>
  <c r="Y108" i="3"/>
  <c r="Y103" i="3"/>
  <c r="Y88" i="3"/>
  <c r="Y35" i="3"/>
  <c r="Y54" i="3"/>
  <c r="Y51" i="3"/>
  <c r="Y10" i="3"/>
  <c r="Y57" i="3"/>
  <c r="Y89" i="3"/>
  <c r="Y95" i="3"/>
  <c r="Y12" i="3"/>
  <c r="Y7" i="3"/>
  <c r="Y11" i="3"/>
  <c r="Y14" i="3"/>
  <c r="Y67" i="3"/>
  <c r="Y110" i="3"/>
  <c r="Y26" i="3"/>
  <c r="Y50" i="3"/>
  <c r="Y48" i="3"/>
  <c r="Y68" i="3"/>
  <c r="Y114" i="3"/>
  <c r="Y100" i="3"/>
  <c r="Y46" i="3"/>
  <c r="Y58" i="3"/>
  <c r="Y69" i="3"/>
  <c r="Y27" i="3"/>
  <c r="Y28" i="3"/>
  <c r="Y3" i="3"/>
  <c r="A35" i="28" s="1"/>
  <c r="Y111" i="3"/>
  <c r="Y24" i="3"/>
  <c r="Y17" i="3"/>
  <c r="Y19" i="3"/>
  <c r="Y31" i="3"/>
  <c r="Y52" i="3"/>
  <c r="Y44" i="3"/>
  <c r="Y45" i="3"/>
  <c r="Y87" i="3"/>
  <c r="Y36" i="3"/>
  <c r="Y40" i="3"/>
  <c r="Y47" i="3"/>
  <c r="Y84" i="3"/>
  <c r="Y64" i="3"/>
  <c r="Y33" i="3"/>
  <c r="Y73" i="3"/>
  <c r="Y55" i="3"/>
  <c r="Y115" i="3"/>
  <c r="Y78" i="3"/>
  <c r="Y39" i="3"/>
  <c r="Y107" i="3"/>
  <c r="Y72" i="3"/>
  <c r="Y66" i="3"/>
  <c r="Y96" i="3"/>
  <c r="AA5" i="3"/>
  <c r="F39" i="28" s="1"/>
  <c r="AA97" i="3"/>
  <c r="AA102" i="3"/>
  <c r="AA28" i="3"/>
  <c r="AA114" i="3"/>
  <c r="AA100" i="3"/>
  <c r="AA65" i="3"/>
  <c r="AA53" i="3"/>
  <c r="AA63" i="3"/>
  <c r="AA46" i="3"/>
  <c r="AA26" i="3"/>
  <c r="F60" i="28" s="1"/>
  <c r="AA31" i="3"/>
  <c r="AA108" i="3"/>
  <c r="AA88" i="3"/>
  <c r="AA18" i="3"/>
  <c r="AA111" i="3"/>
  <c r="AA185" i="4"/>
  <c r="AA102" i="4"/>
  <c r="AA142" i="4"/>
  <c r="AA118" i="4"/>
  <c r="AA101" i="4"/>
  <c r="AA151" i="4"/>
  <c r="AA146" i="4"/>
  <c r="AA121" i="4"/>
  <c r="AA71" i="4"/>
  <c r="AA122" i="4"/>
  <c r="AA21" i="4"/>
  <c r="X23" i="28" s="1"/>
  <c r="AA34" i="4"/>
  <c r="AA144" i="4"/>
  <c r="AA209" i="4"/>
  <c r="AA206" i="4"/>
  <c r="AA70" i="4"/>
  <c r="AA59" i="4"/>
  <c r="X61" i="28" s="1"/>
  <c r="AA164" i="4"/>
  <c r="AA202" i="4"/>
  <c r="AA203" i="4"/>
  <c r="AA38" i="4"/>
  <c r="X40" i="28" s="1"/>
  <c r="AA35" i="4"/>
  <c r="AA92" i="4"/>
  <c r="AA95" i="4"/>
  <c r="AA55" i="3"/>
  <c r="AA101" i="3"/>
  <c r="AA58" i="3"/>
  <c r="AA29" i="3"/>
  <c r="AA104" i="3"/>
  <c r="AA95" i="3"/>
  <c r="AA34" i="3"/>
  <c r="AA21" i="3"/>
  <c r="F55" i="28" s="1"/>
  <c r="AA40" i="3"/>
  <c r="AA15" i="3"/>
  <c r="F49" i="28" s="1"/>
  <c r="AA73" i="3"/>
  <c r="AA4" i="3"/>
  <c r="F38" i="28" s="1"/>
  <c r="AA45" i="3"/>
  <c r="E53" i="28"/>
  <c r="AA64" i="3"/>
  <c r="AA27" i="3"/>
  <c r="F61" i="28" s="1"/>
  <c r="AA109" i="3"/>
  <c r="AA54" i="3"/>
  <c r="AA94" i="4"/>
  <c r="AA143" i="4"/>
  <c r="AA82" i="4"/>
  <c r="AA157" i="4"/>
  <c r="AA30" i="4"/>
  <c r="X32" i="28" s="1"/>
  <c r="AA14" i="4"/>
  <c r="AA173" i="4"/>
  <c r="AA212" i="4"/>
  <c r="AA116" i="4"/>
  <c r="AA150" i="4"/>
  <c r="AA83" i="4"/>
  <c r="AA49" i="4"/>
  <c r="AA73" i="4"/>
  <c r="AA62" i="4"/>
  <c r="X64" i="28" s="1"/>
  <c r="AA176" i="4"/>
  <c r="AA160" i="4"/>
  <c r="AA194" i="4"/>
  <c r="Y165" i="4"/>
  <c r="Y24" i="4"/>
  <c r="Y132" i="4"/>
  <c r="Y98" i="4"/>
  <c r="Y58" i="4"/>
  <c r="Y9" i="4"/>
  <c r="Y71" i="4"/>
  <c r="Y80" i="4"/>
  <c r="Y160" i="4"/>
  <c r="Y188" i="4"/>
  <c r="Y73" i="4"/>
  <c r="Y133" i="4"/>
  <c r="Y14" i="4"/>
  <c r="Y195" i="4"/>
  <c r="Y168" i="4"/>
  <c r="Y4" i="4"/>
  <c r="Y50" i="4"/>
  <c r="Y149" i="4"/>
  <c r="Y11" i="4"/>
  <c r="Y175" i="4"/>
  <c r="Y68" i="4"/>
  <c r="AA56" i="4"/>
  <c r="X58" i="28" s="1"/>
  <c r="AA132" i="4"/>
  <c r="AA39" i="4"/>
  <c r="AA136" i="4"/>
  <c r="AA76" i="4"/>
  <c r="AA109" i="4"/>
  <c r="AA20" i="4"/>
  <c r="AA67" i="4"/>
  <c r="AA28" i="4"/>
  <c r="X30" i="28" s="1"/>
  <c r="AA107" i="4"/>
  <c r="AA75" i="4"/>
  <c r="AA178" i="4"/>
  <c r="AA8" i="4"/>
  <c r="X10" i="28" s="1"/>
  <c r="AA129" i="4"/>
  <c r="AA192" i="4"/>
  <c r="AA93" i="4"/>
  <c r="AA47" i="4"/>
  <c r="AA130" i="4"/>
  <c r="AA68" i="4"/>
  <c r="AA165" i="4"/>
  <c r="AA22" i="4"/>
  <c r="X24" i="28" s="1"/>
  <c r="AA197" i="4"/>
  <c r="AA10" i="4"/>
  <c r="X12" i="28" s="1"/>
  <c r="AA86" i="4"/>
  <c r="AA15" i="4"/>
  <c r="X17" i="28" s="1"/>
  <c r="AA26" i="4"/>
  <c r="X28" i="28" s="1"/>
  <c r="Y122" i="4"/>
  <c r="Y102" i="4"/>
  <c r="Y53" i="4"/>
  <c r="Y31" i="4"/>
  <c r="Y96" i="4"/>
  <c r="Y5" i="4"/>
  <c r="Y94" i="4"/>
  <c r="Y184" i="4"/>
  <c r="Y116" i="4"/>
  <c r="Y176" i="4"/>
  <c r="Y75" i="4"/>
  <c r="Y27" i="4"/>
  <c r="Y138" i="4"/>
  <c r="Y174" i="4"/>
  <c r="Y200" i="4"/>
  <c r="Y150" i="4"/>
  <c r="Y6" i="4"/>
  <c r="Y202" i="4"/>
  <c r="Y84" i="4"/>
  <c r="Y105" i="4"/>
  <c r="Y123" i="4"/>
  <c r="Y39" i="4"/>
  <c r="Y148" i="4"/>
  <c r="Y21" i="4"/>
  <c r="Y85" i="4"/>
  <c r="Y107" i="4"/>
  <c r="Y190" i="4"/>
  <c r="Y178" i="4"/>
  <c r="Y26" i="4"/>
  <c r="Y99" i="4"/>
  <c r="Y47" i="4"/>
  <c r="Y45" i="4"/>
  <c r="Y17" i="4"/>
  <c r="Y115" i="4"/>
  <c r="Y154" i="4"/>
  <c r="Y128" i="4"/>
  <c r="Y97" i="4"/>
  <c r="Y89" i="4"/>
  <c r="Y210" i="4"/>
  <c r="Y208" i="4"/>
  <c r="Y13" i="4"/>
  <c r="Y49" i="4"/>
  <c r="Y141" i="4"/>
  <c r="Y145" i="4"/>
  <c r="Y171" i="4"/>
  <c r="Y144" i="4"/>
  <c r="Y16" i="4"/>
  <c r="Y213" i="4"/>
  <c r="Y163" i="4"/>
  <c r="Y109" i="4"/>
  <c r="Y135" i="4"/>
  <c r="Y151" i="4"/>
  <c r="Y137" i="4"/>
  <c r="Y93" i="4"/>
  <c r="Y30" i="4"/>
  <c r="Y8" i="4"/>
  <c r="Y183" i="4"/>
  <c r="Y204" i="4"/>
  <c r="Y82" i="4"/>
  <c r="AA112" i="3"/>
  <c r="X22" i="28"/>
  <c r="AA79" i="2"/>
  <c r="X29" i="28"/>
  <c r="X55" i="28"/>
  <c r="X26" i="28"/>
  <c r="F51" i="28"/>
  <c r="X59" i="28"/>
  <c r="AA16" i="2"/>
  <c r="F18" i="28" s="1"/>
  <c r="AA71" i="2"/>
  <c r="AA75" i="2"/>
  <c r="AA48" i="2"/>
  <c r="AA39" i="2"/>
  <c r="AA25" i="2"/>
  <c r="AA78" i="2"/>
  <c r="F4" i="7" a="1"/>
  <c r="F4" i="7" s="1"/>
  <c r="E4" i="7" s="1" a="1"/>
  <c r="E4" i="7" s="1"/>
  <c r="I4" i="7" a="1"/>
  <c r="I4" i="7" s="1"/>
  <c r="H4" i="7" s="1" a="1"/>
  <c r="H4" i="7" s="1"/>
  <c r="I8" i="7" a="1"/>
  <c r="I8" i="7" s="1"/>
  <c r="H8" i="7" s="1" a="1"/>
  <c r="H8" i="7" s="1"/>
  <c r="F8" i="7" a="1"/>
  <c r="F8" i="7" s="1"/>
  <c r="E8" i="7" s="1" a="1"/>
  <c r="E8" i="7" s="1"/>
  <c r="F6" i="7" a="1"/>
  <c r="F6" i="7" s="1"/>
  <c r="E6" i="7" s="1" a="1"/>
  <c r="E6" i="7" s="1"/>
  <c r="F2" i="7" a="1"/>
  <c r="F2" i="7" s="1"/>
  <c r="E2" i="7" s="1" a="1"/>
  <c r="E2" i="7" s="1"/>
  <c r="I2" i="7" a="1"/>
  <c r="I2" i="7" s="1"/>
  <c r="H2" i="7" s="1" a="1"/>
  <c r="H2" i="7" s="1"/>
  <c r="I6" i="7" a="1"/>
  <c r="I6" i="7" s="1"/>
  <c r="H6" i="7" s="1" a="1"/>
  <c r="H6" i="7" s="1"/>
  <c r="AA42" i="2"/>
  <c r="AA24" i="2"/>
  <c r="F26" i="28" s="1"/>
  <c r="AA10" i="2"/>
  <c r="AA30" i="2"/>
  <c r="AA41" i="2"/>
  <c r="AA21" i="2"/>
  <c r="F23" i="28" s="1"/>
  <c r="AA72" i="2"/>
  <c r="AA66" i="2"/>
  <c r="AA4" i="2"/>
  <c r="D18" i="1"/>
  <c r="D16" i="1" s="1"/>
  <c r="T83" i="4" s="1"/>
  <c r="AA46" i="2"/>
  <c r="AA19" i="2"/>
  <c r="AA69" i="2"/>
  <c r="AA70" i="2"/>
  <c r="AA60" i="2"/>
  <c r="AA5" i="2"/>
  <c r="AA23" i="2"/>
  <c r="AA14" i="2"/>
  <c r="AA63" i="2"/>
  <c r="AA22" i="2"/>
  <c r="AA33" i="2"/>
  <c r="AA54" i="2"/>
  <c r="G50" i="28"/>
  <c r="G54" i="28"/>
  <c r="Y23" i="28"/>
  <c r="X45" i="28"/>
  <c r="Y37" i="28"/>
  <c r="Y47" i="2"/>
  <c r="Y49" i="2"/>
  <c r="Y38" i="2"/>
  <c r="Y24" i="2"/>
  <c r="Y70" i="2"/>
  <c r="Y12" i="2"/>
  <c r="Y66" i="2"/>
  <c r="Y60" i="2"/>
  <c r="Y37" i="2"/>
  <c r="Y48" i="2"/>
  <c r="Y20" i="2"/>
  <c r="Y69" i="2"/>
  <c r="Y15" i="2"/>
  <c r="Y40" i="2"/>
  <c r="Y61" i="2"/>
  <c r="Y77" i="2"/>
  <c r="Y7" i="2"/>
  <c r="Y52" i="2"/>
  <c r="Y53" i="2"/>
  <c r="Y55" i="2"/>
  <c r="Y29" i="2"/>
  <c r="Y42" i="2"/>
  <c r="Y16" i="2"/>
  <c r="AA3" i="2"/>
  <c r="Y3" i="2"/>
  <c r="A3" i="28" s="1"/>
  <c r="Y63" i="2"/>
  <c r="Y74" i="2"/>
  <c r="Y46" i="2"/>
  <c r="Y41" i="2"/>
  <c r="Y39" i="2"/>
  <c r="Y23" i="2"/>
  <c r="Y62" i="2"/>
  <c r="Y31" i="2"/>
  <c r="Y80" i="2"/>
  <c r="Y17" i="2"/>
  <c r="Y54" i="2"/>
  <c r="Y19" i="2"/>
  <c r="Y9" i="2"/>
  <c r="Y34" i="2"/>
  <c r="Y57" i="2"/>
  <c r="AA31" i="2"/>
  <c r="AA7" i="2"/>
  <c r="AA37" i="2"/>
  <c r="AA59" i="2"/>
  <c r="AA65" i="2"/>
  <c r="AA20" i="2"/>
  <c r="AA49" i="2"/>
  <c r="AA27" i="2"/>
  <c r="AA53" i="2"/>
  <c r="AA50" i="2"/>
  <c r="AA13" i="2"/>
  <c r="AA67" i="2"/>
  <c r="AA62" i="2"/>
  <c r="AA8" i="2"/>
  <c r="AA28" i="2"/>
  <c r="AA36" i="2"/>
  <c r="AA26" i="2"/>
  <c r="AA34" i="2"/>
  <c r="AA38" i="2"/>
  <c r="G43" i="28"/>
  <c r="G64" i="28"/>
  <c r="X53" i="28"/>
  <c r="X20" i="28"/>
  <c r="X16" i="28"/>
  <c r="X19" i="28"/>
  <c r="X51" i="28"/>
  <c r="X49" i="28"/>
  <c r="Y11" i="28"/>
  <c r="E17" i="28"/>
  <c r="AA15" i="2"/>
  <c r="H3" i="1"/>
  <c r="H5" i="1" s="1"/>
  <c r="AA44" i="2"/>
  <c r="AA6" i="2"/>
  <c r="AA58" i="2"/>
  <c r="AA55" i="2"/>
  <c r="AA56" i="2"/>
  <c r="AA43" i="2"/>
  <c r="AA32" i="2"/>
  <c r="F34" i="28" s="1"/>
  <c r="AA74" i="2"/>
  <c r="AA29" i="2"/>
  <c r="AA76" i="2"/>
  <c r="F50" i="28"/>
  <c r="G62" i="28"/>
  <c r="G42" i="28"/>
  <c r="Y25" i="28"/>
  <c r="X50" i="28"/>
  <c r="X60" i="28"/>
  <c r="Y47" i="28"/>
  <c r="Y14" i="28"/>
  <c r="Y45" i="28"/>
  <c r="X52" i="28"/>
  <c r="Y44" i="28"/>
  <c r="X37" i="28"/>
  <c r="X15" i="28"/>
  <c r="X46" i="28"/>
  <c r="Y33" i="28"/>
  <c r="AA61" i="2"/>
  <c r="Y81" i="2"/>
  <c r="Y68" i="2"/>
  <c r="Y71" i="2"/>
  <c r="Y21" i="2"/>
  <c r="Y76" i="2"/>
  <c r="Y51" i="2"/>
  <c r="Y44" i="2"/>
  <c r="Y28" i="2"/>
  <c r="Y72" i="2"/>
  <c r="Y56" i="2"/>
  <c r="Y4" i="2"/>
  <c r="Y10" i="2"/>
  <c r="Y6" i="2"/>
  <c r="Y11" i="2"/>
  <c r="Y73" i="2"/>
  <c r="Y27" i="2"/>
  <c r="Y26" i="2"/>
  <c r="Y33" i="2"/>
  <c r="Y5" i="2"/>
  <c r="Y22" i="2"/>
  <c r="Y8" i="2"/>
  <c r="Y18" i="2"/>
  <c r="Y32" i="2"/>
  <c r="Y25" i="2"/>
  <c r="Y13" i="2"/>
  <c r="Y43" i="2"/>
  <c r="Y50" i="2"/>
  <c r="Y65" i="2"/>
  <c r="Y79" i="2"/>
  <c r="Y30" i="2"/>
  <c r="Y58" i="2"/>
  <c r="Y64" i="2"/>
  <c r="Y78" i="2"/>
  <c r="Y14" i="2"/>
  <c r="Y35" i="2"/>
  <c r="Y45" i="2"/>
  <c r="Y59" i="2"/>
  <c r="Y75" i="2"/>
  <c r="Y36" i="2"/>
  <c r="Y67" i="2"/>
  <c r="AA51" i="2"/>
  <c r="AA12" i="2"/>
  <c r="AA18" i="2"/>
  <c r="AA35" i="2"/>
  <c r="AA52" i="2"/>
  <c r="AA81" i="2"/>
  <c r="AA17" i="2"/>
  <c r="AA9" i="2"/>
  <c r="AA73" i="2"/>
  <c r="AA57" i="2"/>
  <c r="AA80" i="2"/>
  <c r="G15" i="28"/>
  <c r="AA64" i="2"/>
  <c r="AA77" i="2"/>
  <c r="AA11" i="2"/>
  <c r="AA68" i="2"/>
  <c r="AA47" i="2"/>
  <c r="AA45" i="2"/>
  <c r="AA40" i="2"/>
  <c r="G63" i="28"/>
  <c r="G55" i="28"/>
  <c r="G48" i="28"/>
  <c r="G59" i="28"/>
  <c r="Y53" i="28"/>
  <c r="Y26" i="28"/>
  <c r="Y16" i="28"/>
  <c r="Y51" i="28"/>
  <c r="Y5" i="28"/>
  <c r="Y17" i="28"/>
  <c r="X27" i="28"/>
  <c r="X9" i="28"/>
  <c r="Y10" i="28"/>
  <c r="X62" i="28"/>
  <c r="Y30" i="28"/>
  <c r="Y22" i="28"/>
  <c r="X42" i="28"/>
  <c r="E484" i="7"/>
  <c r="E274" i="7"/>
  <c r="E540" i="7"/>
  <c r="E543" i="7"/>
  <c r="E241" i="7"/>
  <c r="E561" i="7"/>
  <c r="E545" i="7"/>
  <c r="E546" i="7"/>
  <c r="E564" i="7"/>
  <c r="E496" i="7"/>
  <c r="E100" i="7"/>
  <c r="E536" i="7"/>
  <c r="E458" i="7"/>
  <c r="E514" i="7"/>
  <c r="E126" i="7"/>
  <c r="E273" i="7"/>
  <c r="E51" i="7"/>
  <c r="E101" i="7"/>
  <c r="E238" i="7"/>
  <c r="E525" i="7"/>
  <c r="E89" i="7"/>
  <c r="E62" i="7"/>
  <c r="E289" i="7"/>
  <c r="E500" i="7"/>
  <c r="E466" i="7"/>
  <c r="E131" i="7"/>
  <c r="E438" i="7"/>
  <c r="E398" i="7"/>
  <c r="E370" i="7"/>
  <c r="E337" i="7"/>
  <c r="E454" i="7"/>
  <c r="E435" i="7"/>
  <c r="E459" i="7"/>
  <c r="E457" i="7"/>
  <c r="E423" i="7"/>
  <c r="E188" i="7"/>
  <c r="E471" i="7"/>
  <c r="E307" i="7"/>
  <c r="E463" i="7"/>
  <c r="E402" i="7"/>
  <c r="E470" i="7"/>
  <c r="E495" i="7"/>
  <c r="E415" i="7"/>
  <c r="E410" i="7"/>
  <c r="E479" i="7"/>
  <c r="E144" i="7"/>
  <c r="E541" i="7"/>
  <c r="E497" i="7"/>
  <c r="E349" i="7"/>
  <c r="E501" i="7"/>
  <c r="E254" i="7"/>
  <c r="E499" i="7"/>
  <c r="E562" i="7"/>
  <c r="E186" i="7"/>
  <c r="E558" i="7"/>
  <c r="E380" i="7"/>
  <c r="E394" i="7"/>
  <c r="E473" i="7"/>
  <c r="E294" i="7"/>
  <c r="E326" i="7"/>
  <c r="E346" i="7"/>
  <c r="E411" i="7"/>
  <c r="E482" i="7"/>
  <c r="E316" i="7"/>
  <c r="E282" i="7"/>
  <c r="E422" i="7"/>
  <c r="E284" i="7"/>
  <c r="E256" i="7"/>
  <c r="E532" i="7"/>
  <c r="E183" i="7"/>
  <c r="E112" i="7"/>
  <c r="E418" i="7"/>
  <c r="E421" i="7"/>
  <c r="E503" i="7"/>
  <c r="E414" i="7"/>
  <c r="E85" i="7"/>
  <c r="E563" i="7"/>
  <c r="E361" i="7"/>
  <c r="E105" i="7"/>
  <c r="E551" i="7"/>
  <c r="E524" i="7"/>
  <c r="E491" i="7"/>
  <c r="E332" i="7"/>
  <c r="E334" i="7"/>
  <c r="E511" i="7"/>
  <c r="E413" i="7"/>
  <c r="E472" i="7"/>
  <c r="E266" i="7"/>
  <c r="E298" i="7"/>
  <c r="E519" i="7"/>
  <c r="E554" i="7"/>
  <c r="E306" i="7"/>
  <c r="E292" i="7"/>
  <c r="E83" i="7"/>
  <c r="E118" i="7"/>
  <c r="E544" i="7"/>
  <c r="E552" i="7"/>
  <c r="E502" i="7"/>
  <c r="E513" i="7"/>
  <c r="E509" i="7"/>
  <c r="E453" i="7"/>
  <c r="E431" i="7"/>
  <c r="E285" i="7"/>
  <c r="E99" i="7"/>
  <c r="E151" i="7"/>
  <c r="E190" i="7"/>
  <c r="E444" i="7"/>
  <c r="E456" i="7"/>
  <c r="E478" i="7"/>
  <c r="E426" i="7"/>
  <c r="E464" i="7"/>
  <c r="E264" i="7"/>
  <c r="E468" i="7"/>
  <c r="E348" i="7"/>
  <c r="E287" i="7"/>
  <c r="E449" i="7"/>
  <c r="E485" i="7"/>
  <c r="E443" i="7"/>
  <c r="E450" i="7"/>
  <c r="E103" i="7"/>
  <c r="E565" i="7"/>
  <c r="E253" i="7"/>
  <c r="E520" i="7"/>
  <c r="E559" i="7"/>
  <c r="E469" i="7"/>
  <c r="E267" i="7"/>
  <c r="E461" i="7"/>
  <c r="E378" i="7"/>
  <c r="E498" i="7"/>
  <c r="E512" i="7"/>
  <c r="E505" i="7"/>
  <c r="E137" i="7"/>
  <c r="E516" i="7"/>
  <c r="E474" i="7"/>
  <c r="E521" i="7"/>
  <c r="E296" i="7"/>
  <c r="E492" i="7"/>
  <c r="E110" i="7"/>
  <c r="E265" i="7"/>
  <c r="E78" i="7"/>
  <c r="E94" i="7"/>
  <c r="E37" i="7"/>
  <c r="E82" i="7"/>
  <c r="E614" i="7"/>
  <c r="E295" i="7"/>
  <c r="E42" i="7"/>
  <c r="E22" i="7"/>
  <c r="E585" i="7"/>
  <c r="E49" i="7"/>
  <c r="E591" i="7"/>
  <c r="E87" i="7"/>
  <c r="E60" i="7"/>
  <c r="E583" i="7"/>
  <c r="E577" i="7"/>
  <c r="E581" i="7"/>
  <c r="E584" i="7"/>
  <c r="E93" i="7"/>
  <c r="E579" i="7"/>
  <c r="E277" i="7"/>
  <c r="E125" i="7"/>
  <c r="E111" i="7"/>
  <c r="E599" i="7"/>
  <c r="E575" i="7"/>
  <c r="E53" i="7"/>
  <c r="E222" i="7"/>
  <c r="E92" i="7"/>
  <c r="E223" i="7"/>
  <c r="E229" i="7"/>
  <c r="E477" i="7"/>
  <c r="E309" i="7"/>
  <c r="E343" i="7"/>
  <c r="E33" i="7"/>
  <c r="E534" i="7"/>
  <c r="E604" i="7"/>
  <c r="E64" i="7"/>
  <c r="E368" i="7"/>
  <c r="E59" i="7"/>
  <c r="E135" i="7"/>
  <c r="E46" i="7"/>
  <c r="E377" i="7"/>
  <c r="E239" i="7"/>
  <c r="E389" i="7"/>
  <c r="E572" i="7"/>
  <c r="E427" i="7"/>
  <c r="E269" i="7"/>
  <c r="E56" i="7"/>
  <c r="E527" i="7"/>
  <c r="E41" i="7"/>
  <c r="E80" i="7"/>
  <c r="E102" i="7"/>
  <c r="E419" i="7"/>
  <c r="E185" i="7"/>
  <c r="E301" i="7"/>
  <c r="E255" i="7"/>
  <c r="E106" i="7"/>
  <c r="E133" i="7"/>
  <c r="E248" i="7"/>
  <c r="E205" i="7"/>
  <c r="E434" i="7"/>
  <c r="E538" i="7"/>
  <c r="E299" i="7"/>
  <c r="E613" i="7"/>
  <c r="E158" i="7"/>
  <c r="E320" i="7"/>
  <c r="E259" i="7"/>
  <c r="E333" i="7"/>
  <c r="E506" i="7"/>
  <c r="E177" i="7"/>
  <c r="E63" i="7"/>
  <c r="E35" i="7"/>
  <c r="E136" i="7"/>
  <c r="E357" i="7"/>
  <c r="E437" i="7"/>
  <c r="E308" i="7"/>
  <c r="E69" i="7"/>
  <c r="E28" i="7"/>
  <c r="E530" i="7"/>
  <c r="E240" i="7"/>
  <c r="E54" i="7"/>
  <c r="E84" i="7"/>
  <c r="E529" i="7"/>
  <c r="E319" i="7"/>
  <c r="E432" i="7"/>
  <c r="E452" i="7"/>
  <c r="E508" i="7"/>
  <c r="E251" i="7"/>
  <c r="E365" i="7"/>
  <c r="E425" i="7"/>
  <c r="E539" i="7"/>
  <c r="E518" i="7"/>
  <c r="E462" i="7"/>
  <c r="E172" i="7"/>
  <c r="E302" i="7"/>
  <c r="E573" i="7"/>
  <c r="E424" i="7"/>
  <c r="E176" i="7"/>
  <c r="E526" i="7"/>
  <c r="E141" i="7"/>
  <c r="E610" i="7"/>
  <c r="E601" i="7"/>
  <c r="E96" i="7"/>
  <c r="E244" i="7"/>
  <c r="E602" i="7"/>
  <c r="E571" i="7"/>
  <c r="E596" i="7"/>
  <c r="E570" i="7"/>
  <c r="E612" i="7"/>
  <c r="E194" i="7"/>
  <c r="E65" i="7"/>
  <c r="E321" i="7"/>
  <c r="E588" i="7"/>
  <c r="E98" i="7"/>
  <c r="E590" i="7"/>
  <c r="E586" i="7"/>
  <c r="E587" i="7"/>
  <c r="E608" i="7"/>
  <c r="E81" i="7"/>
  <c r="E339" i="7"/>
  <c r="E390" i="7"/>
  <c r="E167" i="7"/>
  <c r="E221" i="7"/>
  <c r="E341" i="7"/>
  <c r="E175" i="7"/>
  <c r="E168" i="7"/>
  <c r="E169" i="7"/>
  <c r="E310" i="7"/>
  <c r="E537" i="7"/>
  <c r="E204" i="7"/>
  <c r="E129" i="7"/>
  <c r="E397" i="7"/>
  <c r="E252" i="7"/>
  <c r="E209" i="7"/>
  <c r="E345" i="7"/>
  <c r="E616" i="7"/>
  <c r="E161" i="7"/>
  <c r="E124" i="7"/>
  <c r="E178" i="7"/>
  <c r="E323" i="7"/>
  <c r="E104" i="7"/>
  <c r="E429" i="7"/>
  <c r="E391" i="7"/>
  <c r="E115" i="7"/>
  <c r="E451" i="7"/>
  <c r="E303" i="7"/>
  <c r="E395" i="7"/>
  <c r="E47" i="7"/>
  <c r="E494" i="7"/>
  <c r="E528" i="7"/>
  <c r="E595" i="7"/>
  <c r="E179" i="7"/>
  <c r="E412" i="7"/>
  <c r="E138" i="7"/>
  <c r="E14" i="7"/>
  <c r="E403" i="7"/>
  <c r="E166" i="7"/>
  <c r="E242" i="7"/>
  <c r="E203" i="7"/>
  <c r="E327" i="7"/>
  <c r="E142" i="7"/>
  <c r="E163" i="7"/>
  <c r="E286" i="7"/>
  <c r="E386" i="7"/>
  <c r="E483" i="7"/>
  <c r="E354" i="7"/>
  <c r="E481" i="7"/>
  <c r="E300" i="7"/>
  <c r="E336" i="7"/>
  <c r="E597" i="7"/>
  <c r="E372" i="7"/>
  <c r="E396" i="7"/>
  <c r="E440" i="7"/>
  <c r="E30" i="7"/>
  <c r="E574" i="7"/>
  <c r="E388" i="7"/>
  <c r="E600" i="7"/>
  <c r="E325" i="7"/>
  <c r="E157" i="7"/>
  <c r="E615" i="7"/>
  <c r="E605" i="7"/>
  <c r="E57" i="7"/>
  <c r="E351" i="7"/>
  <c r="E219" i="7"/>
  <c r="E202" i="7"/>
  <c r="E146" i="7"/>
  <c r="E603" i="7"/>
  <c r="E36" i="7"/>
  <c r="E445" i="7"/>
  <c r="E234" i="7"/>
  <c r="E132" i="7"/>
  <c r="E592" i="7"/>
  <c r="E401" i="7"/>
  <c r="E206" i="7"/>
  <c r="E44" i="7"/>
  <c r="E297" i="7"/>
  <c r="E446" i="7"/>
  <c r="E216" i="7"/>
  <c r="E40" i="7"/>
  <c r="E609" i="7"/>
  <c r="E213" i="7"/>
  <c r="E197" i="7"/>
  <c r="E119" i="7"/>
  <c r="E228" i="7"/>
  <c r="E76" i="7"/>
  <c r="E88" i="7"/>
  <c r="E220" i="7"/>
  <c r="E560" i="7"/>
  <c r="E109" i="7"/>
  <c r="E467" i="7"/>
  <c r="E340" i="7"/>
  <c r="E580" i="7"/>
  <c r="E174" i="7"/>
  <c r="E376" i="7"/>
  <c r="E24" i="7"/>
  <c r="E237" i="7"/>
  <c r="E433" i="7"/>
  <c r="E243" i="7"/>
  <c r="E230" i="7"/>
  <c r="E187" i="7"/>
  <c r="E246" i="7"/>
  <c r="E249" i="7"/>
  <c r="E181" i="7"/>
  <c r="E329" i="7"/>
  <c r="E311" i="7"/>
  <c r="E70" i="7"/>
  <c r="E556" i="7"/>
  <c r="E557" i="7"/>
  <c r="E578" i="7"/>
  <c r="E607" i="7"/>
  <c r="E598" i="7"/>
  <c r="E582" i="7"/>
  <c r="E257" i="7"/>
  <c r="E128" i="7"/>
  <c r="E19" i="7"/>
  <c r="E363" i="7"/>
  <c r="E189" i="7"/>
  <c r="E507" i="7"/>
  <c r="E553" i="7"/>
  <c r="E531" i="7"/>
  <c r="E569" i="7"/>
  <c r="E148" i="7"/>
  <c r="E66" i="7"/>
  <c r="E360" i="7"/>
  <c r="E201" i="7"/>
  <c r="E211" i="7"/>
  <c r="E198" i="7"/>
  <c r="E488" i="7"/>
  <c r="E383" i="7"/>
  <c r="E548" i="7"/>
  <c r="E550" i="7"/>
  <c r="E355" i="7"/>
  <c r="E314" i="7"/>
  <c r="E200" i="7"/>
  <c r="E523" i="7"/>
  <c r="E139" i="7"/>
  <c r="E170" i="7"/>
  <c r="E208" i="7"/>
  <c r="E39" i="7"/>
  <c r="E594" i="7"/>
  <c r="E160" i="7"/>
  <c r="E305" i="7"/>
  <c r="E369" i="7"/>
  <c r="E224" i="7"/>
  <c r="E210" i="7"/>
  <c r="E375" i="7"/>
  <c r="E442" i="7"/>
  <c r="E90" i="7"/>
  <c r="E55" i="7"/>
  <c r="E416" i="7"/>
  <c r="E510" i="7"/>
  <c r="E568" i="7"/>
  <c r="E385" i="7"/>
  <c r="E606" i="7"/>
  <c r="E43" i="7"/>
  <c r="E272" i="7"/>
  <c r="E140" i="7"/>
  <c r="E338" i="7"/>
  <c r="E215" i="7"/>
  <c r="E236" i="7"/>
  <c r="E107" i="7"/>
  <c r="E566" i="7"/>
  <c r="E165" i="7"/>
  <c r="E75" i="7"/>
  <c r="E549" i="7"/>
  <c r="E121" i="7"/>
  <c r="E195" i="7"/>
  <c r="E280" i="7"/>
  <c r="E97" i="7"/>
  <c r="E23" i="7"/>
  <c r="E95" i="7"/>
  <c r="E281" i="7"/>
  <c r="F284" i="7"/>
  <c r="G37" i="28" l="1"/>
  <c r="G45" i="28"/>
  <c r="G60" i="28"/>
  <c r="G58" i="28"/>
  <c r="G46" i="28"/>
  <c r="G44" i="28"/>
  <c r="G39" i="28"/>
  <c r="G47" i="28"/>
  <c r="G57" i="28"/>
  <c r="F63" i="28"/>
  <c r="X36" i="28"/>
  <c r="F58" i="28"/>
  <c r="F44" i="28"/>
  <c r="F64" i="28"/>
  <c r="X43" i="28"/>
  <c r="X25" i="28"/>
  <c r="Y48" i="28"/>
  <c r="Y6" i="28"/>
  <c r="Y57" i="28"/>
  <c r="Y7" i="28"/>
  <c r="Y60" i="28"/>
  <c r="Y36" i="28"/>
  <c r="Y61" i="28"/>
  <c r="Y52" i="28"/>
  <c r="Y40" i="28"/>
  <c r="Y46" i="28"/>
  <c r="Y55" i="28"/>
  <c r="Y8" i="28"/>
  <c r="Y13" i="28"/>
  <c r="Y21" i="28"/>
  <c r="Y38" i="28"/>
  <c r="Y27" i="28"/>
  <c r="Y62" i="28"/>
  <c r="Y58" i="28"/>
  <c r="Y18" i="28"/>
  <c r="Y63" i="28"/>
  <c r="Y29" i="28"/>
  <c r="X38" i="28"/>
  <c r="Y41" i="28"/>
  <c r="Y49" i="28"/>
  <c r="Y24" i="28"/>
  <c r="Y12" i="28"/>
  <c r="Y28" i="28"/>
  <c r="Y64" i="28"/>
  <c r="Y19" i="28"/>
  <c r="Y32" i="28"/>
  <c r="Y20" i="28"/>
  <c r="G61" i="28"/>
  <c r="G38" i="28"/>
  <c r="G49" i="28"/>
  <c r="G51" i="28"/>
  <c r="G40" i="28"/>
  <c r="Y39" i="28"/>
  <c r="Y54" i="28"/>
  <c r="Y34" i="28"/>
  <c r="Y31" i="28"/>
  <c r="Y43" i="28"/>
  <c r="G56" i="28"/>
  <c r="Y42" i="28"/>
  <c r="Y9" i="28"/>
  <c r="Y35" i="28"/>
  <c r="G53" i="28"/>
  <c r="Y15" i="28"/>
  <c r="Y59" i="28"/>
  <c r="Y56" i="28"/>
  <c r="Y50" i="28"/>
  <c r="G52" i="28"/>
  <c r="G41" i="28"/>
  <c r="F53" i="28"/>
  <c r="F62" i="28"/>
  <c r="AE12" i="28"/>
  <c r="F52" i="28"/>
  <c r="F57" i="28"/>
  <c r="X41" i="28"/>
  <c r="F13" i="28"/>
  <c r="F20" i="28"/>
  <c r="F27" i="28"/>
  <c r="F11" i="28"/>
  <c r="F29" i="28"/>
  <c r="F5" i="28"/>
  <c r="F32" i="28"/>
  <c r="F24" i="28"/>
  <c r="F25" i="28"/>
  <c r="K8" i="7"/>
  <c r="T70" i="3"/>
  <c r="T189" i="4"/>
  <c r="T111" i="4"/>
  <c r="T50" i="3"/>
  <c r="G30" i="28"/>
  <c r="G22" i="28"/>
  <c r="G9" i="28"/>
  <c r="G33" i="28"/>
  <c r="G25" i="28"/>
  <c r="T112" i="5"/>
  <c r="T47" i="3"/>
  <c r="T24" i="2"/>
  <c r="T186" i="4"/>
  <c r="T109" i="5"/>
  <c r="T105" i="3"/>
  <c r="G21" i="28"/>
  <c r="T129" i="5"/>
  <c r="T110" i="5"/>
  <c r="T69" i="5"/>
  <c r="T38" i="2"/>
  <c r="T72" i="2"/>
  <c r="T16" i="4"/>
  <c r="T87" i="5"/>
  <c r="T168" i="4"/>
  <c r="T16" i="3"/>
  <c r="T173" i="4"/>
  <c r="T11" i="5"/>
  <c r="T15" i="3"/>
  <c r="T102" i="3"/>
  <c r="T54" i="5"/>
  <c r="T99" i="3"/>
  <c r="T152" i="4"/>
  <c r="T129" i="4"/>
  <c r="T36" i="2"/>
  <c r="T31" i="2"/>
  <c r="T81" i="4"/>
  <c r="T133" i="4"/>
  <c r="T15" i="4"/>
  <c r="T151" i="4"/>
  <c r="T134" i="5"/>
  <c r="T46" i="3"/>
  <c r="T41" i="5"/>
  <c r="T139" i="5"/>
  <c r="T130" i="5"/>
  <c r="T125" i="4"/>
  <c r="T126" i="5"/>
  <c r="T130" i="4"/>
  <c r="T23" i="5"/>
  <c r="T137" i="5"/>
  <c r="T80" i="3"/>
  <c r="T52" i="5"/>
  <c r="T16" i="5"/>
  <c r="T40" i="2"/>
  <c r="T211" i="4"/>
  <c r="T7" i="5"/>
  <c r="T196" i="4"/>
  <c r="T96" i="5"/>
  <c r="T68" i="4"/>
  <c r="T37" i="2"/>
  <c r="T101" i="4"/>
  <c r="T32" i="4"/>
  <c r="T80" i="5"/>
  <c r="T18" i="5"/>
  <c r="T108" i="3"/>
  <c r="T76" i="2"/>
  <c r="T69" i="3"/>
  <c r="T74" i="5"/>
  <c r="T91" i="4"/>
  <c r="T52" i="3"/>
  <c r="T58" i="3"/>
  <c r="T77" i="4"/>
  <c r="T66" i="2"/>
  <c r="T25" i="5"/>
  <c r="T6" i="2"/>
  <c r="T53" i="2"/>
  <c r="T44" i="4"/>
  <c r="T71" i="4"/>
  <c r="T119" i="5"/>
  <c r="T21" i="3"/>
  <c r="T110" i="3"/>
  <c r="T79" i="4"/>
  <c r="T21" i="4"/>
  <c r="T62" i="4"/>
  <c r="T66" i="4"/>
  <c r="T4" i="2"/>
  <c r="T33" i="2"/>
  <c r="T191" i="4"/>
  <c r="T142" i="4"/>
  <c r="T13" i="4"/>
  <c r="T57" i="5"/>
  <c r="T32" i="3"/>
  <c r="T29" i="3"/>
  <c r="T138" i="5"/>
  <c r="T24" i="5"/>
  <c r="T56" i="2"/>
  <c r="T93" i="4"/>
  <c r="T4" i="3"/>
  <c r="T159" i="4"/>
  <c r="T47" i="4"/>
  <c r="T148" i="4"/>
  <c r="T65" i="3"/>
  <c r="T115" i="3"/>
  <c r="T120" i="5"/>
  <c r="T7" i="4"/>
  <c r="T53" i="5"/>
  <c r="T40" i="5"/>
  <c r="T73" i="3"/>
  <c r="T31" i="3"/>
  <c r="T88" i="3"/>
  <c r="T99" i="5"/>
  <c r="T111" i="3"/>
  <c r="T73" i="5"/>
  <c r="T114" i="4"/>
  <c r="T12" i="4"/>
  <c r="T175" i="4"/>
  <c r="T204" i="4"/>
  <c r="T161" i="4"/>
  <c r="T45" i="4"/>
  <c r="T59" i="2"/>
  <c r="T18" i="2"/>
  <c r="T7" i="2"/>
  <c r="T47" i="2"/>
  <c r="T167" i="4"/>
  <c r="T132" i="4"/>
  <c r="T185" i="4"/>
  <c r="T77" i="5"/>
  <c r="T71" i="3"/>
  <c r="T28" i="3"/>
  <c r="T96" i="3"/>
  <c r="T67" i="3"/>
  <c r="T32" i="5"/>
  <c r="T19" i="5"/>
  <c r="T81" i="5"/>
  <c r="T68" i="3"/>
  <c r="T20" i="3"/>
  <c r="T13" i="3"/>
  <c r="T62" i="3"/>
  <c r="T38" i="3"/>
  <c r="T132" i="5"/>
  <c r="T51" i="5"/>
  <c r="T38" i="5"/>
  <c r="T4" i="5"/>
  <c r="T14" i="5"/>
  <c r="T104" i="5"/>
  <c r="T65" i="5"/>
  <c r="T209" i="4"/>
  <c r="T170" i="4"/>
  <c r="T95" i="4"/>
  <c r="T29" i="4"/>
  <c r="T43" i="4"/>
  <c r="T64" i="4"/>
  <c r="T43" i="5"/>
  <c r="T100" i="3"/>
  <c r="T79" i="5"/>
  <c r="T75" i="5"/>
  <c r="T49" i="3"/>
  <c r="T109" i="3"/>
  <c r="T10" i="5"/>
  <c r="T162" i="4"/>
  <c r="T35" i="5"/>
  <c r="T82" i="5"/>
  <c r="T61" i="5"/>
  <c r="T35" i="3"/>
  <c r="T77" i="3"/>
  <c r="T57" i="3"/>
  <c r="T42" i="5"/>
  <c r="T3" i="3"/>
  <c r="T87" i="3"/>
  <c r="T95" i="5"/>
  <c r="T107" i="5"/>
  <c r="T141" i="4"/>
  <c r="T50" i="4"/>
  <c r="T147" i="4"/>
  <c r="T34" i="2"/>
  <c r="T42" i="2"/>
  <c r="T48" i="2"/>
  <c r="T12" i="2"/>
  <c r="T134" i="4"/>
  <c r="T92" i="4"/>
  <c r="T128" i="4"/>
  <c r="T179" i="4"/>
  <c r="T154" i="4"/>
  <c r="T26" i="4"/>
  <c r="T192" i="4"/>
  <c r="T104" i="4"/>
  <c r="T117" i="5"/>
  <c r="T118" i="5"/>
  <c r="T53" i="3"/>
  <c r="T98" i="5"/>
  <c r="T27" i="4"/>
  <c r="T98" i="4"/>
  <c r="E15" i="1"/>
  <c r="T90" i="5"/>
  <c r="T63" i="5"/>
  <c r="T113" i="5"/>
  <c r="T41" i="3"/>
  <c r="T97" i="3"/>
  <c r="T61" i="3"/>
  <c r="T91" i="5"/>
  <c r="T5" i="3"/>
  <c r="T63" i="3"/>
  <c r="T4" i="4"/>
  <c r="T183" i="4"/>
  <c r="T26" i="2"/>
  <c r="T35" i="2"/>
  <c r="T89" i="4"/>
  <c r="T163" i="4"/>
  <c r="T46" i="4"/>
  <c r="T30" i="3"/>
  <c r="T88" i="5"/>
  <c r="T76" i="5"/>
  <c r="T188" i="4"/>
  <c r="T15" i="2"/>
  <c r="T46" i="5"/>
  <c r="T3" i="2"/>
  <c r="T78" i="3"/>
  <c r="T67" i="2"/>
  <c r="T122" i="5"/>
  <c r="T18" i="3"/>
  <c r="T106" i="4"/>
  <c r="T84" i="4"/>
  <c r="T63" i="2"/>
  <c r="T199" i="4"/>
  <c r="T9" i="4"/>
  <c r="T12" i="5"/>
  <c r="T44" i="5"/>
  <c r="T41" i="4"/>
  <c r="G6" i="28"/>
  <c r="T70" i="5"/>
  <c r="T201" i="4"/>
  <c r="T144" i="4"/>
  <c r="T178" i="4"/>
  <c r="T115" i="4"/>
  <c r="T27" i="2"/>
  <c r="T94" i="5"/>
  <c r="T78" i="5"/>
  <c r="T6" i="3"/>
  <c r="T60" i="3"/>
  <c r="T36" i="3"/>
  <c r="T149" i="4"/>
  <c r="T153" i="4"/>
  <c r="T11" i="2"/>
  <c r="T10" i="2"/>
  <c r="T112" i="4"/>
  <c r="T82" i="4"/>
  <c r="T5" i="5"/>
  <c r="T102" i="5"/>
  <c r="T124" i="5"/>
  <c r="T133" i="5"/>
  <c r="T59" i="3"/>
  <c r="T49" i="2"/>
  <c r="T22" i="3"/>
  <c r="T79" i="3"/>
  <c r="T37" i="5"/>
  <c r="T49" i="5"/>
  <c r="T15" i="5"/>
  <c r="T33" i="3"/>
  <c r="T48" i="3"/>
  <c r="T103" i="3"/>
  <c r="T131" i="5"/>
  <c r="T86" i="5"/>
  <c r="T117" i="4"/>
  <c r="T30" i="4"/>
  <c r="T174" i="4"/>
  <c r="T90" i="4"/>
  <c r="T88" i="4"/>
  <c r="T80" i="4"/>
  <c r="T99" i="4"/>
  <c r="T29" i="2"/>
  <c r="T43" i="2"/>
  <c r="T28" i="2"/>
  <c r="T78" i="2"/>
  <c r="T71" i="2"/>
  <c r="T53" i="4"/>
  <c r="T38" i="4"/>
  <c r="T36" i="4"/>
  <c r="T108" i="4"/>
  <c r="T67" i="4"/>
  <c r="T107" i="4"/>
  <c r="T56" i="4"/>
  <c r="T11" i="3"/>
  <c r="T64" i="5"/>
  <c r="T115" i="5"/>
  <c r="T45" i="5"/>
  <c r="T26" i="5"/>
  <c r="T101" i="3"/>
  <c r="T13" i="5"/>
  <c r="T135" i="4"/>
  <c r="T25" i="3"/>
  <c r="T11" i="4"/>
  <c r="T18" i="4"/>
  <c r="T125" i="5"/>
  <c r="T19" i="2"/>
  <c r="T46" i="2"/>
  <c r="T75" i="2"/>
  <c r="T73" i="2"/>
  <c r="T50" i="2"/>
  <c r="T202" i="4"/>
  <c r="T195" i="4"/>
  <c r="T39" i="5"/>
  <c r="T194" i="4"/>
  <c r="T135" i="5"/>
  <c r="T205" i="4"/>
  <c r="T190" i="4"/>
  <c r="T94" i="4"/>
  <c r="T55" i="5"/>
  <c r="T177" i="4"/>
  <c r="T165" i="4"/>
  <c r="T23" i="4"/>
  <c r="T24" i="4"/>
  <c r="T203" i="4"/>
  <c r="T131" i="4"/>
  <c r="T73" i="4"/>
  <c r="T17" i="5"/>
  <c r="T43" i="3"/>
  <c r="T89" i="5"/>
  <c r="T27" i="3"/>
  <c r="T100" i="5"/>
  <c r="T9" i="5"/>
  <c r="T12" i="3"/>
  <c r="T67" i="5"/>
  <c r="T19" i="3"/>
  <c r="T30" i="5"/>
  <c r="T114" i="3"/>
  <c r="T75" i="3"/>
  <c r="T9" i="3"/>
  <c r="T72" i="5"/>
  <c r="T98" i="3"/>
  <c r="T92" i="3"/>
  <c r="T27" i="5"/>
  <c r="T111" i="5"/>
  <c r="T104" i="3"/>
  <c r="T101" i="5"/>
  <c r="T22" i="5"/>
  <c r="T6" i="5"/>
  <c r="T83" i="3"/>
  <c r="T7" i="3"/>
  <c r="T51" i="3"/>
  <c r="T103" i="5"/>
  <c r="T28" i="5"/>
  <c r="T8" i="5"/>
  <c r="T66" i="5"/>
  <c r="T42" i="4"/>
  <c r="T103" i="4"/>
  <c r="T206" i="4"/>
  <c r="T34" i="4"/>
  <c r="T35" i="4"/>
  <c r="T72" i="4"/>
  <c r="T123" i="4"/>
  <c r="T127" i="4"/>
  <c r="T87" i="4"/>
  <c r="T126" i="4"/>
  <c r="T119" i="4"/>
  <c r="T37" i="4"/>
  <c r="T182" i="4"/>
  <c r="T14" i="4"/>
  <c r="T136" i="4"/>
  <c r="T58" i="4"/>
  <c r="T20" i="4"/>
  <c r="T65" i="4"/>
  <c r="T5" i="4"/>
  <c r="T69" i="4"/>
  <c r="T197" i="4"/>
  <c r="T121" i="4"/>
  <c r="T180" i="4"/>
  <c r="T156" i="4"/>
  <c r="T97" i="4"/>
  <c r="T74" i="4"/>
  <c r="T60" i="2"/>
  <c r="T64" i="2"/>
  <c r="T5" i="2"/>
  <c r="T62" i="2"/>
  <c r="T22" i="2"/>
  <c r="T77" i="2"/>
  <c r="T14" i="2"/>
  <c r="T8" i="2"/>
  <c r="T55" i="2"/>
  <c r="T69" i="2"/>
  <c r="T9" i="2"/>
  <c r="T13" i="2"/>
  <c r="T138" i="4"/>
  <c r="T105" i="4"/>
  <c r="T116" i="4"/>
  <c r="T48" i="4"/>
  <c r="T124" i="4"/>
  <c r="T61" i="4"/>
  <c r="T200" i="4"/>
  <c r="T136" i="5"/>
  <c r="T34" i="3"/>
  <c r="T17" i="3"/>
  <c r="T89" i="3"/>
  <c r="T112" i="3"/>
  <c r="T93" i="3"/>
  <c r="T91" i="3"/>
  <c r="T105" i="5"/>
  <c r="T123" i="5"/>
  <c r="T26" i="3"/>
  <c r="T58" i="5"/>
  <c r="T90" i="3"/>
  <c r="T24" i="3"/>
  <c r="T116" i="5"/>
  <c r="T114" i="5"/>
  <c r="T78" i="4"/>
  <c r="T155" i="4"/>
  <c r="T28" i="4"/>
  <c r="T113" i="4"/>
  <c r="T55" i="4"/>
  <c r="T164" i="4"/>
  <c r="T96" i="4"/>
  <c r="T187" i="4"/>
  <c r="T171" i="4"/>
  <c r="T176" i="4"/>
  <c r="T75" i="4"/>
  <c r="T19" i="4"/>
  <c r="T86" i="4"/>
  <c r="T52" i="2"/>
  <c r="T65" i="2"/>
  <c r="T81" i="2"/>
  <c r="T17" i="2"/>
  <c r="T20" i="2"/>
  <c r="T16" i="2"/>
  <c r="T23" i="2"/>
  <c r="T32" i="2"/>
  <c r="T74" i="2"/>
  <c r="T54" i="2"/>
  <c r="T25" i="4"/>
  <c r="T160" i="4"/>
  <c r="T17" i="4"/>
  <c r="T157" i="4"/>
  <c r="T172" i="4"/>
  <c r="T70" i="4"/>
  <c r="T208" i="4"/>
  <c r="T193" i="4"/>
  <c r="T85" i="4"/>
  <c r="T150" i="4"/>
  <c r="T198" i="4"/>
  <c r="T207" i="4"/>
  <c r="T63" i="4"/>
  <c r="T62" i="5"/>
  <c r="T33" i="5"/>
  <c r="T50" i="5"/>
  <c r="T48" i="5"/>
  <c r="T45" i="3"/>
  <c r="T84" i="3"/>
  <c r="T74" i="3"/>
  <c r="T81" i="3"/>
  <c r="T107" i="3"/>
  <c r="T95" i="3"/>
  <c r="T86" i="3"/>
  <c r="T31" i="5"/>
  <c r="T97" i="5"/>
  <c r="T59" i="5"/>
  <c r="T47" i="5"/>
  <c r="T34" i="5"/>
  <c r="T127" i="5"/>
  <c r="T72" i="3"/>
  <c r="T40" i="3"/>
  <c r="T14" i="3"/>
  <c r="T66" i="3"/>
  <c r="T70" i="2"/>
  <c r="T57" i="2"/>
  <c r="T39" i="4"/>
  <c r="T55" i="3"/>
  <c r="T29" i="5"/>
  <c r="T106" i="5"/>
  <c r="T68" i="5"/>
  <c r="T44" i="3"/>
  <c r="T85" i="3"/>
  <c r="T92" i="5"/>
  <c r="T42" i="3"/>
  <c r="T137" i="4"/>
  <c r="T3" i="4"/>
  <c r="T10" i="4"/>
  <c r="T8" i="4"/>
  <c r="T120" i="4"/>
  <c r="T6" i="4"/>
  <c r="T51" i="2"/>
  <c r="T61" i="2"/>
  <c r="T79" i="2"/>
  <c r="T158" i="4"/>
  <c r="T102" i="4"/>
  <c r="T49" i="4"/>
  <c r="T85" i="5"/>
  <c r="T113" i="3"/>
  <c r="T21" i="5"/>
  <c r="T71" i="5"/>
  <c r="T94" i="3"/>
  <c r="T37" i="3"/>
  <c r="T84" i="5"/>
  <c r="T60" i="5"/>
  <c r="T121" i="5"/>
  <c r="T3" i="5"/>
  <c r="T58" i="2"/>
  <c r="T44" i="2"/>
  <c r="T80" i="2"/>
  <c r="T146" i="4"/>
  <c r="T139" i="4"/>
  <c r="T110" i="4"/>
  <c r="T31" i="4"/>
  <c r="T52" i="4"/>
  <c r="T210" i="4"/>
  <c r="T22" i="4"/>
  <c r="T184" i="4"/>
  <c r="T83" i="5"/>
  <c r="T10" i="3"/>
  <c r="T64" i="3"/>
  <c r="T54" i="3"/>
  <c r="T106" i="3"/>
  <c r="T23" i="3"/>
  <c r="T128" i="5"/>
  <c r="T56" i="3"/>
  <c r="T76" i="3"/>
  <c r="T36" i="5"/>
  <c r="T8" i="3"/>
  <c r="T82" i="3"/>
  <c r="T56" i="5"/>
  <c r="T20" i="5"/>
  <c r="T33" i="4"/>
  <c r="T40" i="4"/>
  <c r="T54" i="4"/>
  <c r="T140" i="4"/>
  <c r="T181" i="4"/>
  <c r="T212" i="4"/>
  <c r="T213" i="4"/>
  <c r="T76" i="4"/>
  <c r="T57" i="4"/>
  <c r="T166" i="4"/>
  <c r="T169" i="4"/>
  <c r="T59" i="4"/>
  <c r="T60" i="4"/>
  <c r="T25" i="2"/>
  <c r="T39" i="2"/>
  <c r="T21" i="2"/>
  <c r="T41" i="2"/>
  <c r="T30" i="2"/>
  <c r="T68" i="2"/>
  <c r="T45" i="2"/>
  <c r="T100" i="4"/>
  <c r="T118" i="4"/>
  <c r="T145" i="4"/>
  <c r="T143" i="4"/>
  <c r="T51" i="4"/>
  <c r="T122" i="4"/>
  <c r="T109" i="4"/>
  <c r="T108" i="5"/>
  <c r="T93" i="5"/>
  <c r="T39" i="3"/>
  <c r="F8" i="28"/>
  <c r="F28" i="28"/>
  <c r="F30" i="28"/>
  <c r="F15" i="28"/>
  <c r="F22" i="28"/>
  <c r="G20" i="28"/>
  <c r="F9" i="28"/>
  <c r="F33" i="28"/>
  <c r="AE26" i="28"/>
  <c r="AC26" i="28" s="1"/>
  <c r="AD26" i="28" s="1"/>
  <c r="AE6" i="28"/>
  <c r="AC6" i="28" s="1"/>
  <c r="AD6" i="28" s="1"/>
  <c r="AE21" i="28"/>
  <c r="AC21" i="28" s="1"/>
  <c r="AD21" i="28" s="1"/>
  <c r="AE32" i="28"/>
  <c r="AC32" i="28" s="1"/>
  <c r="AD32" i="28" s="1"/>
  <c r="F16" i="28"/>
  <c r="F7" i="28"/>
  <c r="G18" i="28"/>
  <c r="G27" i="28"/>
  <c r="F12" i="28"/>
  <c r="AE30" i="28"/>
  <c r="AC30" i="28" s="1"/>
  <c r="AD30" i="28" s="1"/>
  <c r="AE63" i="28"/>
  <c r="AC63" i="28" s="1"/>
  <c r="AD63" i="28" s="1"/>
  <c r="AE38" i="28"/>
  <c r="AC38" i="28" s="1"/>
  <c r="AD38" i="28" s="1"/>
  <c r="AE42" i="28"/>
  <c r="AC42" i="28" s="1"/>
  <c r="AD42" i="28" s="1"/>
  <c r="AB9" i="4"/>
  <c r="AB40" i="4"/>
  <c r="AB206" i="4"/>
  <c r="AB69" i="4"/>
  <c r="AB153" i="4"/>
  <c r="AB19" i="5"/>
  <c r="AB111" i="3"/>
  <c r="AB34" i="3"/>
  <c r="AB139" i="5"/>
  <c r="AB87" i="5"/>
  <c r="AB62" i="5"/>
  <c r="AB56" i="3"/>
  <c r="AB37" i="5"/>
  <c r="AB137" i="5"/>
  <c r="AB98" i="3"/>
  <c r="AB13" i="3"/>
  <c r="AB86" i="5"/>
  <c r="AB88" i="5"/>
  <c r="AB130" i="5"/>
  <c r="AB6" i="5"/>
  <c r="AB71" i="3"/>
  <c r="AB133" i="5"/>
  <c r="AB120" i="5"/>
  <c r="AB39" i="5"/>
  <c r="AB74" i="5"/>
  <c r="AB116" i="5"/>
  <c r="AB3" i="5"/>
  <c r="AB118" i="5"/>
  <c r="AB72" i="3"/>
  <c r="AB53" i="3"/>
  <c r="AB36" i="3"/>
  <c r="AB109" i="3"/>
  <c r="AB101" i="3"/>
  <c r="AB23" i="3"/>
  <c r="AB62" i="3"/>
  <c r="AB11" i="3"/>
  <c r="AB96" i="5"/>
  <c r="AB95" i="5"/>
  <c r="AB65" i="5"/>
  <c r="AB33" i="5"/>
  <c r="AB44" i="3"/>
  <c r="AB114" i="3"/>
  <c r="AB19" i="3"/>
  <c r="AB54" i="3"/>
  <c r="AB78" i="3"/>
  <c r="AB28" i="3"/>
  <c r="AB95" i="3"/>
  <c r="AB9" i="3"/>
  <c r="AB31" i="5"/>
  <c r="AB57" i="5"/>
  <c r="AB138" i="5"/>
  <c r="AB50" i="5"/>
  <c r="AB70" i="5"/>
  <c r="AB64" i="5"/>
  <c r="AB101" i="5"/>
  <c r="AB63" i="2"/>
  <c r="AB48" i="2"/>
  <c r="AB52" i="2"/>
  <c r="AB57" i="2"/>
  <c r="AB13" i="2"/>
  <c r="AB75" i="2"/>
  <c r="AB28" i="4"/>
  <c r="AB197" i="4"/>
  <c r="AB148" i="4"/>
  <c r="AB159" i="4"/>
  <c r="AB157" i="4"/>
  <c r="AB108" i="4"/>
  <c r="AB133" i="4"/>
  <c r="AB180" i="4"/>
  <c r="AB196" i="4"/>
  <c r="AB194" i="4"/>
  <c r="AB209" i="4"/>
  <c r="AB61" i="2"/>
  <c r="AB12" i="2"/>
  <c r="AB31" i="2"/>
  <c r="AB81" i="2"/>
  <c r="AB50" i="2"/>
  <c r="AB55" i="2"/>
  <c r="AB20" i="2"/>
  <c r="AB46" i="2"/>
  <c r="AB44" i="2"/>
  <c r="AB6" i="2"/>
  <c r="AB51" i="2"/>
  <c r="AB29" i="2"/>
  <c r="AB68" i="2"/>
  <c r="AB79" i="2"/>
  <c r="AB76" i="2"/>
  <c r="AB40" i="2"/>
  <c r="AB75" i="4"/>
  <c r="AB20" i="3"/>
  <c r="AB97" i="3"/>
  <c r="AB42" i="5"/>
  <c r="AB43" i="3"/>
  <c r="AB94" i="3"/>
  <c r="AB99" i="5"/>
  <c r="AB134" i="5"/>
  <c r="AB73" i="2"/>
  <c r="AB98" i="4"/>
  <c r="AB18" i="4"/>
  <c r="AB83" i="4"/>
  <c r="AB95" i="4"/>
  <c r="AB33" i="4"/>
  <c r="AB18" i="2"/>
  <c r="AB47" i="2"/>
  <c r="AB67" i="2"/>
  <c r="AB163" i="4"/>
  <c r="AB45" i="4"/>
  <c r="AB79" i="4"/>
  <c r="AB205" i="4"/>
  <c r="AB154" i="4"/>
  <c r="AB56" i="4"/>
  <c r="AB11" i="4"/>
  <c r="AB115" i="4"/>
  <c r="AB21" i="4"/>
  <c r="AB169" i="4"/>
  <c r="AB32" i="4"/>
  <c r="AB10" i="4"/>
  <c r="AB17" i="4"/>
  <c r="AB203" i="4"/>
  <c r="AB35" i="4"/>
  <c r="AB8" i="4"/>
  <c r="AB50" i="4"/>
  <c r="AB93" i="4"/>
  <c r="AB7" i="4"/>
  <c r="AB3" i="4"/>
  <c r="AB207" i="4"/>
  <c r="AB15" i="4"/>
  <c r="AB85" i="4"/>
  <c r="AB151" i="4"/>
  <c r="AB135" i="4"/>
  <c r="AB171" i="4"/>
  <c r="AB161" i="4"/>
  <c r="AB186" i="4"/>
  <c r="AB172" i="4"/>
  <c r="AB17" i="3"/>
  <c r="AB123" i="5"/>
  <c r="AB96" i="3"/>
  <c r="AB108" i="5"/>
  <c r="AB91" i="3"/>
  <c r="AB56" i="5"/>
  <c r="AB121" i="5"/>
  <c r="AB135" i="5"/>
  <c r="AB77" i="5"/>
  <c r="AB4" i="5"/>
  <c r="AB113" i="5"/>
  <c r="AB55" i="3"/>
  <c r="AB110" i="3"/>
  <c r="AB84" i="3"/>
  <c r="AB51" i="3"/>
  <c r="AB106" i="5"/>
  <c r="AB91" i="5"/>
  <c r="AB64" i="3"/>
  <c r="AB18" i="3"/>
  <c r="AB22" i="3"/>
  <c r="AB38" i="3"/>
  <c r="AB81" i="5"/>
  <c r="AB54" i="5"/>
  <c r="AB44" i="5"/>
  <c r="AB7" i="5"/>
  <c r="AB42" i="2"/>
  <c r="AB71" i="2"/>
  <c r="AB58" i="2"/>
  <c r="AB80" i="4"/>
  <c r="AB107" i="4"/>
  <c r="AB160" i="4"/>
  <c r="AB145" i="4"/>
  <c r="AB81" i="4"/>
  <c r="AB42" i="4"/>
  <c r="AB102" i="4"/>
  <c r="AB86" i="4"/>
  <c r="AB138" i="4"/>
  <c r="AB4" i="4"/>
  <c r="AB8" i="2"/>
  <c r="AB4" i="2"/>
  <c r="AB43" i="2"/>
  <c r="AB28" i="2"/>
  <c r="AB23" i="2"/>
  <c r="AB32" i="2"/>
  <c r="AB74" i="2"/>
  <c r="AB45" i="2"/>
  <c r="AB56" i="2"/>
  <c r="AB55" i="4"/>
  <c r="AB103" i="4"/>
  <c r="AB114" i="4"/>
  <c r="AB150" i="4"/>
  <c r="AB41" i="4"/>
  <c r="AB30" i="4"/>
  <c r="AB188" i="4"/>
  <c r="AB120" i="4"/>
  <c r="AB126" i="4"/>
  <c r="AB53" i="4"/>
  <c r="AB181" i="4"/>
  <c r="AB170" i="4"/>
  <c r="AB211" i="4"/>
  <c r="AB109" i="4"/>
  <c r="AB179" i="4"/>
  <c r="AB140" i="4"/>
  <c r="AB101" i="4"/>
  <c r="AB176" i="4"/>
  <c r="AB158" i="4"/>
  <c r="AB43" i="4"/>
  <c r="AB77" i="4"/>
  <c r="AB48" i="4"/>
  <c r="AB88" i="4"/>
  <c r="AB72" i="4"/>
  <c r="AB139" i="4"/>
  <c r="AB65" i="4"/>
  <c r="AB87" i="4"/>
  <c r="AB124" i="4"/>
  <c r="AB121" i="4"/>
  <c r="AB213" i="4"/>
  <c r="AB73" i="4"/>
  <c r="AB187" i="4"/>
  <c r="AB63" i="4"/>
  <c r="AB61" i="4"/>
  <c r="AB5" i="4"/>
  <c r="AB175" i="4"/>
  <c r="AB191" i="4"/>
  <c r="AB202" i="4"/>
  <c r="AB74" i="4"/>
  <c r="AB122" i="4"/>
  <c r="AB19" i="4"/>
  <c r="AB59" i="4"/>
  <c r="AB129" i="4"/>
  <c r="AB68" i="4"/>
  <c r="AB35" i="2"/>
  <c r="AB40" i="3"/>
  <c r="AB18" i="5"/>
  <c r="AB23" i="5"/>
  <c r="AB60" i="5"/>
  <c r="AB105" i="3"/>
  <c r="AB73" i="3"/>
  <c r="AB124" i="5"/>
  <c r="AB58" i="5"/>
  <c r="AB126" i="5"/>
  <c r="AB11" i="5"/>
  <c r="AB97" i="5"/>
  <c r="AB7" i="3"/>
  <c r="AB41" i="3"/>
  <c r="AB16" i="5"/>
  <c r="AB10" i="3"/>
  <c r="AB50" i="3"/>
  <c r="AB103" i="3"/>
  <c r="AB51" i="5"/>
  <c r="AB7" i="2"/>
  <c r="AB80" i="2"/>
  <c r="AB36" i="4"/>
  <c r="AB58" i="4"/>
  <c r="AB143" i="4"/>
  <c r="AB113" i="4"/>
  <c r="AB49" i="4"/>
  <c r="AB69" i="2"/>
  <c r="AB71" i="4"/>
  <c r="AB29" i="4"/>
  <c r="AB162" i="4"/>
  <c r="AB94" i="4"/>
  <c r="AB57" i="4"/>
  <c r="AB20" i="4"/>
  <c r="AB51" i="4"/>
  <c r="AB66" i="4"/>
  <c r="AB89" i="4"/>
  <c r="AB13" i="4"/>
  <c r="AB198" i="4"/>
  <c r="AB178" i="4"/>
  <c r="AB76" i="4"/>
  <c r="AB128" i="4"/>
  <c r="AB112" i="4"/>
  <c r="AB164" i="4"/>
  <c r="AB34" i="4"/>
  <c r="AB91" i="4"/>
  <c r="AB125" i="4"/>
  <c r="AB201" i="4"/>
  <c r="AB183" i="4"/>
  <c r="AB174" i="4"/>
  <c r="AB60" i="4"/>
  <c r="AB199" i="4"/>
  <c r="AB84" i="4"/>
  <c r="AB14" i="2"/>
  <c r="AB39" i="4"/>
  <c r="AB97" i="4"/>
  <c r="AB119" i="4"/>
  <c r="AB92" i="4"/>
  <c r="AB127" i="4"/>
  <c r="AB110" i="4"/>
  <c r="AB53" i="2"/>
  <c r="AB5" i="2"/>
  <c r="AB24" i="2"/>
  <c r="AB146" i="4"/>
  <c r="AB26" i="4"/>
  <c r="AB116" i="4"/>
  <c r="AB6" i="4"/>
  <c r="AB99" i="4"/>
  <c r="AB136" i="4"/>
  <c r="AB44" i="4"/>
  <c r="AB31" i="4"/>
  <c r="AB184" i="4"/>
  <c r="AB8" i="3"/>
  <c r="AB57" i="3"/>
  <c r="AB87" i="3"/>
  <c r="AB35" i="3"/>
  <c r="AB111" i="5"/>
  <c r="AB117" i="5"/>
  <c r="AB10" i="5"/>
  <c r="AB85" i="5"/>
  <c r="AB24" i="5"/>
  <c r="AB102" i="5"/>
  <c r="AB69" i="5"/>
  <c r="AB21" i="3"/>
  <c r="AB16" i="3"/>
  <c r="AB12" i="5"/>
  <c r="AB127" i="5"/>
  <c r="AB43" i="5"/>
  <c r="AB131" i="5"/>
  <c r="AB66" i="3"/>
  <c r="AB39" i="3"/>
  <c r="AB29" i="3"/>
  <c r="AB4" i="3"/>
  <c r="AB86" i="3"/>
  <c r="AB20" i="5"/>
  <c r="AB107" i="5"/>
  <c r="AB68" i="5"/>
  <c r="AB73" i="5"/>
  <c r="AB142" i="4"/>
  <c r="AB96" i="4"/>
  <c r="AB25" i="2"/>
  <c r="AB17" i="2"/>
  <c r="AB82" i="4"/>
  <c r="AB131" i="4"/>
  <c r="AB190" i="4"/>
  <c r="AB156" i="4"/>
  <c r="AB82" i="3"/>
  <c r="AB76" i="3"/>
  <c r="AB132" i="5"/>
  <c r="AB78" i="5"/>
  <c r="AB8" i="5"/>
  <c r="AB125" i="5"/>
  <c r="AB84" i="5"/>
  <c r="AB71" i="5"/>
  <c r="AB27" i="3"/>
  <c r="AB30" i="3"/>
  <c r="AB32" i="3"/>
  <c r="AB14" i="5"/>
  <c r="AB89" i="5"/>
  <c r="AB35" i="5"/>
  <c r="AB75" i="5"/>
  <c r="AB15" i="3"/>
  <c r="AB110" i="5"/>
  <c r="AB63" i="5"/>
  <c r="AB28" i="5"/>
  <c r="AB26" i="5"/>
  <c r="AB13" i="5"/>
  <c r="AB119" i="5"/>
  <c r="AB105" i="5"/>
  <c r="AB61" i="3"/>
  <c r="AB75" i="3"/>
  <c r="AB24" i="3"/>
  <c r="AB106" i="3"/>
  <c r="AB92" i="3"/>
  <c r="AB100" i="3"/>
  <c r="AB37" i="3"/>
  <c r="AB136" i="5"/>
  <c r="AB40" i="5"/>
  <c r="AB90" i="5"/>
  <c r="AB94" i="5"/>
  <c r="AB70" i="3"/>
  <c r="AB99" i="3"/>
  <c r="AB63" i="3"/>
  <c r="AB69" i="3"/>
  <c r="AB88" i="3"/>
  <c r="AB102" i="3"/>
  <c r="AB93" i="3"/>
  <c r="AB74" i="3"/>
  <c r="AB59" i="3"/>
  <c r="AB100" i="5"/>
  <c r="AB112" i="5"/>
  <c r="AB29" i="5"/>
  <c r="AB83" i="5"/>
  <c r="AB25" i="5"/>
  <c r="AB66" i="5"/>
  <c r="AB21" i="5"/>
  <c r="AB16" i="2"/>
  <c r="AB36" i="2"/>
  <c r="AB26" i="2"/>
  <c r="AB19" i="2"/>
  <c r="AB34" i="2"/>
  <c r="AB38" i="2"/>
  <c r="AB104" i="4"/>
  <c r="AB137" i="4"/>
  <c r="AB193" i="4"/>
  <c r="AB46" i="4"/>
  <c r="AB167" i="4"/>
  <c r="AB195" i="4"/>
  <c r="AB147" i="4"/>
  <c r="AB182" i="4"/>
  <c r="AB144" i="4"/>
  <c r="AB204" i="4"/>
  <c r="AB111" i="4"/>
  <c r="AB200" i="4"/>
  <c r="AB173" i="4"/>
  <c r="AB141" i="4"/>
  <c r="AB52" i="4"/>
  <c r="AB105" i="4"/>
  <c r="AB72" i="2"/>
  <c r="AB10" i="2"/>
  <c r="AB66" i="2"/>
  <c r="AB21" i="2"/>
  <c r="AB41" i="2"/>
  <c r="AB39" i="2"/>
  <c r="AB123" i="4"/>
  <c r="AB130" i="4"/>
  <c r="AB59" i="2"/>
  <c r="AB22" i="2"/>
  <c r="AB27" i="4"/>
  <c r="AB25" i="4"/>
  <c r="AB14" i="4"/>
  <c r="AB106" i="4"/>
  <c r="AB64" i="4"/>
  <c r="AB70" i="2"/>
  <c r="AB37" i="2"/>
  <c r="AB3" i="2"/>
  <c r="AB166" i="4"/>
  <c r="AB22" i="4"/>
  <c r="AB212" i="4"/>
  <c r="AB62" i="4"/>
  <c r="AB189" i="4"/>
  <c r="AB90" i="4"/>
  <c r="AB100" i="4"/>
  <c r="AB67" i="4"/>
  <c r="AB65" i="2"/>
  <c r="AB60" i="3"/>
  <c r="AB68" i="3"/>
  <c r="AB65" i="3"/>
  <c r="AB42" i="3"/>
  <c r="AB103" i="5"/>
  <c r="AB52" i="5"/>
  <c r="AB41" i="5"/>
  <c r="AB22" i="5"/>
  <c r="AB80" i="5"/>
  <c r="AB109" i="5"/>
  <c r="AB14" i="3"/>
  <c r="AB6" i="3"/>
  <c r="AB67" i="5"/>
  <c r="AB82" i="5"/>
  <c r="AB15" i="5"/>
  <c r="AB46" i="5"/>
  <c r="AB45" i="3"/>
  <c r="AB31" i="3"/>
  <c r="AB112" i="3"/>
  <c r="AB108" i="3"/>
  <c r="AB5" i="3"/>
  <c r="AB3" i="3"/>
  <c r="AB98" i="5"/>
  <c r="AB49" i="5"/>
  <c r="AB72" i="5"/>
  <c r="AB177" i="4"/>
  <c r="AB165" i="4"/>
  <c r="AB70" i="4"/>
  <c r="AB78" i="2"/>
  <c r="AB118" i="4"/>
  <c r="AB152" i="4"/>
  <c r="AB54" i="4"/>
  <c r="AB149" i="4"/>
  <c r="AB117" i="4"/>
  <c r="AB107" i="3"/>
  <c r="AB52" i="3"/>
  <c r="AB61" i="5"/>
  <c r="AB5" i="5"/>
  <c r="AB92" i="5"/>
  <c r="AB12" i="3"/>
  <c r="AB53" i="5"/>
  <c r="AB55" i="5"/>
  <c r="AB58" i="3"/>
  <c r="AB25" i="3"/>
  <c r="AB49" i="3"/>
  <c r="AB93" i="5"/>
  <c r="AB38" i="5"/>
  <c r="AB128" i="5"/>
  <c r="AB115" i="3"/>
  <c r="AB79" i="5"/>
  <c r="AB76" i="5"/>
  <c r="AB27" i="5"/>
  <c r="AB59" i="5"/>
  <c r="AB122" i="5"/>
  <c r="AB9" i="5"/>
  <c r="AB36" i="5"/>
  <c r="AB114" i="5"/>
  <c r="AB89" i="3"/>
  <c r="AB83" i="3"/>
  <c r="AB113" i="3"/>
  <c r="AB80" i="3"/>
  <c r="AB85" i="3"/>
  <c r="AB90" i="3"/>
  <c r="AB33" i="3"/>
  <c r="AB104" i="5"/>
  <c r="AB32" i="5"/>
  <c r="AB48" i="5"/>
  <c r="AB34" i="5"/>
  <c r="AB77" i="3"/>
  <c r="AB104" i="3"/>
  <c r="AB79" i="3"/>
  <c r="AB81" i="3"/>
  <c r="AB48" i="3"/>
  <c r="AB47" i="3"/>
  <c r="AB46" i="3"/>
  <c r="AB26" i="3"/>
  <c r="AB67" i="3"/>
  <c r="AB17" i="5"/>
  <c r="AB45" i="5"/>
  <c r="AB30" i="5"/>
  <c r="AB47" i="5"/>
  <c r="AB129" i="5"/>
  <c r="AB115" i="5"/>
  <c r="AB30" i="2"/>
  <c r="AB9" i="2"/>
  <c r="AB60" i="2"/>
  <c r="AB11" i="2"/>
  <c r="AB27" i="2"/>
  <c r="AB33" i="2"/>
  <c r="AB54" i="2"/>
  <c r="AB37" i="4"/>
  <c r="AB38" i="4"/>
  <c r="AB12" i="4"/>
  <c r="AB168" i="4"/>
  <c r="AB23" i="4"/>
  <c r="AB210" i="4"/>
  <c r="AB16" i="4"/>
  <c r="AB155" i="4"/>
  <c r="AB208" i="4"/>
  <c r="AB192" i="4"/>
  <c r="AB47" i="4"/>
  <c r="AB24" i="4"/>
  <c r="AB185" i="4"/>
  <c r="AB132" i="4"/>
  <c r="AB78" i="4"/>
  <c r="AB134" i="4"/>
  <c r="AB62" i="2"/>
  <c r="AB64" i="2"/>
  <c r="AB49" i="2"/>
  <c r="AB77" i="2"/>
  <c r="G17" i="28"/>
  <c r="AE51" i="28"/>
  <c r="AC51" i="28" s="1"/>
  <c r="AD51" i="28" s="1"/>
  <c r="AE31" i="28"/>
  <c r="AC31" i="28" s="1"/>
  <c r="AD31" i="28" s="1"/>
  <c r="AE40" i="28"/>
  <c r="AC40" i="28" s="1"/>
  <c r="AD40" i="28" s="1"/>
  <c r="AE59" i="28"/>
  <c r="AC59" i="28" s="1"/>
  <c r="AD59" i="28" s="1"/>
  <c r="AE9" i="28"/>
  <c r="AC9" i="28" s="1"/>
  <c r="AD9" i="28" s="1"/>
  <c r="AE46" i="28"/>
  <c r="AC46" i="28" s="1"/>
  <c r="AD46" i="28" s="1"/>
  <c r="AE34" i="28"/>
  <c r="AC34" i="28" s="1"/>
  <c r="AD34" i="28" s="1"/>
  <c r="AE25" i="28"/>
  <c r="AC25" i="28" s="1"/>
  <c r="AD25" i="28" s="1"/>
  <c r="AE28" i="28"/>
  <c r="AC28" i="28" s="1"/>
  <c r="AD28" i="28" s="1"/>
  <c r="AE8" i="28"/>
  <c r="AC8" i="28" s="1"/>
  <c r="AD8" i="28" s="1"/>
  <c r="AE15" i="28"/>
  <c r="AC15" i="28" s="1"/>
  <c r="AD15" i="28" s="1"/>
  <c r="G32" i="28"/>
  <c r="G26" i="28"/>
  <c r="G28" i="28"/>
  <c r="G10" i="28"/>
  <c r="G29" i="28"/>
  <c r="F19" i="28"/>
  <c r="F14" i="28"/>
  <c r="F31" i="28"/>
  <c r="G24" i="28"/>
  <c r="G16" i="28"/>
  <c r="G7" i="28"/>
  <c r="AB15" i="2"/>
  <c r="F17" i="28"/>
  <c r="G23" i="28"/>
  <c r="G12" i="28"/>
  <c r="G13" i="28"/>
  <c r="F10" i="28"/>
  <c r="G11" i="28"/>
  <c r="G19" i="28"/>
  <c r="G14" i="28"/>
  <c r="AE19" i="28"/>
  <c r="AC19" i="28" s="1"/>
  <c r="AD19" i="28" s="1"/>
  <c r="AE43" i="28"/>
  <c r="AC43" i="28" s="1"/>
  <c r="AD43" i="28" s="1"/>
  <c r="AE5" i="28"/>
  <c r="AC5" i="28" s="1"/>
  <c r="AD5" i="28" s="1"/>
  <c r="AE29" i="28"/>
  <c r="G5" i="28"/>
  <c r="G31" i="28"/>
  <c r="G34" i="28"/>
  <c r="G8" i="28"/>
  <c r="F21" i="28"/>
  <c r="F6" i="28"/>
  <c r="AE45" i="28"/>
  <c r="AC45" i="28" s="1"/>
  <c r="AD45" i="28" s="1"/>
  <c r="AE20" i="28"/>
  <c r="AC20" i="28" s="1"/>
  <c r="AD20" i="28" s="1"/>
  <c r="AE23" i="28"/>
  <c r="AC23" i="28" s="1"/>
  <c r="AD23" i="28" s="1"/>
  <c r="AE36" i="28"/>
  <c r="AC36" i="28" s="1"/>
  <c r="AD36" i="28" s="1"/>
  <c r="AE13" i="28"/>
  <c r="AC13" i="28" s="1"/>
  <c r="AD13" i="28" s="1"/>
  <c r="AE16" i="28"/>
  <c r="K4" i="7"/>
  <c r="K6" i="7"/>
  <c r="AE50" i="28"/>
  <c r="AC50" i="28" s="1"/>
  <c r="AD50" i="28" s="1"/>
  <c r="AE24" i="28"/>
  <c r="AC24" i="28" s="1"/>
  <c r="AD24" i="28" s="1"/>
  <c r="AE10" i="28"/>
  <c r="AC10" i="28" s="1"/>
  <c r="AD10" i="28" s="1"/>
  <c r="AE33" i="28"/>
  <c r="AC33" i="28" s="1"/>
  <c r="AD33" i="28" s="1"/>
  <c r="AE60" i="28"/>
  <c r="AC60" i="28" s="1"/>
  <c r="AD60" i="28" s="1"/>
  <c r="AE54" i="28"/>
  <c r="AC54" i="28" s="1"/>
  <c r="AD54" i="28" s="1"/>
  <c r="AE48" i="28"/>
  <c r="AC48" i="28" s="1"/>
  <c r="AD48" i="28" s="1"/>
  <c r="AE39" i="28"/>
  <c r="AC39" i="28" s="1"/>
  <c r="AD39" i="28" s="1"/>
  <c r="AE58" i="28"/>
  <c r="AC58" i="28" s="1"/>
  <c r="AD58" i="28" s="1"/>
  <c r="AE7" i="28"/>
  <c r="AE64" i="28"/>
  <c r="AC64" i="28" s="1"/>
  <c r="AD64" i="28" s="1"/>
  <c r="AE41" i="28"/>
  <c r="AC41" i="28" s="1"/>
  <c r="AD41" i="28" s="1"/>
  <c r="AE61" i="28"/>
  <c r="AC61" i="28" s="1"/>
  <c r="AD61" i="28" s="1"/>
  <c r="AE18" i="28"/>
  <c r="AC18" i="28" s="1"/>
  <c r="AD18" i="28" s="1"/>
  <c r="AE57" i="28"/>
  <c r="AC57" i="28" s="1"/>
  <c r="AD57" i="28" s="1"/>
  <c r="AE37" i="28"/>
  <c r="AC37" i="28" s="1"/>
  <c r="AD37" i="28" s="1"/>
  <c r="AE62" i="28"/>
  <c r="AC62" i="28" s="1"/>
  <c r="AD62" i="28" s="1"/>
  <c r="AE22" i="28"/>
  <c r="AC22" i="28" s="1"/>
  <c r="AD22" i="28" s="1"/>
  <c r="AE49" i="28"/>
  <c r="AC49" i="28" s="1"/>
  <c r="AD49" i="28" s="1"/>
  <c r="AE52" i="28"/>
  <c r="AC52" i="28" s="1"/>
  <c r="AD52" i="28" s="1"/>
  <c r="AE27" i="28"/>
  <c r="AC27" i="28" s="1"/>
  <c r="AD27" i="28" s="1"/>
  <c r="AE14" i="28"/>
  <c r="AC14" i="28" s="1"/>
  <c r="AD14" i="28" s="1"/>
  <c r="AE55" i="28"/>
  <c r="AC55" i="28" s="1"/>
  <c r="AD55" i="28" s="1"/>
  <c r="AE35" i="28"/>
  <c r="AC35" i="28" s="1"/>
  <c r="AD35" i="28" s="1"/>
  <c r="AE11" i="28"/>
  <c r="AE17" i="28"/>
  <c r="AC17" i="28" s="1"/>
  <c r="AD17" i="28" s="1"/>
  <c r="AE44" i="28"/>
  <c r="AE56" i="28"/>
  <c r="AC56" i="28" s="1"/>
  <c r="AD56" i="28" s="1"/>
  <c r="AE53" i="28"/>
  <c r="AC53" i="28" s="1"/>
  <c r="AD53" i="28" s="1"/>
  <c r="AE47" i="28"/>
  <c r="AC47" i="28" s="1"/>
  <c r="AD47" i="28" s="1"/>
  <c r="P32" i="28"/>
  <c r="P54" i="28"/>
  <c r="P37" i="28"/>
  <c r="P24" i="28"/>
  <c r="O17" i="28"/>
  <c r="O23" i="28"/>
  <c r="O64" i="28"/>
  <c r="O14" i="28"/>
  <c r="O12" i="28"/>
  <c r="O30" i="28"/>
  <c r="O57" i="28"/>
  <c r="O40" i="28"/>
  <c r="O46" i="28"/>
  <c r="O54" i="28"/>
  <c r="O62" i="28"/>
  <c r="O15" i="28"/>
  <c r="O58" i="28"/>
  <c r="O51" i="28"/>
  <c r="O10" i="28"/>
  <c r="O27" i="28"/>
  <c r="O63" i="28"/>
  <c r="O31" i="28"/>
  <c r="O41" i="28"/>
  <c r="O29" i="28"/>
  <c r="O37" i="28"/>
  <c r="O25" i="28"/>
  <c r="P49" i="28"/>
  <c r="O26" i="28"/>
  <c r="O39" i="28"/>
  <c r="O34" i="28"/>
  <c r="O11" i="28"/>
  <c r="O5" i="28"/>
  <c r="O22" i="28"/>
  <c r="O61" i="28"/>
  <c r="O60" i="28"/>
  <c r="P26" i="28"/>
  <c r="P9" i="28"/>
  <c r="P50" i="28"/>
  <c r="P28" i="28"/>
  <c r="P63" i="28"/>
  <c r="P18" i="28"/>
  <c r="P16" i="28"/>
  <c r="P45" i="28"/>
  <c r="P5" i="28"/>
  <c r="P30" i="28"/>
  <c r="P58" i="28"/>
  <c r="P13" i="28"/>
  <c r="P55" i="28"/>
  <c r="P19" i="28"/>
  <c r="P34" i="28"/>
  <c r="P21" i="28"/>
  <c r="P46" i="28"/>
  <c r="P53" i="28"/>
  <c r="P33" i="28"/>
  <c r="P10" i="28"/>
  <c r="P61" i="28"/>
  <c r="P47" i="28"/>
  <c r="P17" i="28"/>
  <c r="P48" i="28"/>
  <c r="P39" i="28"/>
  <c r="P31" i="28"/>
  <c r="P42" i="28"/>
  <c r="P40" i="28"/>
  <c r="P38" i="28"/>
  <c r="P57" i="28"/>
  <c r="P6" i="28"/>
  <c r="P36" i="28"/>
  <c r="P8" i="28"/>
  <c r="P35" i="28"/>
  <c r="P12" i="28"/>
  <c r="P14" i="28"/>
  <c r="P43" i="28"/>
  <c r="P23" i="28"/>
  <c r="P7" i="28"/>
  <c r="P52" i="28"/>
  <c r="P44" i="28"/>
  <c r="P11" i="28"/>
  <c r="P64" i="28"/>
  <c r="P56" i="28"/>
  <c r="P62" i="28"/>
  <c r="O35" i="28"/>
  <c r="O38" i="28"/>
  <c r="O21" i="28"/>
  <c r="O24" i="28"/>
  <c r="O43" i="28"/>
  <c r="O32" i="28"/>
  <c r="O36" i="28"/>
  <c r="O13" i="28"/>
  <c r="O52" i="28"/>
  <c r="O53" i="28"/>
  <c r="O55" i="28"/>
  <c r="O28" i="28"/>
  <c r="O18" i="28"/>
  <c r="O42" i="28"/>
  <c r="O7" i="28"/>
  <c r="O45" i="28"/>
  <c r="O47" i="28"/>
  <c r="O56" i="28"/>
  <c r="O16" i="28"/>
  <c r="O59" i="28"/>
  <c r="O19" i="28"/>
  <c r="O44" i="28"/>
  <c r="O48" i="28"/>
  <c r="O6" i="28"/>
  <c r="O9" i="28"/>
  <c r="O49" i="28"/>
  <c r="O20" i="28"/>
  <c r="O33" i="28"/>
  <c r="O8" i="28"/>
  <c r="O50" i="28"/>
  <c r="P60" i="28"/>
  <c r="P15" i="28"/>
  <c r="P29" i="28"/>
  <c r="P22" i="28"/>
  <c r="P51" i="28"/>
  <c r="P27" i="28"/>
  <c r="P59" i="28"/>
  <c r="P41" i="28"/>
  <c r="P20" i="28"/>
  <c r="P25" i="28"/>
  <c r="K2" i="7"/>
  <c r="AC29" i="28"/>
  <c r="AD29" i="28" s="1"/>
  <c r="AC12" i="28"/>
  <c r="AD12" i="28" s="1"/>
  <c r="AC16" i="28"/>
  <c r="AD16" i="28" s="1"/>
  <c r="E227" i="7"/>
  <c r="E226" i="7"/>
  <c r="E73" i="7"/>
  <c r="E171" i="7"/>
  <c r="E86" i="7"/>
  <c r="E291" i="7"/>
  <c r="E315" i="7"/>
  <c r="E173" i="7"/>
  <c r="E214" i="7"/>
  <c r="E356" i="7"/>
  <c r="E29" i="7"/>
  <c r="E487" i="7"/>
  <c r="E180" i="7"/>
  <c r="E235" i="7"/>
  <c r="E31" i="7"/>
  <c r="E515" i="7"/>
  <c r="E231" i="7"/>
  <c r="E593" i="7"/>
  <c r="E489" i="7"/>
  <c r="E218" i="7"/>
  <c r="E196" i="7"/>
  <c r="E25" i="7"/>
  <c r="E233" i="7"/>
  <c r="E374" i="7"/>
  <c r="E153" i="7"/>
  <c r="E199" i="7"/>
  <c r="E318" i="7"/>
  <c r="E533" i="7"/>
  <c r="E392" i="7"/>
  <c r="E417" i="7"/>
  <c r="E74" i="7"/>
  <c r="E207" i="7"/>
  <c r="E225" i="7"/>
  <c r="E407" i="7"/>
  <c r="E182" i="7"/>
  <c r="E465" i="7"/>
  <c r="E428" i="7"/>
  <c r="E589" i="7"/>
  <c r="E258" i="7"/>
  <c r="E576" i="7"/>
  <c r="E611" i="7"/>
  <c r="E555" i="7"/>
  <c r="E493" i="7"/>
  <c r="E342" i="7"/>
  <c r="E232" i="7"/>
  <c r="E217" i="7"/>
  <c r="E353" i="7"/>
  <c r="E261" i="7"/>
  <c r="E152" i="7"/>
  <c r="E542" i="7"/>
  <c r="E68" i="7"/>
  <c r="E517" i="7"/>
  <c r="F62" i="7"/>
  <c r="F274" i="7"/>
  <c r="F56" i="7"/>
  <c r="F249" i="7"/>
  <c r="F80" i="7"/>
  <c r="F243" i="7"/>
  <c r="F51" i="7"/>
  <c r="F141" i="7"/>
  <c r="F89" i="7"/>
  <c r="F305" i="7"/>
  <c r="F131" i="7"/>
  <c r="F39" i="7"/>
  <c r="F150" i="7"/>
  <c r="F248" i="7"/>
  <c r="F183" i="7"/>
  <c r="F43" i="7"/>
  <c r="F84" i="7"/>
  <c r="F255" i="7"/>
  <c r="F55" i="7"/>
  <c r="F185" i="7"/>
  <c r="F241" i="7"/>
  <c r="F251" i="7"/>
  <c r="F258" i="7"/>
  <c r="F134" i="7"/>
  <c r="F235" i="7"/>
  <c r="F66" i="7"/>
  <c r="F85" i="7"/>
  <c r="F63" i="7"/>
  <c r="F292" i="7"/>
  <c r="F238" i="7"/>
  <c r="F137" i="7"/>
  <c r="F148" i="7"/>
  <c r="F82" i="7"/>
  <c r="F152" i="7"/>
  <c r="F184" i="7"/>
  <c r="F192" i="7"/>
  <c r="F101" i="7"/>
  <c r="F266" i="7"/>
  <c r="F254" i="7"/>
  <c r="F272" i="7"/>
  <c r="F237" i="7"/>
  <c r="F54" i="7"/>
  <c r="F95" i="7"/>
  <c r="F240" i="7"/>
  <c r="F88" i="7"/>
  <c r="F289" i="7"/>
  <c r="F282" i="7"/>
  <c r="F97" i="7"/>
  <c r="F273" i="7"/>
  <c r="F64" i="7"/>
  <c r="F83" i="7"/>
  <c r="F256" i="7"/>
  <c r="F78" i="7"/>
  <c r="F270" i="7"/>
  <c r="F94" i="7"/>
  <c r="F180" i="7"/>
  <c r="F261" i="7"/>
  <c r="F296" i="7"/>
  <c r="F253" i="7"/>
  <c r="F40" i="7"/>
  <c r="F100" i="7"/>
  <c r="F265" i="7"/>
  <c r="F186" i="7"/>
  <c r="F509" i="7"/>
  <c r="F406" i="7"/>
  <c r="F612" i="7"/>
  <c r="F370" i="7"/>
  <c r="F564" i="7"/>
  <c r="F151" i="7"/>
  <c r="F121" i="7"/>
  <c r="F69" i="7"/>
  <c r="F562" i="7"/>
  <c r="F606" i="7"/>
  <c r="F476" i="7"/>
  <c r="F264" i="7"/>
  <c r="F458" i="7"/>
  <c r="F205" i="7"/>
  <c r="F525" i="7"/>
  <c r="F391" i="7"/>
  <c r="F569" i="7"/>
  <c r="F223" i="7"/>
  <c r="F283" i="7"/>
  <c r="F585" i="7"/>
  <c r="F592" i="7"/>
  <c r="F34" i="7"/>
  <c r="F468" i="7"/>
  <c r="F473" i="7"/>
  <c r="F44" i="7"/>
  <c r="F533" i="7"/>
  <c r="F111" i="7"/>
  <c r="F571" i="7"/>
  <c r="F551" i="7"/>
  <c r="F440" i="7"/>
  <c r="F479" i="7"/>
  <c r="F400" i="7"/>
  <c r="F383" i="7"/>
  <c r="F572" i="7"/>
  <c r="F221" i="7"/>
  <c r="F484" i="7"/>
  <c r="F123" i="7"/>
  <c r="F337" i="7"/>
  <c r="F333" i="7"/>
  <c r="F190" i="7"/>
  <c r="F290" i="7"/>
  <c r="F98" i="7"/>
  <c r="F376" i="7"/>
  <c r="F389" i="7"/>
  <c r="F225" i="7"/>
  <c r="F20" i="7"/>
  <c r="F91" i="7"/>
  <c r="F431" i="7"/>
  <c r="F61" i="7"/>
  <c r="F216" i="7"/>
  <c r="F155" i="7"/>
  <c r="F556" i="7"/>
  <c r="F443" i="7"/>
  <c r="F222" i="7"/>
  <c r="F324" i="7"/>
  <c r="F67" i="7"/>
  <c r="F209" i="7"/>
  <c r="F557" i="7"/>
  <c r="F505" i="7"/>
  <c r="F515" i="7"/>
  <c r="F410" i="7"/>
  <c r="F481" i="7"/>
  <c r="F565" i="7"/>
  <c r="F422" i="7"/>
  <c r="F114" i="7"/>
  <c r="F528" i="7"/>
  <c r="F301" i="7"/>
  <c r="F199" i="7"/>
  <c r="F74" i="7"/>
  <c r="F373" i="7"/>
  <c r="F124" i="7"/>
  <c r="F42" i="7"/>
  <c r="F257" i="7"/>
  <c r="F323" i="7"/>
  <c r="F446" i="7"/>
  <c r="F244" i="7"/>
  <c r="F332" i="7"/>
  <c r="F462" i="7"/>
  <c r="F122" i="7"/>
  <c r="F523" i="7"/>
  <c r="F582" i="7"/>
  <c r="F321" i="7"/>
  <c r="F575" i="7"/>
  <c r="F47" i="7"/>
  <c r="F312" i="7"/>
  <c r="F490" i="7"/>
  <c r="F542" i="7"/>
  <c r="F489" i="7"/>
  <c r="F108" i="7"/>
  <c r="F160" i="7"/>
  <c r="F379" i="7"/>
  <c r="F375" i="7"/>
  <c r="F232" i="7"/>
  <c r="F96" i="7"/>
  <c r="F517" i="7"/>
  <c r="F452" i="7"/>
  <c r="F398" i="7"/>
  <c r="F77" i="7"/>
  <c r="F401" i="7"/>
  <c r="F372" i="7"/>
  <c r="F516" i="7"/>
  <c r="F385" i="7"/>
  <c r="F14" i="7"/>
  <c r="F560" i="7"/>
  <c r="F218" i="7"/>
  <c r="F544" i="7"/>
  <c r="F362" i="7"/>
  <c r="F355" i="7"/>
  <c r="F502" i="7"/>
  <c r="F558" i="7"/>
  <c r="F27" i="7"/>
  <c r="F276" i="7"/>
  <c r="F298" i="7"/>
  <c r="F434" i="7"/>
  <c r="F374" i="7"/>
  <c r="F437" i="7"/>
  <c r="F555" i="7"/>
  <c r="F31" i="7"/>
  <c r="F136" i="7"/>
  <c r="F233" i="7"/>
  <c r="F93" i="7"/>
  <c r="F87" i="7"/>
  <c r="F427" i="7"/>
  <c r="F614" i="7"/>
  <c r="F144" i="7"/>
  <c r="F23" i="7"/>
  <c r="F299" i="7"/>
  <c r="F336" i="7"/>
  <c r="F537" i="7"/>
  <c r="F326" i="7"/>
  <c r="F113" i="7"/>
  <c r="F30" i="7"/>
  <c r="F315" i="7"/>
  <c r="F504" i="7"/>
  <c r="F17" i="7"/>
  <c r="F530" i="7"/>
  <c r="F608" i="7"/>
  <c r="F368" i="7"/>
  <c r="F423" i="7"/>
  <c r="F193" i="7"/>
  <c r="F187" i="7"/>
  <c r="F196" i="7"/>
  <c r="F70" i="7"/>
  <c r="F338" i="7"/>
  <c r="F170" i="7"/>
  <c r="F472" i="7"/>
  <c r="F107" i="7"/>
  <c r="F430" i="7"/>
  <c r="F325" i="7"/>
  <c r="F53" i="7"/>
  <c r="F610" i="7"/>
  <c r="F117" i="7"/>
  <c r="F487" i="7"/>
  <c r="F346" i="7"/>
  <c r="F172" i="7"/>
  <c r="F32" i="7"/>
  <c r="F381" i="7"/>
  <c r="F382" i="7"/>
  <c r="F119" i="7"/>
  <c r="F409" i="7"/>
  <c r="F419" i="7"/>
  <c r="F444" i="7"/>
  <c r="F35" i="7"/>
  <c r="F402" i="7"/>
  <c r="F594" i="7"/>
  <c r="F579" i="7"/>
  <c r="F176" i="7"/>
  <c r="F86" i="7"/>
  <c r="F587" i="7"/>
  <c r="F605" i="7"/>
  <c r="F415" i="7"/>
  <c r="F464" i="7"/>
  <c r="F247" i="7"/>
  <c r="F513" i="7"/>
  <c r="F37" i="7"/>
  <c r="F350" i="7"/>
  <c r="F294" i="7"/>
  <c r="F286" i="7"/>
  <c r="F45" i="7"/>
  <c r="F369" i="7"/>
  <c r="F588" i="7"/>
  <c r="F311" i="7"/>
  <c r="F365" i="7"/>
  <c r="F495" i="7"/>
  <c r="F491" i="7"/>
  <c r="F46" i="7"/>
  <c r="F580" i="7"/>
  <c r="F518" i="7"/>
  <c r="F506" i="7"/>
  <c r="F267" i="7"/>
  <c r="F29" i="7"/>
  <c r="F543" i="7"/>
  <c r="F194" i="7"/>
  <c r="F277" i="7"/>
  <c r="F227" i="7"/>
  <c r="F309" i="7"/>
  <c r="F521" i="7"/>
  <c r="F598" i="7"/>
  <c r="F297" i="7"/>
  <c r="F135" i="7"/>
  <c r="F59" i="7"/>
  <c r="F529" i="7"/>
  <c r="F545" i="7"/>
  <c r="F532" i="7"/>
  <c r="F99" i="7"/>
  <c r="F475" i="7"/>
  <c r="F539" i="7"/>
  <c r="F360" i="7"/>
  <c r="F601" i="7"/>
  <c r="F220" i="7"/>
  <c r="F583" i="7"/>
  <c r="F488" i="7"/>
  <c r="F498" i="7"/>
  <c r="F341" i="7"/>
  <c r="F28" i="7"/>
  <c r="F200" i="7"/>
  <c r="F388" i="7"/>
  <c r="F480" i="7"/>
  <c r="F158" i="7"/>
  <c r="F38" i="7"/>
  <c r="F364" i="7"/>
  <c r="F165" i="7"/>
  <c r="F603" i="7"/>
  <c r="F319" i="7"/>
  <c r="F499" i="7"/>
  <c r="F327" i="7"/>
  <c r="F574" i="7"/>
  <c r="F269" i="7"/>
  <c r="F386" i="7"/>
  <c r="F15" i="7"/>
  <c r="F179" i="7"/>
  <c r="F313" i="7"/>
  <c r="F118" i="7"/>
  <c r="F279" i="7"/>
  <c r="F48" i="7"/>
  <c r="F563" i="7"/>
  <c r="F348" i="7"/>
  <c r="F435" i="7"/>
  <c r="F593" i="7"/>
  <c r="F519" i="7"/>
  <c r="F554" i="7"/>
  <c r="F228" i="7"/>
  <c r="F211" i="7"/>
  <c r="F393" i="7"/>
  <c r="F342" i="7"/>
  <c r="F361" i="7"/>
  <c r="F112" i="7"/>
  <c r="F418" i="7"/>
  <c r="F344" i="7"/>
  <c r="F492" i="7"/>
  <c r="F189" i="7"/>
  <c r="F75" i="7"/>
  <c r="F188" i="7"/>
  <c r="F231" i="7"/>
  <c r="F206" i="7"/>
  <c r="F157" i="7"/>
  <c r="F293" i="7"/>
  <c r="F285" i="7"/>
  <c r="F609" i="7"/>
  <c r="F26" i="7"/>
  <c r="F589" i="7"/>
  <c r="F149" i="7"/>
  <c r="F109" i="7"/>
  <c r="F52" i="7"/>
  <c r="F520" i="7"/>
  <c r="F548" i="7"/>
  <c r="F354" i="7"/>
  <c r="F395" i="7"/>
  <c r="F65" i="7"/>
  <c r="F302" i="7"/>
  <c r="F459" i="7"/>
  <c r="F147" i="7"/>
  <c r="F486" i="7"/>
  <c r="F79" i="7"/>
  <c r="F426" i="7"/>
  <c r="F236" i="7"/>
  <c r="F191" i="7"/>
  <c r="F349" i="7"/>
  <c r="F90" i="7"/>
  <c r="F352" i="7"/>
  <c r="F414" i="7"/>
  <c r="F60" i="7"/>
  <c r="F485" i="7"/>
  <c r="F335" i="7"/>
  <c r="F116" i="7"/>
  <c r="F103" i="7"/>
  <c r="F310" i="7"/>
  <c r="F353" i="7"/>
  <c r="F478" i="7"/>
  <c r="F581" i="7"/>
  <c r="F413" i="7"/>
  <c r="F197" i="7"/>
  <c r="F195" i="7"/>
  <c r="F210" i="7"/>
  <c r="F92" i="7"/>
  <c r="F202" i="7"/>
  <c r="F291" i="7"/>
  <c r="F304" i="7"/>
  <c r="F24" i="7"/>
  <c r="F306" i="7"/>
  <c r="F377" i="7"/>
  <c r="F442" i="7"/>
  <c r="F49" i="7"/>
  <c r="F471" i="7"/>
  <c r="F288" i="7"/>
  <c r="F334" i="7"/>
  <c r="F128" i="7"/>
  <c r="F57" i="7"/>
  <c r="F403" i="7"/>
  <c r="F432" i="7"/>
  <c r="F590" i="7"/>
  <c r="F607" i="7"/>
  <c r="F595" i="7"/>
  <c r="F246" i="7"/>
  <c r="F169" i="7"/>
  <c r="F214" i="7"/>
  <c r="F392" i="7"/>
  <c r="F102" i="7"/>
  <c r="F207" i="7"/>
  <c r="F280" i="7"/>
  <c r="F143" i="7"/>
  <c r="F591" i="7"/>
  <c r="F166" i="7"/>
  <c r="F497" i="7"/>
  <c r="F616" i="7"/>
  <c r="F316" i="7"/>
  <c r="F262" i="7"/>
  <c r="F358" i="7"/>
  <c r="F425" i="7"/>
  <c r="F429" i="7"/>
  <c r="F456" i="7"/>
  <c r="F260" i="7"/>
  <c r="F314" i="7"/>
  <c r="F263" i="7"/>
  <c r="F416" i="7"/>
  <c r="F387" i="7"/>
  <c r="F203" i="7"/>
  <c r="F345" i="7"/>
  <c r="F250" i="7"/>
  <c r="F453" i="7"/>
  <c r="F439" i="7"/>
  <c r="F540" i="7"/>
  <c r="F19" i="7"/>
  <c r="F58" i="7"/>
  <c r="F50" i="7"/>
  <c r="F178" i="7"/>
  <c r="F578" i="7"/>
  <c r="F405" i="7"/>
  <c r="F81" i="7"/>
  <c r="F483" i="7"/>
  <c r="F508" i="7"/>
  <c r="F357" i="7"/>
  <c r="F13" i="7"/>
  <c r="F229" i="7"/>
  <c r="F445" i="7"/>
  <c r="F330" i="7"/>
  <c r="F399" i="7"/>
  <c r="F281" i="7"/>
  <c r="F500" i="7"/>
  <c r="F378" i="7"/>
  <c r="F22" i="7"/>
  <c r="F142" i="7"/>
  <c r="F411" i="7"/>
  <c r="F245" i="7"/>
  <c r="F127" i="7"/>
  <c r="F328" i="7"/>
  <c r="F33" i="7"/>
  <c r="F599" i="7"/>
  <c r="F219" i="7"/>
  <c r="F408" i="7"/>
  <c r="F586" i="7"/>
  <c r="F106" i="7"/>
  <c r="F224" i="7"/>
  <c r="F226" i="7"/>
  <c r="F201" i="7"/>
  <c r="F566" i="7"/>
  <c r="F239" i="7"/>
  <c r="F371" i="7"/>
  <c r="F380" i="7"/>
  <c r="F531" i="7"/>
  <c r="F407" i="7"/>
  <c r="F295" i="7"/>
  <c r="F420" i="7"/>
  <c r="F549" i="7"/>
  <c r="F129" i="7"/>
  <c r="F514" i="7"/>
  <c r="F573" i="7"/>
  <c r="F153" i="7"/>
  <c r="F501" i="7"/>
  <c r="F552" i="7"/>
  <c r="F356" i="7"/>
  <c r="F234" i="7"/>
  <c r="F436" i="7"/>
  <c r="F359" i="7"/>
  <c r="F494" i="7"/>
  <c r="F465" i="7"/>
  <c r="F536" i="7"/>
  <c r="F322" i="7"/>
  <c r="F511" i="7"/>
  <c r="F474" i="7"/>
  <c r="F477" i="7"/>
  <c r="F417" i="7"/>
  <c r="F204" i="7"/>
  <c r="F329" i="7"/>
  <c r="F363" i="7"/>
  <c r="F307" i="7"/>
  <c r="F351" i="7"/>
  <c r="F154" i="7"/>
  <c r="F120" i="7"/>
  <c r="F41" i="7"/>
  <c r="F145" i="7"/>
  <c r="F130" i="7"/>
  <c r="F390" i="7"/>
  <c r="F208" i="7"/>
  <c r="F167" i="7"/>
  <c r="F615" i="7"/>
  <c r="F613" i="7"/>
  <c r="F163" i="7"/>
  <c r="F527" i="7"/>
  <c r="F597" i="7"/>
  <c r="F278" i="7"/>
  <c r="F164" i="7"/>
  <c r="F404" i="7"/>
  <c r="F534" i="7"/>
  <c r="F396" i="7"/>
  <c r="F21" i="7"/>
  <c r="F451" i="7"/>
  <c r="F271" i="7"/>
  <c r="F424" i="7"/>
  <c r="F448" i="7"/>
  <c r="F461" i="7"/>
  <c r="F567" i="7"/>
  <c r="F561" i="7"/>
  <c r="F16" i="7"/>
  <c r="F242" i="7"/>
  <c r="F553" i="7"/>
  <c r="F18" i="7"/>
  <c r="F367" i="7"/>
  <c r="F161" i="7"/>
  <c r="F317" i="7"/>
  <c r="F460" i="7"/>
  <c r="F526" i="7"/>
  <c r="F463" i="7"/>
  <c r="F600" i="7"/>
  <c r="F182" i="7"/>
  <c r="F275" i="7"/>
  <c r="F36" i="7"/>
  <c r="F156" i="7"/>
  <c r="F602" i="7"/>
  <c r="F524" i="7"/>
  <c r="F177" i="7"/>
  <c r="F73" i="7"/>
  <c r="F104" i="7"/>
  <c r="F318" i="7"/>
  <c r="F173" i="7"/>
  <c r="F138" i="7"/>
  <c r="F181" i="7"/>
  <c r="F438" i="7"/>
  <c r="F470" i="7"/>
  <c r="F159" i="7"/>
  <c r="F503" i="7"/>
  <c r="F454" i="7"/>
  <c r="F467" i="7"/>
  <c r="F546" i="7"/>
  <c r="F300" i="7"/>
  <c r="F449" i="7"/>
  <c r="F115" i="7"/>
  <c r="F466" i="7"/>
  <c r="F308" i="7"/>
  <c r="F105" i="7"/>
  <c r="F538" i="7"/>
  <c r="F596" i="7"/>
  <c r="F421" i="7"/>
  <c r="F496" i="7"/>
  <c r="F198" i="7"/>
  <c r="F343" i="7"/>
  <c r="F339" i="7"/>
  <c r="F340" i="7"/>
  <c r="F171" i="7"/>
  <c r="F577" i="7"/>
  <c r="F576" i="7"/>
  <c r="F412" i="7"/>
  <c r="F611" i="7"/>
  <c r="F570" i="7"/>
  <c r="F162" i="7"/>
  <c r="F450" i="7"/>
  <c r="F384" i="7"/>
  <c r="F559" i="7"/>
  <c r="F428" i="7"/>
  <c r="F482" i="7"/>
  <c r="F441" i="7"/>
  <c r="F550" i="7"/>
  <c r="F347" i="7"/>
  <c r="F303" i="7"/>
  <c r="F541" i="7"/>
  <c r="F394" i="7"/>
  <c r="F174" i="7"/>
  <c r="F139" i="7"/>
  <c r="F68" i="7"/>
  <c r="F547" i="7"/>
  <c r="F535" i="7"/>
  <c r="F125" i="7"/>
  <c r="F72" i="7"/>
  <c r="F469" i="7"/>
  <c r="F168" i="7"/>
  <c r="F212" i="7"/>
  <c r="F25" i="7"/>
  <c r="F512" i="7"/>
  <c r="F71" i="7"/>
  <c r="F457" i="7"/>
  <c r="F522" i="7"/>
  <c r="F252" i="7"/>
  <c r="F175" i="7"/>
  <c r="F213" i="7"/>
  <c r="F132" i="7"/>
  <c r="F331" i="7"/>
  <c r="F217" i="7"/>
  <c r="F604" i="7"/>
  <c r="F320" i="7"/>
  <c r="F140" i="7"/>
  <c r="F126" i="7"/>
  <c r="F287" i="7"/>
  <c r="F268" i="7"/>
  <c r="F433" i="7"/>
  <c r="F76" i="7"/>
  <c r="F366" i="7"/>
  <c r="F259" i="7"/>
  <c r="F215" i="7"/>
  <c r="F447" i="7"/>
  <c r="F584" i="7"/>
  <c r="F110" i="7"/>
  <c r="F133" i="7"/>
  <c r="F397" i="7"/>
  <c r="F510" i="7"/>
  <c r="F230" i="7"/>
  <c r="F455" i="7"/>
  <c r="F146" i="7"/>
  <c r="F493" i="7"/>
  <c r="F568" i="7"/>
  <c r="F507" i="7"/>
  <c r="AB56" i="28" l="1"/>
  <c r="AB27" i="28"/>
  <c r="A2" i="7"/>
  <c r="U66" i="2" s="1"/>
  <c r="AB53" i="28"/>
  <c r="AB19" i="28"/>
  <c r="AC7" i="28"/>
  <c r="AD7" i="28" s="1"/>
  <c r="AB45" i="28"/>
  <c r="AB46" i="28"/>
  <c r="AB23" i="28"/>
  <c r="AB60" i="28"/>
  <c r="AB37" i="28"/>
  <c r="AB61" i="28"/>
  <c r="AB39" i="28"/>
  <c r="AB44" i="28"/>
  <c r="AB11" i="28"/>
  <c r="AB49" i="28"/>
  <c r="AB62" i="28"/>
  <c r="AB64" i="28"/>
  <c r="AB58" i="28"/>
  <c r="AB63" i="28"/>
  <c r="AB50" i="28"/>
  <c r="AB47" i="28"/>
  <c r="AC44" i="28"/>
  <c r="AD44" i="28" s="1"/>
  <c r="AC11" i="28"/>
  <c r="AD11" i="28" s="1"/>
  <c r="AB55" i="28"/>
  <c r="AB14" i="28"/>
  <c r="AB57" i="28"/>
  <c r="AB18" i="28"/>
  <c r="AB48" i="28"/>
  <c r="AB54" i="28"/>
  <c r="AB43" i="28"/>
  <c r="AB59" i="28"/>
  <c r="AB16" i="28"/>
  <c r="AB8" i="28"/>
  <c r="AB6" i="28"/>
  <c r="AB13" i="28"/>
  <c r="AB40" i="28"/>
  <c r="AB25" i="28"/>
  <c r="AB26" i="28"/>
  <c r="AB36" i="28"/>
  <c r="AB31" i="28"/>
  <c r="AB17" i="28"/>
  <c r="AB35" i="28"/>
  <c r="AB52" i="28"/>
  <c r="AB22" i="28"/>
  <c r="AB41" i="28"/>
  <c r="AB7" i="28"/>
  <c r="AB33" i="28"/>
  <c r="AB10" i="28"/>
  <c r="AB24" i="28"/>
  <c r="AB15" i="28"/>
  <c r="AB32" i="28"/>
  <c r="AB12" i="28"/>
  <c r="AB20" i="28"/>
  <c r="AB28" i="28"/>
  <c r="AB29" i="28"/>
  <c r="AB42" i="28"/>
  <c r="AB30" i="28"/>
  <c r="AB34" i="28"/>
  <c r="AB21" i="28"/>
  <c r="AB38" i="28"/>
  <c r="AB51" i="28"/>
  <c r="AB9" i="28"/>
  <c r="AB5" i="28"/>
  <c r="I453" i="7" l="1"/>
  <c r="L453" i="7" s="1"/>
  <c r="I241" i="7"/>
  <c r="L241" i="7" s="1"/>
  <c r="I24" i="7"/>
  <c r="L24" i="7" s="1"/>
  <c r="I576" i="7"/>
  <c r="L576" i="7" s="1"/>
  <c r="I106" i="7"/>
  <c r="L106" i="7" s="1"/>
  <c r="I536" i="7"/>
  <c r="L536" i="7" s="1"/>
  <c r="I500" i="7"/>
  <c r="L500" i="7" s="1"/>
  <c r="I81" i="7"/>
  <c r="L81" i="7" s="1"/>
  <c r="I182" i="7"/>
  <c r="L182" i="7" s="1"/>
  <c r="I534" i="7"/>
  <c r="L534" i="7" s="1"/>
  <c r="I192" i="7"/>
  <c r="L192" i="7" s="1"/>
  <c r="U87" i="5"/>
  <c r="U28" i="5"/>
  <c r="U92" i="3"/>
  <c r="U78" i="3"/>
  <c r="U79" i="5"/>
  <c r="U9" i="3"/>
  <c r="U89" i="3"/>
  <c r="U41" i="4"/>
  <c r="I244" i="7"/>
  <c r="L244" i="7" s="1"/>
  <c r="I227" i="7"/>
  <c r="L227" i="7" s="1"/>
  <c r="I41" i="7"/>
  <c r="L41" i="7" s="1"/>
  <c r="I108" i="7"/>
  <c r="L108" i="7" s="1"/>
  <c r="U112" i="3"/>
  <c r="U30" i="5"/>
  <c r="U177" i="4"/>
  <c r="I380" i="7"/>
  <c r="L380" i="7" s="1"/>
  <c r="I559" i="7"/>
  <c r="L559" i="7" s="1"/>
  <c r="I164" i="7"/>
  <c r="L164" i="7" s="1"/>
  <c r="I392" i="7"/>
  <c r="L392" i="7" s="1"/>
  <c r="I290" i="7"/>
  <c r="L290" i="7" s="1"/>
  <c r="I130" i="7"/>
  <c r="L130" i="7" s="1"/>
  <c r="I254" i="7"/>
  <c r="L254" i="7" s="1"/>
  <c r="I430" i="7"/>
  <c r="L430" i="7" s="1"/>
  <c r="I54" i="7"/>
  <c r="L54" i="7" s="1"/>
  <c r="I137" i="7"/>
  <c r="L137" i="7" s="1"/>
  <c r="I33" i="7"/>
  <c r="L33" i="7" s="1"/>
  <c r="I589" i="7"/>
  <c r="L589" i="7" s="1"/>
  <c r="I174" i="7"/>
  <c r="L174" i="7" s="1"/>
  <c r="I399" i="7"/>
  <c r="L399" i="7" s="1"/>
  <c r="I574" i="7"/>
  <c r="L574" i="7" s="1"/>
  <c r="I398" i="7"/>
  <c r="L398" i="7" s="1"/>
  <c r="I103" i="7"/>
  <c r="L103" i="7" s="1"/>
  <c r="I266" i="7"/>
  <c r="L266" i="7" s="1"/>
  <c r="I135" i="7"/>
  <c r="L135" i="7" s="1"/>
  <c r="I444" i="7"/>
  <c r="L444" i="7" s="1"/>
  <c r="I357" i="7"/>
  <c r="L357" i="7" s="1"/>
  <c r="I260" i="7"/>
  <c r="L260" i="7" s="1"/>
  <c r="U70" i="2"/>
  <c r="U26" i="5"/>
  <c r="U106" i="5"/>
  <c r="U109" i="3"/>
  <c r="U128" i="5"/>
  <c r="U119" i="5"/>
  <c r="U46" i="3"/>
  <c r="U10" i="3"/>
  <c r="U7" i="4"/>
  <c r="I338" i="7"/>
  <c r="L338" i="7" s="1"/>
  <c r="I210" i="7"/>
  <c r="L210" i="7" s="1"/>
  <c r="I509" i="7"/>
  <c r="L509" i="7" s="1"/>
  <c r="U8" i="5"/>
  <c r="U102" i="5"/>
  <c r="U200" i="4"/>
  <c r="I531" i="7"/>
  <c r="L531" i="7" s="1"/>
  <c r="I220" i="7"/>
  <c r="L220" i="7" s="1"/>
  <c r="I293" i="7"/>
  <c r="L293" i="7" s="1"/>
  <c r="I591" i="7"/>
  <c r="L591" i="7" s="1"/>
  <c r="I578" i="7"/>
  <c r="L578" i="7" s="1"/>
  <c r="I434" i="7"/>
  <c r="L434" i="7" s="1"/>
  <c r="I384" i="7"/>
  <c r="L384" i="7" s="1"/>
  <c r="I330" i="7"/>
  <c r="L330" i="7" s="1"/>
  <c r="I603" i="7"/>
  <c r="L603" i="7" s="1"/>
  <c r="I217" i="7"/>
  <c r="L217" i="7" s="1"/>
  <c r="U31" i="5"/>
  <c r="U157" i="4"/>
  <c r="U79" i="3"/>
  <c r="U42" i="2"/>
  <c r="U173" i="4"/>
  <c r="U4" i="4"/>
  <c r="U86" i="4"/>
  <c r="I507" i="7"/>
  <c r="L507" i="7" s="1"/>
  <c r="I194" i="7"/>
  <c r="L194" i="7" s="1"/>
  <c r="I53" i="7"/>
  <c r="L53" i="7" s="1"/>
  <c r="I315" i="7"/>
  <c r="L315" i="7" s="1"/>
  <c r="I371" i="7"/>
  <c r="L371" i="7" s="1"/>
  <c r="I437" i="7"/>
  <c r="L437" i="7" s="1"/>
  <c r="I94" i="7"/>
  <c r="L94" i="7" s="1"/>
  <c r="I269" i="7"/>
  <c r="L269" i="7" s="1"/>
  <c r="I327" i="7"/>
  <c r="L327" i="7" s="1"/>
  <c r="I454" i="7"/>
  <c r="L454" i="7" s="1"/>
  <c r="I407" i="7"/>
  <c r="L407" i="7" s="1"/>
  <c r="I556" i="7"/>
  <c r="L556" i="7" s="1"/>
  <c r="I550" i="7"/>
  <c r="L550" i="7" s="1"/>
  <c r="I286" i="7"/>
  <c r="L286" i="7" s="1"/>
  <c r="I96" i="7"/>
  <c r="L96" i="7" s="1"/>
  <c r="I382" i="7"/>
  <c r="L382" i="7" s="1"/>
  <c r="I67" i="7"/>
  <c r="L67" i="7" s="1"/>
  <c r="I17" i="7"/>
  <c r="L17" i="7" s="1"/>
  <c r="I79" i="7"/>
  <c r="L79" i="7" s="1"/>
  <c r="I124" i="7"/>
  <c r="L124" i="7" s="1"/>
  <c r="I105" i="7"/>
  <c r="L105" i="7" s="1"/>
  <c r="I312" i="7"/>
  <c r="L312" i="7" s="1"/>
  <c r="U73" i="2"/>
  <c r="U115" i="5"/>
  <c r="U73" i="5"/>
  <c r="U10" i="5"/>
  <c r="U56" i="3"/>
  <c r="U24" i="3"/>
  <c r="U111" i="3"/>
  <c r="U105" i="5"/>
  <c r="U22" i="5"/>
  <c r="U101" i="5"/>
  <c r="U99" i="5"/>
  <c r="U26" i="3"/>
  <c r="U53" i="3"/>
  <c r="U114" i="3"/>
  <c r="U53" i="5"/>
  <c r="U44" i="4"/>
  <c r="U52" i="4"/>
  <c r="I226" i="7"/>
  <c r="L226" i="7" s="1"/>
  <c r="I334" i="7"/>
  <c r="L334" i="7" s="1"/>
  <c r="I487" i="7"/>
  <c r="L487" i="7" s="1"/>
  <c r="I390" i="7"/>
  <c r="L390" i="7" s="1"/>
  <c r="I183" i="7"/>
  <c r="L183" i="7" s="1"/>
  <c r="I389" i="7"/>
  <c r="L389" i="7" s="1"/>
  <c r="U49" i="2"/>
  <c r="U11" i="3"/>
  <c r="U6" i="5"/>
  <c r="U25" i="3"/>
  <c r="U136" i="5"/>
  <c r="U138" i="4"/>
  <c r="I113" i="7"/>
  <c r="L113" i="7" s="1"/>
  <c r="I573" i="7"/>
  <c r="L573" i="7" s="1"/>
  <c r="I179" i="7"/>
  <c r="L179" i="7" s="1"/>
  <c r="I561" i="7"/>
  <c r="L561" i="7" s="1"/>
  <c r="I429" i="7"/>
  <c r="L429" i="7" s="1"/>
  <c r="I564" i="7"/>
  <c r="L564" i="7" s="1"/>
  <c r="I477" i="7"/>
  <c r="L477" i="7" s="1"/>
  <c r="I259" i="7"/>
  <c r="L259" i="7" s="1"/>
  <c r="I596" i="7"/>
  <c r="L596" i="7" s="1"/>
  <c r="I608" i="7"/>
  <c r="L608" i="7" s="1"/>
  <c r="I396" i="7"/>
  <c r="L396" i="7" s="1"/>
  <c r="I66" i="7"/>
  <c r="L66" i="7" s="1"/>
  <c r="I57" i="7"/>
  <c r="L57" i="7" s="1"/>
  <c r="I230" i="7"/>
  <c r="L230" i="7" s="1"/>
  <c r="I14" i="7"/>
  <c r="L14" i="7" s="1"/>
  <c r="I377" i="7"/>
  <c r="L377" i="7" s="1"/>
  <c r="I508" i="7"/>
  <c r="L508" i="7" s="1"/>
  <c r="I188" i="7"/>
  <c r="L188" i="7" s="1"/>
  <c r="I272" i="7"/>
  <c r="L272" i="7" s="1"/>
  <c r="I512" i="7"/>
  <c r="L512" i="7" s="1"/>
  <c r="U117" i="4"/>
  <c r="I36" i="7"/>
  <c r="L36" i="7" s="1"/>
  <c r="U33" i="3"/>
  <c r="I506" i="7"/>
  <c r="L506" i="7" s="1"/>
  <c r="I413" i="7"/>
  <c r="L413" i="7" s="1"/>
  <c r="U112" i="4"/>
  <c r="U87" i="3"/>
  <c r="U60" i="2"/>
  <c r="U98" i="5"/>
  <c r="U39" i="4"/>
  <c r="U190" i="4"/>
  <c r="U144" i="4"/>
  <c r="U13" i="2"/>
  <c r="I98" i="7"/>
  <c r="L98" i="7" s="1"/>
  <c r="I428" i="7"/>
  <c r="L428" i="7" s="1"/>
  <c r="I39" i="7"/>
  <c r="L39" i="7" s="1"/>
  <c r="I522" i="7"/>
  <c r="L522" i="7" s="1"/>
  <c r="I451" i="7"/>
  <c r="L451" i="7" s="1"/>
  <c r="I146" i="7"/>
  <c r="L146" i="7" s="1"/>
  <c r="I326" i="7"/>
  <c r="L326" i="7" s="1"/>
  <c r="I133" i="7"/>
  <c r="L133" i="7" s="1"/>
  <c r="I99" i="7"/>
  <c r="L99" i="7" s="1"/>
  <c r="I469" i="7"/>
  <c r="L469" i="7" s="1"/>
  <c r="I25" i="7"/>
  <c r="L25" i="7" s="1"/>
  <c r="I298" i="7"/>
  <c r="L298" i="7" s="1"/>
  <c r="U58" i="2"/>
  <c r="U124" i="5"/>
  <c r="U56" i="5"/>
  <c r="U85" i="3"/>
  <c r="U54" i="3"/>
  <c r="U72" i="5"/>
  <c r="U76" i="3"/>
  <c r="U64" i="3"/>
  <c r="U40" i="5"/>
  <c r="U31" i="4"/>
  <c r="U188" i="4"/>
  <c r="U205" i="4"/>
  <c r="U15" i="2"/>
  <c r="I80" i="7"/>
  <c r="L80" i="7" s="1"/>
  <c r="I148" i="7"/>
  <c r="L148" i="7" s="1"/>
  <c r="I485" i="7"/>
  <c r="L485" i="7" s="1"/>
  <c r="I52" i="7"/>
  <c r="L52" i="7" s="1"/>
  <c r="I412" i="7"/>
  <c r="L412" i="7" s="1"/>
  <c r="I579" i="7"/>
  <c r="L579" i="7" s="1"/>
  <c r="I131" i="7"/>
  <c r="L131" i="7" s="1"/>
  <c r="I452" i="7"/>
  <c r="L452" i="7" s="1"/>
  <c r="I436" i="7"/>
  <c r="L436" i="7" s="1"/>
  <c r="I151" i="7"/>
  <c r="L151" i="7" s="1"/>
  <c r="I337" i="7"/>
  <c r="L337" i="7" s="1"/>
  <c r="I583" i="7"/>
  <c r="L583" i="7" s="1"/>
  <c r="I514" i="7"/>
  <c r="L514" i="7" s="1"/>
  <c r="I287" i="7"/>
  <c r="L287" i="7" s="1"/>
  <c r="I218" i="7"/>
  <c r="L218" i="7" s="1"/>
  <c r="I169" i="7"/>
  <c r="L169" i="7" s="1"/>
  <c r="I372" i="7"/>
  <c r="L372" i="7" s="1"/>
  <c r="I350" i="7"/>
  <c r="L350" i="7" s="1"/>
  <c r="I343" i="7"/>
  <c r="L343" i="7" s="1"/>
  <c r="I533" i="7"/>
  <c r="L533" i="7" s="1"/>
  <c r="I493" i="7"/>
  <c r="L493" i="7" s="1"/>
  <c r="I186" i="7"/>
  <c r="L186" i="7" s="1"/>
  <c r="I464" i="7"/>
  <c r="L464" i="7" s="1"/>
  <c r="I489" i="7"/>
  <c r="L489" i="7" s="1"/>
  <c r="I64" i="7"/>
  <c r="L64" i="7" s="1"/>
  <c r="I616" i="7"/>
  <c r="L616" i="7" s="1"/>
  <c r="I152" i="7"/>
  <c r="L152" i="7" s="1"/>
  <c r="I567" i="7"/>
  <c r="L567" i="7" s="1"/>
  <c r="I139" i="7"/>
  <c r="L139" i="7" s="1"/>
  <c r="I580" i="7"/>
  <c r="L580" i="7" s="1"/>
  <c r="I411" i="7"/>
  <c r="L411" i="7" s="1"/>
  <c r="I126" i="7"/>
  <c r="L126" i="7" s="1"/>
  <c r="I494" i="7"/>
  <c r="L494" i="7" s="1"/>
  <c r="I511" i="7"/>
  <c r="L511" i="7" s="1"/>
  <c r="I271" i="7"/>
  <c r="L271" i="7" s="1"/>
  <c r="I253" i="7"/>
  <c r="L253" i="7" s="1"/>
  <c r="I159" i="7"/>
  <c r="L159" i="7" s="1"/>
  <c r="I283" i="7"/>
  <c r="L283" i="7" s="1"/>
  <c r="I439" i="7"/>
  <c r="L439" i="7" s="1"/>
  <c r="U72" i="3"/>
  <c r="U139" i="5"/>
  <c r="U150" i="4"/>
  <c r="I149" i="7"/>
  <c r="L149" i="7" s="1"/>
  <c r="I173" i="7"/>
  <c r="L173" i="7" s="1"/>
  <c r="U14" i="3"/>
  <c r="U7" i="2"/>
  <c r="I136" i="7"/>
  <c r="L136" i="7" s="1"/>
  <c r="U3" i="2"/>
  <c r="I187" i="7"/>
  <c r="L187" i="7" s="1"/>
  <c r="I472" i="7"/>
  <c r="L472" i="7" s="1"/>
  <c r="U151" i="4"/>
  <c r="U15" i="3"/>
  <c r="U40" i="4"/>
  <c r="U147" i="4"/>
  <c r="U78" i="4"/>
  <c r="U96" i="4"/>
  <c r="U113" i="4"/>
  <c r="U19" i="4"/>
  <c r="U81" i="2"/>
  <c r="U79" i="4"/>
  <c r="U21" i="4"/>
  <c r="U62" i="4"/>
  <c r="U66" i="4"/>
  <c r="U4" i="2"/>
  <c r="U42" i="4"/>
  <c r="U35" i="4"/>
  <c r="U87" i="4"/>
  <c r="U182" i="4"/>
  <c r="U20" i="4"/>
  <c r="U197" i="4"/>
  <c r="U97" i="4"/>
  <c r="U5" i="2"/>
  <c r="U14" i="2"/>
  <c r="U63" i="2"/>
  <c r="U76" i="2"/>
  <c r="U33" i="4"/>
  <c r="U57" i="4"/>
  <c r="U77" i="5"/>
  <c r="U181" i="4"/>
  <c r="U50" i="4"/>
  <c r="U16" i="5"/>
  <c r="U61" i="3"/>
  <c r="U213" i="4"/>
  <c r="U167" i="4"/>
  <c r="U132" i="4"/>
  <c r="U51" i="4"/>
  <c r="U122" i="4"/>
  <c r="U109" i="4"/>
  <c r="U93" i="5"/>
  <c r="U28" i="3"/>
  <c r="U67" i="3"/>
  <c r="U19" i="5"/>
  <c r="U68" i="3"/>
  <c r="U35" i="3"/>
  <c r="U112" i="5"/>
  <c r="U140" i="4"/>
  <c r="U76" i="4"/>
  <c r="U59" i="4"/>
  <c r="U90" i="5"/>
  <c r="U107" i="5"/>
  <c r="U69" i="5"/>
  <c r="U65" i="3"/>
  <c r="U113" i="3"/>
  <c r="U47" i="3"/>
  <c r="U3" i="3"/>
  <c r="U54" i="5"/>
  <c r="U71" i="5"/>
  <c r="U110" i="5"/>
  <c r="U57" i="3"/>
  <c r="U102" i="3"/>
  <c r="U37" i="3"/>
  <c r="U60" i="5"/>
  <c r="U35" i="5"/>
  <c r="U114" i="4"/>
  <c r="U12" i="4"/>
  <c r="U175" i="4"/>
  <c r="U204" i="4"/>
  <c r="U161" i="4"/>
  <c r="U45" i="4"/>
  <c r="U72" i="2"/>
  <c r="U74" i="3"/>
  <c r="U6" i="3"/>
  <c r="U61" i="5"/>
  <c r="U121" i="5"/>
  <c r="U3" i="5"/>
  <c r="U162" i="4"/>
  <c r="U137" i="4"/>
  <c r="U192" i="4"/>
  <c r="U186" i="4"/>
  <c r="U26" i="4"/>
  <c r="U82" i="4"/>
  <c r="U10" i="4"/>
  <c r="U196" i="4"/>
  <c r="U133" i="4"/>
  <c r="U128" i="4"/>
  <c r="U189" i="4"/>
  <c r="U92" i="4"/>
  <c r="U47" i="4"/>
  <c r="U6" i="4"/>
  <c r="U31" i="2"/>
  <c r="U17" i="2"/>
  <c r="U23" i="2"/>
  <c r="U9" i="4"/>
  <c r="U199" i="4"/>
  <c r="U32" i="2"/>
  <c r="U123" i="4"/>
  <c r="U136" i="4"/>
  <c r="U180" i="4"/>
  <c r="U22" i="2"/>
  <c r="U33" i="2"/>
  <c r="U71" i="3"/>
  <c r="U130" i="5"/>
  <c r="U141" i="4"/>
  <c r="U11" i="5"/>
  <c r="U183" i="4"/>
  <c r="U185" i="4"/>
  <c r="U108" i="5"/>
  <c r="U96" i="3"/>
  <c r="U81" i="5"/>
  <c r="U129" i="5"/>
  <c r="U212" i="4"/>
  <c r="U10" i="2"/>
  <c r="U85" i="5"/>
  <c r="U99" i="3"/>
  <c r="U36" i="3"/>
  <c r="U46" i="5"/>
  <c r="U60" i="3"/>
  <c r="U115" i="3"/>
  <c r="U82" i="5"/>
  <c r="U46" i="4"/>
  <c r="U163" i="4"/>
  <c r="U89" i="4"/>
  <c r="U48" i="2"/>
  <c r="U84" i="5"/>
  <c r="U120" i="5"/>
  <c r="U104" i="4"/>
  <c r="U159" i="4"/>
  <c r="U15" i="4"/>
  <c r="U16" i="4"/>
  <c r="U8" i="4"/>
  <c r="U120" i="4"/>
  <c r="U134" i="4"/>
  <c r="U24" i="2"/>
  <c r="U193" i="4"/>
  <c r="I325" i="7"/>
  <c r="L325" i="7" s="1"/>
  <c r="U25" i="2"/>
  <c r="U39" i="2"/>
  <c r="U51" i="2"/>
  <c r="U47" i="2"/>
  <c r="U13" i="3"/>
  <c r="I288" i="7"/>
  <c r="L288" i="7" s="1"/>
  <c r="I125" i="7"/>
  <c r="L125" i="7" s="1"/>
  <c r="U63" i="4"/>
  <c r="U14" i="5"/>
  <c r="U20" i="3"/>
  <c r="I379" i="7"/>
  <c r="L379" i="7" s="1"/>
  <c r="I123" i="7"/>
  <c r="L123" i="7" s="1"/>
  <c r="I191" i="7"/>
  <c r="L191" i="7" s="1"/>
  <c r="I295" i="7"/>
  <c r="L295" i="7" s="1"/>
  <c r="U37" i="2"/>
  <c r="U61" i="2"/>
  <c r="U45" i="2"/>
  <c r="U85" i="4"/>
  <c r="U86" i="3"/>
  <c r="U113" i="5"/>
  <c r="U106" i="4"/>
  <c r="U127" i="5"/>
  <c r="I482" i="7"/>
  <c r="L482" i="7" s="1"/>
  <c r="I363" i="7"/>
  <c r="L363" i="7" s="1"/>
  <c r="I405" i="7"/>
  <c r="L405" i="7" s="1"/>
  <c r="I316" i="7"/>
  <c r="L316" i="7" s="1"/>
  <c r="I40" i="7"/>
  <c r="L40" i="7" s="1"/>
  <c r="I282" i="7"/>
  <c r="L282" i="7" s="1"/>
  <c r="I235" i="7"/>
  <c r="L235" i="7" s="1"/>
  <c r="I364" i="7"/>
  <c r="L364" i="7" s="1"/>
  <c r="U41" i="2"/>
  <c r="U30" i="2"/>
  <c r="U11" i="2"/>
  <c r="U38" i="2"/>
  <c r="U25" i="4"/>
  <c r="U90" i="4"/>
  <c r="U33" i="5"/>
  <c r="U107" i="3"/>
  <c r="U37" i="5"/>
  <c r="U41" i="3"/>
  <c r="U65" i="5"/>
  <c r="U13" i="4"/>
  <c r="U103" i="3"/>
  <c r="U47" i="5"/>
  <c r="U62" i="3"/>
  <c r="I607" i="7"/>
  <c r="L607" i="7" s="1"/>
  <c r="I609" i="7"/>
  <c r="L609" i="7" s="1"/>
  <c r="I219" i="7"/>
  <c r="L219" i="7" s="1"/>
  <c r="I584" i="7"/>
  <c r="L584" i="7" s="1"/>
  <c r="I329" i="7"/>
  <c r="L329" i="7" s="1"/>
  <c r="I358" i="7"/>
  <c r="L358" i="7" s="1"/>
  <c r="I51" i="7"/>
  <c r="L51" i="7" s="1"/>
  <c r="I455" i="7"/>
  <c r="L455" i="7" s="1"/>
  <c r="I582" i="7"/>
  <c r="L582" i="7" s="1"/>
  <c r="I225" i="7"/>
  <c r="L225" i="7" s="1"/>
  <c r="I373" i="7"/>
  <c r="L373" i="7" s="1"/>
  <c r="I274" i="7"/>
  <c r="L274" i="7" s="1"/>
  <c r="I76" i="7"/>
  <c r="L76" i="7" s="1"/>
  <c r="I391" i="7"/>
  <c r="L391" i="7" s="1"/>
  <c r="I551" i="7"/>
  <c r="L551" i="7" s="1"/>
  <c r="U160" i="4"/>
  <c r="U84" i="4"/>
  <c r="U77" i="4"/>
  <c r="U207" i="4"/>
  <c r="U50" i="5"/>
  <c r="U84" i="3"/>
  <c r="U95" i="3"/>
  <c r="U138" i="5"/>
  <c r="U24" i="5"/>
  <c r="U66" i="3"/>
  <c r="U137" i="5"/>
  <c r="U23" i="5"/>
  <c r="U99" i="4"/>
  <c r="U208" i="4"/>
  <c r="U30" i="4"/>
  <c r="U86" i="5"/>
  <c r="U18" i="3"/>
  <c r="U58" i="3"/>
  <c r="U34" i="5"/>
  <c r="U22" i="3"/>
  <c r="U38" i="3"/>
  <c r="U4" i="5"/>
  <c r="I368" i="7"/>
  <c r="L368" i="7" s="1"/>
  <c r="I127" i="7"/>
  <c r="L127" i="7" s="1"/>
  <c r="I197" i="7"/>
  <c r="L197" i="7" s="1"/>
  <c r="I540" i="7"/>
  <c r="L540" i="7" s="1"/>
  <c r="I324" i="7"/>
  <c r="L324" i="7" s="1"/>
  <c r="I313" i="7"/>
  <c r="L313" i="7" s="1"/>
  <c r="I404" i="7"/>
  <c r="L404" i="7" s="1"/>
  <c r="I502" i="7"/>
  <c r="L502" i="7" s="1"/>
  <c r="I598" i="7"/>
  <c r="L598" i="7" s="1"/>
  <c r="I297" i="7"/>
  <c r="L297" i="7" s="1"/>
  <c r="I383" i="7"/>
  <c r="L383" i="7" s="1"/>
  <c r="I474" i="7"/>
  <c r="L474" i="7" s="1"/>
  <c r="I265" i="7"/>
  <c r="L265" i="7" s="1"/>
  <c r="I335" i="7"/>
  <c r="L335" i="7" s="1"/>
  <c r="I615" i="7"/>
  <c r="L615" i="7" s="1"/>
  <c r="I503" i="7"/>
  <c r="L503" i="7" s="1"/>
  <c r="I170" i="7"/>
  <c r="L170" i="7" s="1"/>
  <c r="I143" i="7"/>
  <c r="L143" i="7" s="1"/>
  <c r="I317" i="7"/>
  <c r="L317" i="7" s="1"/>
  <c r="I504" i="7"/>
  <c r="L504" i="7" s="1"/>
  <c r="I277" i="7"/>
  <c r="L277" i="7" s="1"/>
  <c r="I156" i="7"/>
  <c r="L156" i="7" s="1"/>
  <c r="I44" i="7"/>
  <c r="L44" i="7" s="1"/>
  <c r="I193" i="7"/>
  <c r="L193" i="7" s="1"/>
  <c r="I526" i="7"/>
  <c r="L526" i="7" s="1"/>
  <c r="I207" i="7"/>
  <c r="L207" i="7" s="1"/>
  <c r="I13" i="7"/>
  <c r="L13" i="7" s="1"/>
  <c r="I198" i="7"/>
  <c r="L198" i="7" s="1"/>
  <c r="I205" i="7"/>
  <c r="L205" i="7" s="1"/>
  <c r="I423" i="7"/>
  <c r="L423" i="7" s="1"/>
  <c r="I613" i="7"/>
  <c r="L613" i="7" s="1"/>
  <c r="I432" i="7"/>
  <c r="L432" i="7" s="1"/>
  <c r="I200" i="7"/>
  <c r="L200" i="7" s="1"/>
  <c r="I144" i="7"/>
  <c r="L144" i="7" s="1"/>
  <c r="I422" i="7"/>
  <c r="L422" i="7" s="1"/>
  <c r="I491" i="7"/>
  <c r="L491" i="7" s="1"/>
  <c r="I31" i="7"/>
  <c r="L31" i="7" s="1"/>
  <c r="I381" i="7"/>
  <c r="L381" i="7" s="1"/>
  <c r="I311" i="7"/>
  <c r="L311" i="7" s="1"/>
  <c r="I539" i="7"/>
  <c r="L539" i="7" s="1"/>
  <c r="I543" i="7"/>
  <c r="L543" i="7" s="1"/>
  <c r="I416" i="7"/>
  <c r="L416" i="7" s="1"/>
  <c r="I375" i="7"/>
  <c r="L375" i="7" s="1"/>
  <c r="U187" i="4"/>
  <c r="U68" i="4"/>
  <c r="U206" i="4"/>
  <c r="U5" i="4"/>
  <c r="U55" i="2"/>
  <c r="U153" i="4"/>
  <c r="U5" i="3"/>
  <c r="U125" i="4"/>
  <c r="U39" i="3"/>
  <c r="U77" i="3"/>
  <c r="U166" i="4"/>
  <c r="U95" i="5"/>
  <c r="U21" i="5"/>
  <c r="U94" i="3"/>
  <c r="U32" i="4"/>
  <c r="U101" i="4"/>
  <c r="I585" i="7"/>
  <c r="L585" i="7" s="1"/>
  <c r="U94" i="5"/>
  <c r="U3" i="4"/>
  <c r="U179" i="4"/>
  <c r="U81" i="4"/>
  <c r="U40" i="2"/>
  <c r="U59" i="2"/>
  <c r="U18" i="2"/>
  <c r="U88" i="4"/>
  <c r="I119" i="7"/>
  <c r="L119" i="7" s="1"/>
  <c r="U49" i="5"/>
  <c r="I114" i="7"/>
  <c r="L114" i="7" s="1"/>
  <c r="I189" i="7"/>
  <c r="L189" i="7" s="1"/>
  <c r="U21" i="2"/>
  <c r="U68" i="2"/>
  <c r="U96" i="5"/>
  <c r="U80" i="4"/>
  <c r="U132" i="5"/>
  <c r="I273" i="7"/>
  <c r="L273" i="7" s="1"/>
  <c r="I438" i="7"/>
  <c r="L438" i="7" s="1"/>
  <c r="I150" i="7"/>
  <c r="L150" i="7" s="1"/>
  <c r="I138" i="7"/>
  <c r="L138" i="7" s="1"/>
  <c r="U36" i="2"/>
  <c r="U79" i="2"/>
  <c r="U198" i="4"/>
  <c r="U15" i="5"/>
  <c r="U63" i="5"/>
  <c r="U57" i="5"/>
  <c r="U108" i="3"/>
  <c r="I459" i="7"/>
  <c r="L459" i="7" s="1"/>
  <c r="I21" i="7"/>
  <c r="L21" i="7" s="1"/>
  <c r="I195" i="7"/>
  <c r="L195" i="7" s="1"/>
  <c r="I87" i="7"/>
  <c r="L87" i="7" s="1"/>
  <c r="I213" i="7"/>
  <c r="L213" i="7" s="1"/>
  <c r="I91" i="7"/>
  <c r="L91" i="7" s="1"/>
  <c r="I42" i="7"/>
  <c r="L42" i="7" s="1"/>
  <c r="I239" i="7"/>
  <c r="L239" i="7" s="1"/>
  <c r="U142" i="4"/>
  <c r="U62" i="5"/>
  <c r="U81" i="3"/>
  <c r="U122" i="5"/>
  <c r="U16" i="3"/>
  <c r="U104" i="5"/>
  <c r="U174" i="4"/>
  <c r="U45" i="3"/>
  <c r="U59" i="5"/>
  <c r="U97" i="3"/>
  <c r="U109" i="5"/>
  <c r="I204" i="7"/>
  <c r="L204" i="7" s="1"/>
  <c r="I65" i="7"/>
  <c r="L65" i="7" s="1"/>
  <c r="I177" i="7"/>
  <c r="L177" i="7" s="1"/>
  <c r="I29" i="7"/>
  <c r="L29" i="7" s="1"/>
  <c r="I175" i="7"/>
  <c r="L175" i="7" s="1"/>
  <c r="I247" i="7"/>
  <c r="L247" i="7" s="1"/>
  <c r="I370" i="7"/>
  <c r="L370" i="7" s="1"/>
  <c r="I570" i="7"/>
  <c r="L570" i="7" s="1"/>
  <c r="I471" i="7"/>
  <c r="L471" i="7" s="1"/>
  <c r="I49" i="7"/>
  <c r="L49" i="7" s="1"/>
  <c r="I86" i="7"/>
  <c r="L86" i="7" s="1"/>
  <c r="I147" i="7"/>
  <c r="L147" i="7" s="1"/>
  <c r="I544" i="7"/>
  <c r="L544" i="7" s="1"/>
  <c r="I102" i="7"/>
  <c r="L102" i="7" s="1"/>
  <c r="I292" i="7"/>
  <c r="L292" i="7" s="1"/>
  <c r="I606" i="7"/>
  <c r="L606" i="7" s="1"/>
  <c r="I145" i="7"/>
  <c r="L145" i="7" s="1"/>
  <c r="I490" i="7"/>
  <c r="L490" i="7" s="1"/>
  <c r="I72" i="7"/>
  <c r="L72" i="7" s="1"/>
  <c r="I388" i="7"/>
  <c r="L388" i="7" s="1"/>
  <c r="I535" i="7"/>
  <c r="L535" i="7" s="1"/>
  <c r="I599" i="7"/>
  <c r="L599" i="7" s="1"/>
  <c r="I104" i="7"/>
  <c r="L104" i="7" s="1"/>
  <c r="I541" i="7"/>
  <c r="L541" i="7" s="1"/>
  <c r="I224" i="7"/>
  <c r="L224" i="7" s="1"/>
  <c r="I184" i="7"/>
  <c r="L184" i="7" s="1"/>
  <c r="I433" i="7"/>
  <c r="L433" i="7" s="1"/>
  <c r="I442" i="7"/>
  <c r="L442" i="7" s="1"/>
  <c r="I162" i="7"/>
  <c r="L162" i="7" s="1"/>
  <c r="I163" i="7"/>
  <c r="L163" i="7" s="1"/>
  <c r="I545" i="7"/>
  <c r="L545" i="7" s="1"/>
  <c r="I206" i="7"/>
  <c r="L206" i="7" s="1"/>
  <c r="I590" i="7"/>
  <c r="L590" i="7" s="1"/>
  <c r="I110" i="7"/>
  <c r="L110" i="7" s="1"/>
  <c r="I19" i="7"/>
  <c r="L19" i="7" s="1"/>
  <c r="I22" i="7"/>
  <c r="L22" i="7" s="1"/>
  <c r="I38" i="7"/>
  <c r="L38" i="7" s="1"/>
  <c r="I23" i="7"/>
  <c r="L23" i="7" s="1"/>
  <c r="I595" i="7"/>
  <c r="L595" i="7" s="1"/>
  <c r="I85" i="7"/>
  <c r="L85" i="7" s="1"/>
  <c r="I74" i="7"/>
  <c r="L74" i="7" s="1"/>
  <c r="I309" i="7"/>
  <c r="L309" i="7" s="1"/>
  <c r="I212" i="7"/>
  <c r="L212" i="7" s="1"/>
  <c r="I515" i="7"/>
  <c r="L515" i="7" s="1"/>
  <c r="I160" i="7"/>
  <c r="L160" i="7" s="1"/>
  <c r="I95" i="7"/>
  <c r="L95" i="7" s="1"/>
  <c r="I450" i="7"/>
  <c r="L450" i="7" s="1"/>
  <c r="I393" i="7"/>
  <c r="L393" i="7" s="1"/>
  <c r="I374" i="7"/>
  <c r="L374" i="7" s="1"/>
  <c r="I401" i="7"/>
  <c r="L401" i="7" s="1"/>
  <c r="I258" i="7"/>
  <c r="L258" i="7" s="1"/>
  <c r="I568" i="7"/>
  <c r="L568" i="7" s="1"/>
  <c r="I397" i="7"/>
  <c r="L397" i="7" s="1"/>
  <c r="I216" i="7"/>
  <c r="L216" i="7" s="1"/>
  <c r="I314" i="7"/>
  <c r="L314" i="7" s="1"/>
  <c r="I263" i="7"/>
  <c r="L263" i="7" s="1"/>
  <c r="I89" i="7"/>
  <c r="L89" i="7" s="1"/>
  <c r="I111" i="7"/>
  <c r="L111" i="7" s="1"/>
  <c r="I408" i="7"/>
  <c r="L408" i="7" s="1"/>
  <c r="I505" i="7"/>
  <c r="L505" i="7" s="1"/>
  <c r="I518" i="7"/>
  <c r="L518" i="7" s="1"/>
  <c r="I513" i="7"/>
  <c r="L513" i="7" s="1"/>
  <c r="I577" i="7"/>
  <c r="L577" i="7" s="1"/>
  <c r="I348" i="7"/>
  <c r="L348" i="7" s="1"/>
  <c r="I520" i="7"/>
  <c r="L520" i="7" s="1"/>
  <c r="I394" i="7"/>
  <c r="L394" i="7" s="1"/>
  <c r="I246" i="7"/>
  <c r="L246" i="7" s="1"/>
  <c r="I63" i="7"/>
  <c r="L63" i="7" s="1"/>
  <c r="I132" i="7"/>
  <c r="L132" i="7" s="1"/>
  <c r="I496" i="7"/>
  <c r="L496" i="7" s="1"/>
  <c r="I427" i="7"/>
  <c r="L427" i="7" s="1"/>
  <c r="I542" i="7"/>
  <c r="L542" i="7" s="1"/>
  <c r="I566" i="7"/>
  <c r="L566" i="7" s="1"/>
  <c r="I440" i="7"/>
  <c r="L440" i="7" s="1"/>
  <c r="I245" i="7"/>
  <c r="L245" i="7" s="1"/>
  <c r="I118" i="7"/>
  <c r="L118" i="7" s="1"/>
  <c r="I386" i="7"/>
  <c r="L386" i="7" s="1"/>
  <c r="I112" i="7"/>
  <c r="L112" i="7" s="1"/>
  <c r="I304" i="7"/>
  <c r="L304" i="7" s="1"/>
  <c r="I352" i="7"/>
  <c r="L352" i="7" s="1"/>
  <c r="I32" i="7"/>
  <c r="L32" i="7" s="1"/>
  <c r="I190" i="7"/>
  <c r="L190" i="7" s="1"/>
  <c r="I586" i="7"/>
  <c r="L586" i="7" s="1"/>
  <c r="I361" i="7"/>
  <c r="L361" i="7" s="1"/>
  <c r="I462" i="7"/>
  <c r="L462" i="7" s="1"/>
  <c r="I400" i="7"/>
  <c r="L400" i="7" s="1"/>
  <c r="I306" i="7"/>
  <c r="L306" i="7" s="1"/>
  <c r="I488" i="7"/>
  <c r="L488" i="7" s="1"/>
  <c r="I285" i="7"/>
  <c r="L285" i="7" s="1"/>
  <c r="I167" i="7"/>
  <c r="L167" i="7" s="1"/>
  <c r="I614" i="7"/>
  <c r="L614" i="7" s="1"/>
  <c r="I341" i="7"/>
  <c r="L341" i="7" s="1"/>
  <c r="I524" i="7"/>
  <c r="L524" i="7" s="1"/>
  <c r="I495" i="7"/>
  <c r="L495" i="7" s="1"/>
  <c r="I321" i="7"/>
  <c r="L321" i="7" s="1"/>
  <c r="I456" i="7"/>
  <c r="L456" i="7" s="1"/>
  <c r="I611" i="7"/>
  <c r="L611" i="7" s="1"/>
  <c r="I602" i="7"/>
  <c r="L602" i="7" s="1"/>
  <c r="I12" i="7"/>
  <c r="I222" i="7"/>
  <c r="L222" i="7" s="1"/>
  <c r="I593" i="7"/>
  <c r="L593" i="7" s="1"/>
  <c r="I457" i="7"/>
  <c r="L457" i="7" s="1"/>
  <c r="I318" i="7"/>
  <c r="L318" i="7" s="1"/>
  <c r="I300" i="7"/>
  <c r="L300" i="7" s="1"/>
  <c r="I581" i="7"/>
  <c r="L581" i="7" s="1"/>
  <c r="I339" i="7"/>
  <c r="L339" i="7" s="1"/>
  <c r="I406" i="7"/>
  <c r="L406" i="7" s="1"/>
  <c r="I229" i="7"/>
  <c r="L229" i="7" s="1"/>
  <c r="I208" i="7"/>
  <c r="L208" i="7" s="1"/>
  <c r="I93" i="7"/>
  <c r="L93" i="7" s="1"/>
  <c r="I460" i="7"/>
  <c r="L460" i="7" s="1"/>
  <c r="I530" i="7"/>
  <c r="L530" i="7" s="1"/>
  <c r="I351" i="7"/>
  <c r="L351" i="7" s="1"/>
  <c r="I199" i="7"/>
  <c r="L199" i="7" s="1"/>
  <c r="I35" i="7"/>
  <c r="L35" i="7" s="1"/>
  <c r="I483" i="7"/>
  <c r="L483" i="7" s="1"/>
  <c r="I84" i="7"/>
  <c r="L84" i="7" s="1"/>
  <c r="I447" i="7"/>
  <c r="L447" i="7" s="1"/>
  <c r="I554" i="7"/>
  <c r="L554" i="7" s="1"/>
  <c r="I128" i="7"/>
  <c r="L128" i="7" s="1"/>
  <c r="I262" i="7"/>
  <c r="L262" i="7" s="1"/>
  <c r="I355" i="7"/>
  <c r="L355" i="7" s="1"/>
  <c r="I214" i="7"/>
  <c r="L214" i="7" s="1"/>
  <c r="I443" i="7"/>
  <c r="L443" i="7" s="1"/>
  <c r="I385" i="7"/>
  <c r="L385" i="7" s="1"/>
  <c r="I234" i="7"/>
  <c r="L234" i="7" s="1"/>
  <c r="I572" i="7"/>
  <c r="L572" i="7" s="1"/>
  <c r="I510" i="7"/>
  <c r="L510" i="7" s="1"/>
  <c r="I181" i="7"/>
  <c r="L181" i="7" s="1"/>
  <c r="I417" i="7"/>
  <c r="L417" i="7" s="1"/>
  <c r="I476" i="7"/>
  <c r="L476" i="7" s="1"/>
  <c r="I20" i="7"/>
  <c r="L20" i="7" s="1"/>
  <c r="I280" i="7"/>
  <c r="L280" i="7" s="1"/>
  <c r="I353" i="7"/>
  <c r="I46" i="7"/>
  <c r="L46" i="7" s="1"/>
  <c r="I185" i="7"/>
  <c r="L185" i="7" s="1"/>
  <c r="I365" i="7"/>
  <c r="L365" i="7" s="1"/>
  <c r="I237" i="7"/>
  <c r="L237" i="7" s="1"/>
  <c r="I249" i="7"/>
  <c r="L249" i="7" s="1"/>
  <c r="I360" i="7"/>
  <c r="L360" i="7" s="1"/>
  <c r="I69" i="7"/>
  <c r="L69" i="7" s="1"/>
  <c r="I77" i="7"/>
  <c r="L77" i="7" s="1"/>
  <c r="I289" i="7"/>
  <c r="L289" i="7" s="1"/>
  <c r="I492" i="7"/>
  <c r="L492" i="7" s="1"/>
  <c r="I307" i="7"/>
  <c r="L307" i="7" s="1"/>
  <c r="I468" i="7"/>
  <c r="L468" i="7" s="1"/>
  <c r="I291" i="7"/>
  <c r="L291" i="7" s="1"/>
  <c r="I71" i="7"/>
  <c r="L71" i="7" s="1"/>
  <c r="I431" i="7"/>
  <c r="L431" i="7" s="1"/>
  <c r="I97" i="7"/>
  <c r="L97" i="7" s="1"/>
  <c r="I215" i="7"/>
  <c r="L215" i="7" s="1"/>
  <c r="I251" i="7"/>
  <c r="L251" i="7" s="1"/>
  <c r="I43" i="7"/>
  <c r="L43" i="7" s="1"/>
  <c r="I56" i="7"/>
  <c r="L56" i="7" s="1"/>
  <c r="I340" i="7"/>
  <c r="L340" i="7" s="1"/>
  <c r="I279" i="7"/>
  <c r="L279" i="7" s="1"/>
  <c r="I322" i="7"/>
  <c r="L322" i="7" s="1"/>
  <c r="I278" i="7"/>
  <c r="L278" i="7" s="1"/>
  <c r="U46" i="2"/>
  <c r="U80" i="2"/>
  <c r="U124" i="4"/>
  <c r="U146" i="4"/>
  <c r="U18" i="4"/>
  <c r="U27" i="4"/>
  <c r="U210" i="4"/>
  <c r="U209" i="4"/>
  <c r="U135" i="4"/>
  <c r="U203" i="4"/>
  <c r="U168" i="4"/>
  <c r="U105" i="4"/>
  <c r="U64" i="4"/>
  <c r="U184" i="4"/>
  <c r="U39" i="5"/>
  <c r="U55" i="5"/>
  <c r="U89" i="5"/>
  <c r="U29" i="5"/>
  <c r="U27" i="3"/>
  <c r="U93" i="3"/>
  <c r="U43" i="3"/>
  <c r="U52" i="3"/>
  <c r="U23" i="3"/>
  <c r="U91" i="3"/>
  <c r="U49" i="3"/>
  <c r="U80" i="5"/>
  <c r="U100" i="5"/>
  <c r="U68" i="5"/>
  <c r="U126" i="5"/>
  <c r="U134" i="5"/>
  <c r="U7" i="5"/>
  <c r="U50" i="3"/>
  <c r="U98" i="3"/>
  <c r="U88" i="3"/>
  <c r="U21" i="3"/>
  <c r="U101" i="3"/>
  <c r="U42" i="3"/>
  <c r="U30" i="3"/>
  <c r="U19" i="3"/>
  <c r="U103" i="5"/>
  <c r="U75" i="5"/>
  <c r="U88" i="5"/>
  <c r="U9" i="5"/>
  <c r="U118" i="5"/>
  <c r="U111" i="5"/>
  <c r="U9" i="2"/>
  <c r="U27" i="2"/>
  <c r="U6" i="2"/>
  <c r="U56" i="2"/>
  <c r="I548" i="7"/>
  <c r="L548" i="7" s="1"/>
  <c r="I232" i="7"/>
  <c r="L232" i="7" s="1"/>
  <c r="I600" i="7"/>
  <c r="L600" i="7" s="1"/>
  <c r="I362" i="7"/>
  <c r="L362" i="7" s="1"/>
  <c r="I418" i="7"/>
  <c r="L418" i="7" s="1"/>
  <c r="I16" i="7"/>
  <c r="L16" i="7" s="1"/>
  <c r="I486" i="7"/>
  <c r="L486" i="7" s="1"/>
  <c r="I83" i="7"/>
  <c r="L83" i="7" s="1"/>
  <c r="I480" i="7"/>
  <c r="L480" i="7" s="1"/>
  <c r="I421" i="7"/>
  <c r="L421" i="7" s="1"/>
  <c r="I240" i="7"/>
  <c r="L240" i="7" s="1"/>
  <c r="I62" i="7"/>
  <c r="L62" i="7" s="1"/>
  <c r="I284" i="7"/>
  <c r="L284" i="7" s="1"/>
  <c r="I233" i="7"/>
  <c r="L233" i="7" s="1"/>
  <c r="I342" i="7"/>
  <c r="L342" i="7" s="1"/>
  <c r="I529" i="7"/>
  <c r="L529" i="7" s="1"/>
  <c r="I517" i="7"/>
  <c r="L517" i="7" s="1"/>
  <c r="I560" i="7"/>
  <c r="L560" i="7" s="1"/>
  <c r="I467" i="7"/>
  <c r="L467" i="7" s="1"/>
  <c r="I354" i="7"/>
  <c r="L354" i="7" s="1"/>
  <c r="I134" i="7"/>
  <c r="L134" i="7" s="1"/>
  <c r="I275" i="7"/>
  <c r="L275" i="7" s="1"/>
  <c r="I61" i="7"/>
  <c r="L61" i="7" s="1"/>
  <c r="I409" i="7"/>
  <c r="L409" i="7" s="1"/>
  <c r="I155" i="7"/>
  <c r="L155" i="7" s="1"/>
  <c r="I18" i="7"/>
  <c r="L18" i="7" s="1"/>
  <c r="I115" i="7"/>
  <c r="L115" i="7" s="1"/>
  <c r="I569" i="7"/>
  <c r="L569" i="7" s="1"/>
  <c r="I28" i="7"/>
  <c r="L28" i="7" s="1"/>
  <c r="I27" i="7"/>
  <c r="L27" i="7" s="1"/>
  <c r="I378" i="7"/>
  <c r="L378" i="7" s="1"/>
  <c r="I236" i="7"/>
  <c r="L236" i="7" s="1"/>
  <c r="I356" i="7"/>
  <c r="L356" i="7" s="1"/>
  <c r="I516" i="7"/>
  <c r="L516" i="7" s="1"/>
  <c r="I546" i="7"/>
  <c r="L546" i="7" s="1"/>
  <c r="I562" i="7"/>
  <c r="L562" i="7" s="1"/>
  <c r="I461" i="7"/>
  <c r="L461" i="7" s="1"/>
  <c r="I100" i="7"/>
  <c r="L100" i="7" s="1"/>
  <c r="I449" i="7"/>
  <c r="L449" i="7" s="1"/>
  <c r="I228" i="7"/>
  <c r="L228" i="7" s="1"/>
  <c r="I323" i="7"/>
  <c r="L323" i="7" s="1"/>
  <c r="I527" i="7"/>
  <c r="L527" i="7" s="1"/>
  <c r="I88" i="7"/>
  <c r="L88" i="7" s="1"/>
  <c r="I68" i="7"/>
  <c r="L68" i="7" s="1"/>
  <c r="I369" i="7"/>
  <c r="L369" i="7" s="1"/>
  <c r="I403" i="7"/>
  <c r="L403" i="7" s="1"/>
  <c r="I252" i="7"/>
  <c r="L252" i="7" s="1"/>
  <c r="I116" i="7"/>
  <c r="L116" i="7" s="1"/>
  <c r="I463" i="7"/>
  <c r="L463" i="7" s="1"/>
  <c r="U19" i="2"/>
  <c r="U50" i="2"/>
  <c r="U67" i="2"/>
  <c r="U11" i="4"/>
  <c r="U202" i="4"/>
  <c r="U165" i="4"/>
  <c r="U110" i="4"/>
  <c r="U116" i="4"/>
  <c r="U61" i="4"/>
  <c r="U24" i="4"/>
  <c r="U194" i="4"/>
  <c r="U115" i="4"/>
  <c r="U22" i="4"/>
  <c r="U95" i="4"/>
  <c r="U131" i="4"/>
  <c r="U71" i="4"/>
  <c r="U73" i="4"/>
  <c r="U41" i="5"/>
  <c r="U135" i="5"/>
  <c r="U44" i="5"/>
  <c r="U133" i="5"/>
  <c r="I303" i="7"/>
  <c r="L303" i="7" s="1"/>
  <c r="I270" i="7"/>
  <c r="L270" i="7" s="1"/>
  <c r="I458" i="7"/>
  <c r="L458" i="7" s="1"/>
  <c r="I203" i="7"/>
  <c r="L203" i="7" s="1"/>
  <c r="I565" i="7"/>
  <c r="L565" i="7" s="1"/>
  <c r="I424" i="7"/>
  <c r="L424" i="7" s="1"/>
  <c r="I242" i="7"/>
  <c r="L242" i="7" s="1"/>
  <c r="I178" i="7"/>
  <c r="L178" i="7" s="1"/>
  <c r="I26" i="7"/>
  <c r="L26" i="7" s="1"/>
  <c r="I78" i="7"/>
  <c r="L78" i="7" s="1"/>
  <c r="I592" i="7"/>
  <c r="L592" i="7" s="1"/>
  <c r="I425" i="7"/>
  <c r="L425" i="7" s="1"/>
  <c r="I168" i="7"/>
  <c r="L168" i="7" s="1"/>
  <c r="I140" i="7"/>
  <c r="L140" i="7" s="1"/>
  <c r="I465" i="7"/>
  <c r="L465" i="7" s="1"/>
  <c r="I448" i="7"/>
  <c r="L448" i="7" s="1"/>
  <c r="I563" i="7"/>
  <c r="L563" i="7" s="1"/>
  <c r="I395" i="7"/>
  <c r="L395" i="7" s="1"/>
  <c r="I336" i="7"/>
  <c r="L336" i="7" s="1"/>
  <c r="I612" i="7"/>
  <c r="L612" i="7" s="1"/>
  <c r="I359" i="7"/>
  <c r="L359" i="7" s="1"/>
  <c r="I250" i="7"/>
  <c r="L250" i="7" s="1"/>
  <c r="I552" i="7"/>
  <c r="L552" i="7" s="1"/>
  <c r="I478" i="7"/>
  <c r="L478" i="7" s="1"/>
  <c r="I402" i="7"/>
  <c r="L402" i="7" s="1"/>
  <c r="I345" i="7"/>
  <c r="L345" i="7" s="1"/>
  <c r="I58" i="7"/>
  <c r="L58" i="7" s="1"/>
  <c r="I101" i="7"/>
  <c r="L101" i="7" s="1"/>
  <c r="I446" i="7"/>
  <c r="L446" i="7" s="1"/>
  <c r="I90" i="7"/>
  <c r="L90" i="7" s="1"/>
  <c r="I257" i="7"/>
  <c r="L257" i="7" s="1"/>
  <c r="I521" i="7"/>
  <c r="L521" i="7" s="1"/>
  <c r="I497" i="7"/>
  <c r="L497" i="7" s="1"/>
  <c r="I473" i="7"/>
  <c r="L473" i="7" s="1"/>
  <c r="I532" i="7"/>
  <c r="L532" i="7" s="1"/>
  <c r="I347" i="7"/>
  <c r="L347" i="7" s="1"/>
  <c r="I604" i="7"/>
  <c r="L604" i="7" s="1"/>
  <c r="I117" i="7"/>
  <c r="L117" i="7" s="1"/>
  <c r="I121" i="7"/>
  <c r="L121" i="7" s="1"/>
  <c r="I484" i="7"/>
  <c r="L484" i="7" s="1"/>
  <c r="I501" i="7"/>
  <c r="L501" i="7" s="1"/>
  <c r="I75" i="7"/>
  <c r="L75" i="7" s="1"/>
  <c r="I276" i="7"/>
  <c r="L276" i="7" s="1"/>
  <c r="U75" i="2"/>
  <c r="U57" i="2"/>
  <c r="U66" i="5"/>
  <c r="U114" i="5"/>
  <c r="U5" i="5"/>
  <c r="U25" i="5"/>
  <c r="U43" i="5"/>
  <c r="U27" i="5"/>
  <c r="U116" i="5"/>
  <c r="U123" i="5"/>
  <c r="U55" i="3"/>
  <c r="U100" i="3"/>
  <c r="U82" i="3"/>
  <c r="U110" i="3"/>
  <c r="U83" i="3"/>
  <c r="U90" i="3"/>
  <c r="U67" i="5"/>
  <c r="U74" i="5"/>
  <c r="U92" i="5"/>
  <c r="U36" i="5"/>
  <c r="U45" i="5"/>
  <c r="U12" i="5"/>
  <c r="U104" i="3"/>
  <c r="U73" i="3"/>
  <c r="U4" i="3"/>
  <c r="U75" i="3"/>
  <c r="U17" i="3"/>
  <c r="U31" i="3"/>
  <c r="U44" i="3"/>
  <c r="U59" i="3"/>
  <c r="U13" i="5"/>
  <c r="U130" i="4"/>
  <c r="U201" i="4"/>
  <c r="U139" i="4"/>
  <c r="U178" i="4"/>
  <c r="U98" i="4"/>
  <c r="U23" i="4"/>
  <c r="U170" i="4"/>
  <c r="U195" i="4"/>
  <c r="U44" i="2"/>
  <c r="I157" i="7"/>
  <c r="L157" i="7" s="1"/>
  <c r="I445" i="7"/>
  <c r="L445" i="7" s="1"/>
  <c r="I281" i="7"/>
  <c r="L281" i="7" s="1"/>
  <c r="I301" i="7"/>
  <c r="L301" i="7" s="1"/>
  <c r="I538" i="7"/>
  <c r="L538" i="7" s="1"/>
  <c r="I48" i="7"/>
  <c r="L48" i="7" s="1"/>
  <c r="I59" i="7"/>
  <c r="L59" i="7" s="1"/>
  <c r="I426" i="7"/>
  <c r="L426" i="7" s="1"/>
  <c r="I376" i="7"/>
  <c r="L376" i="7" s="1"/>
  <c r="I553" i="7"/>
  <c r="L553" i="7" s="1"/>
  <c r="I92" i="7"/>
  <c r="L92" i="7" s="1"/>
  <c r="I597" i="7"/>
  <c r="L597" i="7" s="1"/>
  <c r="I73" i="7"/>
  <c r="L73" i="7" s="1"/>
  <c r="I470" i="7"/>
  <c r="L470" i="7" s="1"/>
  <c r="I557" i="7"/>
  <c r="L557" i="7" s="1"/>
  <c r="I142" i="7"/>
  <c r="L142" i="7" s="1"/>
  <c r="I255" i="7"/>
  <c r="L255" i="7" s="1"/>
  <c r="I55" i="7"/>
  <c r="L55" i="7" s="1"/>
  <c r="I209" i="7"/>
  <c r="L209" i="7" s="1"/>
  <c r="I70" i="7"/>
  <c r="L70" i="7" s="1"/>
  <c r="I349" i="7"/>
  <c r="L349" i="7" s="1"/>
  <c r="I525" i="7"/>
  <c r="L525" i="7" s="1"/>
  <c r="I221" i="7"/>
  <c r="L221" i="7" s="1"/>
  <c r="I333" i="7"/>
  <c r="L333" i="7" s="1"/>
  <c r="I555" i="7"/>
  <c r="L555" i="7" s="1"/>
  <c r="U53" i="2"/>
  <c r="U125" i="5"/>
  <c r="U20" i="5"/>
  <c r="U76" i="5"/>
  <c r="U117" i="5"/>
  <c r="U51" i="3"/>
  <c r="U7" i="3"/>
  <c r="U34" i="3"/>
  <c r="U8" i="3"/>
  <c r="U64" i="5"/>
  <c r="U58" i="5"/>
  <c r="U83" i="5"/>
  <c r="U12" i="3"/>
  <c r="U69" i="3"/>
  <c r="U106" i="3"/>
  <c r="U70" i="5"/>
  <c r="U17" i="5"/>
  <c r="U48" i="4"/>
  <c r="U94" i="4"/>
  <c r="U93" i="4"/>
  <c r="U43" i="4"/>
  <c r="U83" i="4"/>
  <c r="U29" i="4"/>
  <c r="U69" i="2"/>
  <c r="I331" i="7"/>
  <c r="L331" i="7" s="1"/>
  <c r="I201" i="7"/>
  <c r="L201" i="7" s="1"/>
  <c r="I528" i="7"/>
  <c r="L528" i="7" s="1"/>
  <c r="I261" i="7"/>
  <c r="L261" i="7" s="1"/>
  <c r="I231" i="7"/>
  <c r="L231" i="7" s="1"/>
  <c r="I34" i="7"/>
  <c r="L34" i="7" s="1"/>
  <c r="I60" i="7"/>
  <c r="L60" i="7" s="1"/>
  <c r="I296" i="7"/>
  <c r="L296" i="7" s="1"/>
  <c r="I47" i="7"/>
  <c r="L47" i="7" s="1"/>
  <c r="I305" i="7"/>
  <c r="L305" i="7" s="1"/>
  <c r="I594" i="7"/>
  <c r="L594" i="7" s="1"/>
  <c r="I248" i="7"/>
  <c r="L248" i="7" s="1"/>
  <c r="I238" i="7"/>
  <c r="L238" i="7" s="1"/>
  <c r="I605" i="7"/>
  <c r="L605" i="7" s="1"/>
  <c r="I172" i="7"/>
  <c r="L172" i="7" s="1"/>
  <c r="I176" i="7"/>
  <c r="L176" i="7" s="1"/>
  <c r="I109" i="7"/>
  <c r="L109" i="7" s="1"/>
  <c r="I499" i="7"/>
  <c r="L499" i="7" s="1"/>
  <c r="I332" i="7"/>
  <c r="L332" i="7" s="1"/>
  <c r="I344" i="7"/>
  <c r="L344" i="7" s="1"/>
  <c r="I537" i="7"/>
  <c r="L537" i="7" s="1"/>
  <c r="I129" i="7"/>
  <c r="L129" i="7" s="1"/>
  <c r="I367" i="7"/>
  <c r="L367" i="7" s="1"/>
  <c r="I414" i="7"/>
  <c r="L414" i="7" s="1"/>
  <c r="I310" i="7"/>
  <c r="L310" i="7" s="1"/>
  <c r="I50" i="7"/>
  <c r="L50" i="7" s="1"/>
  <c r="I475" i="7"/>
  <c r="L475" i="7" s="1"/>
  <c r="I158" i="7"/>
  <c r="L158" i="7" s="1"/>
  <c r="I587" i="7"/>
  <c r="L587" i="7" s="1"/>
  <c r="I165" i="7"/>
  <c r="L165" i="7" s="1"/>
  <c r="I264" i="7"/>
  <c r="L264" i="7" s="1"/>
  <c r="I320" i="7"/>
  <c r="L320" i="7" s="1"/>
  <c r="I441" i="7"/>
  <c r="L441" i="7" s="1"/>
  <c r="I547" i="7"/>
  <c r="L547" i="7" s="1"/>
  <c r="H4" i="1"/>
  <c r="H21" i="28" s="1"/>
  <c r="I223" i="7"/>
  <c r="L223" i="7" s="1"/>
  <c r="I267" i="7"/>
  <c r="L267" i="7" s="1"/>
  <c r="A1" i="7"/>
  <c r="I294" i="7"/>
  <c r="L294" i="7" s="1"/>
  <c r="I610" i="7"/>
  <c r="L610" i="7" s="1"/>
  <c r="I387" i="7"/>
  <c r="L387" i="7" s="1"/>
  <c r="I171" i="7"/>
  <c r="L171" i="7" s="1"/>
  <c r="I419" i="7"/>
  <c r="L419" i="7" s="1"/>
  <c r="I15" i="7"/>
  <c r="L15" i="7" s="1"/>
  <c r="I575" i="7"/>
  <c r="L575" i="7" s="1"/>
  <c r="I415" i="7"/>
  <c r="L415" i="7" s="1"/>
  <c r="I319" i="7"/>
  <c r="L319" i="7" s="1"/>
  <c r="I519" i="7"/>
  <c r="L519" i="7" s="1"/>
  <c r="I161" i="7"/>
  <c r="L161" i="7" s="1"/>
  <c r="I328" i="7"/>
  <c r="L328" i="7" s="1"/>
  <c r="I268" i="7"/>
  <c r="L268" i="7" s="1"/>
  <c r="I366" i="7"/>
  <c r="L366" i="7" s="1"/>
  <c r="I107" i="7"/>
  <c r="L107" i="7" s="1"/>
  <c r="I299" i="7"/>
  <c r="L299" i="7" s="1"/>
  <c r="I141" i="7"/>
  <c r="L141" i="7" s="1"/>
  <c r="I37" i="7"/>
  <c r="L37" i="7" s="1"/>
  <c r="I308" i="7"/>
  <c r="L308" i="7" s="1"/>
  <c r="I202" i="7"/>
  <c r="L202" i="7" s="1"/>
  <c r="I588" i="7"/>
  <c r="L588" i="7" s="1"/>
  <c r="I498" i="7"/>
  <c r="L498" i="7" s="1"/>
  <c r="I243" i="7"/>
  <c r="L243" i="7" s="1"/>
  <c r="I466" i="7"/>
  <c r="L466" i="7" s="1"/>
  <c r="I153" i="7"/>
  <c r="L153" i="7" s="1"/>
  <c r="I211" i="7"/>
  <c r="L211" i="7" s="1"/>
  <c r="I558" i="7"/>
  <c r="L558" i="7" s="1"/>
  <c r="I256" i="7"/>
  <c r="L256" i="7" s="1"/>
  <c r="I523" i="7"/>
  <c r="L523" i="7" s="1"/>
  <c r="I435" i="7"/>
  <c r="L435" i="7" s="1"/>
  <c r="I120" i="7"/>
  <c r="L120" i="7" s="1"/>
  <c r="I154" i="7"/>
  <c r="L154" i="7" s="1"/>
  <c r="I481" i="7"/>
  <c r="L481" i="7" s="1"/>
  <c r="I166" i="7"/>
  <c r="L166" i="7" s="1"/>
  <c r="I30" i="7"/>
  <c r="L30" i="7" s="1"/>
  <c r="I45" i="7"/>
  <c r="L45" i="7" s="1"/>
  <c r="I549" i="7"/>
  <c r="L549" i="7" s="1"/>
  <c r="I420" i="7"/>
  <c r="L420" i="7" s="1"/>
  <c r="I410" i="7"/>
  <c r="L410" i="7" s="1"/>
  <c r="I302" i="7"/>
  <c r="L302" i="7" s="1"/>
  <c r="I346" i="7"/>
  <c r="L346" i="7" s="1"/>
  <c r="U51" i="5"/>
  <c r="U29" i="3"/>
  <c r="U172" i="4"/>
  <c r="U40" i="3"/>
  <c r="U131" i="5"/>
  <c r="U17" i="4"/>
  <c r="I122" i="7"/>
  <c r="L122" i="7" s="1"/>
  <c r="I571" i="7"/>
  <c r="L571" i="7" s="1"/>
  <c r="I196" i="7"/>
  <c r="L196" i="7" s="1"/>
  <c r="U38" i="5"/>
  <c r="U70" i="4"/>
  <c r="U32" i="3"/>
  <c r="U34" i="2"/>
  <c r="I82" i="7"/>
  <c r="L82" i="7" s="1"/>
  <c r="I601" i="7"/>
  <c r="L601" i="7" s="1"/>
  <c r="U48" i="3"/>
  <c r="U191" i="4"/>
  <c r="I479" i="7"/>
  <c r="L479" i="7" s="1"/>
  <c r="U48" i="5"/>
  <c r="U97" i="5"/>
  <c r="U35" i="2"/>
  <c r="U12" i="2"/>
  <c r="U154" i="4"/>
  <c r="U78" i="5"/>
  <c r="U211" i="4"/>
  <c r="U42" i="5"/>
  <c r="U149" i="4"/>
  <c r="U32" i="5"/>
  <c r="U26" i="2"/>
  <c r="U52" i="5"/>
  <c r="U119" i="4"/>
  <c r="U74" i="2"/>
  <c r="U143" i="4"/>
  <c r="U145" i="4"/>
  <c r="U118" i="4"/>
  <c r="U100" i="4"/>
  <c r="U169" i="4"/>
  <c r="U54" i="4"/>
  <c r="U70" i="3"/>
  <c r="U91" i="5"/>
  <c r="U63" i="3"/>
  <c r="U152" i="4"/>
  <c r="U111" i="4"/>
  <c r="U129" i="4"/>
  <c r="U60" i="4"/>
  <c r="U18" i="5"/>
  <c r="U105" i="3"/>
  <c r="U91" i="4"/>
  <c r="U148" i="4"/>
  <c r="U80" i="3"/>
  <c r="U102" i="4"/>
  <c r="U49" i="4"/>
  <c r="U158" i="4"/>
  <c r="U29" i="2"/>
  <c r="U43" i="2"/>
  <c r="U28" i="2"/>
  <c r="U8" i="2"/>
  <c r="U77" i="2"/>
  <c r="U62" i="2"/>
  <c r="U64" i="2"/>
  <c r="U74" i="4"/>
  <c r="U156" i="4"/>
  <c r="U121" i="4"/>
  <c r="U69" i="4"/>
  <c r="U65" i="4"/>
  <c r="U58" i="4"/>
  <c r="U14" i="4"/>
  <c r="U37" i="4"/>
  <c r="U126" i="4"/>
  <c r="U127" i="4"/>
  <c r="U72" i="4"/>
  <c r="U34" i="4"/>
  <c r="U103" i="4"/>
  <c r="U54" i="2"/>
  <c r="U16" i="2"/>
  <c r="U78" i="2"/>
  <c r="U71" i="2"/>
  <c r="U53" i="4"/>
  <c r="U38" i="4"/>
  <c r="U36" i="4"/>
  <c r="U108" i="4"/>
  <c r="U67" i="4"/>
  <c r="U107" i="4"/>
  <c r="U56" i="4"/>
  <c r="U20" i="2"/>
  <c r="U52" i="2"/>
  <c r="U65" i="2"/>
  <c r="U176" i="4"/>
  <c r="U164" i="4"/>
  <c r="U155" i="4"/>
  <c r="U75" i="4"/>
  <c r="U28" i="4"/>
  <c r="U55" i="4"/>
  <c r="I180" i="7"/>
  <c r="L180" i="7" s="1"/>
  <c r="U171" i="4"/>
  <c r="G2" i="7"/>
  <c r="J6" i="7"/>
  <c r="H15" i="28"/>
  <c r="Q17" i="28"/>
  <c r="H34" i="28"/>
  <c r="Q54" i="28"/>
  <c r="L353" i="7"/>
  <c r="Z52" i="28" l="1"/>
  <c r="H23" i="28"/>
  <c r="Z58" i="28"/>
  <c r="Q64" i="28"/>
  <c r="H55" i="28"/>
  <c r="Z23" i="28"/>
  <c r="Z51" i="28"/>
  <c r="Z39" i="28"/>
  <c r="Z32" i="28"/>
  <c r="Z44" i="28"/>
  <c r="Z29" i="28"/>
  <c r="Q56" i="28"/>
  <c r="H11" i="28"/>
  <c r="H61" i="28"/>
  <c r="Z22" i="28"/>
  <c r="H10" i="28"/>
  <c r="Q13" i="28"/>
  <c r="Q63" i="28"/>
  <c r="Z17" i="28"/>
  <c r="H13" i="28"/>
  <c r="H24" i="28"/>
  <c r="H37" i="28"/>
  <c r="Z10" i="28"/>
  <c r="H33" i="28"/>
  <c r="Q51" i="28"/>
  <c r="Q61" i="28"/>
  <c r="Q28" i="28"/>
  <c r="Q46" i="28"/>
  <c r="Q59" i="28"/>
  <c r="Q53" i="28"/>
  <c r="Q57" i="28"/>
  <c r="Q26" i="28"/>
  <c r="Z40" i="28"/>
  <c r="Z60" i="28"/>
  <c r="Z7" i="28"/>
  <c r="H16" i="28"/>
  <c r="H25" i="28"/>
  <c r="Z6" i="28"/>
  <c r="Q58" i="28"/>
  <c r="Q45" i="28"/>
  <c r="Q47" i="28"/>
  <c r="Z14" i="28"/>
  <c r="Z47" i="28"/>
  <c r="H32" i="28"/>
  <c r="Z48" i="28"/>
  <c r="Z15" i="28"/>
  <c r="H31" i="28"/>
  <c r="Q10" i="28"/>
  <c r="H49" i="28"/>
  <c r="Z31" i="28"/>
  <c r="Z61" i="28"/>
  <c r="H27" i="28"/>
  <c r="H5" i="28"/>
  <c r="Q32" i="28"/>
  <c r="H51" i="28"/>
  <c r="Z16" i="28"/>
  <c r="H57" i="28"/>
  <c r="Q19" i="28"/>
  <c r="Q14" i="28"/>
  <c r="H53" i="28"/>
  <c r="H8" i="28"/>
  <c r="Q11" i="28"/>
  <c r="H45" i="28"/>
  <c r="Q5" i="28"/>
  <c r="H56" i="28"/>
  <c r="Q35" i="28"/>
  <c r="Z33" i="28"/>
  <c r="H64" i="28"/>
  <c r="Q41" i="28"/>
  <c r="Z25" i="28"/>
  <c r="Q20" i="28"/>
  <c r="Z26" i="28"/>
  <c r="Z13" i="28"/>
  <c r="Z34" i="28"/>
  <c r="Z37" i="28"/>
  <c r="Z64" i="28"/>
  <c r="Z36" i="28"/>
  <c r="H7" i="28"/>
  <c r="H19" i="28"/>
  <c r="H6" i="28"/>
  <c r="Z56" i="28"/>
  <c r="Z54" i="28"/>
  <c r="H63" i="28"/>
  <c r="Q50" i="28"/>
  <c r="Q24" i="28"/>
  <c r="Q21" i="28"/>
  <c r="Q34" i="28"/>
  <c r="Q16" i="28"/>
  <c r="Q36" i="28"/>
  <c r="Z59" i="28"/>
  <c r="Z5" i="28"/>
  <c r="Z18" i="28"/>
  <c r="H12" i="28"/>
  <c r="H26" i="28"/>
  <c r="H28" i="28"/>
  <c r="Z57" i="28"/>
  <c r="Z38" i="28"/>
  <c r="Z55" i="28"/>
  <c r="Z21" i="28"/>
  <c r="H22" i="28"/>
  <c r="H18" i="28"/>
  <c r="H30" i="28"/>
  <c r="H39" i="28"/>
  <c r="H40" i="28"/>
  <c r="Z30" i="28"/>
  <c r="Z63" i="28"/>
  <c r="Z12" i="28"/>
  <c r="Z53" i="28"/>
  <c r="Z46" i="28"/>
  <c r="Z9" i="28"/>
  <c r="H14" i="28"/>
  <c r="H20" i="28"/>
  <c r="H9" i="28"/>
  <c r="Z20" i="28"/>
  <c r="Q52" i="28"/>
  <c r="H46" i="28"/>
  <c r="Q62" i="28"/>
  <c r="Q15" i="28"/>
  <c r="Z35" i="28"/>
  <c r="H62" i="28"/>
  <c r="H54" i="28"/>
  <c r="Q39" i="28"/>
  <c r="Q33" i="28"/>
  <c r="Q27" i="28"/>
  <c r="H47" i="28"/>
  <c r="Q42" i="28"/>
  <c r="Q60" i="28"/>
  <c r="Q37" i="28"/>
  <c r="H29" i="28"/>
  <c r="Q25" i="28"/>
  <c r="Q12" i="28"/>
  <c r="H50" i="28"/>
  <c r="H41" i="28"/>
  <c r="H42" i="28"/>
  <c r="Q30" i="28"/>
  <c r="H48" i="28"/>
  <c r="H59" i="28"/>
  <c r="Q31" i="28"/>
  <c r="Q38" i="28"/>
  <c r="Q6" i="28"/>
  <c r="Z50" i="28"/>
  <c r="Z28" i="28"/>
  <c r="Q49" i="28"/>
  <c r="Q23" i="28"/>
  <c r="H43" i="28"/>
  <c r="Q9" i="28"/>
  <c r="Z8" i="28"/>
  <c r="G6" i="7"/>
  <c r="G8" i="7"/>
  <c r="Q8" i="28"/>
  <c r="Q43" i="28"/>
  <c r="H38" i="28"/>
  <c r="Q55" i="28"/>
  <c r="Z43" i="28"/>
  <c r="Z27" i="28"/>
  <c r="Z49" i="28"/>
  <c r="Z45" i="28"/>
  <c r="Z19" i="28"/>
  <c r="H17" i="28"/>
  <c r="Q18" i="28"/>
  <c r="Q48" i="28"/>
  <c r="Q22" i="28"/>
  <c r="H58" i="28"/>
  <c r="Q29" i="28"/>
  <c r="Q7" i="28"/>
  <c r="H60" i="28"/>
  <c r="H52" i="28"/>
  <c r="H44" i="28"/>
  <c r="Q40" i="28"/>
  <c r="Q44" i="28"/>
  <c r="Z41" i="28"/>
  <c r="Z42" i="28"/>
  <c r="Z62" i="28"/>
  <c r="Z24" i="28"/>
  <c r="Z11" i="28"/>
  <c r="J4" i="7"/>
  <c r="C8" i="7"/>
  <c r="J2" i="7"/>
  <c r="C4" i="7"/>
  <c r="C2" i="7"/>
  <c r="C6" i="7"/>
  <c r="J8" i="7"/>
  <c r="G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Mello</author>
  </authors>
  <commentList>
    <comment ref="Q1" authorId="0" shapeId="0" xr:uid="{1673EFB4-1A7A-435B-B975-EC0C8907018B}">
      <text>
        <r>
          <rPr>
            <b/>
            <sz val="9"/>
            <color indexed="81"/>
            <rFont val="Tahoma"/>
            <family val="2"/>
          </rPr>
          <t xml:space="preserve">Bob:
</t>
        </r>
        <r>
          <rPr>
            <sz val="9"/>
            <color indexed="81"/>
            <rFont val="Tahoma"/>
            <family val="2"/>
          </rPr>
          <t xml:space="preserve">Use this to help calculate the value of yardage bonuses. E.g. if your league gives a 2 point bonus for 400 yards passing, add .005 to "points per yard" under QB scoring. This will help boost high yardage passers in ranks.
</t>
        </r>
      </text>
    </comment>
    <comment ref="F7" authorId="0" shapeId="0" xr:uid="{00000000-0006-0000-0100-000001000000}">
      <text>
        <r>
          <rPr>
            <sz val="9"/>
            <color rgb="FF000000"/>
            <rFont val="Tahoma"/>
            <family val="2"/>
          </rPr>
          <t>Choose your league site. This determines which column in "DefaultAuctionValues" to use to show you Skew on the auction sheet.</t>
        </r>
      </text>
    </comment>
    <comment ref="H7" authorId="0" shapeId="0" xr:uid="{00000000-0006-0000-0100-000002000000}">
      <text>
        <r>
          <rPr>
            <sz val="9"/>
            <color indexed="81"/>
            <rFont val="Tahoma"/>
            <family val="2"/>
          </rPr>
          <t>Choose Starter/Bench if you want to go top heavy Stars &amp; Scrubs approach. For more even valuations, use average VBD.</t>
        </r>
      </text>
    </comment>
    <comment ref="F8" authorId="0" shapeId="0" xr:uid="{00000000-0006-0000-0100-000003000000}">
      <text>
        <r>
          <rPr>
            <sz val="9"/>
            <color indexed="81"/>
            <rFont val="Tahoma"/>
            <family val="2"/>
          </rPr>
          <t xml:space="preserve">Choose different flex types. WR/TE isn't here now, but unless you have  TE scoring bonuses you won't want to start TEs at flex.
</t>
        </r>
      </text>
    </comment>
    <comment ref="D14" authorId="0" shapeId="0" xr:uid="{00000000-0006-0000-0100-00000400000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 Mello</author>
    <author>Bob</author>
  </authors>
  <commentList>
    <comment ref="K1" authorId="0" shapeId="0" xr:uid="{00000000-0006-0000-1300-00000100000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H12" authorId="0" shapeId="0" xr:uid="{00000000-0006-0000-1300-000003000000}">
      <text>
        <r>
          <rPr>
            <b/>
            <sz val="9"/>
            <color indexed="81"/>
            <rFont val="Tahoma"/>
            <family val="2"/>
          </rPr>
          <t>Bob:</t>
        </r>
        <r>
          <rPr>
            <sz val="9"/>
            <color indexed="81"/>
            <rFont val="Tahoma"/>
            <family val="2"/>
          </rPr>
          <t xml:space="preserve">
Enter the auction price a player sold for here</t>
        </r>
      </text>
    </comment>
    <comment ref="J12" authorId="0" shapeId="0" xr:uid="{00000000-0006-0000-1300-00000400000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xr:uid="{00000000-0006-0000-1300-00000500000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xr:uid="{00000000-0006-0000-1300-000006000000}">
      <text>
        <r>
          <rPr>
            <b/>
            <sz val="9"/>
            <color indexed="81"/>
            <rFont val="Tahoma"/>
            <family val="2"/>
          </rPr>
          <t>Bob:</t>
        </r>
        <r>
          <rPr>
            <sz val="9"/>
            <color indexed="81"/>
            <rFont val="Tahoma"/>
            <family val="2"/>
          </rPr>
          <t xml:space="preserve">
Use this to enter the team that drafted a player.</t>
        </r>
      </text>
    </comment>
    <comment ref="O12" authorId="1" shapeId="0" xr:uid="{00000000-0006-0000-1300-00000700000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author>
  </authors>
  <commentList>
    <comment ref="D4" authorId="0" shapeId="0" xr:uid="{00000000-0006-0000-1500-000001000000}">
      <text>
        <r>
          <rPr>
            <b/>
            <sz val="9"/>
            <color indexed="81"/>
            <rFont val="Tahoma"/>
            <family val="2"/>
          </rPr>
          <t>Bob:</t>
        </r>
        <r>
          <rPr>
            <sz val="9"/>
            <color indexed="81"/>
            <rFont val="Tahoma"/>
            <family val="2"/>
          </rPr>
          <t xml:space="preserve">
Mark an "x" here if the player has been drafted</t>
        </r>
      </text>
    </comment>
    <comment ref="E4" authorId="0" shapeId="0" xr:uid="{00000000-0006-0000-1500-00000200000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xr:uid="{00000000-0006-0000-1500-00000300000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xr:uid="{00000000-0006-0000-1500-00000400000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DEF" description="Connection to the 'DEF' query in the workbook." type="5" refreshedVersion="7" background="1" saveData="1">
    <dbPr connection="Provider=Microsoft.Mashup.OleDb.1;Data Source=$Workbook$;Location=DEF;Extended Properties=&quot;&quot;" command="SELECT * FROM [DEF]"/>
  </connection>
  <connection id="2" xr16:uid="{6ECB39CE-A662-4483-9390-27360B0845D8}" keepAlive="1" name="Query - DEPTHCHART" description="Connection to the 'DEPTHCHART' query in the workbook." type="5" refreshedVersion="7" background="1" saveData="1">
    <dbPr connection="Provider=Microsoft.Mashup.OleDb.1;Data Source=$Workbook$;Location=DEPTHCHART;Extended Properties=&quot;&quot;" command="SELECT * FROM [DEPTHCHART]"/>
  </connection>
  <connection id="3" xr16:uid="{00000000-0015-0000-FFFF-FFFF01000000}" keepAlive="1" name="Query - K" description="Connection to the 'K' query in the workbook." type="5" refreshedVersion="7" background="1" saveData="1">
    <dbPr connection="Provider=Microsoft.Mashup.OleDb.1;Data Source=$Workbook$;Location=K;Extended Properties=&quot;&quot;" command="SELECT * FROM [K]"/>
  </connection>
  <connection id="4" xr16:uid="{00000000-0015-0000-FFFF-FFFF02000000}" keepAlive="1" name="Query - QB" description="Connection to the 'QB' query in the workbook." type="5" refreshedVersion="7" background="1" saveData="1">
    <dbPr connection="Provider=Microsoft.Mashup.OleDb.1;Data Source=$Workbook$;Location=QB;Extended Properties=&quot;&quot;" command="SELECT * FROM [QB]"/>
  </connection>
  <connection id="5" xr16:uid="{00000000-0015-0000-FFFF-FFFF03000000}" keepAlive="1" name="Query - RB" description="Connection to the 'RB' query in the workbook." type="5" refreshedVersion="7" background="1" saveData="1">
    <dbPr connection="Provider=Microsoft.Mashup.OleDb.1;Data Source=$Workbook$;Location=RB;Extended Properties=&quot;&quot;" command="SELECT * FROM [RB]"/>
  </connection>
  <connection id="6" xr16:uid="{00000000-0015-0000-FFFF-FFFF04000000}" keepAlive="1" name="Query - TE" description="Connection to the 'TE' query in the workbook." type="5" refreshedVersion="7" background="1" saveData="1">
    <dbPr connection="Provider=Microsoft.Mashup.OleDb.1;Data Source=$Workbook$;Location=TE;Extended Properties=&quot;&quot;" command="SELECT * FROM [TE]"/>
  </connection>
  <connection id="7" xr16:uid="{00000000-0015-0000-FFFF-FFFF05000000}" keepAlive="1" name="Query - WR" description="Connection to the 'WR' query in the workbook." type="5" refreshedVersion="7" background="1" saveData="1">
    <dbPr connection="Provider=Microsoft.Mashup.OleDb.1;Data Source=$Workbook$;Location=WR;Extended Properties=&quot;&quot;" command="SELECT * FROM [W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<sst xmlns="http://schemas.openxmlformats.org/spreadsheetml/2006/main" count="12074" uniqueCount="2830">
  <si>
    <t>Instructions:</t>
  </si>
  <si>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</si>
  <si>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</si>
  <si>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</si>
  <si>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</si>
  <si>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enter a player's name in the "Fast Filter",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</si>
  <si>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</si>
  <si>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</si>
  <si>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</si>
  <si>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</si>
  <si>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</si>
  <si>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</si>
  <si>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</si>
  <si>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Thanks to /u/JacobyJones for creating a script to automatically pull default auction values from ESPN, Yahoo, and FantasyPros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</si>
  <si>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</si>
  <si>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</si>
  <si>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</si>
  <si>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</si>
  <si>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</si>
  <si>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</si>
  <si>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</si>
  <si>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</si>
  <si>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</si>
  <si>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</si>
  <si>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</si>
  <si>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</si>
  <si>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</si>
  <si>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</si>
  <si>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</si>
  <si>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</si>
  <si>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</si>
  <si>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</si>
  <si>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</si>
  <si>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</si>
  <si>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</si>
  <si>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</si>
  <si>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</si>
  <si>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</si>
  <si>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</si>
  <si>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</si>
  <si>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</si>
  <si>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</si>
  <si>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</si>
  <si>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</si>
  <si>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</si>
  <si>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</si>
  <si>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</si>
  <si>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</si>
  <si>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</si>
  <si>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</si>
  <si>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</si>
  <si>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</si>
  <si>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</si>
  <si>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</si>
  <si>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</si>
  <si>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</si>
  <si>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</si>
  <si>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</si>
  <si>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</si>
  <si>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</si>
  <si>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</si>
  <si>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</si>
  <si>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</si>
  <si>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</si>
  <si>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</si>
  <si>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</si>
  <si>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</si>
  <si>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</si>
  <si>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</si>
  <si>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</si>
  <si>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</si>
  <si>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</si>
  <si>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</si>
  <si>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</si>
  <si>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</si>
  <si>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</si>
  <si>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</si>
  <si>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</si>
  <si>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</si>
  <si>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</si>
  <si>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</si>
  <si>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</si>
  <si>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</si>
  <si>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</si>
  <si>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</si>
  <si>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</si>
  <si>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</si>
  <si>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</si>
  <si>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</si>
  <si>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</si>
  <si>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David Johnson</t>
  </si>
  <si>
    <t>Default values provided are Yahoo and ESPN average auction values for 10 team leagues with standard scoring.</t>
  </si>
  <si>
    <t>Le'Veon Bell</t>
  </si>
  <si>
    <t>Ezekiel Elliott</t>
  </si>
  <si>
    <t>Antonio Brown</t>
  </si>
  <si>
    <t>Odell Beckham Jr.</t>
  </si>
  <si>
    <t>Julio Jones</t>
  </si>
  <si>
    <t>Mike Evans</t>
  </si>
  <si>
    <t>LeSean McCoy</t>
  </si>
  <si>
    <t>Melvin Gordon</t>
  </si>
  <si>
    <t>Jordan Howard</t>
  </si>
  <si>
    <t>A.J. Green</t>
  </si>
  <si>
    <t>Devonta Freeman</t>
  </si>
  <si>
    <t>Michael Thomas</t>
  </si>
  <si>
    <t>T.Y. Hilton</t>
  </si>
  <si>
    <t>Amari Cooper</t>
  </si>
  <si>
    <t>Doug Baldwin</t>
  </si>
  <si>
    <t>Rob Gronkowski</t>
  </si>
  <si>
    <t>Todd Gurley</t>
  </si>
  <si>
    <t>DeAndre Hopkins</t>
  </si>
  <si>
    <t>Lamar Miller</t>
  </si>
  <si>
    <t>Leonard Fournette</t>
  </si>
  <si>
    <t>Aaron Rodgers</t>
  </si>
  <si>
    <t>Brandin Cooks</t>
  </si>
  <si>
    <t>Demaryius Thomas</t>
  </si>
  <si>
    <t>Tom Brady</t>
  </si>
  <si>
    <t>Christian McCaffrey</t>
  </si>
  <si>
    <t>Allen Robinson</t>
  </si>
  <si>
    <t>Joe Mixon</t>
  </si>
  <si>
    <t>Alshon Jeffery</t>
  </si>
  <si>
    <t>Sammy Watkins</t>
  </si>
  <si>
    <t>Travis Kelce</t>
  </si>
  <si>
    <t>Drew Brees</t>
  </si>
  <si>
    <t>Spencer Ware</t>
  </si>
  <si>
    <t>Carlos Hyde</t>
  </si>
  <si>
    <t>Davante Adams</t>
  </si>
  <si>
    <t>Jordan Reed</t>
  </si>
  <si>
    <t>Mark Ingram</t>
  </si>
  <si>
    <t>Andrew Luck</t>
  </si>
  <si>
    <t>Keenan Allen</t>
  </si>
  <si>
    <t>Julian Edelman</t>
  </si>
  <si>
    <t>C.J. Anderson</t>
  </si>
  <si>
    <t>Tyreek Hill</t>
  </si>
  <si>
    <t>Greg Olsen</t>
  </si>
  <si>
    <t>Ty Montgomery</t>
  </si>
  <si>
    <t>Jarvis Landry</t>
  </si>
  <si>
    <t>Matt Ryan</t>
  </si>
  <si>
    <t>Emmanuel Sanders</t>
  </si>
  <si>
    <t>Latavius Murray</t>
  </si>
  <si>
    <t>Dalvin Cook</t>
  </si>
  <si>
    <t>Jimmy Graham</t>
  </si>
  <si>
    <t>Doug Martin</t>
  </si>
  <si>
    <t>Tevin Coleman</t>
  </si>
  <si>
    <t>Donte Moncrief</t>
  </si>
  <si>
    <t>Marcus Mariota</t>
  </si>
  <si>
    <t>Russell Wilson</t>
  </si>
  <si>
    <t>Larry Fitzgerald</t>
  </si>
  <si>
    <t>Golden Tate</t>
  </si>
  <si>
    <t>Derrick Henry</t>
  </si>
  <si>
    <t>Cam Newton</t>
  </si>
  <si>
    <t>Jamison Crowder</t>
  </si>
  <si>
    <t>DeSean Jackson</t>
  </si>
  <si>
    <t>Denver Broncos</t>
  </si>
  <si>
    <t>Willie Snead</t>
  </si>
  <si>
    <t>Delanie Walker</t>
  </si>
  <si>
    <t>Tyler Eifert</t>
  </si>
  <si>
    <t>Justin Tucker</t>
  </si>
  <si>
    <t>Bilal Powell</t>
  </si>
  <si>
    <t>Ben Roethlisberger</t>
  </si>
  <si>
    <t>Ameer Abdullah</t>
  </si>
  <si>
    <t>Seattle Seahawks</t>
  </si>
  <si>
    <t>Kareem Hunt</t>
  </si>
  <si>
    <t>Jameis Winston</t>
  </si>
  <si>
    <t>Frank Gore</t>
  </si>
  <si>
    <t>Dak Prescott</t>
  </si>
  <si>
    <t>Samaje Perine</t>
  </si>
  <si>
    <t>Derek Carr</t>
  </si>
  <si>
    <t>Miami Dolphins</t>
  </si>
  <si>
    <t>Kirk Cousins</t>
  </si>
  <si>
    <t>Stefon Diggs</t>
  </si>
  <si>
    <t>Corey Davis</t>
  </si>
  <si>
    <t>Stephen Gostkowski</t>
  </si>
  <si>
    <t>Kyle Rudolph</t>
  </si>
  <si>
    <t>Dion Lewis</t>
  </si>
  <si>
    <t>Tyrell Williams</t>
  </si>
  <si>
    <t>John Brown</t>
  </si>
  <si>
    <t>Theo Riddick</t>
  </si>
  <si>
    <t>Houston Texans</t>
  </si>
  <si>
    <t>Atlanta Falcons</t>
  </si>
  <si>
    <t>Chris Boswell</t>
  </si>
  <si>
    <t>C.J. Prosise</t>
  </si>
  <si>
    <t>Kenneth Dixon</t>
  </si>
  <si>
    <t>Kansas City Chiefs</t>
  </si>
  <si>
    <t>New England Patriots</t>
  </si>
  <si>
    <t>Jamaal Williams</t>
  </si>
  <si>
    <t>Mike Williams</t>
  </si>
  <si>
    <t>Zach Ertz</t>
  </si>
  <si>
    <t>Matthew Stafford</t>
  </si>
  <si>
    <t>Randall Cobb</t>
  </si>
  <si>
    <t>Rishard Matthews</t>
  </si>
  <si>
    <t>John Ross</t>
  </si>
  <si>
    <t>Joe Flacco</t>
  </si>
  <si>
    <t>Los Angeles Rams</t>
  </si>
  <si>
    <t>Philip Rivers</t>
  </si>
  <si>
    <t>Minnesota Vikings</t>
  </si>
  <si>
    <t>Dan Bailey</t>
  </si>
  <si>
    <t>O.J. Howard</t>
  </si>
  <si>
    <t>Andy Dalton</t>
  </si>
  <si>
    <t>Tyrod Taylor</t>
  </si>
  <si>
    <t>Eli Manning</t>
  </si>
  <si>
    <t>Quincy Enunwa</t>
  </si>
  <si>
    <t>Tennessee Titans</t>
  </si>
  <si>
    <t>Jack Doyle</t>
  </si>
  <si>
    <t>Carson Wentz</t>
  </si>
  <si>
    <t>James White</t>
  </si>
  <si>
    <t>Arizona Cardinals</t>
  </si>
  <si>
    <t>Mason Crosby</t>
  </si>
  <si>
    <t>Taylor Gabriel</t>
  </si>
  <si>
    <t>Deshaun Watson</t>
  </si>
  <si>
    <t>Adam Vinatieri</t>
  </si>
  <si>
    <t>Adam Thielen</t>
  </si>
  <si>
    <t>Eric Ebron</t>
  </si>
  <si>
    <t>Blake Bortles</t>
  </si>
  <si>
    <t>Tyler Lockett</t>
  </si>
  <si>
    <t>Ryan Tannehill</t>
  </si>
  <si>
    <t>Sterling Shepard</t>
  </si>
  <si>
    <t>Josh Doctson</t>
  </si>
  <si>
    <t>David Njoku</t>
  </si>
  <si>
    <t>Zay Jones</t>
  </si>
  <si>
    <t>Allen Hurns</t>
  </si>
  <si>
    <t>Cole Beasley</t>
  </si>
  <si>
    <t>Marlon Mack</t>
  </si>
  <si>
    <t>Dallas Cowboys</t>
  </si>
  <si>
    <t>Evan Engram</t>
  </si>
  <si>
    <t>Wil Lutz</t>
  </si>
  <si>
    <t>Philadelphia Eagles</t>
  </si>
  <si>
    <t>Tampa Bay Buccaneers</t>
  </si>
  <si>
    <t>Cameron Brate</t>
  </si>
  <si>
    <t>Austin Hooper</t>
  </si>
  <si>
    <t>Los Angeles Chargers</t>
  </si>
  <si>
    <t>Baltimore Ravens</t>
  </si>
  <si>
    <t>New York Giants</t>
  </si>
  <si>
    <t>Pittsburgh Steelers</t>
  </si>
  <si>
    <t>Jared Cook</t>
  </si>
  <si>
    <t>Steven Hauschka</t>
  </si>
  <si>
    <t>Green Bay Packers</t>
  </si>
  <si>
    <t>Jacksonville Jaguars</t>
  </si>
  <si>
    <t>Cincinnati Bengals</t>
  </si>
  <si>
    <t>Chris Hogan</t>
  </si>
  <si>
    <t>Brandon McManus</t>
  </si>
  <si>
    <t>Mohamed Sanu</t>
  </si>
  <si>
    <t>Chandler Catanzaro</t>
  </si>
  <si>
    <t>Matt Prater</t>
  </si>
  <si>
    <t>Cairo Santos</t>
  </si>
  <si>
    <t>New York Jets</t>
  </si>
  <si>
    <t>Graham Gano</t>
  </si>
  <si>
    <t>Buffalo Bills</t>
  </si>
  <si>
    <t>Jesse James</t>
  </si>
  <si>
    <t>Ryan Succop</t>
  </si>
  <si>
    <t>Dustin Hopkins</t>
  </si>
  <si>
    <t>Danny Amendola</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</si>
  <si>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</si>
  <si>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</si>
  <si>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</si>
  <si>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</si>
  <si>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</si>
  <si>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</si>
  <si>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</si>
  <si>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</si>
  <si>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</si>
  <si>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</si>
  <si>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</si>
  <si>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</si>
  <si>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</si>
  <si>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</si>
  <si>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</si>
  <si>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</si>
  <si>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</si>
  <si>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</si>
  <si>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</si>
  <si>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</si>
  <si>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</si>
  <si>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</si>
  <si>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</si>
  <si>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</si>
  <si>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</si>
  <si>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</si>
  <si>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</si>
  <si>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</si>
  <si>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</si>
  <si>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</si>
  <si>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</si>
  <si>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</si>
  <si>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</si>
  <si>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</si>
  <si>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</si>
  <si>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</si>
  <si>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</si>
  <si>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</si>
  <si>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</si>
  <si>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CIN</t>
  </si>
  <si>
    <t>JAC</t>
  </si>
  <si>
    <t>NYG</t>
  </si>
  <si>
    <t>PHI</t>
  </si>
  <si>
    <t>ARI</t>
  </si>
  <si>
    <t>BAL</t>
  </si>
  <si>
    <t>KC</t>
  </si>
  <si>
    <t>MIN</t>
  </si>
  <si>
    <t>MIA</t>
  </si>
  <si>
    <t>CHI</t>
  </si>
  <si>
    <t>Brian Hoyer</t>
  </si>
  <si>
    <t>SF</t>
  </si>
  <si>
    <t>Jared Goff</t>
  </si>
  <si>
    <t>LAR</t>
  </si>
  <si>
    <t>NYJ</t>
  </si>
  <si>
    <t>Trevor Siemian</t>
  </si>
  <si>
    <t>DEN</t>
  </si>
  <si>
    <t>HOU</t>
  </si>
  <si>
    <t>CLE</t>
  </si>
  <si>
    <t>Mitch Trubisky</t>
  </si>
  <si>
    <t>Sean Mannion</t>
  </si>
  <si>
    <t>Patrick Mahomes</t>
  </si>
  <si>
    <t>Teddy Bridgewater</t>
  </si>
  <si>
    <t>Blaine Gabbert</t>
  </si>
  <si>
    <t>C.J. Beathard</t>
  </si>
  <si>
    <t>Chad Henne</t>
  </si>
  <si>
    <t>Nick Foles</t>
  </si>
  <si>
    <t>Geno Smith</t>
  </si>
  <si>
    <t>Case Keenum</t>
  </si>
  <si>
    <t>Jimmy Garoppolo</t>
  </si>
  <si>
    <t>Colt McCoy</t>
  </si>
  <si>
    <t>Ryan Griffin</t>
  </si>
  <si>
    <t>Ryan Fitzpatrick</t>
  </si>
  <si>
    <t>Chase Daniel</t>
  </si>
  <si>
    <t>Receiving</t>
  </si>
  <si>
    <t>REC</t>
  </si>
  <si>
    <t>Duke Johnson</t>
  </si>
  <si>
    <t>Giovani Bernard</t>
  </si>
  <si>
    <t>Chris Thompson</t>
  </si>
  <si>
    <t>Rex Burkhead</t>
  </si>
  <si>
    <t>T.J. Yeldon</t>
  </si>
  <si>
    <t>DeAndre Washington</t>
  </si>
  <si>
    <t>Jalen Richard</t>
  </si>
  <si>
    <t>Jerick McKinnon</t>
  </si>
  <si>
    <t>D'Onta Foreman</t>
  </si>
  <si>
    <t>Alvin Kamara</t>
  </si>
  <si>
    <t>Devontae Booker</t>
  </si>
  <si>
    <t>Damien Williams</t>
  </si>
  <si>
    <t>Wendell Smallwood</t>
  </si>
  <si>
    <t>James Conner</t>
  </si>
  <si>
    <t>Kenyan Drake</t>
  </si>
  <si>
    <t>Tarik Cohen</t>
  </si>
  <si>
    <t>Wayne Gallman</t>
  </si>
  <si>
    <t>Kyle Juszczyk</t>
  </si>
  <si>
    <t>Alfred Blue</t>
  </si>
  <si>
    <t>Elijah McGuire</t>
  </si>
  <si>
    <t>Aaron Jones</t>
  </si>
  <si>
    <t>Javorius Allen</t>
  </si>
  <si>
    <t>Malcolm Brown</t>
  </si>
  <si>
    <t>Corey Grant</t>
  </si>
  <si>
    <t>Chris Carson</t>
  </si>
  <si>
    <t>Peyton Barber</t>
  </si>
  <si>
    <t>Derek Watt</t>
  </si>
  <si>
    <t>Raheem Mostert</t>
  </si>
  <si>
    <t>Keith Smith</t>
  </si>
  <si>
    <t>Taiwan Jones</t>
  </si>
  <si>
    <t>Rod Smith</t>
  </si>
  <si>
    <t>Marcus Murphy</t>
  </si>
  <si>
    <t>Michael Burton</t>
  </si>
  <si>
    <t>Devante Parker</t>
  </si>
  <si>
    <t>Marvin Jones</t>
  </si>
  <si>
    <t>Ted Ginn</t>
  </si>
  <si>
    <t>Kenny Stills</t>
  </si>
  <si>
    <t>Robby Anderson</t>
  </si>
  <si>
    <t>Robert Woods</t>
  </si>
  <si>
    <t>Devin Funchess</t>
  </si>
  <si>
    <t>Chris Conley</t>
  </si>
  <si>
    <t>Marqise Lee</t>
  </si>
  <si>
    <t>Curtis Samuel</t>
  </si>
  <si>
    <t>Seth Roberts</t>
  </si>
  <si>
    <t>Kenny Golladay</t>
  </si>
  <si>
    <t>Marquise Goodwin</t>
  </si>
  <si>
    <t>Tyler Boyd</t>
  </si>
  <si>
    <t>Travis Benjamin</t>
  </si>
  <si>
    <t>Jermaine Kearse</t>
  </si>
  <si>
    <t>Cooper Kupp</t>
  </si>
  <si>
    <t>Phillip Dorsett</t>
  </si>
  <si>
    <t>Laquon Treadwell</t>
  </si>
  <si>
    <t>Albert Wilson</t>
  </si>
  <si>
    <t>Adam Humphries</t>
  </si>
  <si>
    <t>Will Fuller</t>
  </si>
  <si>
    <t>Chris Godwin</t>
  </si>
  <si>
    <t>Paul Richardson</t>
  </si>
  <si>
    <t>Geronimo Allison</t>
  </si>
  <si>
    <t>JuJu Smith-Schuster</t>
  </si>
  <si>
    <t>Chad Williams</t>
  </si>
  <si>
    <t>Jaron Brown</t>
  </si>
  <si>
    <t>Dede Westbrook</t>
  </si>
  <si>
    <t>Nelson Agholor</t>
  </si>
  <si>
    <t>Josh Reynolds</t>
  </si>
  <si>
    <t>Taywan Taylor</t>
  </si>
  <si>
    <t>Cordarrelle Patterson</t>
  </si>
  <si>
    <t>Tajae Sharpe</t>
  </si>
  <si>
    <t>Andre Roberts</t>
  </si>
  <si>
    <t>Demarcus Robinson</t>
  </si>
  <si>
    <t>Chris Moore</t>
  </si>
  <si>
    <t>Jarius Wright</t>
  </si>
  <si>
    <t>Chester Rogers</t>
  </si>
  <si>
    <t>Rashard Higgins</t>
  </si>
  <si>
    <t>Cody Latimer</t>
  </si>
  <si>
    <t>Ryan Grant</t>
  </si>
  <si>
    <t>Alex Erickson</t>
  </si>
  <si>
    <t>Jakeem Grant</t>
  </si>
  <si>
    <t>Trent Taylor</t>
  </si>
  <si>
    <t>Damiere Byrd</t>
  </si>
  <si>
    <t>Ryan Switzer</t>
  </si>
  <si>
    <t>Noah Brown</t>
  </si>
  <si>
    <t>Maurice Harris</t>
  </si>
  <si>
    <t>Isaiah McKenzie</t>
  </si>
  <si>
    <t>Mack Hollins</t>
  </si>
  <si>
    <t>Name</t>
  </si>
  <si>
    <t>FlexStatus</t>
  </si>
  <si>
    <t>FlexFPTS</t>
  </si>
  <si>
    <t>PosRank</t>
  </si>
  <si>
    <t>StarterCount</t>
  </si>
  <si>
    <t>Charles Clay</t>
  </si>
  <si>
    <t>Tyler Higbee</t>
  </si>
  <si>
    <t>Vance McDonald</t>
  </si>
  <si>
    <t>Benjamin Watson</t>
  </si>
  <si>
    <t>Gerald Everett</t>
  </si>
  <si>
    <t>George Kittle</t>
  </si>
  <si>
    <t>Marcedes Lewis</t>
  </si>
  <si>
    <t>Trey Burton</t>
  </si>
  <si>
    <t>Adam Shaheen</t>
  </si>
  <si>
    <t>Maxx Williams</t>
  </si>
  <si>
    <t>Nick Boyle</t>
  </si>
  <si>
    <t>Luke Willson</t>
  </si>
  <si>
    <t>Jonnu Smith</t>
  </si>
  <si>
    <t>Demetrius Harris</t>
  </si>
  <si>
    <t>Ed Dickson</t>
  </si>
  <si>
    <t>Nick Vannett</t>
  </si>
  <si>
    <t>Geoff Swaim</t>
  </si>
  <si>
    <t>Tyler Kroft</t>
  </si>
  <si>
    <t>Jake Butt</t>
  </si>
  <si>
    <t>C.J. Uzomah</t>
  </si>
  <si>
    <t>Chris Manhertz</t>
  </si>
  <si>
    <t>Eric Saubert</t>
  </si>
  <si>
    <t>Logan Thomas</t>
  </si>
  <si>
    <t>Eric Tomlinson</t>
  </si>
  <si>
    <t xml:space="preserve">Player Name </t>
  </si>
  <si>
    <t>Bye</t>
  </si>
  <si>
    <t xml:space="preserve"> Team </t>
  </si>
  <si>
    <t xml:space="preserve">fg </t>
  </si>
  <si>
    <t xml:space="preserve">fga </t>
  </si>
  <si>
    <t xml:space="preserve">xpt </t>
  </si>
  <si>
    <t xml:space="preserve">fpts </t>
  </si>
  <si>
    <t>Randy Bullock</t>
  </si>
  <si>
    <t>Jason Myers</t>
  </si>
  <si>
    <t>Robbie Gould</t>
  </si>
  <si>
    <t>Greg Zuerlein</t>
  </si>
  <si>
    <t>Jake Elliott</t>
  </si>
  <si>
    <t>Harrison Butker</t>
  </si>
  <si>
    <t>Team</t>
  </si>
  <si>
    <t>DEF1</t>
  </si>
  <si>
    <t>DEF2</t>
  </si>
  <si>
    <t>Carolina Panthers</t>
  </si>
  <si>
    <t>DEF3</t>
  </si>
  <si>
    <t>DEF4</t>
  </si>
  <si>
    <t>DEF5</t>
  </si>
  <si>
    <t>Detroit Lions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</si>
  <si>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</si>
  <si>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</si>
  <si>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</si>
  <si>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</si>
  <si>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</si>
  <si>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</si>
  <si>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</si>
  <si>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</si>
  <si>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</si>
  <si>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</si>
  <si>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</si>
  <si>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</si>
  <si>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</si>
  <si>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</si>
  <si>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</si>
  <si>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</si>
  <si>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</si>
  <si>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</si>
  <si>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</si>
  <si>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</si>
  <si>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</si>
  <si>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</si>
  <si>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</si>
  <si>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</si>
  <si>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</si>
  <si>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</si>
  <si>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</si>
  <si>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</si>
  <si>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</si>
  <si>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</si>
  <si>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</si>
  <si>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</si>
  <si>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</si>
  <si>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</si>
  <si>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</si>
  <si>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</si>
  <si>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</si>
  <si>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</si>
  <si>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</si>
  <si>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</si>
  <si>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</si>
  <si>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</si>
  <si>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</si>
  <si>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</si>
  <si>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</si>
  <si>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</si>
  <si>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</si>
  <si>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</si>
  <si>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</si>
  <si>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</si>
  <si>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</si>
  <si>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</si>
  <si>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</si>
  <si>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</si>
  <si>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</si>
  <si>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</si>
  <si>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Josh Gordon</t>
  </si>
  <si>
    <t>Nathan Peterman</t>
  </si>
  <si>
    <t>Team 2</t>
  </si>
  <si>
    <t>Team 11</t>
  </si>
  <si>
    <t>Team 12</t>
  </si>
  <si>
    <t>Team 3</t>
  </si>
  <si>
    <t>Team 4</t>
  </si>
  <si>
    <t>Team 6</t>
  </si>
  <si>
    <t>Team 5</t>
  </si>
  <si>
    <t>Team 7</t>
  </si>
  <si>
    <t>Team 8</t>
  </si>
  <si>
    <t>Team 9</t>
  </si>
  <si>
    <t>Team 10</t>
  </si>
  <si>
    <t>Matt Breida</t>
  </si>
  <si>
    <t>Josh Rosen</t>
  </si>
  <si>
    <t>Josh Allen</t>
  </si>
  <si>
    <t>Sam Darnold</t>
  </si>
  <si>
    <t>Baker Mayfield</t>
  </si>
  <si>
    <t>Lamar Jackson</t>
  </si>
  <si>
    <t>Jacoby Brissett</t>
  </si>
  <si>
    <t>Cooper Rush</t>
  </si>
  <si>
    <t>Mason Rudolph</t>
  </si>
  <si>
    <t>Taylor Heinicke</t>
  </si>
  <si>
    <t>Taysom Hill</t>
  </si>
  <si>
    <t>Nate Sudfeld</t>
  </si>
  <si>
    <t>Saquon Barkley</t>
  </si>
  <si>
    <t>Royce Freeman</t>
  </si>
  <si>
    <t>Rashaad Penny</t>
  </si>
  <si>
    <t>Ronald Jones II</t>
  </si>
  <si>
    <t>Kerryon Johnson</t>
  </si>
  <si>
    <t>Sony Michel</t>
  </si>
  <si>
    <t>Corey Clement</t>
  </si>
  <si>
    <t>Nick Chubb</t>
  </si>
  <si>
    <t>Austin Ekeler</t>
  </si>
  <si>
    <t>Nyheim Hines</t>
  </si>
  <si>
    <t>Jordan Wilkins</t>
  </si>
  <si>
    <t>Chase Edmonds</t>
  </si>
  <si>
    <t>Kalen Ballage</t>
  </si>
  <si>
    <t>John Kelly</t>
  </si>
  <si>
    <t>Justin Jackson</t>
  </si>
  <si>
    <t>Mark Walton</t>
  </si>
  <si>
    <t>Jaylen Samuels</t>
  </si>
  <si>
    <t>J.D. McKissic</t>
  </si>
  <si>
    <t>Boston Scott</t>
  </si>
  <si>
    <t>Ito Smith</t>
  </si>
  <si>
    <t>Phillip Lindsay</t>
  </si>
  <si>
    <t>Trenton Cannon</t>
  </si>
  <si>
    <t>Calvin Ridley</t>
  </si>
  <si>
    <t>D.J. Moore</t>
  </si>
  <si>
    <t>Courtland Sutton</t>
  </si>
  <si>
    <t>Keelan Cole</t>
  </si>
  <si>
    <t>Michael Gallup</t>
  </si>
  <si>
    <t>Anthony Miller</t>
  </si>
  <si>
    <t>James Washington</t>
  </si>
  <si>
    <t>Christian Kirk</t>
  </si>
  <si>
    <t>Tre'Quan Smith</t>
  </si>
  <si>
    <t>Antonio Callaway</t>
  </si>
  <si>
    <t>Dante Pettis</t>
  </si>
  <si>
    <t>Keke Coutee</t>
  </si>
  <si>
    <t>D.J. Chark</t>
  </si>
  <si>
    <t>J'Mon Moore</t>
  </si>
  <si>
    <t>DaeSean Hamilton</t>
  </si>
  <si>
    <t>Kendrick Bourne</t>
  </si>
  <si>
    <t>Marquez Valdes-Scantling</t>
  </si>
  <si>
    <t>Equanimeous St. Brown</t>
  </si>
  <si>
    <t>Richie James</t>
  </si>
  <si>
    <t>Justin Watson</t>
  </si>
  <si>
    <t>Russell Gage</t>
  </si>
  <si>
    <t>Trey Quinn</t>
  </si>
  <si>
    <t>Marcell Ateman</t>
  </si>
  <si>
    <t>Ricky Seals-Jones</t>
  </si>
  <si>
    <t>Mike Gesicki</t>
  </si>
  <si>
    <t>Hayden Hurst</t>
  </si>
  <si>
    <t>Blake Jarwin</t>
  </si>
  <si>
    <t>Dallas Goedert</t>
  </si>
  <si>
    <t>Mark Andrews</t>
  </si>
  <si>
    <t>Chris Herndon IV</t>
  </si>
  <si>
    <t>Jordan Akins</t>
  </si>
  <si>
    <t>Will Dissly</t>
  </si>
  <si>
    <t>Durham Smythe</t>
  </si>
  <si>
    <t>Ian Thomas</t>
  </si>
  <si>
    <t>Dalton Schultz</t>
  </si>
  <si>
    <t>Tyler Conklin</t>
  </si>
  <si>
    <t>Cethan Carter</t>
  </si>
  <si>
    <t>Jordan Thomas</t>
  </si>
  <si>
    <t>Daniel Carlson</t>
  </si>
  <si>
    <t>Ka'imi Fairbairn</t>
  </si>
  <si>
    <t>Jason Sanders</t>
  </si>
  <si>
    <t>PASSING ATT</t>
  </si>
  <si>
    <t>PASSING CMP</t>
  </si>
  <si>
    <t>PASSING YDS</t>
  </si>
  <si>
    <t>PASSING TDS</t>
  </si>
  <si>
    <t>PASSING INTS</t>
  </si>
  <si>
    <t>RUSHING ATT</t>
  </si>
  <si>
    <t>RUSHING YDS</t>
  </si>
  <si>
    <t>RUSHING TDS</t>
  </si>
  <si>
    <t>MISC FL</t>
  </si>
  <si>
    <t>MISC FPTS</t>
  </si>
  <si>
    <t>RECEIVING REC</t>
  </si>
  <si>
    <t>RECEIVING YDS</t>
  </si>
  <si>
    <t>RECEIVING TDS</t>
  </si>
  <si>
    <t>Mike Davis</t>
  </si>
  <si>
    <t>FG</t>
  </si>
  <si>
    <t>FGA</t>
  </si>
  <si>
    <t>XPT</t>
  </si>
  <si>
    <t>SACK</t>
  </si>
  <si>
    <t>INT</t>
  </si>
  <si>
    <t>FR</t>
  </si>
  <si>
    <t>FF</t>
  </si>
  <si>
    <t>TD</t>
  </si>
  <si>
    <t>SAFETY</t>
  </si>
  <si>
    <t>PA</t>
  </si>
  <si>
    <t>YDS AGN</t>
  </si>
  <si>
    <t>0.5</t>
  </si>
  <si>
    <t>2.7</t>
  </si>
  <si>
    <t>Mike Thomas</t>
  </si>
  <si>
    <t>2.5</t>
  </si>
  <si>
    <t>2.2</t>
  </si>
  <si>
    <t>Adrian Peterson</t>
  </si>
  <si>
    <t>Brett Maher</t>
  </si>
  <si>
    <t>Jeff Driskel</t>
  </si>
  <si>
    <t>Gus Edwards</t>
  </si>
  <si>
    <t>Mike Boone</t>
  </si>
  <si>
    <t>Tim Patrick</t>
  </si>
  <si>
    <t>Jake Kumerow</t>
  </si>
  <si>
    <t>David Moore</t>
  </si>
  <si>
    <t>Robert Foster</t>
  </si>
  <si>
    <t>Dan Arnold</t>
  </si>
  <si>
    <t>DeAndre Carter</t>
  </si>
  <si>
    <t>Zach Pascal</t>
  </si>
  <si>
    <t>Kyler Murray</t>
  </si>
  <si>
    <t>Dwayne Haskins</t>
  </si>
  <si>
    <t>Drew Lock</t>
  </si>
  <si>
    <t>Daniel Jones</t>
  </si>
  <si>
    <t>Will Grier</t>
  </si>
  <si>
    <t>Nick Mullens</t>
  </si>
  <si>
    <t>Joshua Dobbs</t>
  </si>
  <si>
    <t>Brandon Allen</t>
  </si>
  <si>
    <t>Jarrett Stidham</t>
  </si>
  <si>
    <t>Brett Rypien</t>
  </si>
  <si>
    <t>Kyle Allen</t>
  </si>
  <si>
    <t>Tyree Jackson</t>
  </si>
  <si>
    <t>Easton Stick</t>
  </si>
  <si>
    <t>Mike White</t>
  </si>
  <si>
    <t>Josh Jacobs</t>
  </si>
  <si>
    <t>David Montgomery</t>
  </si>
  <si>
    <t>Derrius Guice</t>
  </si>
  <si>
    <t>Miles Sanders</t>
  </si>
  <si>
    <t>Darrell Henderson</t>
  </si>
  <si>
    <t>Damien Harris</t>
  </si>
  <si>
    <t>Alexander Mattison</t>
  </si>
  <si>
    <t>Justice Hill</t>
  </si>
  <si>
    <t>Devin Singletary</t>
  </si>
  <si>
    <t>Darwin Thompson</t>
  </si>
  <si>
    <t>Tony Pollard</t>
  </si>
  <si>
    <t>Bryce Love</t>
  </si>
  <si>
    <t>Ryquell Armstead</t>
  </si>
  <si>
    <t>Benny Snell Jr.</t>
  </si>
  <si>
    <t>Rodney Anderson</t>
  </si>
  <si>
    <t>Jordan Scarlett</t>
  </si>
  <si>
    <t>Dexter Williams</t>
  </si>
  <si>
    <t>Myles Gaskin</t>
  </si>
  <si>
    <t>Brandon Bolden</t>
  </si>
  <si>
    <t>Darrel Williams</t>
  </si>
  <si>
    <t>Brian Hill</t>
  </si>
  <si>
    <t>Travis Homer</t>
  </si>
  <si>
    <t>Qadree Ollison</t>
  </si>
  <si>
    <t>Bruce Anderson</t>
  </si>
  <si>
    <t>Trayveon Williams</t>
  </si>
  <si>
    <t>Dwayne Washington</t>
  </si>
  <si>
    <t>Patrick Ricard</t>
  </si>
  <si>
    <t>Mike Weber</t>
  </si>
  <si>
    <t>Dontrell Hilliard</t>
  </si>
  <si>
    <t>Dare Ogunbowale</t>
  </si>
  <si>
    <t>Josh Adams</t>
  </si>
  <si>
    <t>Jeff Wilson</t>
  </si>
  <si>
    <t>Ty Johnson</t>
  </si>
  <si>
    <t>Jonathan Williams</t>
  </si>
  <si>
    <t>Elijah Holyfield</t>
  </si>
  <si>
    <t>Devine Ozigbo</t>
  </si>
  <si>
    <t>Karan Higdon</t>
  </si>
  <si>
    <t>N'Keal Harry</t>
  </si>
  <si>
    <t>D.K. Metcalf</t>
  </si>
  <si>
    <t>Parris Campbell</t>
  </si>
  <si>
    <t>Marquise Brown</t>
  </si>
  <si>
    <t>A.J. Brown</t>
  </si>
  <si>
    <t>Deebo Samuel</t>
  </si>
  <si>
    <t>Breshad Perriman</t>
  </si>
  <si>
    <t>Andy Isabella</t>
  </si>
  <si>
    <t>Mecole Hardman</t>
  </si>
  <si>
    <t>Dontrelle Inman</t>
  </si>
  <si>
    <t>Hakeem Butler</t>
  </si>
  <si>
    <t>Terry McLaurin</t>
  </si>
  <si>
    <t>Hunter Renfrow</t>
  </si>
  <si>
    <t>Miles Boykin</t>
  </si>
  <si>
    <t>J.J. Arcega-Whiteside</t>
  </si>
  <si>
    <t>Chad Beebe</t>
  </si>
  <si>
    <t>Keith Kirkwood</t>
  </si>
  <si>
    <t>Jalen Hurd</t>
  </si>
  <si>
    <t>Gary Jennings</t>
  </si>
  <si>
    <t>Jordan Matthews</t>
  </si>
  <si>
    <t>Kelvin Harmon</t>
  </si>
  <si>
    <t>Diontae Johnson</t>
  </si>
  <si>
    <t>Preston Williams</t>
  </si>
  <si>
    <t>Darius Slayton</t>
  </si>
  <si>
    <t>Riley Ridley</t>
  </si>
  <si>
    <t>Deon Cain</t>
  </si>
  <si>
    <t>KeeSean Johnson</t>
  </si>
  <si>
    <t>Brandon Powell</t>
  </si>
  <si>
    <t>Braxton Berrios</t>
  </si>
  <si>
    <t>Byron Pringle</t>
  </si>
  <si>
    <t>River Cracraft</t>
  </si>
  <si>
    <t>Kalif Raymond</t>
  </si>
  <si>
    <t>Malik Turner</t>
  </si>
  <si>
    <t>Allen Lazard</t>
  </si>
  <si>
    <t>Daurice Fountain</t>
  </si>
  <si>
    <t>Trent Sherfield</t>
  </si>
  <si>
    <t>Antoine Wesley</t>
  </si>
  <si>
    <t>Emanuel Hall</t>
  </si>
  <si>
    <t>Cam Sims</t>
  </si>
  <si>
    <t>Penny Hart</t>
  </si>
  <si>
    <t>Ashton Dulin</t>
  </si>
  <si>
    <t>Greg Dortch</t>
  </si>
  <si>
    <t>Hunter Henry</t>
  </si>
  <si>
    <t>Noah Fant</t>
  </si>
  <si>
    <t>T.J. Hockenson</t>
  </si>
  <si>
    <t>Jason Witten</t>
  </si>
  <si>
    <t>Darren Waller</t>
  </si>
  <si>
    <t>Jace Sternberger</t>
  </si>
  <si>
    <t>Josh Oliver</t>
  </si>
  <si>
    <t>Kahale Warring</t>
  </si>
  <si>
    <t>Irv Smith Jr.</t>
  </si>
  <si>
    <t>Mo Alie-Cox</t>
  </si>
  <si>
    <t>Dawson Knox</t>
  </si>
  <si>
    <t>Tanner Hudson</t>
  </si>
  <si>
    <t>Drew Sample</t>
  </si>
  <si>
    <t>Anthony Firkser</t>
  </si>
  <si>
    <t>Foster Moreau</t>
  </si>
  <si>
    <t>Zach Gentry</t>
  </si>
  <si>
    <t>Trevon Wesco</t>
  </si>
  <si>
    <t>Blake Bell</t>
  </si>
  <si>
    <t>Robert Tonyan</t>
  </si>
  <si>
    <t>Tommy Sweeney</t>
  </si>
  <si>
    <t>Jordan Franks</t>
  </si>
  <si>
    <t>Johnny Mundt</t>
  </si>
  <si>
    <t>Ross Dwelley</t>
  </si>
  <si>
    <t>Michael Badgley</t>
  </si>
  <si>
    <t>Austin Seibert</t>
  </si>
  <si>
    <t>Matt Gay</t>
  </si>
  <si>
    <t>Greg Joseph</t>
  </si>
  <si>
    <t>2.4</t>
  </si>
  <si>
    <t>Full Name</t>
  </si>
  <si>
    <t>Free Agent</t>
  </si>
  <si>
    <t>Click to update projections:</t>
  </si>
  <si>
    <t>DeVante Parker</t>
  </si>
  <si>
    <t>Cameron Meredith</t>
  </si>
  <si>
    <t>Alex Smith</t>
  </si>
  <si>
    <t>Jacquizz Rodgers</t>
  </si>
  <si>
    <t>Corey Coleman</t>
  </si>
  <si>
    <t>Age</t>
  </si>
  <si>
    <t>Alex Collins</t>
  </si>
  <si>
    <t>Austin Seferian-Jenkins</t>
  </si>
  <si>
    <t>Benny Snell J</t>
  </si>
  <si>
    <t>Bruce Ellington</t>
  </si>
  <si>
    <t>Chris Warren III</t>
  </si>
  <si>
    <t>DaMarkus Lodge</t>
  </si>
  <si>
    <t>Dez Bryant</t>
  </si>
  <si>
    <t>Irv Smith J</t>
  </si>
  <si>
    <t>Isaiah Crowell</t>
  </si>
  <si>
    <t>James Williams</t>
  </si>
  <si>
    <t>Jay Ajayi</t>
  </si>
  <si>
    <t>Jordy Nelson</t>
  </si>
  <si>
    <t>Kelvin Benjamin</t>
  </si>
  <si>
    <t>LeGarrette Blount</t>
  </si>
  <si>
    <t>Lil'Jordan Humphrey</t>
  </si>
  <si>
    <t>Marshawn Lynch</t>
  </si>
  <si>
    <t>Michael Crabtree</t>
  </si>
  <si>
    <t>Pierre Garcon</t>
  </si>
  <si>
    <t>Roc Thomas</t>
  </si>
  <si>
    <t>AGE</t>
  </si>
  <si>
    <t>Jakobi Meyers</t>
  </si>
  <si>
    <t>Mark Ingram II</t>
  </si>
  <si>
    <t>Darrell Henderson Jr.</t>
  </si>
  <si>
    <t>Jeff Wilson Jr.</t>
  </si>
  <si>
    <t>Cameron Batson</t>
  </si>
  <si>
    <t>Nick Folk</t>
  </si>
  <si>
    <t>Younghoe Koo</t>
  </si>
  <si>
    <t>KhaDarel Hodge</t>
  </si>
  <si>
    <t>Scotty Miller</t>
  </si>
  <si>
    <t>Josh Johnson</t>
  </si>
  <si>
    <t>Bonus Calculator</t>
  </si>
  <si>
    <t>points per</t>
  </si>
  <si>
    <t>yards</t>
  </si>
  <si>
    <t>Bonus</t>
  </si>
  <si>
    <t>2.3</t>
  </si>
  <si>
    <t>D'Ernest Johnson</t>
  </si>
  <si>
    <t>Las Vegas Raiders</t>
  </si>
  <si>
    <t>Joey Slye</t>
  </si>
  <si>
    <t>LV</t>
  </si>
  <si>
    <t>Tyler Bass</t>
  </si>
  <si>
    <t>Devin Asiasi</t>
  </si>
  <si>
    <t>Cole Kmet</t>
  </si>
  <si>
    <t>Andrew Beck</t>
  </si>
  <si>
    <t>Stephen Sullivan</t>
  </si>
  <si>
    <t>Harrison Bryant</t>
  </si>
  <si>
    <t>Jesper Horsted</t>
  </si>
  <si>
    <t>Josiah Deguara</t>
  </si>
  <si>
    <t>Adam Trautman</t>
  </si>
  <si>
    <t>Brycen Hopkins</t>
  </si>
  <si>
    <t>Pharaoh Brown</t>
  </si>
  <si>
    <t>Albert Okwuegbunam</t>
  </si>
  <si>
    <t>Charlie Woerner</t>
  </si>
  <si>
    <t>J.P. Holtz</t>
  </si>
  <si>
    <t>Colby Parkinson</t>
  </si>
  <si>
    <t>Kendall Blanton</t>
  </si>
  <si>
    <t>Jared Pinkney</t>
  </si>
  <si>
    <t>CeeDee Lamb</t>
  </si>
  <si>
    <t>Jalen Reagor</t>
  </si>
  <si>
    <t>Jerry Jeudy</t>
  </si>
  <si>
    <t>Justin Jefferson</t>
  </si>
  <si>
    <t>Michael Pittman Jr.</t>
  </si>
  <si>
    <t>Brandon Aiyuk</t>
  </si>
  <si>
    <t>Denzel Mims</t>
  </si>
  <si>
    <t>Tee Higgins</t>
  </si>
  <si>
    <t>Chase Claypool</t>
  </si>
  <si>
    <t>KJ Hamler</t>
  </si>
  <si>
    <t>Laviska Shenault Jr.</t>
  </si>
  <si>
    <t>Devin Duvernay</t>
  </si>
  <si>
    <t>Van Jefferson</t>
  </si>
  <si>
    <t>Greg Ward</t>
  </si>
  <si>
    <t>Tyler Johnson</t>
  </si>
  <si>
    <t>Quintez Cephus</t>
  </si>
  <si>
    <t>Antonio Gibson</t>
  </si>
  <si>
    <t>Bryan Edwards</t>
  </si>
  <si>
    <t>Jamal Agnew</t>
  </si>
  <si>
    <t>Olamide Zaccheaus</t>
  </si>
  <si>
    <t>Gunner Olszewski</t>
  </si>
  <si>
    <t>Dezmon Patmon</t>
  </si>
  <si>
    <t>Gabriel Davis</t>
  </si>
  <si>
    <t>Cody Hollister</t>
  </si>
  <si>
    <t>Lynn Bowden Jr.</t>
  </si>
  <si>
    <t>Donovan Peoples-Jones</t>
  </si>
  <si>
    <t>Jeff Smith</t>
  </si>
  <si>
    <t>Darnell Mooney</t>
  </si>
  <si>
    <t>K.J. Osborn</t>
  </si>
  <si>
    <t>Nsimba Webster</t>
  </si>
  <si>
    <t>Quez Watkins</t>
  </si>
  <si>
    <t>Isaiah Coulter</t>
  </si>
  <si>
    <t>Jalen Guyton</t>
  </si>
  <si>
    <t>Stanley Morgan Jr.</t>
  </si>
  <si>
    <t>Jauan Jennings</t>
  </si>
  <si>
    <t>Marquez Callaway</t>
  </si>
  <si>
    <t>Trenton Irwin</t>
  </si>
  <si>
    <t>Tyrie Cleveland</t>
  </si>
  <si>
    <t>Gardner Minshew II</t>
  </si>
  <si>
    <t>Joe Burrow</t>
  </si>
  <si>
    <t>Tua Tagovailoa</t>
  </si>
  <si>
    <t>Justin Herbert</t>
  </si>
  <si>
    <t>Jalen Hurts</t>
  </si>
  <si>
    <t>John Wolford</t>
  </si>
  <si>
    <t>Jordan Love</t>
  </si>
  <si>
    <t>Jacob Eason</t>
  </si>
  <si>
    <t>Clyde Edwards-Helaire</t>
  </si>
  <si>
    <t>Jonathan Taylor</t>
  </si>
  <si>
    <t>D'Andre Swift</t>
  </si>
  <si>
    <t>Cam Akers</t>
  </si>
  <si>
    <t>J.K. Dobbins</t>
  </si>
  <si>
    <t>Zack Moss</t>
  </si>
  <si>
    <t>Ke'Shawn Vaughn</t>
  </si>
  <si>
    <t>Darrynton Evans</t>
  </si>
  <si>
    <t>Joshua Kelley</t>
  </si>
  <si>
    <t>Anthony McFarland Jr.</t>
  </si>
  <si>
    <t>DeeJay Dallas</t>
  </si>
  <si>
    <t>Eno Benjamin</t>
  </si>
  <si>
    <t>Alec Ingold</t>
  </si>
  <si>
    <t>Khari Blasingame</t>
  </si>
  <si>
    <t>JaMycal Hasty</t>
  </si>
  <si>
    <t>James Robinson</t>
  </si>
  <si>
    <t>Jakob Johnson</t>
  </si>
  <si>
    <t>J.J. Taylor</t>
  </si>
  <si>
    <t>Salvon Ahmed</t>
  </si>
  <si>
    <t>Craig Reynolds</t>
  </si>
  <si>
    <t>AJ Dillon</t>
  </si>
  <si>
    <t>Steven Sims Jr.</t>
  </si>
  <si>
    <t>C.J. Ham</t>
  </si>
  <si>
    <t>Phillip Dorsett II</t>
  </si>
  <si>
    <t>13.8</t>
  </si>
  <si>
    <t>2.6</t>
  </si>
  <si>
    <t>2.1</t>
  </si>
  <si>
    <t>10.5</t>
  </si>
  <si>
    <t>10.0</t>
  </si>
  <si>
    <t>9.0</t>
  </si>
  <si>
    <t>12.7</t>
  </si>
  <si>
    <t>Rodrigo Blankenship</t>
  </si>
  <si>
    <t>Rico Dowdle</t>
  </si>
  <si>
    <t>Reggie Gilliam</t>
  </si>
  <si>
    <t>Ray-Ray McCloud</t>
  </si>
  <si>
    <t>Evan McPherson</t>
  </si>
  <si>
    <t>Patrick Mahomes II</t>
  </si>
  <si>
    <t>Trevor Lawrence</t>
  </si>
  <si>
    <t>Zach Wilson</t>
  </si>
  <si>
    <t>Justin Fields</t>
  </si>
  <si>
    <t>Trey Lance</t>
  </si>
  <si>
    <t>Mac Jones</t>
  </si>
  <si>
    <t>Davis Mills</t>
  </si>
  <si>
    <t>Kyle Trask</t>
  </si>
  <si>
    <t>Kellen Mond</t>
  </si>
  <si>
    <t>Sam Ehlinger</t>
  </si>
  <si>
    <t>Ian Book</t>
  </si>
  <si>
    <t>Tyler Huntley</t>
  </si>
  <si>
    <t>Najee Harris</t>
  </si>
  <si>
    <t>Javonte Williams</t>
  </si>
  <si>
    <t>Melvin Gordon III</t>
  </si>
  <si>
    <t>Michael Carter</t>
  </si>
  <si>
    <t>Kenneth Gainwell</t>
  </si>
  <si>
    <t>Jake Funk</t>
  </si>
  <si>
    <t>Chuba Hubbard</t>
  </si>
  <si>
    <t>Rhamondre Stevenson</t>
  </si>
  <si>
    <t>Jermar Jefferson</t>
  </si>
  <si>
    <t>Elijah Mitchell</t>
  </si>
  <si>
    <t>Kene Nwangwu</t>
  </si>
  <si>
    <t>Gary Brightwell</t>
  </si>
  <si>
    <t>Kylin Hill</t>
  </si>
  <si>
    <t>Chris Evans</t>
  </si>
  <si>
    <t>Khalil Herbert</t>
  </si>
  <si>
    <t>Antonio Williams</t>
  </si>
  <si>
    <t>Jason Cabinda</t>
  </si>
  <si>
    <t>Tony Jones Jr.</t>
  </si>
  <si>
    <t>Allen Robinson II</t>
  </si>
  <si>
    <t>Ja'Marr Chase</t>
  </si>
  <si>
    <t>DeVonta Smith</t>
  </si>
  <si>
    <t>Marvin Jones Jr.</t>
  </si>
  <si>
    <t>Jaylen Waddle</t>
  </si>
  <si>
    <t>Rashod Bateman</t>
  </si>
  <si>
    <t>Elijah Moore</t>
  </si>
  <si>
    <t>Rondale Moore</t>
  </si>
  <si>
    <t>Terrace Marshall Jr.</t>
  </si>
  <si>
    <t>Amon-Ra St. Brown</t>
  </si>
  <si>
    <t>Kadarius Toney</t>
  </si>
  <si>
    <t>Nico Collins</t>
  </si>
  <si>
    <t>Tyron Johnson</t>
  </si>
  <si>
    <t>Dyami Brown</t>
  </si>
  <si>
    <t>Tutu Atwell</t>
  </si>
  <si>
    <t>Amari Rodgers</t>
  </si>
  <si>
    <t>Dez Fitzpatrick</t>
  </si>
  <si>
    <t>Anthony Schwartz</t>
  </si>
  <si>
    <t>Juwan Johnson</t>
  </si>
  <si>
    <t>Frank Darby</t>
  </si>
  <si>
    <t>Nick Westbrook-Ikhine</t>
  </si>
  <si>
    <t>Jaelon Darden</t>
  </si>
  <si>
    <t>Tylan Wallace</t>
  </si>
  <si>
    <t>Ihmir Smith-Marsette</t>
  </si>
  <si>
    <t>Simi Fehoko</t>
  </si>
  <si>
    <t>Shi Smith</t>
  </si>
  <si>
    <t>Kendall Hinton</t>
  </si>
  <si>
    <t>Lawrence Cager</t>
  </si>
  <si>
    <t>Dan Chisena</t>
  </si>
  <si>
    <t>Kyle Pitts</t>
  </si>
  <si>
    <t>Donald Parham Jr.</t>
  </si>
  <si>
    <t>Pat Freiermuth</t>
  </si>
  <si>
    <t>Hunter Long</t>
  </si>
  <si>
    <t>Jacob Harris</t>
  </si>
  <si>
    <t>Noah Gray</t>
  </si>
  <si>
    <t>Brevin Jordan</t>
  </si>
  <si>
    <t>Luke Farrell</t>
  </si>
  <si>
    <t>John Bates</t>
  </si>
  <si>
    <t>Tommy Tremble</t>
  </si>
  <si>
    <t>Tre' McKitty</t>
  </si>
  <si>
    <t>Ben Ellefson</t>
  </si>
  <si>
    <t>Kylen Granson</t>
  </si>
  <si>
    <t>Kevin Rader</t>
  </si>
  <si>
    <t>Colin Thompson</t>
  </si>
  <si>
    <t>15.2</t>
  </si>
  <si>
    <t>8.9</t>
  </si>
  <si>
    <t>8.8</t>
  </si>
  <si>
    <t>12.8</t>
  </si>
  <si>
    <t>Joshua Palmer</t>
  </si>
  <si>
    <t>Zach Davidson</t>
  </si>
  <si>
    <t>Mike Strachan</t>
  </si>
  <si>
    <t>Racey McMath</t>
  </si>
  <si>
    <t>James Proche II</t>
  </si>
  <si>
    <t>Chris Myarick</t>
  </si>
  <si>
    <t>Kristian Wilkerson</t>
  </si>
  <si>
    <t>Tre Nixon</t>
  </si>
  <si>
    <t>Marquez Stevenson</t>
  </si>
  <si>
    <t>Dax Milne</t>
  </si>
  <si>
    <t>Ben Skowronek</t>
  </si>
  <si>
    <t>Feleipe Franks</t>
  </si>
  <si>
    <t>John Lovett</t>
  </si>
  <si>
    <r>
      <t xml:space="preserve">Auction data aggregated by /u/jacobyjones </t>
    </r>
    <r>
      <rPr>
        <sz val="11"/>
        <color theme="0"/>
        <rFont val="Calibri"/>
        <family val="2"/>
        <scheme val="minor"/>
      </rPr>
      <t>https://ffootball-data.herokuapp.com/auction-data.php</t>
    </r>
  </si>
  <si>
    <t>11.8</t>
  </si>
  <si>
    <t>10.1</t>
  </si>
  <si>
    <t>WR/TE</t>
  </si>
  <si>
    <t>Jaret Patterson</t>
  </si>
  <si>
    <t>FantasyPros</t>
  </si>
  <si>
    <t>9.3</t>
  </si>
  <si>
    <t>13.6</t>
  </si>
  <si>
    <t>14.6</t>
  </si>
  <si>
    <t>14.3</t>
  </si>
  <si>
    <t>9.5</t>
  </si>
  <si>
    <t>3.0</t>
  </si>
  <si>
    <t>12.5</t>
  </si>
  <si>
    <t>10.4</t>
  </si>
  <si>
    <t>14.2</t>
  </si>
  <si>
    <t>2.8</t>
  </si>
  <si>
    <t>18.0</t>
  </si>
  <si>
    <t>14.9</t>
  </si>
  <si>
    <t>8.4</t>
  </si>
  <si>
    <t>13.2</t>
  </si>
  <si>
    <t>14.0</t>
  </si>
  <si>
    <t>16.5</t>
  </si>
  <si>
    <t>Mekhi Sargent</t>
  </si>
  <si>
    <t>Richie James Jr.</t>
  </si>
  <si>
    <t>Jason Moore Jr.</t>
  </si>
  <si>
    <t>Kenny Yeboah</t>
  </si>
  <si>
    <t>Kenny Pickett</t>
  </si>
  <si>
    <t>Desmond Ridder</t>
  </si>
  <si>
    <t>Malik Willis</t>
  </si>
  <si>
    <t>Sam Howell</t>
  </si>
  <si>
    <t>Washington Commanders</t>
  </si>
  <si>
    <t>Elijah</t>
  </si>
  <si>
    <t>Mitchell</t>
  </si>
  <si>
    <t>Jonathan</t>
  </si>
  <si>
    <t>Taylor</t>
  </si>
  <si>
    <t>Derrick</t>
  </si>
  <si>
    <t>Henry</t>
  </si>
  <si>
    <t>Austin</t>
  </si>
  <si>
    <t>Ekeler</t>
  </si>
  <si>
    <t>Christian</t>
  </si>
  <si>
    <t>McCaffrey</t>
  </si>
  <si>
    <t>Cooper</t>
  </si>
  <si>
    <t>Kupp</t>
  </si>
  <si>
    <t>Joe</t>
  </si>
  <si>
    <t>Mixon</t>
  </si>
  <si>
    <t>Dalvin</t>
  </si>
  <si>
    <t>Cook</t>
  </si>
  <si>
    <t>Najee</t>
  </si>
  <si>
    <t>Harris</t>
  </si>
  <si>
    <t>Ja'Marr</t>
  </si>
  <si>
    <t>Chase</t>
  </si>
  <si>
    <t>Justin</t>
  </si>
  <si>
    <t>Jefferson</t>
  </si>
  <si>
    <t>Deebo</t>
  </si>
  <si>
    <t>Samuel</t>
  </si>
  <si>
    <t>Travis</t>
  </si>
  <si>
    <t>Kelce</t>
  </si>
  <si>
    <t>Aaron</t>
  </si>
  <si>
    <t>Jones</t>
  </si>
  <si>
    <t>James</t>
  </si>
  <si>
    <t>Conner</t>
  </si>
  <si>
    <t>Leonard</t>
  </si>
  <si>
    <t>Fournette</t>
  </si>
  <si>
    <t>Mark</t>
  </si>
  <si>
    <t>Andrews</t>
  </si>
  <si>
    <t>Nick</t>
  </si>
  <si>
    <t>Chubb</t>
  </si>
  <si>
    <t>Alvin</t>
  </si>
  <si>
    <t>Kamara</t>
  </si>
  <si>
    <t>Josh</t>
  </si>
  <si>
    <t>Allen</t>
  </si>
  <si>
    <t>David</t>
  </si>
  <si>
    <t>Montgomery</t>
  </si>
  <si>
    <t>Javonte</t>
  </si>
  <si>
    <t>Williams</t>
  </si>
  <si>
    <t>D'Andre</t>
  </si>
  <si>
    <t>Swift</t>
  </si>
  <si>
    <t>Davante</t>
  </si>
  <si>
    <t>Adams</t>
  </si>
  <si>
    <t>Saquon</t>
  </si>
  <si>
    <t>Barkley</t>
  </si>
  <si>
    <t>Antonio</t>
  </si>
  <si>
    <t>Gibson</t>
  </si>
  <si>
    <t>Cam</t>
  </si>
  <si>
    <t>Akers</t>
  </si>
  <si>
    <t>Ezekiel</t>
  </si>
  <si>
    <t>Elliott</t>
  </si>
  <si>
    <t>Mike</t>
  </si>
  <si>
    <t>Evans</t>
  </si>
  <si>
    <t>Stefon</t>
  </si>
  <si>
    <t>Diggs</t>
  </si>
  <si>
    <t>CeeDee</t>
  </si>
  <si>
    <t>Lamb</t>
  </si>
  <si>
    <t>Jacobs</t>
  </si>
  <si>
    <t>Patrick</t>
  </si>
  <si>
    <t>J.K.</t>
  </si>
  <si>
    <t>Dobbins</t>
  </si>
  <si>
    <t>Tyreek</t>
  </si>
  <si>
    <t>Hill</t>
  </si>
  <si>
    <t>Tee</t>
  </si>
  <si>
    <t>Higgins</t>
  </si>
  <si>
    <t>A.J.</t>
  </si>
  <si>
    <t>Brown</t>
  </si>
  <si>
    <t>Breece</t>
  </si>
  <si>
    <t>Hall</t>
  </si>
  <si>
    <t>Damien</t>
  </si>
  <si>
    <t>Miles</t>
  </si>
  <si>
    <t>Sanders</t>
  </si>
  <si>
    <t>Herbert</t>
  </si>
  <si>
    <t>Kyler</t>
  </si>
  <si>
    <t>Murray</t>
  </si>
  <si>
    <t>Lamar</t>
  </si>
  <si>
    <t>Jackson</t>
  </si>
  <si>
    <t>Jalen</t>
  </si>
  <si>
    <t>Hurts</t>
  </si>
  <si>
    <t>Michael</t>
  </si>
  <si>
    <t>Pittman</t>
  </si>
  <si>
    <t>Jr.</t>
  </si>
  <si>
    <t>Moore</t>
  </si>
  <si>
    <t>Devin</t>
  </si>
  <si>
    <t>Singletary</t>
  </si>
  <si>
    <t>Kyle</t>
  </si>
  <si>
    <t>Pitts</t>
  </si>
  <si>
    <t>Rashaad</t>
  </si>
  <si>
    <t>Penny</t>
  </si>
  <si>
    <t>Brandin</t>
  </si>
  <si>
    <t>Cooks</t>
  </si>
  <si>
    <t>Cordarrelle</t>
  </si>
  <si>
    <t>Patterson</t>
  </si>
  <si>
    <t>Darren</t>
  </si>
  <si>
    <t>Waller</t>
  </si>
  <si>
    <t>Keenan</t>
  </si>
  <si>
    <t>AJ</t>
  </si>
  <si>
    <t>Dillon</t>
  </si>
  <si>
    <t>Metcalf</t>
  </si>
  <si>
    <t>Dak</t>
  </si>
  <si>
    <t>Prescott</t>
  </si>
  <si>
    <t>Diontae</t>
  </si>
  <si>
    <t>Johnson</t>
  </si>
  <si>
    <t>Tom</t>
  </si>
  <si>
    <t>Brady</t>
  </si>
  <si>
    <t>Gabriel</t>
  </si>
  <si>
    <t>Davis</t>
  </si>
  <si>
    <t>George</t>
  </si>
  <si>
    <t>Kittle</t>
  </si>
  <si>
    <t>Tony</t>
  </si>
  <si>
    <t>Pollard</t>
  </si>
  <si>
    <t>Dalton</t>
  </si>
  <si>
    <t>Schultz</t>
  </si>
  <si>
    <t>Terry</t>
  </si>
  <si>
    <t>McLaurin</t>
  </si>
  <si>
    <t>Jaylen</t>
  </si>
  <si>
    <t>Waddle</t>
  </si>
  <si>
    <t>Amon-Ra</t>
  </si>
  <si>
    <t>St.</t>
  </si>
  <si>
    <t>Clyde</t>
  </si>
  <si>
    <t>Edwards-Helaire</t>
  </si>
  <si>
    <t>Jerry</t>
  </si>
  <si>
    <t>Jeudy</t>
  </si>
  <si>
    <t>Burrow</t>
  </si>
  <si>
    <t>Tyler</t>
  </si>
  <si>
    <t>Lockett</t>
  </si>
  <si>
    <t>Amari</t>
  </si>
  <si>
    <t>Chris</t>
  </si>
  <si>
    <t>Godwin</t>
  </si>
  <si>
    <t>Courtland</t>
  </si>
  <si>
    <t>Sutton</t>
  </si>
  <si>
    <t>Dallas</t>
  </si>
  <si>
    <t>Goedert</t>
  </si>
  <si>
    <t>Darnell</t>
  </si>
  <si>
    <t>Mooney</t>
  </si>
  <si>
    <t>Kareem</t>
  </si>
  <si>
    <t>Hunt</t>
  </si>
  <si>
    <t>Marquise</t>
  </si>
  <si>
    <t>Melvin</t>
  </si>
  <si>
    <t>Gordon</t>
  </si>
  <si>
    <t>Thomas</t>
  </si>
  <si>
    <t>Rodgers</t>
  </si>
  <si>
    <t>Adam</t>
  </si>
  <si>
    <t>Thielen</t>
  </si>
  <si>
    <t>Matthew</t>
  </si>
  <si>
    <t>Stafford</t>
  </si>
  <si>
    <t>Rhamondre</t>
  </si>
  <si>
    <t>Stevenson</t>
  </si>
  <si>
    <t>Edmonds</t>
  </si>
  <si>
    <t>Trey</t>
  </si>
  <si>
    <t>Lance</t>
  </si>
  <si>
    <t>Robinson</t>
  </si>
  <si>
    <t>Hunter</t>
  </si>
  <si>
    <t>Renfrow</t>
  </si>
  <si>
    <t>JuJu</t>
  </si>
  <si>
    <t>Smith-Schuster</t>
  </si>
  <si>
    <t>Ken</t>
  </si>
  <si>
    <t>Walker</t>
  </si>
  <si>
    <t>III</t>
  </si>
  <si>
    <t>Russell</t>
  </si>
  <si>
    <t>Wilson</t>
  </si>
  <si>
    <t>Marlon</t>
  </si>
  <si>
    <t>Mack</t>
  </si>
  <si>
    <t>Robert</t>
  </si>
  <si>
    <t>Woods</t>
  </si>
  <si>
    <t>T.J.</t>
  </si>
  <si>
    <t>Hockenson</t>
  </si>
  <si>
    <t>Treylon</t>
  </si>
  <si>
    <t>Burks</t>
  </si>
  <si>
    <t>Claypool</t>
  </si>
  <si>
    <t>Dawson</t>
  </si>
  <si>
    <t>Knox</t>
  </si>
  <si>
    <t>DeVonta</t>
  </si>
  <si>
    <t>Smith</t>
  </si>
  <si>
    <t>Derek</t>
  </si>
  <si>
    <t>Carr</t>
  </si>
  <si>
    <t>Jamaal</t>
  </si>
  <si>
    <t>Kirk</t>
  </si>
  <si>
    <t>Cousins</t>
  </si>
  <si>
    <t>Carter</t>
  </si>
  <si>
    <t>Rashod</t>
  </si>
  <si>
    <t>Bateman</t>
  </si>
  <si>
    <t>Ronald</t>
  </si>
  <si>
    <t>II</t>
  </si>
  <si>
    <t>Lazard</t>
  </si>
  <si>
    <t>Brandon</t>
  </si>
  <si>
    <t>Aiyuk</t>
  </si>
  <si>
    <t>Dameon</t>
  </si>
  <si>
    <t>Pierce</t>
  </si>
  <si>
    <t>Darrell</t>
  </si>
  <si>
    <t>Henderson</t>
  </si>
  <si>
    <t>Drake</t>
  </si>
  <si>
    <t>London</t>
  </si>
  <si>
    <t>Gus</t>
  </si>
  <si>
    <t>Edwards</t>
  </si>
  <si>
    <t>Ingram</t>
  </si>
  <si>
    <t>Raheem</t>
  </si>
  <si>
    <t>Mostert</t>
  </si>
  <si>
    <t>Alexander</t>
  </si>
  <si>
    <t>Mattison</t>
  </si>
  <si>
    <t>Kenneth</t>
  </si>
  <si>
    <t>Gainwell</t>
  </si>
  <si>
    <t>Gallup</t>
  </si>
  <si>
    <t>Rachaad</t>
  </si>
  <si>
    <t>White</t>
  </si>
  <si>
    <t>Zach</t>
  </si>
  <si>
    <t>Ertz</t>
  </si>
  <si>
    <t>DeAndre</t>
  </si>
  <si>
    <t>Hopkins</t>
  </si>
  <si>
    <t>Isaiah</t>
  </si>
  <si>
    <t>Spiller</t>
  </si>
  <si>
    <t>McKissic</t>
  </si>
  <si>
    <t>Kenny</t>
  </si>
  <si>
    <t>Golladay</t>
  </si>
  <si>
    <t>Kenyan</t>
  </si>
  <si>
    <t>Mecole</t>
  </si>
  <si>
    <t>Hardman</t>
  </si>
  <si>
    <t>Gesicki</t>
  </si>
  <si>
    <t>Nyheim</t>
  </si>
  <si>
    <t>Hines</t>
  </si>
  <si>
    <t>Rex</t>
  </si>
  <si>
    <t>Burkhead</t>
  </si>
  <si>
    <t>Tua</t>
  </si>
  <si>
    <t>Tagovailoa</t>
  </si>
  <si>
    <t>Allgeier</t>
  </si>
  <si>
    <t>Higbee</t>
  </si>
  <si>
    <t>Buffalo</t>
  </si>
  <si>
    <t>Bills</t>
  </si>
  <si>
    <t>Cole</t>
  </si>
  <si>
    <t>Kmet</t>
  </si>
  <si>
    <t>Darrel</t>
  </si>
  <si>
    <t>DeVante</t>
  </si>
  <si>
    <t>Parker</t>
  </si>
  <si>
    <t>Jerick</t>
  </si>
  <si>
    <t>McKinnon</t>
  </si>
  <si>
    <t>Marquez</t>
  </si>
  <si>
    <t>Valdes-Scantling</t>
  </si>
  <si>
    <t>Noah</t>
  </si>
  <si>
    <t>Fant</t>
  </si>
  <si>
    <t>Pat</t>
  </si>
  <si>
    <t>Freiermuth</t>
  </si>
  <si>
    <t>Pittsburgh</t>
  </si>
  <si>
    <t>Steelers</t>
  </si>
  <si>
    <t>Ryan</t>
  </si>
  <si>
    <t>Tannehill</t>
  </si>
  <si>
    <t>Tampa</t>
  </si>
  <si>
    <t>Bay</t>
  </si>
  <si>
    <t>Buccaneers</t>
  </si>
  <si>
    <t>Tim</t>
  </si>
  <si>
    <t>Cowboys</t>
  </si>
  <si>
    <t>Daniel</t>
  </si>
  <si>
    <t>Carlson</t>
  </si>
  <si>
    <t>Njoku</t>
  </si>
  <si>
    <t>Evan</t>
  </si>
  <si>
    <t>McPherson</t>
  </si>
  <si>
    <t>Gerald</t>
  </si>
  <si>
    <t>Everett</t>
  </si>
  <si>
    <t>Green</t>
  </si>
  <si>
    <t>Packers</t>
  </si>
  <si>
    <t>Greg</t>
  </si>
  <si>
    <t>Joseph</t>
  </si>
  <si>
    <t>Harrison</t>
  </si>
  <si>
    <t>Butker</t>
  </si>
  <si>
    <t>Indianapolis</t>
  </si>
  <si>
    <t>Colts</t>
  </si>
  <si>
    <t>Irv</t>
  </si>
  <si>
    <t>Jakobi</t>
  </si>
  <si>
    <t>Meyers</t>
  </si>
  <si>
    <t>Jarvis</t>
  </si>
  <si>
    <t>Landry</t>
  </si>
  <si>
    <t>Garibay</t>
  </si>
  <si>
    <t>Fields</t>
  </si>
  <si>
    <t>Tucker</t>
  </si>
  <si>
    <t>Kadarius</t>
  </si>
  <si>
    <t>Toney</t>
  </si>
  <si>
    <t>Los</t>
  </si>
  <si>
    <t>Angeles</t>
  </si>
  <si>
    <t>Chargers</t>
  </si>
  <si>
    <t>Rams</t>
  </si>
  <si>
    <t>Marvin</t>
  </si>
  <si>
    <t>Mason</t>
  </si>
  <si>
    <t>Crosby</t>
  </si>
  <si>
    <t>Matt</t>
  </si>
  <si>
    <t>Gay</t>
  </si>
  <si>
    <t>Prater</t>
  </si>
  <si>
    <t>Miami</t>
  </si>
  <si>
    <t>Dolphins</t>
  </si>
  <si>
    <t>Minnesota</t>
  </si>
  <si>
    <t>Vikings</t>
  </si>
  <si>
    <t>New</t>
  </si>
  <si>
    <t>Orleans</t>
  </si>
  <si>
    <t>Saints</t>
  </si>
  <si>
    <t>Folk</t>
  </si>
  <si>
    <t>Robbie</t>
  </si>
  <si>
    <t>Anderson</t>
  </si>
  <si>
    <t>Succop</t>
  </si>
  <si>
    <t>San</t>
  </si>
  <si>
    <t>Francisco</t>
  </si>
  <si>
    <t>49ers</t>
  </si>
  <si>
    <t>Trevor</t>
  </si>
  <si>
    <t>Lawrence</t>
  </si>
  <si>
    <t>Bass</t>
  </si>
  <si>
    <t>Boyd</t>
  </si>
  <si>
    <t>Trautman</t>
  </si>
  <si>
    <t>Albert</t>
  </si>
  <si>
    <t>Okwuegbunam</t>
  </si>
  <si>
    <t>Alec</t>
  </si>
  <si>
    <t>Ameer</t>
  </si>
  <si>
    <t>Abdullah</t>
  </si>
  <si>
    <t>Arizona</t>
  </si>
  <si>
    <t>Cardinals</t>
  </si>
  <si>
    <t>Atlanta</t>
  </si>
  <si>
    <t>Falcons</t>
  </si>
  <si>
    <t>Hooper</t>
  </si>
  <si>
    <t>Baker</t>
  </si>
  <si>
    <t>Mayfield</t>
  </si>
  <si>
    <t>Baltimore</t>
  </si>
  <si>
    <t>Ravens</t>
  </si>
  <si>
    <t>Benny</t>
  </si>
  <si>
    <t>Snell</t>
  </si>
  <si>
    <t>Boston</t>
  </si>
  <si>
    <t>Scott</t>
  </si>
  <si>
    <t>Bolden</t>
  </si>
  <si>
    <t>McManus</t>
  </si>
  <si>
    <t>Braxton</t>
  </si>
  <si>
    <t>Berrios</t>
  </si>
  <si>
    <t>Brevin</t>
  </si>
  <si>
    <t>Jordan</t>
  </si>
  <si>
    <t>Brian</t>
  </si>
  <si>
    <t>Bryan</t>
  </si>
  <si>
    <t>Byron</t>
  </si>
  <si>
    <t>Pringle</t>
  </si>
  <si>
    <t>Uzomah</t>
  </si>
  <si>
    <t>Cade</t>
  </si>
  <si>
    <t>York</t>
  </si>
  <si>
    <t>Cairo</t>
  </si>
  <si>
    <t>Santos</t>
  </si>
  <si>
    <t>Cameron</t>
  </si>
  <si>
    <t>Brate</t>
  </si>
  <si>
    <t>Carolina</t>
  </si>
  <si>
    <t>Panthers</t>
  </si>
  <si>
    <t>Carson</t>
  </si>
  <si>
    <t>Wentz</t>
  </si>
  <si>
    <t>Cedrick</t>
  </si>
  <si>
    <t>Chicago</t>
  </si>
  <si>
    <t>Bears</t>
  </si>
  <si>
    <t>Boswell</t>
  </si>
  <si>
    <t>Conley</t>
  </si>
  <si>
    <t>Olave</t>
  </si>
  <si>
    <t>Watson</t>
  </si>
  <si>
    <t>Chuba</t>
  </si>
  <si>
    <t>Hubbard</t>
  </si>
  <si>
    <t>Cincinnati</t>
  </si>
  <si>
    <t>Bengals</t>
  </si>
  <si>
    <t>Cleveland</t>
  </si>
  <si>
    <t>Browns</t>
  </si>
  <si>
    <t>Corey</t>
  </si>
  <si>
    <t>Craig</t>
  </si>
  <si>
    <t>Reynolds</t>
  </si>
  <si>
    <t>Curtis</t>
  </si>
  <si>
    <t>D'Ernest</t>
  </si>
  <si>
    <t>D'Onta</t>
  </si>
  <si>
    <t>Foreman</t>
  </si>
  <si>
    <t>Chark</t>
  </si>
  <si>
    <t>Bell</t>
  </si>
  <si>
    <t>Mills</t>
  </si>
  <si>
    <t>Denver</t>
  </si>
  <si>
    <t>Broncos</t>
  </si>
  <si>
    <t>Deshaun</t>
  </si>
  <si>
    <t>Detroit</t>
  </si>
  <si>
    <t>Lions</t>
  </si>
  <si>
    <t>Duvernay</t>
  </si>
  <si>
    <t>Donovan</t>
  </si>
  <si>
    <t>Peoples-Jones</t>
  </si>
  <si>
    <t>Dontrell</t>
  </si>
  <si>
    <t>Hilliard</t>
  </si>
  <si>
    <t>Drew</t>
  </si>
  <si>
    <t>Lock</t>
  </si>
  <si>
    <t>Duke</t>
  </si>
  <si>
    <t>Dustin</t>
  </si>
  <si>
    <t>Eno</t>
  </si>
  <si>
    <t>Benjamin</t>
  </si>
  <si>
    <t>Engram</t>
  </si>
  <si>
    <t>Garrett</t>
  </si>
  <si>
    <t>Geno</t>
  </si>
  <si>
    <t>Pickens</t>
  </si>
  <si>
    <t>Giovani</t>
  </si>
  <si>
    <t>Bernard</t>
  </si>
  <si>
    <t>Graham</t>
  </si>
  <si>
    <t>Gano</t>
  </si>
  <si>
    <t>Hassan</t>
  </si>
  <si>
    <t>Haskins</t>
  </si>
  <si>
    <t>Hayden</t>
  </si>
  <si>
    <t>Hurst</t>
  </si>
  <si>
    <t>Houston</t>
  </si>
  <si>
    <t>Texans</t>
  </si>
  <si>
    <t>Jacksonville</t>
  </si>
  <si>
    <t>Jaguars</t>
  </si>
  <si>
    <t>Jacoby</t>
  </si>
  <si>
    <t>Brissett</t>
  </si>
  <si>
    <t>Jahan</t>
  </si>
  <si>
    <t>Dotson</t>
  </si>
  <si>
    <t>Jake</t>
  </si>
  <si>
    <t>Tolbert</t>
  </si>
  <si>
    <t>Jameis</t>
  </si>
  <si>
    <t>Winston</t>
  </si>
  <si>
    <t>Washington</t>
  </si>
  <si>
    <t>Jameson</t>
  </si>
  <si>
    <t>Jamison</t>
  </si>
  <si>
    <t>Crowder</t>
  </si>
  <si>
    <t>Jared</t>
  </si>
  <si>
    <t>Goff</t>
  </si>
  <si>
    <t>Jaret</t>
  </si>
  <si>
    <t>Jason</t>
  </si>
  <si>
    <t>Jeff</t>
  </si>
  <si>
    <t>Joshua</t>
  </si>
  <si>
    <t>Kelley</t>
  </si>
  <si>
    <t>Palmer</t>
  </si>
  <si>
    <t>Julio</t>
  </si>
  <si>
    <t>Osborn</t>
  </si>
  <si>
    <t>Kansas</t>
  </si>
  <si>
    <t>City</t>
  </si>
  <si>
    <t>Chiefs</t>
  </si>
  <si>
    <t>Ke'Shawn</t>
  </si>
  <si>
    <t>Vaughn</t>
  </si>
  <si>
    <t>Kendrick</t>
  </si>
  <si>
    <t>Bourne</t>
  </si>
  <si>
    <t>Pickett</t>
  </si>
  <si>
    <t>Khalil</t>
  </si>
  <si>
    <t>Juszczyk</t>
  </si>
  <si>
    <t>Rudolph</t>
  </si>
  <si>
    <t>Las</t>
  </si>
  <si>
    <t>Vegas</t>
  </si>
  <si>
    <t>Raiders</t>
  </si>
  <si>
    <t>Laviska</t>
  </si>
  <si>
    <t>Shenault</t>
  </si>
  <si>
    <t>Lirim</t>
  </si>
  <si>
    <t>Hajrullahu</t>
  </si>
  <si>
    <t>Logan</t>
  </si>
  <si>
    <t>Mac</t>
  </si>
  <si>
    <t>Marcus</t>
  </si>
  <si>
    <t>Mariota</t>
  </si>
  <si>
    <t>Breida</t>
  </si>
  <si>
    <t>Mitch</t>
  </si>
  <si>
    <t>Trubisky</t>
  </si>
  <si>
    <t>Mo</t>
  </si>
  <si>
    <t>Alie-Cox</t>
  </si>
  <si>
    <t>Nelson</t>
  </si>
  <si>
    <t>Agholor</t>
  </si>
  <si>
    <t>England</t>
  </si>
  <si>
    <t>Patriots</t>
  </si>
  <si>
    <t>Giants</t>
  </si>
  <si>
    <t>Jets</t>
  </si>
  <si>
    <t>Westbrook-Ikhine</t>
  </si>
  <si>
    <t>Nico</t>
  </si>
  <si>
    <t>Collins</t>
  </si>
  <si>
    <t>Olamide</t>
  </si>
  <si>
    <t>Zaccheaus</t>
  </si>
  <si>
    <t>Parris</t>
  </si>
  <si>
    <t>Campbell</t>
  </si>
  <si>
    <t>Philadelphia</t>
  </si>
  <si>
    <t>Eagles</t>
  </si>
  <si>
    <t>Phillip</t>
  </si>
  <si>
    <t>Lindsay</t>
  </si>
  <si>
    <t>Randall</t>
  </si>
  <si>
    <t>Cobb</t>
  </si>
  <si>
    <t>Randy</t>
  </si>
  <si>
    <t>Bullock</t>
  </si>
  <si>
    <t>Gould</t>
  </si>
  <si>
    <t>Tonyan</t>
  </si>
  <si>
    <t>Rodrigo</t>
  </si>
  <si>
    <t>Blankenship</t>
  </si>
  <si>
    <t>Rondale</t>
  </si>
  <si>
    <t>Gage</t>
  </si>
  <si>
    <t>Nall</t>
  </si>
  <si>
    <t>Samaje</t>
  </si>
  <si>
    <t>Perine</t>
  </si>
  <si>
    <t>Sammy</t>
  </si>
  <si>
    <t>Watkins</t>
  </si>
  <si>
    <t>Seattle</t>
  </si>
  <si>
    <t>Seahawks</t>
  </si>
  <si>
    <t>Skyy</t>
  </si>
  <si>
    <t>Sony</t>
  </si>
  <si>
    <t>Michel</t>
  </si>
  <si>
    <t>Sterling</t>
  </si>
  <si>
    <t>Shepard</t>
  </si>
  <si>
    <t>Tennessee</t>
  </si>
  <si>
    <t>Titans</t>
  </si>
  <si>
    <t>Terrace</t>
  </si>
  <si>
    <t>Marshall</t>
  </si>
  <si>
    <t>Tevin</t>
  </si>
  <si>
    <t>Coleman</t>
  </si>
  <si>
    <t>Tyrion</t>
  </si>
  <si>
    <t>Davis-Price</t>
  </si>
  <si>
    <t>Van</t>
  </si>
  <si>
    <t>Commanders</t>
  </si>
  <si>
    <t>Wil</t>
  </si>
  <si>
    <t>Lutz</t>
  </si>
  <si>
    <t>Younghoe</t>
  </si>
  <si>
    <t>Koo</t>
  </si>
  <si>
    <t>Zamir</t>
  </si>
  <si>
    <t>Zay</t>
  </si>
  <si>
    <t>Rob</t>
  </si>
  <si>
    <t>Gronkowski</t>
  </si>
  <si>
    <t>Zuerlein</t>
  </si>
  <si>
    <t>Odell</t>
  </si>
  <si>
    <t>Beckham</t>
  </si>
  <si>
    <t>Myles</t>
  </si>
  <si>
    <t>Gaskin</t>
  </si>
  <si>
    <t>Velus</t>
  </si>
  <si>
    <t>Wan'Dale</t>
  </si>
  <si>
    <t>Dee</t>
  </si>
  <si>
    <t>Eskridge</t>
  </si>
  <si>
    <t>DeeJay</t>
  </si>
  <si>
    <t>Dare</t>
  </si>
  <si>
    <t>Ogunbowale</t>
  </si>
  <si>
    <t>Jauan</t>
  </si>
  <si>
    <t>Jennings</t>
  </si>
  <si>
    <t>McKenzie</t>
  </si>
  <si>
    <t>Anthony</t>
  </si>
  <si>
    <t>Schwartz</t>
  </si>
  <si>
    <t>Malcolm</t>
  </si>
  <si>
    <t>Gary</t>
  </si>
  <si>
    <t>Brightwell</t>
  </si>
  <si>
    <t>Kene</t>
  </si>
  <si>
    <t>Nwangwu</t>
  </si>
  <si>
    <t>Snoop</t>
  </si>
  <si>
    <t>Rico</t>
  </si>
  <si>
    <t>Dowdle</t>
  </si>
  <si>
    <t>Demarcus</t>
  </si>
  <si>
    <t>Dan</t>
  </si>
  <si>
    <t>Arnold</t>
  </si>
  <si>
    <t>Tommy</t>
  </si>
  <si>
    <t>Tremble</t>
  </si>
  <si>
    <t>Jonnu</t>
  </si>
  <si>
    <t>Tutu</t>
  </si>
  <si>
    <t>Atwell</t>
  </si>
  <si>
    <t>KJ</t>
  </si>
  <si>
    <t>Hamler</t>
  </si>
  <si>
    <t>Trestan</t>
  </si>
  <si>
    <t>Ebner</t>
  </si>
  <si>
    <t>Homer</t>
  </si>
  <si>
    <t>Funk</t>
  </si>
  <si>
    <t>Dwayne</t>
  </si>
  <si>
    <t>Desmond</t>
  </si>
  <si>
    <t>Ridder</t>
  </si>
  <si>
    <t>Bryant</t>
  </si>
  <si>
    <t>Donald</t>
  </si>
  <si>
    <t>Parham</t>
  </si>
  <si>
    <t>Kylen</t>
  </si>
  <si>
    <t>Granson</t>
  </si>
  <si>
    <t>Bellinger</t>
  </si>
  <si>
    <t>Jimmy</t>
  </si>
  <si>
    <t>Garoppolo</t>
  </si>
  <si>
    <t>Sam</t>
  </si>
  <si>
    <t>Darnold</t>
  </si>
  <si>
    <t>Teddy</t>
  </si>
  <si>
    <t>Bridgewater</t>
  </si>
  <si>
    <t>Gardner</t>
  </si>
  <si>
    <t>Minshew</t>
  </si>
  <si>
    <t>Pierre</t>
  </si>
  <si>
    <t>Strong</t>
  </si>
  <si>
    <t>Boone</t>
  </si>
  <si>
    <t>John</t>
  </si>
  <si>
    <t>Bates</t>
  </si>
  <si>
    <t>Howard</t>
  </si>
  <si>
    <t>Otton</t>
  </si>
  <si>
    <t>McBride</t>
  </si>
  <si>
    <t>Foster</t>
  </si>
  <si>
    <t>Moreau</t>
  </si>
  <si>
    <t>Will</t>
  </si>
  <si>
    <t>Dissly</t>
  </si>
  <si>
    <t>O'Shaughnessy</t>
  </si>
  <si>
    <t>Conklin</t>
  </si>
  <si>
    <t>Jelani</t>
  </si>
  <si>
    <t>Taysom</t>
  </si>
  <si>
    <t>Dulcich</t>
  </si>
  <si>
    <t>Akins</t>
  </si>
  <si>
    <t>Huntley</t>
  </si>
  <si>
    <t>Tyrod</t>
  </si>
  <si>
    <t>Malik</t>
  </si>
  <si>
    <t>Willis</t>
  </si>
  <si>
    <t>Love</t>
  </si>
  <si>
    <t>Andy</t>
  </si>
  <si>
    <t>Heinicke</t>
  </si>
  <si>
    <t>Flacco</t>
  </si>
  <si>
    <t>Corral</t>
  </si>
  <si>
    <t>Chad</t>
  </si>
  <si>
    <t>Henne</t>
  </si>
  <si>
    <t>Joey</t>
  </si>
  <si>
    <t>Slye</t>
  </si>
  <si>
    <t>Seibert</t>
  </si>
  <si>
    <t>Santoso</t>
  </si>
  <si>
    <t>Myers</t>
  </si>
  <si>
    <t>Zane</t>
  </si>
  <si>
    <t>Gonzalez</t>
  </si>
  <si>
    <t>Ka'imi</t>
  </si>
  <si>
    <t>Fairbairn</t>
  </si>
  <si>
    <t>Dorsett</t>
  </si>
  <si>
    <t>Proche</t>
  </si>
  <si>
    <t>Tylan</t>
  </si>
  <si>
    <t>Wallace</t>
  </si>
  <si>
    <t>Geoff</t>
  </si>
  <si>
    <t>Swaim</t>
  </si>
  <si>
    <t>Calvin</t>
  </si>
  <si>
    <t>Darius</t>
  </si>
  <si>
    <t>Slayton</t>
  </si>
  <si>
    <t>Josiah</t>
  </si>
  <si>
    <t>Deguara</t>
  </si>
  <si>
    <t>Romeo</t>
  </si>
  <si>
    <t>Doubs</t>
  </si>
  <si>
    <t>Guyton</t>
  </si>
  <si>
    <t>Ihmir</t>
  </si>
  <si>
    <t>Smith-Marsette</t>
  </si>
  <si>
    <t>Freddie</t>
  </si>
  <si>
    <t>Swain</t>
  </si>
  <si>
    <t>Pharaoh</t>
  </si>
  <si>
    <t>Tyquan</t>
  </si>
  <si>
    <t>Thornton</t>
  </si>
  <si>
    <t>Quez</t>
  </si>
  <si>
    <t>Ian</t>
  </si>
  <si>
    <t>Ashton</t>
  </si>
  <si>
    <t>Dulin</t>
  </si>
  <si>
    <t>Keelan</t>
  </si>
  <si>
    <t>Zylstra</t>
  </si>
  <si>
    <t>Pascal</t>
  </si>
  <si>
    <t>Firkser</t>
  </si>
  <si>
    <t>Equanimeous</t>
  </si>
  <si>
    <t>Callaway</t>
  </si>
  <si>
    <t>Danny</t>
  </si>
  <si>
    <t>Gray</t>
  </si>
  <si>
    <t>Richie</t>
  </si>
  <si>
    <t>Erik</t>
  </si>
  <si>
    <t>Ezukanma</t>
  </si>
  <si>
    <t>Ricky</t>
  </si>
  <si>
    <t>Seals-Jones</t>
  </si>
  <si>
    <t>Laquon</t>
  </si>
  <si>
    <t>Treadwell</t>
  </si>
  <si>
    <t>Connor</t>
  </si>
  <si>
    <t>Heyward</t>
  </si>
  <si>
    <t>Trent</t>
  </si>
  <si>
    <t>Sherfield</t>
  </si>
  <si>
    <t>Boyle</t>
  </si>
  <si>
    <t>Racey</t>
  </si>
  <si>
    <t>McMath</t>
  </si>
  <si>
    <t>Dyami</t>
  </si>
  <si>
    <t>Reagor</t>
  </si>
  <si>
    <t>Tyree</t>
  </si>
  <si>
    <t>Kendall</t>
  </si>
  <si>
    <t>Blanton</t>
  </si>
  <si>
    <t>N'Keal</t>
  </si>
  <si>
    <t>Harry</t>
  </si>
  <si>
    <t>Rashard</t>
  </si>
  <si>
    <t>Kalif</t>
  </si>
  <si>
    <t>Raymond</t>
  </si>
  <si>
    <t>Breshad</t>
  </si>
  <si>
    <t>Perriman</t>
  </si>
  <si>
    <t>Damiere</t>
  </si>
  <si>
    <t>Byrd</t>
  </si>
  <si>
    <t>Vannett</t>
  </si>
  <si>
    <t>Sean</t>
  </si>
  <si>
    <t>McKeon</t>
  </si>
  <si>
    <t>Tre'</t>
  </si>
  <si>
    <t>McKitty</t>
  </si>
  <si>
    <t>Blake</t>
  </si>
  <si>
    <t>Marcedes</t>
  </si>
  <si>
    <t>Lewis</t>
  </si>
  <si>
    <t>Jamal</t>
  </si>
  <si>
    <t>Agnew</t>
  </si>
  <si>
    <t>Maxx</t>
  </si>
  <si>
    <t>Johnny</t>
  </si>
  <si>
    <t>Mundt</t>
  </si>
  <si>
    <t>Keith</t>
  </si>
  <si>
    <t>Antoine</t>
  </si>
  <si>
    <t>Wesley</t>
  </si>
  <si>
    <t>Samori</t>
  </si>
  <si>
    <t>Toure</t>
  </si>
  <si>
    <t>Luke</t>
  </si>
  <si>
    <t>Farrell</t>
  </si>
  <si>
    <t>Sample</t>
  </si>
  <si>
    <t>Manhertz</t>
  </si>
  <si>
    <t>Ham</t>
  </si>
  <si>
    <t>Ben</t>
  </si>
  <si>
    <t>Skowronek</t>
  </si>
  <si>
    <t>Antony</t>
  </si>
  <si>
    <t>Auclair</t>
  </si>
  <si>
    <t>Bisi</t>
  </si>
  <si>
    <t>Charlie</t>
  </si>
  <si>
    <t>Kolar</t>
  </si>
  <si>
    <t>Tre'Quan</t>
  </si>
  <si>
    <t>Likely</t>
  </si>
  <si>
    <t>Colby</t>
  </si>
  <si>
    <t>Parkinson</t>
  </si>
  <si>
    <t>Miller</t>
  </si>
  <si>
    <t>Forristall</t>
  </si>
  <si>
    <t>Jakeem</t>
  </si>
  <si>
    <t>Grant</t>
  </si>
  <si>
    <t>Sr.</t>
  </si>
  <si>
    <t>Philips</t>
  </si>
  <si>
    <t>Rush</t>
  </si>
  <si>
    <t>Jody</t>
  </si>
  <si>
    <t>Fortson</t>
  </si>
  <si>
    <t>Davion</t>
  </si>
  <si>
    <t>Case</t>
  </si>
  <si>
    <t>Keenum</t>
  </si>
  <si>
    <t>Ferguson</t>
  </si>
  <si>
    <t>Igwebuike</t>
  </si>
  <si>
    <t>Blaine</t>
  </si>
  <si>
    <t>Gabbert</t>
  </si>
  <si>
    <t>Tajae</t>
  </si>
  <si>
    <t>Sharpe</t>
  </si>
  <si>
    <t>KhaDarel</t>
  </si>
  <si>
    <t>Hodge</t>
  </si>
  <si>
    <t>Kroft</t>
  </si>
  <si>
    <t>Ricard</t>
  </si>
  <si>
    <t>Vasher</t>
  </si>
  <si>
    <t>Qadree</t>
  </si>
  <si>
    <t>Ollison</t>
  </si>
  <si>
    <t>Deonte</t>
  </si>
  <si>
    <t>Harty</t>
  </si>
  <si>
    <t>Deon</t>
  </si>
  <si>
    <t>Ray-Ray</t>
  </si>
  <si>
    <t>McCloud</t>
  </si>
  <si>
    <t>McFarland</t>
  </si>
  <si>
    <t>Hollins</t>
  </si>
  <si>
    <t>Tyron</t>
  </si>
  <si>
    <t>Beathard</t>
  </si>
  <si>
    <t>Durham</t>
  </si>
  <si>
    <t>Smythe</t>
  </si>
  <si>
    <t>Ellefson</t>
  </si>
  <si>
    <t>Quintez</t>
  </si>
  <si>
    <t>Cephus</t>
  </si>
  <si>
    <t>Brock</t>
  </si>
  <si>
    <t>Wright</t>
  </si>
  <si>
    <t>Kyren</t>
  </si>
  <si>
    <t>Colt</t>
  </si>
  <si>
    <t>McCoy</t>
  </si>
  <si>
    <t>Wolford</t>
  </si>
  <si>
    <t>Chigoziem</t>
  </si>
  <si>
    <t>Okonkwo</t>
  </si>
  <si>
    <t>Siemian</t>
  </si>
  <si>
    <t>Tyrie</t>
  </si>
  <si>
    <t>Turner</t>
  </si>
  <si>
    <t>Sims</t>
  </si>
  <si>
    <t>Jarrett</t>
  </si>
  <si>
    <t>Stidham</t>
  </si>
  <si>
    <t>Foles</t>
  </si>
  <si>
    <t>Strachan</t>
  </si>
  <si>
    <t>Hesse</t>
  </si>
  <si>
    <t>Hoyer</t>
  </si>
  <si>
    <t>Mannion</t>
  </si>
  <si>
    <t>Powell</t>
  </si>
  <si>
    <t>Larry</t>
  </si>
  <si>
    <t>Rountree</t>
  </si>
  <si>
    <t>Ty</t>
  </si>
  <si>
    <t>Trenton</t>
  </si>
  <si>
    <t>Cannon</t>
  </si>
  <si>
    <t>Boykin</t>
  </si>
  <si>
    <t>Shakir</t>
  </si>
  <si>
    <t>Isiah</t>
  </si>
  <si>
    <t>Pacheco</t>
  </si>
  <si>
    <t>Ingold</t>
  </si>
  <si>
    <t>Goodwin</t>
  </si>
  <si>
    <t>Jakob</t>
  </si>
  <si>
    <t>Demetric</t>
  </si>
  <si>
    <t>Felton</t>
  </si>
  <si>
    <t>Keaontay</t>
  </si>
  <si>
    <t>Ko</t>
  </si>
  <si>
    <t>Kieft</t>
  </si>
  <si>
    <t>Darrynton</t>
  </si>
  <si>
    <t>Nate</t>
  </si>
  <si>
    <t>Sudfeld</t>
  </si>
  <si>
    <t>Bowers</t>
  </si>
  <si>
    <t>Brycen</t>
  </si>
  <si>
    <t>Kampmoyer</t>
  </si>
  <si>
    <t>Long</t>
  </si>
  <si>
    <t>Cabinda</t>
  </si>
  <si>
    <t>Teagan</t>
  </si>
  <si>
    <t>Quitoriano</t>
  </si>
  <si>
    <t>Sweeney</t>
  </si>
  <si>
    <t>Gentry</t>
  </si>
  <si>
    <t>Nailor</t>
  </si>
  <si>
    <t>Wilcox</t>
  </si>
  <si>
    <t>Stanton</t>
  </si>
  <si>
    <t>IV</t>
  </si>
  <si>
    <t>Giovanni</t>
  </si>
  <si>
    <t>Ricci</t>
  </si>
  <si>
    <t>Griffin</t>
  </si>
  <si>
    <t>Eric</t>
  </si>
  <si>
    <t>Tomlinson</t>
  </si>
  <si>
    <t>Reggie</t>
  </si>
  <si>
    <t>Gilliam</t>
  </si>
  <si>
    <t>Jeremy</t>
  </si>
  <si>
    <t>Ruckert</t>
  </si>
  <si>
    <t>Sermon</t>
  </si>
  <si>
    <t>Stephen</t>
  </si>
  <si>
    <t>Sullivan</t>
  </si>
  <si>
    <t>Bawden</t>
  </si>
  <si>
    <t>Mabry</t>
  </si>
  <si>
    <t>Jack</t>
  </si>
  <si>
    <t>Stoll</t>
  </si>
  <si>
    <t>Shi</t>
  </si>
  <si>
    <t>Ryquell</t>
  </si>
  <si>
    <t>Armstead</t>
  </si>
  <si>
    <t>Watt</t>
  </si>
  <si>
    <t>Mohamed</t>
  </si>
  <si>
    <t>Sanu</t>
  </si>
  <si>
    <t>Dez</t>
  </si>
  <si>
    <t>Fitzpatrick</t>
  </si>
  <si>
    <t>Khari</t>
  </si>
  <si>
    <t>Blasingame</t>
  </si>
  <si>
    <t>Nakia</t>
  </si>
  <si>
    <t>Griffin-Stewart</t>
  </si>
  <si>
    <t>Calcaterra</t>
  </si>
  <si>
    <t>McNichols</t>
  </si>
  <si>
    <t>Trayveon</t>
  </si>
  <si>
    <t>Auden</t>
  </si>
  <si>
    <t>Tate</t>
  </si>
  <si>
    <t>Kylin</t>
  </si>
  <si>
    <t>Ross</t>
  </si>
  <si>
    <t>Dwelley</t>
  </si>
  <si>
    <t>Prentice</t>
  </si>
  <si>
    <t>Gunner</t>
  </si>
  <si>
    <t>Olszewski</t>
  </si>
  <si>
    <t>Kevin</t>
  </si>
  <si>
    <t>Badie</t>
  </si>
  <si>
    <t>Isabella</t>
  </si>
  <si>
    <t>Daurice</t>
  </si>
  <si>
    <t>Fountain</t>
  </si>
  <si>
    <t>Sprinkle</t>
  </si>
  <si>
    <t>Scotty</t>
  </si>
  <si>
    <t>Zack</t>
  </si>
  <si>
    <t>Moss</t>
  </si>
  <si>
    <t>Burton</t>
  </si>
  <si>
    <t>Shaheen</t>
  </si>
  <si>
    <t>Muse</t>
  </si>
  <si>
    <t>Asiasi</t>
  </si>
  <si>
    <t>Keene</t>
  </si>
  <si>
    <t>Fulgham</t>
  </si>
  <si>
    <t>Juwan</t>
  </si>
  <si>
    <t>Andrew</t>
  </si>
  <si>
    <t>Ogletree</t>
  </si>
  <si>
    <t>Stanley</t>
  </si>
  <si>
    <t>Morgan</t>
  </si>
  <si>
    <t>Tre</t>
  </si>
  <si>
    <t>Nixon</t>
  </si>
  <si>
    <t>Sammis</t>
  </si>
  <si>
    <t>Reyes</t>
  </si>
  <si>
    <t>Hudson</t>
  </si>
  <si>
    <t>Denzel</t>
  </si>
  <si>
    <t>Mims</t>
  </si>
  <si>
    <t>Bo</t>
  </si>
  <si>
    <t>Melton</t>
  </si>
  <si>
    <t>Dax</t>
  </si>
  <si>
    <t>Milne</t>
  </si>
  <si>
    <t>FitzPatrick</t>
  </si>
  <si>
    <t>Dezmon</t>
  </si>
  <si>
    <t>Patmon</t>
  </si>
  <si>
    <t>Ward</t>
  </si>
  <si>
    <t>Howell</t>
  </si>
  <si>
    <t>Andre</t>
  </si>
  <si>
    <t>Roberts</t>
  </si>
  <si>
    <t>Gabe</t>
  </si>
  <si>
    <t>Nabers</t>
  </si>
  <si>
    <t>Montrell</t>
  </si>
  <si>
    <t>Chandler</t>
  </si>
  <si>
    <t>Alex</t>
  </si>
  <si>
    <t>Erickson</t>
  </si>
  <si>
    <t>Avery</t>
  </si>
  <si>
    <t>Jerome</t>
  </si>
  <si>
    <t>Ford</t>
  </si>
  <si>
    <t>Dobbs</t>
  </si>
  <si>
    <t>Slater</t>
  </si>
  <si>
    <t>Beebe</t>
  </si>
  <si>
    <t>Schreck</t>
  </si>
  <si>
    <t>Kumerow</t>
  </si>
  <si>
    <t>Troy</t>
  </si>
  <si>
    <t>Fumagalli</t>
  </si>
  <si>
    <t>Saubert</t>
  </si>
  <si>
    <t>Jacob</t>
  </si>
  <si>
    <t>Hollister</t>
  </si>
  <si>
    <t>River</t>
  </si>
  <si>
    <t>Cracraft</t>
  </si>
  <si>
    <t>Batson</t>
  </si>
  <si>
    <t>Janovich</t>
  </si>
  <si>
    <t>Kirkwood</t>
  </si>
  <si>
    <t>Kemp</t>
  </si>
  <si>
    <t>Franks</t>
  </si>
  <si>
    <t>Javon</t>
  </si>
  <si>
    <t>Wims</t>
  </si>
  <si>
    <t>Armah</t>
  </si>
  <si>
    <t>Driskel</t>
  </si>
  <si>
    <t>Webb</t>
  </si>
  <si>
    <t>Nathan</t>
  </si>
  <si>
    <t>Peterman</t>
  </si>
  <si>
    <t>Cethan</t>
  </si>
  <si>
    <t>Hogan</t>
  </si>
  <si>
    <t>Malone</t>
  </si>
  <si>
    <t>Proehl</t>
  </si>
  <si>
    <t>Vyncint</t>
  </si>
  <si>
    <t>Etling</t>
  </si>
  <si>
    <t>Kelvin</t>
  </si>
  <si>
    <t>Harmon</t>
  </si>
  <si>
    <t>Oliver</t>
  </si>
  <si>
    <t>Tavon</t>
  </si>
  <si>
    <t>Cain</t>
  </si>
  <si>
    <t>KeeSean</t>
  </si>
  <si>
    <t>Preston</t>
  </si>
  <si>
    <t>Yelder</t>
  </si>
  <si>
    <t>Trevon</t>
  </si>
  <si>
    <t>Wesco</t>
  </si>
  <si>
    <t>Mullens</t>
  </si>
  <si>
    <t>Devine</t>
  </si>
  <si>
    <t>Ozigbo</t>
  </si>
  <si>
    <t>Richard</t>
  </si>
  <si>
    <t>Kenjon</t>
  </si>
  <si>
    <t>Barner</t>
  </si>
  <si>
    <t>Juwann</t>
  </si>
  <si>
    <t>Winfree</t>
  </si>
  <si>
    <t>Alize</t>
  </si>
  <si>
    <t>Brett</t>
  </si>
  <si>
    <t>Rypien</t>
  </si>
  <si>
    <t>Kelly</t>
  </si>
  <si>
    <t>Easton</t>
  </si>
  <si>
    <t>Stick</t>
  </si>
  <si>
    <t>Holyfield</t>
  </si>
  <si>
    <t>Trace</t>
  </si>
  <si>
    <t>McSorley</t>
  </si>
  <si>
    <t>Dortch</t>
  </si>
  <si>
    <t>Woodside</t>
  </si>
  <si>
    <t>Matthews</t>
  </si>
  <si>
    <t>Marken</t>
  </si>
  <si>
    <t>Bellore</t>
  </si>
  <si>
    <t>Justice</t>
  </si>
  <si>
    <t>Ridley</t>
  </si>
  <si>
    <t>Arcega-Whiteside</t>
  </si>
  <si>
    <t>Grier</t>
  </si>
  <si>
    <t>Jace</t>
  </si>
  <si>
    <t>Sternberger</t>
  </si>
  <si>
    <t>Darwin</t>
  </si>
  <si>
    <t>Thompson</t>
  </si>
  <si>
    <t>Keke</t>
  </si>
  <si>
    <t>Coutee</t>
  </si>
  <si>
    <t>Dante</t>
  </si>
  <si>
    <t>Pettis</t>
  </si>
  <si>
    <t>Rosen</t>
  </si>
  <si>
    <t>Geronimo</t>
  </si>
  <si>
    <t>Allison</t>
  </si>
  <si>
    <t>Rodney</t>
  </si>
  <si>
    <t>Royce</t>
  </si>
  <si>
    <t>Freeman</t>
  </si>
  <si>
    <t>Quinn</t>
  </si>
  <si>
    <t>Wilkins</t>
  </si>
  <si>
    <t>Clement</t>
  </si>
  <si>
    <t>Taiwan</t>
  </si>
  <si>
    <t>Hart</t>
  </si>
  <si>
    <t>Lil'Jordan</t>
  </si>
  <si>
    <t>Humphrey</t>
  </si>
  <si>
    <t>Damarea</t>
  </si>
  <si>
    <t>Crockett</t>
  </si>
  <si>
    <t>Bonnafon</t>
  </si>
  <si>
    <t>Doss</t>
  </si>
  <si>
    <t>Jaeden</t>
  </si>
  <si>
    <t>Steven</t>
  </si>
  <si>
    <t>Board</t>
  </si>
  <si>
    <t>Nsimba</t>
  </si>
  <si>
    <t>Webster</t>
  </si>
  <si>
    <t>Blough</t>
  </si>
  <si>
    <t>Jesper</t>
  </si>
  <si>
    <t>Horsted</t>
  </si>
  <si>
    <t>Beck</t>
  </si>
  <si>
    <t>Holtz</t>
  </si>
  <si>
    <t>Tanner</t>
  </si>
  <si>
    <t>Gafford</t>
  </si>
  <si>
    <t>Cyril</t>
  </si>
  <si>
    <t>Grayson</t>
  </si>
  <si>
    <t>Cody</t>
  </si>
  <si>
    <t>Walter</t>
  </si>
  <si>
    <t>Kennedy</t>
  </si>
  <si>
    <t>Irwin</t>
  </si>
  <si>
    <t>PJ</t>
  </si>
  <si>
    <t>Lynn</t>
  </si>
  <si>
    <t>Bowden</t>
  </si>
  <si>
    <t>Reed</t>
  </si>
  <si>
    <t>Hightower</t>
  </si>
  <si>
    <t>Woerner</t>
  </si>
  <si>
    <t>Calais</t>
  </si>
  <si>
    <t>Collin</t>
  </si>
  <si>
    <t>Eason</t>
  </si>
  <si>
    <t>Luton</t>
  </si>
  <si>
    <t>Coulter</t>
  </si>
  <si>
    <t>DiNucci</t>
  </si>
  <si>
    <t>Hodgins</t>
  </si>
  <si>
    <t>La'Mical</t>
  </si>
  <si>
    <t>JaMycal</t>
  </si>
  <si>
    <t>Hasty</t>
  </si>
  <si>
    <t>Thaddeus</t>
  </si>
  <si>
    <t>Merritt</t>
  </si>
  <si>
    <t>Salvon</t>
  </si>
  <si>
    <t>Ahmed</t>
  </si>
  <si>
    <t>Pinkney</t>
  </si>
  <si>
    <t>Omar</t>
  </si>
  <si>
    <t>Bayless</t>
  </si>
  <si>
    <t>Xavier</t>
  </si>
  <si>
    <t>Togiai</t>
  </si>
  <si>
    <t>Trishton</t>
  </si>
  <si>
    <t>Chisena</t>
  </si>
  <si>
    <t>Colin</t>
  </si>
  <si>
    <t>Cager</t>
  </si>
  <si>
    <t>Rader</t>
  </si>
  <si>
    <t>Streveler</t>
  </si>
  <si>
    <t>Dominique</t>
  </si>
  <si>
    <t>Dafney</t>
  </si>
  <si>
    <t>Sokol</t>
  </si>
  <si>
    <t>Ja'Marcus</t>
  </si>
  <si>
    <t>Bradley</t>
  </si>
  <si>
    <t>Lovett</t>
  </si>
  <si>
    <t>Myarick</t>
  </si>
  <si>
    <t>Bradwell</t>
  </si>
  <si>
    <t>Hinton</t>
  </si>
  <si>
    <t>Kristian</t>
  </si>
  <si>
    <t>Wilkerson</t>
  </si>
  <si>
    <t>Bachman</t>
  </si>
  <si>
    <t>Cottrell</t>
  </si>
  <si>
    <t>DeMichael</t>
  </si>
  <si>
    <t>Bargas</t>
  </si>
  <si>
    <t>Zuber</t>
  </si>
  <si>
    <t>Trask</t>
  </si>
  <si>
    <t>Jermar</t>
  </si>
  <si>
    <t>Frank</t>
  </si>
  <si>
    <t>Darby</t>
  </si>
  <si>
    <t>Kellen</t>
  </si>
  <si>
    <t>Mond</t>
  </si>
  <si>
    <t>Jaelon</t>
  </si>
  <si>
    <t>Darden</t>
  </si>
  <si>
    <t>Cornell</t>
  </si>
  <si>
    <t>Dazz</t>
  </si>
  <si>
    <t>Newsome</t>
  </si>
  <si>
    <t>Simi</t>
  </si>
  <si>
    <t>Fehoko</t>
  </si>
  <si>
    <t>Seth</t>
  </si>
  <si>
    <t>Kawaan</t>
  </si>
  <si>
    <t>Book</t>
  </si>
  <si>
    <t>Davidson</t>
  </si>
  <si>
    <t>Ehlinger</t>
  </si>
  <si>
    <t>Camp</t>
  </si>
  <si>
    <t>Gerrid</t>
  </si>
  <si>
    <t>Doaks</t>
  </si>
  <si>
    <t>Feleipe</t>
  </si>
  <si>
    <t>Ty'Son</t>
  </si>
  <si>
    <t>Yeboah</t>
  </si>
  <si>
    <t>Trinity</t>
  </si>
  <si>
    <t>Benson</t>
  </si>
  <si>
    <t>McCrary</t>
  </si>
  <si>
    <t>Mekhi</t>
  </si>
  <si>
    <t>Sargent</t>
  </si>
  <si>
    <t>Gore</t>
  </si>
  <si>
    <t>Tory</t>
  </si>
  <si>
    <t>Wells</t>
  </si>
  <si>
    <t>Bunting</t>
  </si>
  <si>
    <t>Poljan</t>
  </si>
  <si>
    <t>Shane</t>
  </si>
  <si>
    <t>Bandy</t>
  </si>
  <si>
    <t>Stoner</t>
  </si>
  <si>
    <t>Easop</t>
  </si>
  <si>
    <t>Fuller</t>
  </si>
  <si>
    <t>Cotton</t>
  </si>
  <si>
    <t>Paul</t>
  </si>
  <si>
    <t>Quessenberry</t>
  </si>
  <si>
    <t>Saunders</t>
  </si>
  <si>
    <t>Maurice</t>
  </si>
  <si>
    <t>Ffrench</t>
  </si>
  <si>
    <t>Myron</t>
  </si>
  <si>
    <t>Ragas</t>
  </si>
  <si>
    <t>Bushman</t>
  </si>
  <si>
    <t>Landen</t>
  </si>
  <si>
    <t>Kinsey</t>
  </si>
  <si>
    <t>Ralston</t>
  </si>
  <si>
    <t>Tarik</t>
  </si>
  <si>
    <t>Black</t>
  </si>
  <si>
    <t>Koski</t>
  </si>
  <si>
    <t>Reid</t>
  </si>
  <si>
    <t>Sinnett</t>
  </si>
  <si>
    <t>Sills</t>
  </si>
  <si>
    <t>V</t>
  </si>
  <si>
    <t>Veasy</t>
  </si>
  <si>
    <t>Metchie</t>
  </si>
  <si>
    <t>Bailey</t>
  </si>
  <si>
    <t>Zappe</t>
  </si>
  <si>
    <t>Zonovan</t>
  </si>
  <si>
    <t>Knight</t>
  </si>
  <si>
    <t>Zander</t>
  </si>
  <si>
    <t>Horvath</t>
  </si>
  <si>
    <t>Purdy</t>
  </si>
  <si>
    <t>Skylar</t>
  </si>
  <si>
    <t>Dareke</t>
  </si>
  <si>
    <t>Young</t>
  </si>
  <si>
    <t>Oladokun</t>
  </si>
  <si>
    <t>Brittain</t>
  </si>
  <si>
    <t>Justyn</t>
  </si>
  <si>
    <t>Wydermyer</t>
  </si>
  <si>
    <t>Abram</t>
  </si>
  <si>
    <t>Mataeo</t>
  </si>
  <si>
    <t>Durant</t>
  </si>
  <si>
    <t>Deven</t>
  </si>
  <si>
    <t>Thompkins</t>
  </si>
  <si>
    <t>Virgil</t>
  </si>
  <si>
    <t>Lee</t>
  </si>
  <si>
    <t>Carrier</t>
  </si>
  <si>
    <t>Schaub</t>
  </si>
  <si>
    <t>McCarron</t>
  </si>
  <si>
    <t>Hurns</t>
  </si>
  <si>
    <t>Glennon</t>
  </si>
  <si>
    <t>Witten</t>
  </si>
  <si>
    <t>Chester</t>
  </si>
  <si>
    <t>Rogers</t>
  </si>
  <si>
    <t>Deontay</t>
  </si>
  <si>
    <t>Burnett</t>
  </si>
  <si>
    <t>Jaleel</t>
  </si>
  <si>
    <t>Wayne</t>
  </si>
  <si>
    <t>Gallman</t>
  </si>
  <si>
    <t>Switzer</t>
  </si>
  <si>
    <t>Jarwin</t>
  </si>
  <si>
    <t>Ervin</t>
  </si>
  <si>
    <t>Damion</t>
  </si>
  <si>
    <t>Ratley</t>
  </si>
  <si>
    <t>Gehrig</t>
  </si>
  <si>
    <t>Dieter</t>
  </si>
  <si>
    <t>Core</t>
  </si>
  <si>
    <t>Fells</t>
  </si>
  <si>
    <t>Dylan</t>
  </si>
  <si>
    <t>Cantrell</t>
  </si>
  <si>
    <t>Tommylee</t>
  </si>
  <si>
    <t>DeValve</t>
  </si>
  <si>
    <t>Izzo</t>
  </si>
  <si>
    <t>Buddy</t>
  </si>
  <si>
    <t>Elijhaa</t>
  </si>
  <si>
    <t>JoJo</t>
  </si>
  <si>
    <t>Natson</t>
  </si>
  <si>
    <t>Pharoh</t>
  </si>
  <si>
    <t>Temarrick</t>
  </si>
  <si>
    <t>Hemingway</t>
  </si>
  <si>
    <t>Troymaine</t>
  </si>
  <si>
    <t>Pope</t>
  </si>
  <si>
    <t>Jaydon</t>
  </si>
  <si>
    <t>Mickens</t>
  </si>
  <si>
    <t>MyCole</t>
  </si>
  <si>
    <t>Pruitt</t>
  </si>
  <si>
    <t>Willies</t>
  </si>
  <si>
    <t>Culkin</t>
  </si>
  <si>
    <t>Hansen</t>
  </si>
  <si>
    <t>Tyrone</t>
  </si>
  <si>
    <t>Swoopes</t>
  </si>
  <si>
    <t>Ellis</t>
  </si>
  <si>
    <t>Scarbrough</t>
  </si>
  <si>
    <t>Baylis</t>
  </si>
  <si>
    <t>Prosise</t>
  </si>
  <si>
    <t>Daniels</t>
  </si>
  <si>
    <t>Edmunds</t>
  </si>
  <si>
    <t>Willson</t>
  </si>
  <si>
    <t>Demetrius</t>
  </si>
  <si>
    <t>Jesse</t>
  </si>
  <si>
    <t>Butt</t>
  </si>
  <si>
    <t>LaCosse</t>
  </si>
  <si>
    <t>Kahale</t>
  </si>
  <si>
    <t>Warring</t>
  </si>
  <si>
    <t>Taywan</t>
  </si>
  <si>
    <t>Weber</t>
  </si>
  <si>
    <t>Stocker</t>
  </si>
  <si>
    <t>Kaden</t>
  </si>
  <si>
    <t>Sherman</t>
  </si>
  <si>
    <t>Bennie</t>
  </si>
  <si>
    <t>Fowler</t>
  </si>
  <si>
    <t>Croom</t>
  </si>
  <si>
    <t>Bortles</t>
  </si>
  <si>
    <t>Karan</t>
  </si>
  <si>
    <t>Higdon</t>
  </si>
  <si>
    <t>Finley</t>
  </si>
  <si>
    <t>Kerrith</t>
  </si>
  <si>
    <t>Whyte</t>
  </si>
  <si>
    <t>Emanuel</t>
  </si>
  <si>
    <t>Isaac</t>
  </si>
  <si>
    <t>Nauta</t>
  </si>
  <si>
    <t>Ursua</t>
  </si>
  <si>
    <t>Cullen</t>
  </si>
  <si>
    <t>Gillaspia</t>
  </si>
  <si>
    <t>Caleb</t>
  </si>
  <si>
    <t>Clayton</t>
  </si>
  <si>
    <t>Thorson</t>
  </si>
  <si>
    <t>Senorise</t>
  </si>
  <si>
    <t>Perry</t>
  </si>
  <si>
    <t>Gilbert</t>
  </si>
  <si>
    <t>Bray</t>
  </si>
  <si>
    <t>Cox</t>
  </si>
  <si>
    <t>Bruce</t>
  </si>
  <si>
    <t>Kerryon</t>
  </si>
  <si>
    <t>Eddy</t>
  </si>
  <si>
    <t>Pineiro</t>
  </si>
  <si>
    <t>Bryce</t>
  </si>
  <si>
    <t>Scarlett</t>
  </si>
  <si>
    <t>Dexter</t>
  </si>
  <si>
    <t>Riley</t>
  </si>
  <si>
    <t>Blewitt</t>
  </si>
  <si>
    <t>Hurd</t>
  </si>
  <si>
    <t>Hakeem</t>
  </si>
  <si>
    <t>Butler</t>
  </si>
  <si>
    <t>Kalen</t>
  </si>
  <si>
    <t>Ballage</t>
  </si>
  <si>
    <t>Samuels</t>
  </si>
  <si>
    <t>William</t>
  </si>
  <si>
    <t>DaeSean</t>
  </si>
  <si>
    <t>Hamilton</t>
  </si>
  <si>
    <t>Dede</t>
  </si>
  <si>
    <t>Westbrook</t>
  </si>
  <si>
    <t>Devontae</t>
  </si>
  <si>
    <t>Booker</t>
  </si>
  <si>
    <t>Herndon</t>
  </si>
  <si>
    <t>Badgley</t>
  </si>
  <si>
    <t>Ito</t>
  </si>
  <si>
    <t>Cohen</t>
  </si>
  <si>
    <t>Aldrick</t>
  </si>
  <si>
    <t>Rosas</t>
  </si>
  <si>
    <t>Wendell</t>
  </si>
  <si>
    <t>Smallwood</t>
  </si>
  <si>
    <t>McGuire</t>
  </si>
  <si>
    <t>Lambo</t>
  </si>
  <si>
    <t>Peyton</t>
  </si>
  <si>
    <t>Barber</t>
  </si>
  <si>
    <t>Ficken</t>
  </si>
  <si>
    <t>Tyrell</t>
  </si>
  <si>
    <t>Todd</t>
  </si>
  <si>
    <t>Gurley</t>
  </si>
  <si>
    <t>Yeldon</t>
  </si>
  <si>
    <t>Humphries</t>
  </si>
  <si>
    <t>Willie</t>
  </si>
  <si>
    <t>Snead</t>
  </si>
  <si>
    <t>Parkey</t>
  </si>
  <si>
    <t>Devonta</t>
  </si>
  <si>
    <t>Le'Veon</t>
  </si>
  <si>
    <t>Vance</t>
  </si>
  <si>
    <t>McDonald</t>
  </si>
  <si>
    <t>Beasley</t>
  </si>
  <si>
    <t>Latavius</t>
  </si>
  <si>
    <t>Maher</t>
  </si>
  <si>
    <t>Doyle</t>
  </si>
  <si>
    <t>Ebron</t>
  </si>
  <si>
    <t>Levine</t>
  </si>
  <si>
    <t>Toilolo</t>
  </si>
  <si>
    <t>Eifert</t>
  </si>
  <si>
    <t>Theo</t>
  </si>
  <si>
    <t>Riddick</t>
  </si>
  <si>
    <t>Carlos</t>
  </si>
  <si>
    <t>Hyde</t>
  </si>
  <si>
    <t>Donte</t>
  </si>
  <si>
    <t>Moncrief</t>
  </si>
  <si>
    <t>Stills</t>
  </si>
  <si>
    <t>Emmanuel</t>
  </si>
  <si>
    <t>Dion</t>
  </si>
  <si>
    <t>Dontrelle</t>
  </si>
  <si>
    <t>Inman</t>
  </si>
  <si>
    <t>Newton</t>
  </si>
  <si>
    <t>Kai</t>
  </si>
  <si>
    <t>Forbath</t>
  </si>
  <si>
    <t>Alshon</t>
  </si>
  <si>
    <t>Jeffery</t>
  </si>
  <si>
    <t>Hilton</t>
  </si>
  <si>
    <t>Alfred</t>
  </si>
  <si>
    <t>Morris</t>
  </si>
  <si>
    <t>Golden</t>
  </si>
  <si>
    <t>Ted</t>
  </si>
  <si>
    <t>Ginn</t>
  </si>
  <si>
    <t>DeSean</t>
  </si>
  <si>
    <t>Adrian</t>
  </si>
  <si>
    <t>Peterson</t>
  </si>
  <si>
    <t>Olsen</t>
  </si>
  <si>
    <t>Brees</t>
  </si>
  <si>
    <t>Fitzgerald</t>
  </si>
  <si>
    <t>Philip</t>
  </si>
  <si>
    <t>Rivers</t>
  </si>
  <si>
    <t>Roethlisberger</t>
  </si>
  <si>
    <t>Amendola</t>
  </si>
  <si>
    <t>Nugent</t>
  </si>
  <si>
    <t>Hauschka</t>
  </si>
  <si>
    <t>LeSean</t>
  </si>
  <si>
    <t>Julian</t>
  </si>
  <si>
    <t>Edelman</t>
  </si>
  <si>
    <t>Gostkowski</t>
  </si>
  <si>
    <t>Tyre</t>
  </si>
  <si>
    <t>McKnight</t>
  </si>
  <si>
    <t>Barnes</t>
  </si>
  <si>
    <t>Conrad</t>
  </si>
  <si>
    <t>Wade</t>
  </si>
  <si>
    <t>Jazz</t>
  </si>
  <si>
    <t>Laird</t>
  </si>
  <si>
    <t>Darrius</t>
  </si>
  <si>
    <t>Shepherd</t>
  </si>
  <si>
    <t>McLaughlin</t>
  </si>
  <si>
    <t>Devlin</t>
  </si>
  <si>
    <t>Hodges</t>
  </si>
  <si>
    <t>Hale</t>
  </si>
  <si>
    <t>Hentges</t>
  </si>
  <si>
    <t>Ishmael</t>
  </si>
  <si>
    <t>Hyman</t>
  </si>
  <si>
    <t>Spencer</t>
  </si>
  <si>
    <t>Fred</t>
  </si>
  <si>
    <t>Schnell</t>
  </si>
  <si>
    <t>Codey</t>
  </si>
  <si>
    <t>McElroy</t>
  </si>
  <si>
    <t>Wes</t>
  </si>
  <si>
    <t>Hills</t>
  </si>
  <si>
    <t>Charles</t>
  </si>
  <si>
    <t>Ventell</t>
  </si>
  <si>
    <t>Meier</t>
  </si>
  <si>
    <t>Brooks-James</t>
  </si>
  <si>
    <t>Hilliman</t>
  </si>
  <si>
    <t>Kaepernick</t>
  </si>
  <si>
    <t>Warren</t>
  </si>
  <si>
    <t>Sloman</t>
  </si>
  <si>
    <t>Rohrwasser</t>
  </si>
  <si>
    <t>Stevens</t>
  </si>
  <si>
    <t>Fromm</t>
  </si>
  <si>
    <t>Gandy-Golden</t>
  </si>
  <si>
    <t>LeVante</t>
  </si>
  <si>
    <t>Bellamy</t>
  </si>
  <si>
    <t>Hastings</t>
  </si>
  <si>
    <t>Begelton</t>
  </si>
  <si>
    <t>Killins</t>
  </si>
  <si>
    <t>Leake</t>
  </si>
  <si>
    <t>Keizer</t>
  </si>
  <si>
    <t>Baugh</t>
  </si>
  <si>
    <t>Rowland</t>
  </si>
  <si>
    <t>Artavis</t>
  </si>
  <si>
    <t>Scottie</t>
  </si>
  <si>
    <t>Phillips</t>
  </si>
  <si>
    <t>Becker</t>
  </si>
  <si>
    <t>Sewo</t>
  </si>
  <si>
    <t>Olonilua</t>
  </si>
  <si>
    <t>Farrod</t>
  </si>
  <si>
    <t>Badet</t>
  </si>
  <si>
    <t>Tristan</t>
  </si>
  <si>
    <t>Vizcaino</t>
  </si>
  <si>
    <t>Fry</t>
  </si>
  <si>
    <t>Sergio</t>
  </si>
  <si>
    <t>Castillo</t>
  </si>
  <si>
    <t>Russolino</t>
  </si>
  <si>
    <t>Helm</t>
  </si>
  <si>
    <t>Jon</t>
  </si>
  <si>
    <t>McCann</t>
  </si>
  <si>
    <t>Javian</t>
  </si>
  <si>
    <t>Hawkins</t>
  </si>
  <si>
    <t>Sage</t>
  </si>
  <si>
    <t>Surratt</t>
  </si>
  <si>
    <t>Ammendola</t>
  </si>
  <si>
    <t>Nordin</t>
  </si>
  <si>
    <t>JaQuan</t>
  </si>
  <si>
    <t>Hardy</t>
  </si>
  <si>
    <t>Hammond</t>
  </si>
  <si>
    <t>Ethan</t>
  </si>
  <si>
    <t>Wolf</t>
  </si>
  <si>
    <t>Kurt</t>
  </si>
  <si>
    <t>Benkert</t>
  </si>
  <si>
    <t>Naggar</t>
  </si>
  <si>
    <t>Kessman</t>
  </si>
  <si>
    <t>Dominik</t>
  </si>
  <si>
    <t>Eberle</t>
  </si>
  <si>
    <t>Ta'amu</t>
  </si>
  <si>
    <t>Jacques</t>
  </si>
  <si>
    <t>Shurmur</t>
  </si>
  <si>
    <t>DJ Moore</t>
  </si>
  <si>
    <t>DK Metcalf</t>
  </si>
  <si>
    <t>Treylon Burks</t>
  </si>
  <si>
    <t>Drake London</t>
  </si>
  <si>
    <t>Robbie Anderson</t>
  </si>
  <si>
    <t>Chris Olave</t>
  </si>
  <si>
    <t>Garrett Wilson</t>
  </si>
  <si>
    <t>DJ Chark Jr.</t>
  </si>
  <si>
    <t>Jalen Tolbert</t>
  </si>
  <si>
    <t>Skyy Moore</t>
  </si>
  <si>
    <t>Jahan Dotson</t>
  </si>
  <si>
    <t>Christian Watson</t>
  </si>
  <si>
    <t>Jameson Williams</t>
  </si>
  <si>
    <t>George Pickens</t>
  </si>
  <si>
    <t>Alec Pierce</t>
  </si>
  <si>
    <t>Cedrick Wilson Jr.</t>
  </si>
  <si>
    <t>David Bell</t>
  </si>
  <si>
    <t>Velus Jones Jr.</t>
  </si>
  <si>
    <t>Wan'Dale Robinson</t>
  </si>
  <si>
    <t>Dee Eskridge</t>
  </si>
  <si>
    <t>Romeo Doubs</t>
  </si>
  <si>
    <t>Calvin Austin III</t>
  </si>
  <si>
    <t>Erik Ezukanma</t>
  </si>
  <si>
    <t>Tyquan Thornton</t>
  </si>
  <si>
    <t>Khalil Shakir</t>
  </si>
  <si>
    <t>Samori Toure</t>
  </si>
  <si>
    <t>Danny Gray</t>
  </si>
  <si>
    <t>Deonte Harty</t>
  </si>
  <si>
    <t>Kyle Philips</t>
  </si>
  <si>
    <t>Jalen Nailor</t>
  </si>
  <si>
    <t>David Sills V</t>
  </si>
  <si>
    <t>Cody Thompson</t>
  </si>
  <si>
    <t>Bo Melton</t>
  </si>
  <si>
    <t>Slade Bolden</t>
  </si>
  <si>
    <t>Breece Hall</t>
  </si>
  <si>
    <t>Travis Etienne Jr.</t>
  </si>
  <si>
    <t>Ken Walker III</t>
  </si>
  <si>
    <t>James Cook</t>
  </si>
  <si>
    <t>Dameon Pierce</t>
  </si>
  <si>
    <t>Rachaad White</t>
  </si>
  <si>
    <t>Isaiah Spiller</t>
  </si>
  <si>
    <t>Tyler Allgeier</t>
  </si>
  <si>
    <t>Brian Robinson Jr.</t>
  </si>
  <si>
    <t>Zamir White</t>
  </si>
  <si>
    <t>Hassan Haskins</t>
  </si>
  <si>
    <t>Tyrion Davis-Price</t>
  </si>
  <si>
    <t>Duke Johnson Jr.</t>
  </si>
  <si>
    <t>Pierre Strong Jr.</t>
  </si>
  <si>
    <t>Keaontay Ingram</t>
  </si>
  <si>
    <t>Demetric Felton Jr.</t>
  </si>
  <si>
    <t>Kyren Williams</t>
  </si>
  <si>
    <t>Tyler Badie</t>
  </si>
  <si>
    <t>Jerome Ford</t>
  </si>
  <si>
    <t>Tory Carter</t>
  </si>
  <si>
    <t>Snoop Conner</t>
  </si>
  <si>
    <t>Ty Chandler</t>
  </si>
  <si>
    <t>Isiah Pacheco</t>
  </si>
  <si>
    <t>Trestan Ebner</t>
  </si>
  <si>
    <t>Giovanni Ricci</t>
  </si>
  <si>
    <t>Deon Jackson</t>
  </si>
  <si>
    <t>Patrick Taylor Jr.</t>
  </si>
  <si>
    <t>Adam Prentice</t>
  </si>
  <si>
    <t>Spencer Brown</t>
  </si>
  <si>
    <t>Paul Quessenberry</t>
  </si>
  <si>
    <t>Jelani Woods</t>
  </si>
  <si>
    <t>Cade Otton</t>
  </si>
  <si>
    <t>Trey McBride</t>
  </si>
  <si>
    <t>Greg Dulcich</t>
  </si>
  <si>
    <t>Charlie Kolar</t>
  </si>
  <si>
    <t>Daniel Bellinger</t>
  </si>
  <si>
    <t>Matt Bushman</t>
  </si>
  <si>
    <t>Jake Ferguson</t>
  </si>
  <si>
    <t>Brock Wright</t>
  </si>
  <si>
    <t>Connor Heyward</t>
  </si>
  <si>
    <t>Ko Kieft</t>
  </si>
  <si>
    <t>Jody Fortson</t>
  </si>
  <si>
    <t>Cole Turner</t>
  </si>
  <si>
    <t>Isaiah Likely</t>
  </si>
  <si>
    <t>Teagan Quitoriano</t>
  </si>
  <si>
    <t>Grant Calcaterra</t>
  </si>
  <si>
    <t>Nick Muse</t>
  </si>
  <si>
    <t>James Mitchell</t>
  </si>
  <si>
    <t>Chigoziem Okonkwo</t>
  </si>
  <si>
    <t>Jack Stoll</t>
  </si>
  <si>
    <t>Parker Hesse</t>
  </si>
  <si>
    <t>Jeremy Ruckert</t>
  </si>
  <si>
    <t>Miller Forristall</t>
  </si>
  <si>
    <t>Mitchell Wilcox</t>
  </si>
  <si>
    <t>John FitzPatrick</t>
  </si>
  <si>
    <t>Cade York</t>
  </si>
  <si>
    <t>Riley Patterson</t>
  </si>
  <si>
    <t>0.6</t>
  </si>
  <si>
    <t>0.2</t>
  </si>
  <si>
    <t>113.3</t>
  </si>
  <si>
    <t>0.3</t>
  </si>
  <si>
    <t>9.2</t>
  </si>
  <si>
    <t>9.8</t>
  </si>
  <si>
    <t>10.8</t>
  </si>
  <si>
    <t>17.5</t>
  </si>
  <si>
    <t>11.3</t>
  </si>
  <si>
    <t>0.9</t>
  </si>
  <si>
    <t>9.4</t>
  </si>
  <si>
    <t>13.5</t>
  </si>
  <si>
    <t>13.7</t>
  </si>
  <si>
    <t>36.3</t>
  </si>
  <si>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r>
      <rPr>
        <b/>
        <sz val="11"/>
        <color theme="1"/>
        <rFont val="Calibri"/>
        <family val="2"/>
        <scheme val="minor"/>
      </rPr>
      <t xml:space="preserve"> </t>
    </r>
    <r>
      <rPr>
        <sz val="11"/>
        <color theme="1"/>
        <rFont val="Calibri"/>
        <family val="2"/>
        <scheme val="minor"/>
      </rPr>
      <t>If you know how your league drafts and have past draft data, edit these baselines to represent the last player drafted at each position for more accurate values.</t>
    </r>
    <r>
      <rPr>
        <b/>
        <sz val="11"/>
        <color theme="1"/>
        <rFont val="Calibri"/>
        <family val="2"/>
        <scheme val="minor"/>
      </rPr>
      <t xml:space="preserve">
</t>
    </r>
    <r>
      <rPr>
        <sz val="11"/>
        <color theme="1"/>
        <rFont val="Calibri"/>
        <family val="2"/>
        <scheme val="minor"/>
      </rPr>
      <t>If you want to fill in custom VBD baselines, this article is a good place to start https://web.archive.org/web/20170902090712/http://www.rotoworld.com:80/articles/nfl/41100/71/draft-analysis</t>
    </r>
  </si>
  <si>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using the hidden "RAW" tabs, everything will update automatically</t>
    </r>
  </si>
  <si>
    <t>DK</t>
  </si>
  <si>
    <t>DJ</t>
  </si>
  <si>
    <t>Mahomes II</t>
  </si>
  <si>
    <t>Etienne Jr.</t>
  </si>
  <si>
    <t>Robinson II</t>
  </si>
  <si>
    <t>Gordon III</t>
  </si>
  <si>
    <t>16.1</t>
  </si>
  <si>
    <t>10.3</t>
  </si>
  <si>
    <t>12.4</t>
  </si>
  <si>
    <t>12.9</t>
  </si>
  <si>
    <t>D.J.</t>
  </si>
  <si>
    <t>J.D.</t>
  </si>
  <si>
    <t>C.J.</t>
  </si>
  <si>
    <t>K.J.</t>
  </si>
  <si>
    <t>Football</t>
  </si>
  <si>
    <t>O.J.</t>
  </si>
  <si>
    <t>J.J.</t>
  </si>
  <si>
    <t>J.P.</t>
  </si>
  <si>
    <t>T.Y.</t>
  </si>
  <si>
    <t>Column1</t>
  </si>
  <si>
    <t>Column2</t>
  </si>
  <si>
    <t/>
  </si>
  <si>
    <t>ARIZONA CARDINALS</t>
  </si>
  <si>
    <t>P</t>
  </si>
  <si>
    <t>Andy Lee</t>
  </si>
  <si>
    <t>ATLANTA FALCONS</t>
  </si>
  <si>
    <t>Bradley Pinion</t>
  </si>
  <si>
    <t>BALTIMORE RAVENS</t>
  </si>
  <si>
    <t>James Proche</t>
  </si>
  <si>
    <t>Jordan Stout</t>
  </si>
  <si>
    <t>BUFFALO BILLS</t>
  </si>
  <si>
    <t>CAROLINA PANTHERS</t>
  </si>
  <si>
    <t>Johnny Hekker</t>
  </si>
  <si>
    <t>CHICAGO BEARS</t>
  </si>
  <si>
    <t>Trenton Gill</t>
  </si>
  <si>
    <t>CINCINNATI BENGALS</t>
  </si>
  <si>
    <t>Kevin Huber</t>
  </si>
  <si>
    <t>CLEVELAND BROWNS</t>
  </si>
  <si>
    <t>Demetric Felton</t>
  </si>
  <si>
    <t>Corey Bojorquez</t>
  </si>
  <si>
    <t>DALLAS COWBOYS</t>
  </si>
  <si>
    <t>Malik Davis</t>
  </si>
  <si>
    <t>Bryan Anger</t>
  </si>
  <si>
    <t>DENVER BRONCOS</t>
  </si>
  <si>
    <t>Montrell Washington</t>
  </si>
  <si>
    <t>Sam Martin</t>
  </si>
  <si>
    <t>DETROIT LIONS</t>
  </si>
  <si>
    <t>Jack Fox</t>
  </si>
  <si>
    <t>GREEN BAY PACKERS</t>
  </si>
  <si>
    <t>Pat O'Donnell</t>
  </si>
  <si>
    <t>HOUSTON TEXANS</t>
  </si>
  <si>
    <t>Cameron Johnston</t>
  </si>
  <si>
    <t>INDIANAPOLIS COLTS</t>
  </si>
  <si>
    <t>JACKSONVILLE JAGUARS</t>
  </si>
  <si>
    <t>Logan Cooke</t>
  </si>
  <si>
    <t>KANSAS CITY CHIEFS</t>
  </si>
  <si>
    <t>Tommy Townsend</t>
  </si>
  <si>
    <t>LAS VEGAS RAIDERS</t>
  </si>
  <si>
    <t>A.J. Cole III</t>
  </si>
  <si>
    <t>LOS ANGELES CHARGERS</t>
  </si>
  <si>
    <t>Josh Palmer</t>
  </si>
  <si>
    <t>Donald Parham</t>
  </si>
  <si>
    <t>JK Scott</t>
  </si>
  <si>
    <t>LOS ANGELES RAMS</t>
  </si>
  <si>
    <t>Riley Dixon</t>
  </si>
  <si>
    <t>MIAMI DOLPHINS</t>
  </si>
  <si>
    <t>Cedrick Wilson</t>
  </si>
  <si>
    <t>Thomas Morstead</t>
  </si>
  <si>
    <t>MINNESOTA VIKINGS</t>
  </si>
  <si>
    <t>NEW ENGLAND PATRIOTS</t>
  </si>
  <si>
    <t>Jake Bailey</t>
  </si>
  <si>
    <t>NEW ORLEANS SAINTS</t>
  </si>
  <si>
    <t>Blake Gillikin</t>
  </si>
  <si>
    <t>NEW YORK GIANTS</t>
  </si>
  <si>
    <t>Jamie Gillan</t>
  </si>
  <si>
    <t>NEW YORK JETS</t>
  </si>
  <si>
    <t>Braden Mann</t>
  </si>
  <si>
    <t>PHILADELPHIA EAGLES</t>
  </si>
  <si>
    <t>Arryn Siposs</t>
  </si>
  <si>
    <t>PITTSBURGH STEELERS</t>
  </si>
  <si>
    <t>Mitchell Trubisky</t>
  </si>
  <si>
    <t>Pressley Harvin III</t>
  </si>
  <si>
    <t>SAN FRANCISCO 49ERS</t>
  </si>
  <si>
    <t>Ray-Ray McCloud III</t>
  </si>
  <si>
    <t>Mitch Wishnowsky</t>
  </si>
  <si>
    <t>SEATTLE SEAHAWKS</t>
  </si>
  <si>
    <t>D'Wayne Eskridge</t>
  </si>
  <si>
    <t>Michael Dickson</t>
  </si>
  <si>
    <t>TAMPA BAY BUCCANEERS</t>
  </si>
  <si>
    <t>Jake Camarda</t>
  </si>
  <si>
    <t>TENNESSEE TITANS</t>
  </si>
  <si>
    <t>WASHINGTON COMMANDERS</t>
  </si>
  <si>
    <t>Tress Way</t>
  </si>
  <si>
    <t>QB1</t>
  </si>
  <si>
    <t>QB2</t>
  </si>
  <si>
    <t>RB1</t>
  </si>
  <si>
    <t>RB2</t>
  </si>
  <si>
    <t>RB3</t>
  </si>
  <si>
    <t>TE1</t>
  </si>
  <si>
    <t>TE2</t>
  </si>
  <si>
    <t>TE3</t>
  </si>
  <si>
    <t>Credit for the DepthChart sheet addition goes to  /u/T-Jacks</t>
  </si>
  <si>
    <t>Jaylen Warren</t>
  </si>
  <si>
    <t>PJ Walker</t>
  </si>
  <si>
    <t>Dennis Houston</t>
  </si>
  <si>
    <t>Willie Snead IV</t>
  </si>
  <si>
    <t>MyCole Pruitt</t>
  </si>
  <si>
    <t>2.9</t>
  </si>
  <si>
    <t>16.4</t>
  </si>
  <si>
    <t>12.3</t>
  </si>
  <si>
    <t>93.2</t>
  </si>
  <si>
    <t>Julius</t>
  </si>
  <si>
    <t>Chestnut</t>
  </si>
  <si>
    <t>Julius Chestnut</t>
  </si>
  <si>
    <t>Travis Fulgham</t>
  </si>
  <si>
    <t>14.4</t>
  </si>
  <si>
    <t>16.3</t>
  </si>
  <si>
    <t>13.4</t>
  </si>
  <si>
    <t>13.1</t>
  </si>
  <si>
    <t>Devon</t>
  </si>
  <si>
    <t>KaVontae</t>
  </si>
  <si>
    <t>Turpin</t>
  </si>
  <si>
    <t>RB4</t>
  </si>
  <si>
    <t>WR1</t>
  </si>
  <si>
    <t>WR2</t>
  </si>
  <si>
    <t>WR3</t>
  </si>
  <si>
    <t>WR4</t>
  </si>
  <si>
    <t>WR5</t>
  </si>
  <si>
    <t>44.4</t>
  </si>
  <si>
    <t>19.1</t>
  </si>
  <si>
    <t>366.8</t>
  </si>
  <si>
    <t>14.5</t>
  </si>
  <si>
    <t>15.1</t>
  </si>
  <si>
    <t>16.9</t>
  </si>
  <si>
    <t>13.9</t>
  </si>
  <si>
    <t>389.4</t>
  </si>
  <si>
    <t>38.5</t>
  </si>
  <si>
    <t>101.3</t>
  </si>
  <si>
    <t>39.5</t>
  </si>
  <si>
    <t>36.5</t>
  </si>
  <si>
    <t>35.6</t>
  </si>
  <si>
    <t>Tyler Goodson</t>
  </si>
  <si>
    <t>Matt Haack</t>
  </si>
  <si>
    <t>Ryan Wright</t>
  </si>
  <si>
    <t>Jaylon Moore</t>
  </si>
  <si>
    <t>Goodson</t>
  </si>
  <si>
    <t>McCutcheon</t>
  </si>
  <si>
    <t>McCourt</t>
  </si>
  <si>
    <t>Armani</t>
  </si>
  <si>
    <r>
      <t xml:space="preserve">Spreadsheet created by http://www.reddit.com/user/elboberto. </t>
    </r>
    <r>
      <rPr>
        <b/>
        <sz val="11"/>
        <color theme="1"/>
        <rFont val="Calibri"/>
        <family val="2"/>
        <scheme val="minor"/>
      </rPr>
      <t>Venmo</t>
    </r>
    <r>
      <rPr>
        <sz val="11"/>
        <color theme="1"/>
        <rFont val="Calibri"/>
        <family val="2"/>
        <scheme val="minor"/>
      </rPr>
      <t xml:space="preserve"> @Bob-Mello if you want to buy me a beer!</t>
    </r>
  </si>
  <si>
    <t>Shane Buechele</t>
  </si>
  <si>
    <t>Jared Bernhardt</t>
  </si>
  <si>
    <t>Armani Rogers</t>
  </si>
  <si>
    <t>Stone Smartt</t>
  </si>
  <si>
    <t>Jordan Mason</t>
  </si>
  <si>
    <t>Zonovan Knight</t>
  </si>
  <si>
    <t>Brittain Brown</t>
  </si>
  <si>
    <t>Zander Horvath</t>
  </si>
  <si>
    <t>DJ Turner</t>
  </si>
  <si>
    <t>Dareke Young</t>
  </si>
  <si>
    <t>Tim Jones</t>
  </si>
  <si>
    <t>Jalen Virgil</t>
  </si>
  <si>
    <t>KaVontae Turpin</t>
  </si>
  <si>
    <t>Lance McCutcheon</t>
  </si>
  <si>
    <t>Shaun Beyer</t>
  </si>
  <si>
    <t>Peyton Hendershot</t>
  </si>
  <si>
    <t>Jake Tonges</t>
  </si>
  <si>
    <t>Quintin Morris</t>
  </si>
  <si>
    <t>Tanner Conner</t>
  </si>
  <si>
    <t>Shane Zylstra</t>
  </si>
  <si>
    <t>Eddy Pineiro</t>
  </si>
  <si>
    <t>15.4</t>
  </si>
  <si>
    <t>392.9</t>
  </si>
  <si>
    <t>42.9</t>
  </si>
  <si>
    <t>40.0</t>
  </si>
  <si>
    <t>43.2</t>
  </si>
  <si>
    <t>14.1</t>
  </si>
  <si>
    <t>43.4</t>
  </si>
  <si>
    <t>341.5</t>
  </si>
  <si>
    <t>374.6</t>
  </si>
  <si>
    <t>42.5</t>
  </si>
  <si>
    <t>395.5</t>
  </si>
  <si>
    <t>44.6</t>
  </si>
  <si>
    <t>108.6</t>
  </si>
  <si>
    <t>36.1</t>
  </si>
  <si>
    <t>17.9</t>
  </si>
  <si>
    <t>107.2</t>
  </si>
  <si>
    <t>106.3</t>
  </si>
  <si>
    <t>40.3</t>
  </si>
  <si>
    <t>369.8</t>
  </si>
  <si>
    <t>42.7</t>
  </si>
  <si>
    <t>370.0</t>
  </si>
  <si>
    <t>105.2</t>
  </si>
  <si>
    <t>391.2</t>
  </si>
  <si>
    <t>104.6</t>
  </si>
  <si>
    <t>37.8</t>
  </si>
  <si>
    <t>389.9</t>
  </si>
  <si>
    <t>40.4</t>
  </si>
  <si>
    <t>384.0</t>
  </si>
  <si>
    <t>101.8</t>
  </si>
  <si>
    <t>41.1</t>
  </si>
  <si>
    <t>16.0</t>
  </si>
  <si>
    <t>39.6</t>
  </si>
  <si>
    <t>408.0</t>
  </si>
  <si>
    <t>100.1</t>
  </si>
  <si>
    <t>13.3</t>
  </si>
  <si>
    <t>433.3</t>
  </si>
  <si>
    <t>427.6</t>
  </si>
  <si>
    <t>418.6</t>
  </si>
  <si>
    <t>12.2</t>
  </si>
  <si>
    <t>92.5</t>
  </si>
  <si>
    <t>Avery Williams</t>
  </si>
  <si>
    <t>Stanley Morgan</t>
  </si>
  <si>
    <t>TBA CLV TE</t>
  </si>
  <si>
    <t>Corliss Waitman</t>
  </si>
  <si>
    <t>TBA GB RB</t>
  </si>
  <si>
    <t>Deonte Harris</t>
  </si>
  <si>
    <t>Ryan Stonehouse</t>
  </si>
  <si>
    <t>Tim Boyle</t>
  </si>
  <si>
    <t>Trey Sermon</t>
  </si>
  <si>
    <t>Larry Rountree III</t>
  </si>
  <si>
    <t>Jason Huntley</t>
  </si>
  <si>
    <t>Stephen Anderson</t>
  </si>
  <si>
    <t>Freddie Swain</t>
  </si>
  <si>
    <t>Seth Williams</t>
  </si>
  <si>
    <t>Mason Kinsey</t>
  </si>
  <si>
    <t>Vyncint Smith</t>
  </si>
  <si>
    <t>Kawaan Baker</t>
  </si>
  <si>
    <t>C.J. Saunders</t>
  </si>
  <si>
    <t>Kirk Merritt</t>
  </si>
  <si>
    <t>Zane Gonzalez</t>
  </si>
  <si>
    <t>James McCourt</t>
  </si>
  <si>
    <t>44.8</t>
  </si>
  <si>
    <t>366.2</t>
  </si>
  <si>
    <t>5,539.1</t>
  </si>
  <si>
    <t>115.5</t>
  </si>
  <si>
    <t>49.2</t>
  </si>
  <si>
    <t>5,846.2</t>
  </si>
  <si>
    <t>113.6</t>
  </si>
  <si>
    <t>15.3</t>
  </si>
  <si>
    <t>331.8</t>
  </si>
  <si>
    <t>5,292.3</t>
  </si>
  <si>
    <t>9.6</t>
  </si>
  <si>
    <t>354.4</t>
  </si>
  <si>
    <t>5,595.2</t>
  </si>
  <si>
    <t>112.8</t>
  </si>
  <si>
    <t>373.8</t>
  </si>
  <si>
    <t>5,839.7</t>
  </si>
  <si>
    <t>112.1</t>
  </si>
  <si>
    <t>5,680.1</t>
  </si>
  <si>
    <t>110.6</t>
  </si>
  <si>
    <t>44.3</t>
  </si>
  <si>
    <t>110.1</t>
  </si>
  <si>
    <t>5,694.2</t>
  </si>
  <si>
    <t>109.9</t>
  </si>
  <si>
    <t>5,860.3</t>
  </si>
  <si>
    <t>109.3</t>
  </si>
  <si>
    <t>360.1</t>
  </si>
  <si>
    <t>5,522.5</t>
  </si>
  <si>
    <t>364.6</t>
  </si>
  <si>
    <t>5,717.3</t>
  </si>
  <si>
    <t>389.1</t>
  </si>
  <si>
    <t>5,878.2</t>
  </si>
  <si>
    <t>5,719.2</t>
  </si>
  <si>
    <t>105.3</t>
  </si>
  <si>
    <t>5,592.0</t>
  </si>
  <si>
    <t>6,019.4</t>
  </si>
  <si>
    <t>104.9</t>
  </si>
  <si>
    <t>18.9</t>
  </si>
  <si>
    <t>5,854.2</t>
  </si>
  <si>
    <t>5,851.0</t>
  </si>
  <si>
    <t>39.7</t>
  </si>
  <si>
    <t>15.7</t>
  </si>
  <si>
    <t>5,863.0</t>
  </si>
  <si>
    <t>374.9</t>
  </si>
  <si>
    <t>5,906.4</t>
  </si>
  <si>
    <t>101.6</t>
  </si>
  <si>
    <t>358.3</t>
  </si>
  <si>
    <t>5,765.0</t>
  </si>
  <si>
    <t>101.4</t>
  </si>
  <si>
    <t>373.9</t>
  </si>
  <si>
    <t>5,735.9</t>
  </si>
  <si>
    <t>41.4</t>
  </si>
  <si>
    <t>401.9</t>
  </si>
  <si>
    <t>5,830.0</t>
  </si>
  <si>
    <t>362.3</t>
  </si>
  <si>
    <t>5,818.6</t>
  </si>
  <si>
    <t>100.8</t>
  </si>
  <si>
    <t>5,628.8</t>
  </si>
  <si>
    <t>38.8</t>
  </si>
  <si>
    <t>403.1</t>
  </si>
  <si>
    <t>5,787.0</t>
  </si>
  <si>
    <t>97.6</t>
  </si>
  <si>
    <t>39.0</t>
  </si>
  <si>
    <t>11.1</t>
  </si>
  <si>
    <t>6,108.1</t>
  </si>
  <si>
    <t>93.9</t>
  </si>
  <si>
    <t>37.0</t>
  </si>
  <si>
    <t>8.7</t>
  </si>
  <si>
    <t>11.9</t>
  </si>
  <si>
    <t>5,994.8</t>
  </si>
  <si>
    <t>35.3</t>
  </si>
  <si>
    <t>6,373.8</t>
  </si>
  <si>
    <t>93.7</t>
  </si>
  <si>
    <t>433.8</t>
  </si>
  <si>
    <t>6,223.8</t>
  </si>
  <si>
    <t>93.4</t>
  </si>
  <si>
    <t>5,796.0</t>
  </si>
  <si>
    <t>439.4</t>
  </si>
  <si>
    <t>6,248.3</t>
  </si>
  <si>
    <t>31.1</t>
  </si>
  <si>
    <t>435.0</t>
  </si>
  <si>
    <t>6,130.0</t>
  </si>
  <si>
    <t>87.7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</si>
</sst>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8"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11"/>
      <color rgb="FF000000"/>
      <name val="Calibri"/>
      <family val="2"/>
    </font>
    <font>
      <sz val="10"/>
      <color rgb="FF000000"/>
      <name val="Calibri"/>
      <family val="2"/>
    </font>
    <font>
      <sz val="9"/>
      <color rgb="FF000000"/>
      <name val="Tahoma"/>
      <family val="2"/>
    </font>
    <font>
      <b/>
      <u/>
      <sz val="10"/>
      <color theme="1"/>
      <name val="Calibri"/>
      <family val="2"/>
      <scheme val="minor"/>
    </font>
    <font>
      <sz val="11"/>
      <color theme="0"/>
      <name val="Calibri"/>
      <family val="2"/>
      <scheme val="minor"/>
    </font>
    <font>
      <b/>
      <sz val="11"/>
      <color rgb="FFC00000"/>
      <name val="Calibri"/>
      <family val="2"/>
      <scheme val="minor"/>
    </font>
    <font>
      <sz val="9"/>
      <color theme="1"/>
      <name val="Arial"/>
      <family val="2"/>
    </font>
  </fonts>
  <fills count="2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CFF99"/>
        <bgColor indexed="64"/>
      </patternFill>
    </fill>
    <fill>
      <patternFill patternType="solid">
        <fgColor theme="9" tint="0.79998168889431442"/>
        <bgColor indexed="64"/>
      </patternFill>
    </fill>
  </fills>
  <borders count="68">
    <border>
      <left/>
      <right/>
      <top/>
      <bottom/>
      <diagonal/>
    </border>
    <border>
      <left style="medium">
        <color rgb="FFDDDDDD"/>
      </left>
      <right/>
      <top style="medium">
        <color rgb="FFDDDDDD"/>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dashed">
        <color auto="1"/>
      </left>
      <right style="dashed">
        <color auto="1"/>
      </right>
      <top style="dashed">
        <color auto="1"/>
      </top>
      <bottom style="hair">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auto="1"/>
      </right>
      <top style="medium">
        <color auto="1"/>
      </top>
      <bottom style="medium">
        <color auto="1"/>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82">
    <xf numFmtId="0" fontId="0" fillId="0" borderId="0" xfId="0"/>
    <xf numFmtId="0" fontId="2" fillId="2" borderId="1" xfId="0" applyFont="1" applyFill="1" applyBorder="1" applyAlignment="1">
      <alignment horizontal="left" wrapText="1"/>
    </xf>
    <xf numFmtId="0" fontId="1" fillId="2" borderId="2" xfId="0" applyFont="1" applyFill="1" applyBorder="1" applyAlignment="1">
      <alignment horizontal="left" wrapText="1"/>
    </xf>
    <xf numFmtId="0" fontId="1" fillId="2" borderId="3" xfId="0" applyFont="1" applyFill="1" applyBorder="1" applyAlignment="1">
      <alignment horizontal="left" wrapText="1"/>
    </xf>
    <xf numFmtId="164" fontId="0" fillId="0" borderId="0" xfId="0" applyNumberFormat="1"/>
    <xf numFmtId="0" fontId="3" fillId="0" borderId="0" xfId="0" applyFont="1"/>
    <xf numFmtId="0" fontId="0" fillId="0" borderId="0" xfId="0" applyAlignment="1">
      <alignment horizontal="right"/>
    </xf>
    <xf numFmtId="0" fontId="0" fillId="0" borderId="0" xfId="0" applyAlignment="1">
      <alignment vertical="top" wrapText="1"/>
    </xf>
    <xf numFmtId="0" fontId="3" fillId="0" borderId="5" xfId="0" applyFont="1" applyBorder="1"/>
    <xf numFmtId="0" fontId="0" fillId="0" borderId="6" xfId="0" applyBorder="1"/>
    <xf numFmtId="0" fontId="3" fillId="0" borderId="6" xfId="0" applyFont="1" applyBorder="1"/>
    <xf numFmtId="0" fontId="0" fillId="0" borderId="5" xfId="0" applyBorder="1"/>
    <xf numFmtId="9" fontId="0" fillId="0" borderId="6" xfId="0" applyNumberFormat="1" applyBorder="1"/>
    <xf numFmtId="0" fontId="0" fillId="4" borderId="6" xfId="0" applyFill="1" applyBorder="1"/>
    <xf numFmtId="0" fontId="0" fillId="0" borderId="7" xfId="0" applyBorder="1"/>
    <xf numFmtId="0" fontId="0" fillId="0" borderId="8" xfId="0" applyBorder="1"/>
    <xf numFmtId="0" fontId="0" fillId="5" borderId="4" xfId="0" applyFill="1" applyBorder="1"/>
    <xf numFmtId="165" fontId="0" fillId="5" borderId="4" xfId="0" applyNumberFormat="1" applyFill="1" applyBorder="1"/>
    <xf numFmtId="0" fontId="0" fillId="6" borderId="0" xfId="0" applyFill="1"/>
    <xf numFmtId="0" fontId="0" fillId="6" borderId="0" xfId="0" applyFill="1" applyAlignment="1">
      <alignment horizontal="center"/>
    </xf>
    <xf numFmtId="165" fontId="0" fillId="6" borderId="0" xfId="1" applyNumberFormat="1" applyFont="1" applyFill="1" applyBorder="1" applyAlignment="1">
      <alignment horizontal="center"/>
    </xf>
    <xf numFmtId="1" fontId="0" fillId="6" borderId="0" xfId="0" applyNumberFormat="1" applyFill="1" applyAlignment="1">
      <alignment horizontal="center"/>
    </xf>
    <xf numFmtId="0" fontId="0" fillId="0" borderId="15" xfId="0" applyBorder="1"/>
    <xf numFmtId="0" fontId="0" fillId="6" borderId="0" xfId="0" applyFill="1" applyAlignment="1">
      <alignment horizontal="center" vertical="center"/>
    </xf>
    <xf numFmtId="0" fontId="0" fillId="0" borderId="18" xfId="0" applyBorder="1"/>
    <xf numFmtId="166" fontId="3" fillId="0" borderId="19" xfId="0" applyNumberFormat="1" applyFont="1" applyBorder="1" applyAlignment="1">
      <alignment horizontal="center"/>
    </xf>
    <xf numFmtId="0" fontId="0" fillId="0" borderId="21" xfId="0" applyBorder="1"/>
    <xf numFmtId="166" fontId="3" fillId="0" borderId="22" xfId="0" applyNumberFormat="1" applyFont="1" applyBorder="1" applyAlignment="1">
      <alignment horizontal="center"/>
    </xf>
    <xf numFmtId="0" fontId="0" fillId="0" borderId="16" xfId="0" applyBorder="1" applyAlignment="1">
      <alignment horizontal="center"/>
    </xf>
    <xf numFmtId="0" fontId="0" fillId="0" borderId="19" xfId="0" applyBorder="1" applyAlignment="1">
      <alignment horizontal="center"/>
    </xf>
    <xf numFmtId="1" fontId="0" fillId="0" borderId="17" xfId="1" applyNumberFormat="1" applyFont="1" applyFill="1" applyBorder="1" applyAlignment="1">
      <alignment horizontal="center"/>
    </xf>
    <xf numFmtId="1" fontId="0" fillId="0" borderId="20" xfId="1" applyNumberFormat="1" applyFont="1" applyFill="1" applyBorder="1" applyAlignment="1">
      <alignment horizontal="center"/>
    </xf>
    <xf numFmtId="1" fontId="0" fillId="0" borderId="23" xfId="1" applyNumberFormat="1" applyFont="1" applyFill="1" applyBorder="1" applyAlignment="1">
      <alignment horizontal="center"/>
    </xf>
    <xf numFmtId="0" fontId="3" fillId="0" borderId="10" xfId="0" applyFont="1" applyBorder="1"/>
    <xf numFmtId="166" fontId="3" fillId="0" borderId="24" xfId="0" applyNumberFormat="1" applyFont="1" applyBorder="1" applyAlignment="1">
      <alignment horizontal="center"/>
    </xf>
    <xf numFmtId="1" fontId="0" fillId="4" borderId="6" xfId="0" applyNumberFormat="1" applyFill="1" applyBorder="1"/>
    <xf numFmtId="1" fontId="3" fillId="4" borderId="6" xfId="0" applyNumberFormat="1" applyFont="1" applyFill="1" applyBorder="1"/>
    <xf numFmtId="0" fontId="0" fillId="5" borderId="25" xfId="0" applyFill="1" applyBorder="1"/>
    <xf numFmtId="165" fontId="3" fillId="0" borderId="24" xfId="0" applyNumberFormat="1" applyFont="1" applyBorder="1" applyAlignment="1">
      <alignment horizontal="center"/>
    </xf>
    <xf numFmtId="165" fontId="3" fillId="0" borderId="19" xfId="0" applyNumberFormat="1" applyFont="1" applyBorder="1" applyAlignment="1">
      <alignment horizontal="center"/>
    </xf>
    <xf numFmtId="165" fontId="3" fillId="0" borderId="22" xfId="0" applyNumberFormat="1" applyFont="1" applyBorder="1" applyAlignment="1">
      <alignment horizontal="center"/>
    </xf>
    <xf numFmtId="0" fontId="6" fillId="0" borderId="15" xfId="0" applyFont="1" applyBorder="1"/>
    <xf numFmtId="0" fontId="6" fillId="0" borderId="16" xfId="0" applyFont="1" applyBorder="1" applyAlignment="1">
      <alignment horizontal="center"/>
    </xf>
    <xf numFmtId="166" fontId="7" fillId="0" borderId="19" xfId="0" applyNumberFormat="1" applyFont="1" applyBorder="1" applyAlignment="1">
      <alignment horizontal="center"/>
    </xf>
    <xf numFmtId="166" fontId="7" fillId="0" borderId="24" xfId="0" applyNumberFormat="1" applyFont="1" applyBorder="1" applyAlignment="1">
      <alignment horizontal="center"/>
    </xf>
    <xf numFmtId="165" fontId="7" fillId="0" borderId="24" xfId="0" applyNumberFormat="1" applyFont="1" applyBorder="1" applyAlignment="1">
      <alignment horizontal="center"/>
    </xf>
    <xf numFmtId="1" fontId="6" fillId="0" borderId="17" xfId="1" applyNumberFormat="1" applyFont="1" applyFill="1" applyBorder="1" applyAlignment="1">
      <alignment horizontal="center"/>
    </xf>
    <xf numFmtId="0" fontId="6" fillId="0" borderId="18" xfId="0" applyFont="1" applyBorder="1"/>
    <xf numFmtId="0" fontId="6" fillId="0" borderId="19" xfId="0" applyFont="1" applyBorder="1" applyAlignment="1">
      <alignment horizontal="center"/>
    </xf>
    <xf numFmtId="165" fontId="7" fillId="0" borderId="19" xfId="0" applyNumberFormat="1" applyFont="1" applyBorder="1" applyAlignment="1">
      <alignment horizontal="center"/>
    </xf>
    <xf numFmtId="1" fontId="6" fillId="0" borderId="20" xfId="1" applyNumberFormat="1" applyFont="1" applyFill="1" applyBorder="1" applyAlignment="1">
      <alignment horizontal="center"/>
    </xf>
    <xf numFmtId="0" fontId="6" fillId="0" borderId="21" xfId="0" applyFont="1" applyBorder="1"/>
    <xf numFmtId="0" fontId="6" fillId="0" borderId="22" xfId="0" applyFont="1" applyBorder="1" applyAlignment="1">
      <alignment horizontal="center"/>
    </xf>
    <xf numFmtId="166" fontId="7" fillId="0" borderId="22" xfId="0" applyNumberFormat="1" applyFont="1" applyBorder="1" applyAlignment="1">
      <alignment horizontal="center"/>
    </xf>
    <xf numFmtId="165" fontId="7" fillId="0" borderId="22" xfId="0" applyNumberFormat="1" applyFont="1" applyBorder="1" applyAlignment="1">
      <alignment horizontal="center"/>
    </xf>
    <xf numFmtId="1" fontId="6" fillId="0" borderId="23" xfId="1" applyNumberFormat="1" applyFont="1" applyFill="1" applyBorder="1" applyAlignment="1">
      <alignment horizontal="center"/>
    </xf>
    <xf numFmtId="0" fontId="6" fillId="0" borderId="19" xfId="0" applyFont="1" applyBorder="1"/>
    <xf numFmtId="0" fontId="6" fillId="0" borderId="22" xfId="0" applyFont="1" applyBorder="1"/>
    <xf numFmtId="0" fontId="0" fillId="0" borderId="19" xfId="0" applyBorder="1"/>
    <xf numFmtId="0" fontId="0" fillId="0" borderId="22" xfId="0" applyBorder="1"/>
    <xf numFmtId="0" fontId="0" fillId="0" borderId="19" xfId="0" applyBorder="1" applyAlignment="1">
      <alignment horizontal="left"/>
    </xf>
    <xf numFmtId="0" fontId="6" fillId="0" borderId="16" xfId="0" applyFont="1" applyBorder="1"/>
    <xf numFmtId="0" fontId="6" fillId="0" borderId="19" xfId="0" applyFont="1" applyBorder="1" applyAlignment="1">
      <alignment horizontal="left"/>
    </xf>
    <xf numFmtId="0" fontId="11" fillId="0" borderId="0" xfId="0" applyFont="1"/>
    <xf numFmtId="0" fontId="10" fillId="4" borderId="26" xfId="0" applyFont="1" applyFill="1" applyBorder="1"/>
    <xf numFmtId="164" fontId="10" fillId="4" borderId="27" xfId="0" applyNumberFormat="1" applyFont="1" applyFill="1" applyBorder="1" applyAlignment="1">
      <alignment horizontal="left"/>
    </xf>
    <xf numFmtId="164" fontId="10" fillId="4" borderId="28" xfId="0" applyNumberFormat="1" applyFont="1" applyFill="1" applyBorder="1" applyAlignment="1">
      <alignment horizontal="left"/>
    </xf>
    <xf numFmtId="164" fontId="10" fillId="4" borderId="27" xfId="0" applyNumberFormat="1" applyFont="1" applyFill="1" applyBorder="1"/>
    <xf numFmtId="164" fontId="10" fillId="4" borderId="29" xfId="0" applyNumberFormat="1" applyFont="1" applyFill="1" applyBorder="1" applyAlignment="1">
      <alignment horizontal="right"/>
    </xf>
    <xf numFmtId="1" fontId="10" fillId="4" borderId="28" xfId="0" applyNumberFormat="1" applyFont="1" applyFill="1" applyBorder="1" applyAlignment="1">
      <alignment horizontal="right"/>
    </xf>
    <xf numFmtId="10" fontId="11" fillId="0" borderId="26" xfId="0" applyNumberFormat="1" applyFont="1" applyBorder="1"/>
    <xf numFmtId="0" fontId="11" fillId="0" borderId="27" xfId="0" applyFont="1" applyBorder="1"/>
    <xf numFmtId="164" fontId="10" fillId="4" borderId="29" xfId="0" applyNumberFormat="1" applyFont="1" applyFill="1" applyBorder="1" applyAlignment="1">
      <alignment horizontal="left"/>
    </xf>
    <xf numFmtId="1" fontId="10" fillId="4" borderId="26" xfId="0" applyNumberFormat="1" applyFont="1" applyFill="1" applyBorder="1" applyAlignment="1">
      <alignment horizontal="right"/>
    </xf>
    <xf numFmtId="164" fontId="11" fillId="0" borderId="26" xfId="0" applyNumberFormat="1" applyFont="1" applyBorder="1"/>
    <xf numFmtId="6" fontId="0" fillId="0" borderId="0" xfId="0" applyNumberFormat="1"/>
    <xf numFmtId="0" fontId="0" fillId="0" borderId="16" xfId="0" applyBorder="1"/>
    <xf numFmtId="0" fontId="0" fillId="0" borderId="22" xfId="0" applyBorder="1" applyAlignment="1">
      <alignment horizontal="center"/>
    </xf>
    <xf numFmtId="10" fontId="0" fillId="0" borderId="0" xfId="0" applyNumberFormat="1"/>
    <xf numFmtId="0" fontId="0" fillId="0" borderId="35" xfId="0" applyBorder="1"/>
    <xf numFmtId="0" fontId="3" fillId="0" borderId="30" xfId="0" applyFont="1" applyBorder="1" applyAlignment="1">
      <alignment horizontal="left"/>
    </xf>
    <xf numFmtId="0" fontId="3" fillId="0" borderId="31" xfId="0" applyFont="1" applyBorder="1" applyAlignment="1">
      <alignment horizontal="left"/>
    </xf>
    <xf numFmtId="0" fontId="3" fillId="0" borderId="34" xfId="0" applyFont="1" applyBorder="1" applyAlignment="1">
      <alignment horizontal="left"/>
    </xf>
    <xf numFmtId="0" fontId="3" fillId="0" borderId="32" xfId="0" applyFont="1" applyBorder="1" applyAlignment="1">
      <alignment horizontal="left"/>
    </xf>
    <xf numFmtId="0" fontId="3" fillId="0" borderId="0" xfId="0" applyFont="1" applyAlignment="1">
      <alignment horizontal="left"/>
    </xf>
    <xf numFmtId="167" fontId="0" fillId="0" borderId="0" xfId="0" applyNumberFormat="1"/>
    <xf numFmtId="0" fontId="3" fillId="0" borderId="11" xfId="0" applyFont="1" applyBorder="1"/>
    <xf numFmtId="0" fontId="3" fillId="0" borderId="9" xfId="0" applyFont="1" applyBorder="1"/>
    <xf numFmtId="1" fontId="3" fillId="4" borderId="8" xfId="0" applyNumberFormat="1" applyFont="1" applyFill="1" applyBorder="1"/>
    <xf numFmtId="0" fontId="0" fillId="4" borderId="35" xfId="0" applyFill="1" applyBorder="1"/>
    <xf numFmtId="165" fontId="0" fillId="4" borderId="6" xfId="0" applyNumberFormat="1" applyFill="1" applyBorder="1"/>
    <xf numFmtId="0" fontId="0" fillId="4" borderId="8" xfId="0" applyFill="1" applyBorder="1"/>
    <xf numFmtId="0" fontId="0" fillId="5" borderId="36" xfId="0" applyFill="1" applyBorder="1"/>
    <xf numFmtId="0" fontId="0" fillId="4" borderId="37" xfId="0" applyFill="1" applyBorder="1"/>
    <xf numFmtId="0" fontId="11" fillId="0" borderId="5" xfId="0" applyFont="1" applyBorder="1"/>
    <xf numFmtId="0" fontId="11" fillId="0" borderId="9" xfId="0" applyFont="1" applyBorder="1"/>
    <xf numFmtId="0" fontId="11" fillId="0" borderId="10" xfId="0" applyFont="1" applyBorder="1"/>
    <xf numFmtId="0" fontId="11" fillId="0" borderId="35" xfId="0" applyFont="1" applyBorder="1"/>
    <xf numFmtId="0" fontId="11" fillId="0" borderId="6" xfId="0" applyFont="1" applyBorder="1"/>
    <xf numFmtId="0" fontId="11" fillId="0" borderId="8" xfId="0" applyFont="1" applyBorder="1"/>
    <xf numFmtId="0" fontId="1" fillId="2" borderId="38" xfId="0" applyFont="1" applyFill="1" applyBorder="1" applyAlignment="1">
      <alignment horizontal="left" wrapText="1"/>
    </xf>
    <xf numFmtId="0" fontId="3" fillId="0" borderId="42" xfId="0" applyFont="1" applyBorder="1" applyAlignment="1">
      <alignment horizontal="center"/>
    </xf>
    <xf numFmtId="0" fontId="3" fillId="0" borderId="43" xfId="0" applyFont="1" applyBorder="1" applyAlignment="1">
      <alignment horizontal="center"/>
    </xf>
    <xf numFmtId="9" fontId="3" fillId="0" borderId="44" xfId="1" applyFont="1" applyFill="1" applyBorder="1" applyAlignment="1">
      <alignment horizontal="center"/>
    </xf>
    <xf numFmtId="165" fontId="11" fillId="0" borderId="26" xfId="0" applyNumberFormat="1" applyFont="1" applyBorder="1"/>
    <xf numFmtId="0" fontId="3" fillId="0" borderId="44" xfId="0" applyFont="1" applyBorder="1" applyAlignment="1">
      <alignment horizontal="center"/>
    </xf>
    <xf numFmtId="0" fontId="0" fillId="0" borderId="16" xfId="0" applyBorder="1" applyAlignment="1">
      <alignment horizontal="left"/>
    </xf>
    <xf numFmtId="165" fontId="0" fillId="0" borderId="24" xfId="0" applyNumberFormat="1" applyBorder="1" applyAlignment="1">
      <alignment horizontal="left"/>
    </xf>
    <xf numFmtId="165" fontId="0" fillId="0" borderId="22" xfId="0" applyNumberFormat="1" applyBorder="1" applyAlignment="1">
      <alignment horizontal="left"/>
    </xf>
    <xf numFmtId="2" fontId="0" fillId="0" borderId="17" xfId="0" applyNumberFormat="1" applyBorder="1" applyAlignment="1">
      <alignment horizontal="center"/>
    </xf>
    <xf numFmtId="2" fontId="0" fillId="0" borderId="20" xfId="1" applyNumberFormat="1" applyFont="1" applyFill="1" applyBorder="1" applyAlignment="1">
      <alignment horizontal="center"/>
    </xf>
    <xf numFmtId="2" fontId="0" fillId="0" borderId="23" xfId="1" applyNumberFormat="1" applyFont="1" applyFill="1" applyBorder="1" applyAlignment="1">
      <alignment horizontal="center"/>
    </xf>
    <xf numFmtId="10" fontId="0" fillId="4" borderId="6" xfId="0" applyNumberFormat="1" applyFill="1" applyBorder="1"/>
    <xf numFmtId="0" fontId="3" fillId="0" borderId="45" xfId="0" applyFont="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38" xfId="0" applyFont="1" applyBorder="1" applyAlignment="1">
      <alignment horizontal="center"/>
    </xf>
    <xf numFmtId="0" fontId="13" fillId="0" borderId="51" xfId="0" applyFont="1" applyBorder="1" applyAlignment="1">
      <alignment horizontal="center"/>
    </xf>
    <xf numFmtId="6" fontId="14" fillId="0" borderId="38" xfId="0" applyNumberFormat="1" applyFont="1" applyBorder="1" applyAlignment="1">
      <alignment vertical="center"/>
    </xf>
    <xf numFmtId="6" fontId="14" fillId="0" borderId="38" xfId="0" applyNumberFormat="1" applyFont="1" applyBorder="1"/>
    <xf numFmtId="6" fontId="14" fillId="0" borderId="51" xfId="0" applyNumberFormat="1" applyFont="1" applyBorder="1" applyAlignment="1">
      <alignment vertical="center"/>
    </xf>
    <xf numFmtId="6" fontId="14" fillId="0" borderId="51" xfId="0" applyNumberFormat="1" applyFont="1" applyBorder="1"/>
    <xf numFmtId="6" fontId="14" fillId="13" borderId="47" xfId="0" applyNumberFormat="1" applyFont="1" applyFill="1" applyBorder="1" applyAlignment="1">
      <alignment vertical="center"/>
    </xf>
    <xf numFmtId="6" fontId="14" fillId="13" borderId="47" xfId="0" applyNumberFormat="1" applyFont="1" applyFill="1" applyBorder="1"/>
    <xf numFmtId="0" fontId="13" fillId="13" borderId="47" xfId="0" applyFont="1" applyFill="1" applyBorder="1" applyAlignment="1">
      <alignment horizontal="center"/>
    </xf>
    <xf numFmtId="6" fontId="14" fillId="13" borderId="38" xfId="0" applyNumberFormat="1" applyFont="1" applyFill="1" applyBorder="1" applyAlignment="1">
      <alignment vertical="center"/>
    </xf>
    <xf numFmtId="6" fontId="14" fillId="13" borderId="38" xfId="0" applyNumberFormat="1" applyFont="1" applyFill="1" applyBorder="1"/>
    <xf numFmtId="0" fontId="13" fillId="13" borderId="38" xfId="0" applyFont="1" applyFill="1" applyBorder="1" applyAlignment="1">
      <alignment horizontal="center"/>
    </xf>
    <xf numFmtId="0" fontId="10" fillId="7" borderId="5" xfId="0" applyFont="1" applyFill="1" applyBorder="1" applyAlignment="1">
      <alignment vertical="center"/>
    </xf>
    <xf numFmtId="0" fontId="10" fillId="7" borderId="0" xfId="0" applyFont="1" applyFill="1" applyAlignment="1">
      <alignment vertical="center"/>
    </xf>
    <xf numFmtId="0" fontId="10" fillId="7" borderId="0" xfId="0" applyFont="1" applyFill="1" applyAlignment="1">
      <alignment horizontal="center" vertical="center"/>
    </xf>
    <xf numFmtId="0" fontId="10" fillId="7" borderId="6" xfId="0" applyFont="1" applyFill="1" applyBorder="1" applyAlignment="1">
      <alignment horizontal="center" vertical="center"/>
    </xf>
    <xf numFmtId="0" fontId="10" fillId="4" borderId="5" xfId="0" applyFont="1" applyFill="1" applyBorder="1"/>
    <xf numFmtId="0" fontId="13" fillId="13" borderId="52" xfId="0" applyFont="1" applyFill="1" applyBorder="1" applyAlignment="1">
      <alignment horizontal="center"/>
    </xf>
    <xf numFmtId="0" fontId="13" fillId="0" borderId="53" xfId="0" applyFont="1" applyBorder="1" applyAlignment="1">
      <alignment horizontal="center"/>
    </xf>
    <xf numFmtId="0" fontId="13" fillId="13" borderId="53" xfId="0" applyFont="1" applyFill="1" applyBorder="1" applyAlignment="1">
      <alignment horizontal="center"/>
    </xf>
    <xf numFmtId="0" fontId="13" fillId="0" borderId="54" xfId="0" applyFont="1" applyBorder="1" applyAlignment="1">
      <alignment horizontal="center"/>
    </xf>
    <xf numFmtId="0" fontId="10" fillId="4" borderId="9" xfId="0" applyFont="1" applyFill="1" applyBorder="1"/>
    <xf numFmtId="0" fontId="7" fillId="11" borderId="7" xfId="0" applyFont="1" applyFill="1" applyBorder="1"/>
    <xf numFmtId="0" fontId="10" fillId="7" borderId="5" xfId="0" applyFont="1" applyFill="1" applyBorder="1"/>
    <xf numFmtId="0" fontId="10" fillId="7" borderId="6" xfId="0" applyFont="1" applyFill="1" applyBorder="1" applyAlignment="1">
      <alignment vertical="center"/>
    </xf>
    <xf numFmtId="6" fontId="11" fillId="9" borderId="0" xfId="0" applyNumberFormat="1" applyFont="1" applyFill="1" applyAlignment="1">
      <alignment vertical="center"/>
    </xf>
    <xf numFmtId="6" fontId="11" fillId="0" borderId="0" xfId="0" applyNumberFormat="1" applyFont="1" applyAlignment="1">
      <alignment vertical="center"/>
    </xf>
    <xf numFmtId="0" fontId="0" fillId="10" borderId="5" xfId="0" applyFill="1" applyBorder="1"/>
    <xf numFmtId="6" fontId="3" fillId="10" borderId="0" xfId="0" applyNumberFormat="1" applyFont="1" applyFill="1"/>
    <xf numFmtId="6" fontId="3" fillId="10" borderId="6" xfId="0" applyNumberFormat="1" applyFont="1" applyFill="1" applyBorder="1"/>
    <xf numFmtId="0" fontId="0" fillId="0" borderId="9" xfId="0" applyBorder="1"/>
    <xf numFmtId="0" fontId="10" fillId="7" borderId="0" xfId="0" applyFont="1" applyFill="1"/>
    <xf numFmtId="38" fontId="11" fillId="0" borderId="6" xfId="0" applyNumberFormat="1" applyFont="1" applyBorder="1" applyAlignment="1">
      <alignment horizontal="center" vertical="center"/>
    </xf>
    <xf numFmtId="38" fontId="11" fillId="0" borderId="6" xfId="0" applyNumberFormat="1" applyFont="1" applyBorder="1" applyAlignment="1">
      <alignment horizontal="center"/>
    </xf>
    <xf numFmtId="0" fontId="0" fillId="10" borderId="9" xfId="0" applyFill="1" applyBorder="1"/>
    <xf numFmtId="0" fontId="0" fillId="10" borderId="7" xfId="0" applyFill="1" applyBorder="1"/>
    <xf numFmtId="6" fontId="3" fillId="10" borderId="7" xfId="0" applyNumberFormat="1" applyFont="1" applyFill="1" applyBorder="1"/>
    <xf numFmtId="6" fontId="3" fillId="10" borderId="8" xfId="0" applyNumberFormat="1" applyFont="1" applyFill="1" applyBorder="1"/>
    <xf numFmtId="0" fontId="3" fillId="14" borderId="0" xfId="0" applyFont="1" applyFill="1"/>
    <xf numFmtId="0" fontId="17" fillId="15" borderId="0" xfId="0" applyFont="1" applyFill="1"/>
    <xf numFmtId="0" fontId="15" fillId="16" borderId="0" xfId="0" applyFont="1" applyFill="1"/>
    <xf numFmtId="0" fontId="0" fillId="0" borderId="38" xfId="0" applyBorder="1"/>
    <xf numFmtId="164" fontId="0" fillId="0" borderId="38" xfId="0" applyNumberFormat="1" applyBorder="1" applyAlignment="1">
      <alignment horizontal="right"/>
    </xf>
    <xf numFmtId="164" fontId="0" fillId="0" borderId="38" xfId="0" applyNumberFormat="1" applyBorder="1"/>
    <xf numFmtId="164" fontId="0" fillId="5" borderId="38" xfId="0" applyNumberFormat="1" applyFill="1" applyBorder="1"/>
    <xf numFmtId="0" fontId="0" fillId="0" borderId="56" xfId="0" applyBorder="1"/>
    <xf numFmtId="164" fontId="0" fillId="0" borderId="56" xfId="0" applyNumberFormat="1" applyBorder="1"/>
    <xf numFmtId="164" fontId="0" fillId="0" borderId="51" xfId="0" applyNumberFormat="1" applyBorder="1"/>
    <xf numFmtId="0" fontId="0" fillId="5" borderId="33" xfId="0" applyFill="1" applyBorder="1"/>
    <xf numFmtId="0" fontId="0" fillId="5" borderId="33" xfId="0" applyFill="1" applyBorder="1" applyAlignment="1">
      <alignment horizontal="right"/>
    </xf>
    <xf numFmtId="0" fontId="0" fillId="5" borderId="33" xfId="0" applyFill="1" applyBorder="1" applyAlignment="1">
      <alignment wrapText="1"/>
    </xf>
    <xf numFmtId="6" fontId="0" fillId="5" borderId="33" xfId="0" applyNumberFormat="1" applyFill="1" applyBorder="1"/>
    <xf numFmtId="8" fontId="11" fillId="0" borderId="26" xfId="0" applyNumberFormat="1" applyFont="1" applyBorder="1"/>
    <xf numFmtId="4" fontId="0" fillId="0" borderId="38" xfId="0" applyNumberFormat="1" applyBorder="1"/>
    <xf numFmtId="43" fontId="11" fillId="8" borderId="29" xfId="2" applyFont="1" applyFill="1" applyBorder="1"/>
    <xf numFmtId="168" fontId="11" fillId="0" borderId="28" xfId="3" applyNumberFormat="1" applyFont="1" applyBorder="1"/>
    <xf numFmtId="39" fontId="11" fillId="8" borderId="29" xfId="2" applyNumberFormat="1" applyFont="1" applyFill="1" applyBorder="1"/>
    <xf numFmtId="0" fontId="7" fillId="11" borderId="4" xfId="0" applyFont="1" applyFill="1" applyBorder="1" applyAlignment="1">
      <alignment horizontal="center" vertical="center"/>
    </xf>
    <xf numFmtId="0" fontId="0" fillId="5" borderId="48" xfId="0" applyFill="1" applyBorder="1"/>
    <xf numFmtId="1" fontId="10" fillId="0" borderId="0" xfId="0" applyNumberFormat="1" applyFont="1" applyAlignment="1">
      <alignment horizontal="right"/>
    </xf>
    <xf numFmtId="165" fontId="11" fillId="0" borderId="0" xfId="0" applyNumberFormat="1" applyFont="1"/>
    <xf numFmtId="2" fontId="0" fillId="0" borderId="0" xfId="0" applyNumberFormat="1"/>
    <xf numFmtId="0" fontId="0" fillId="5" borderId="0" xfId="0" applyFill="1"/>
    <xf numFmtId="164" fontId="0" fillId="5" borderId="0" xfId="0" applyNumberFormat="1" applyFill="1"/>
    <xf numFmtId="0" fontId="0" fillId="5" borderId="19" xfId="0" applyFill="1" applyBorder="1" applyAlignment="1">
      <alignment horizontal="center"/>
    </xf>
    <xf numFmtId="1" fontId="6" fillId="5" borderId="19" xfId="0" applyNumberFormat="1" applyFont="1" applyFill="1" applyBorder="1" applyAlignment="1">
      <alignment horizontal="center"/>
    </xf>
    <xf numFmtId="1" fontId="6" fillId="5" borderId="22" xfId="0" applyNumberFormat="1" applyFont="1" applyFill="1" applyBorder="1" applyAlignment="1">
      <alignment horizontal="center"/>
    </xf>
    <xf numFmtId="1" fontId="0" fillId="5" borderId="19" xfId="0" applyNumberFormat="1" applyFill="1" applyBorder="1" applyAlignment="1">
      <alignment horizontal="center"/>
    </xf>
    <xf numFmtId="1" fontId="0" fillId="5" borderId="22" xfId="0" applyNumberFormat="1" applyFill="1" applyBorder="1" applyAlignment="1">
      <alignment horizontal="center"/>
    </xf>
    <xf numFmtId="0" fontId="0" fillId="5" borderId="16" xfId="0" applyFill="1" applyBorder="1" applyAlignment="1">
      <alignment horizontal="center"/>
    </xf>
    <xf numFmtId="0" fontId="0" fillId="5" borderId="22"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8" xfId="3" applyNumberFormat="1" applyFont="1" applyFill="1" applyBorder="1" applyAlignment="1">
      <alignment horizontal="center"/>
    </xf>
    <xf numFmtId="169" fontId="13" fillId="0" borderId="38" xfId="3" applyNumberFormat="1" applyFont="1" applyBorder="1" applyAlignment="1">
      <alignment horizontal="center"/>
    </xf>
    <xf numFmtId="169" fontId="7" fillId="11" borderId="4" xfId="0" applyNumberFormat="1" applyFont="1" applyFill="1" applyBorder="1" applyAlignment="1">
      <alignment horizontal="center" vertical="center"/>
    </xf>
    <xf numFmtId="0" fontId="10" fillId="7" borderId="5" xfId="0" applyFont="1" applyFill="1" applyBorder="1" applyAlignment="1">
      <alignment horizontal="center" vertical="center"/>
    </xf>
    <xf numFmtId="169" fontId="13" fillId="13" borderId="57" xfId="3" applyNumberFormat="1" applyFont="1" applyFill="1" applyBorder="1" applyAlignment="1">
      <alignment horizontal="center"/>
    </xf>
    <xf numFmtId="169" fontId="13" fillId="13" borderId="53" xfId="3" applyNumberFormat="1" applyFont="1" applyFill="1" applyBorder="1" applyAlignment="1">
      <alignment horizontal="center"/>
    </xf>
    <xf numFmtId="169" fontId="13" fillId="0" borderId="57" xfId="3" applyNumberFormat="1" applyFont="1" applyBorder="1" applyAlignment="1">
      <alignment horizontal="center"/>
    </xf>
    <xf numFmtId="169" fontId="13" fillId="0" borderId="53" xfId="3" applyNumberFormat="1" applyFont="1" applyBorder="1" applyAlignment="1">
      <alignment horizontal="center"/>
    </xf>
    <xf numFmtId="0" fontId="11" fillId="5" borderId="4" xfId="0" applyFont="1" applyFill="1" applyBorder="1"/>
    <xf numFmtId="8" fontId="0" fillId="0" borderId="0" xfId="0" applyNumberFormat="1"/>
    <xf numFmtId="0" fontId="3" fillId="0" borderId="0" xfId="0" applyFont="1" applyAlignment="1">
      <alignment horizontal="center"/>
    </xf>
    <xf numFmtId="166" fontId="0" fillId="0" borderId="40" xfId="0" applyNumberFormat="1" applyBorder="1"/>
    <xf numFmtId="166" fontId="0" fillId="0" borderId="41" xfId="0" applyNumberFormat="1" applyBorder="1"/>
    <xf numFmtId="166" fontId="0" fillId="0" borderId="0" xfId="0" applyNumberFormat="1"/>
    <xf numFmtId="166" fontId="0" fillId="0" borderId="39" xfId="0" applyNumberFormat="1" applyBorder="1"/>
    <xf numFmtId="166" fontId="0" fillId="0" borderId="5" xfId="0" applyNumberFormat="1" applyBorder="1"/>
    <xf numFmtId="166" fontId="0" fillId="0" borderId="6" xfId="0" applyNumberFormat="1" applyBorder="1"/>
    <xf numFmtId="166" fontId="4" fillId="3" borderId="2" xfId="0" applyNumberFormat="1" applyFont="1" applyFill="1" applyBorder="1" applyAlignment="1">
      <alignment horizontal="right" wrapText="1"/>
    </xf>
    <xf numFmtId="166" fontId="4" fillId="3" borderId="0" xfId="0" applyNumberFormat="1" applyFont="1" applyFill="1" applyAlignment="1">
      <alignment horizontal="right" wrapText="1"/>
    </xf>
    <xf numFmtId="166" fontId="0" fillId="0" borderId="0" xfId="0" applyNumberFormat="1" applyAlignment="1">
      <alignment horizontal="right"/>
    </xf>
    <xf numFmtId="0" fontId="11" fillId="17" borderId="0" xfId="0" applyFont="1" applyFill="1"/>
    <xf numFmtId="0" fontId="0" fillId="19" borderId="0" xfId="0" applyFill="1"/>
    <xf numFmtId="0" fontId="2" fillId="2" borderId="59" xfId="0" applyFont="1" applyFill="1" applyBorder="1" applyAlignment="1">
      <alignment horizontal="left" wrapText="1"/>
    </xf>
    <xf numFmtId="164" fontId="3" fillId="0" borderId="0" xfId="0" applyNumberFormat="1" applyFont="1"/>
    <xf numFmtId="0" fontId="0" fillId="0" borderId="0" xfId="0" applyAlignment="1">
      <alignment horizontal="left" vertical="top" wrapText="1"/>
    </xf>
    <xf numFmtId="0" fontId="0" fillId="0" borderId="0" xfId="0" applyAlignment="1">
      <alignment horizontal="center"/>
    </xf>
    <xf numFmtId="9" fontId="11" fillId="0" borderId="26" xfId="1" applyFont="1" applyBorder="1"/>
    <xf numFmtId="0" fontId="0" fillId="0" borderId="55" xfId="0" applyBorder="1" applyAlignment="1">
      <alignment horizontal="right"/>
    </xf>
    <xf numFmtId="0" fontId="0" fillId="0" borderId="38" xfId="0" applyBorder="1" applyAlignment="1">
      <alignment horizontal="right"/>
    </xf>
    <xf numFmtId="1" fontId="0" fillId="4" borderId="37" xfId="0" applyNumberFormat="1" applyFill="1" applyBorder="1"/>
    <xf numFmtId="0" fontId="3" fillId="4" borderId="4" xfId="0" applyFont="1" applyFill="1" applyBorder="1"/>
    <xf numFmtId="0" fontId="11" fillId="0" borderId="25" xfId="0" applyFont="1" applyBorder="1"/>
    <xf numFmtId="0" fontId="10" fillId="0" borderId="62" xfId="0" applyFont="1" applyBorder="1"/>
    <xf numFmtId="0" fontId="3" fillId="5" borderId="0" xfId="0" applyFont="1" applyFill="1"/>
    <xf numFmtId="0" fontId="3" fillId="0" borderId="0" xfId="0" applyFont="1" applyAlignment="1">
      <alignment vertical="top" wrapText="1"/>
    </xf>
    <xf numFmtId="0" fontId="3" fillId="0" borderId="0" xfId="0" applyFont="1" applyAlignment="1">
      <alignment wrapText="1"/>
    </xf>
    <xf numFmtId="0" fontId="3" fillId="5" borderId="0" xfId="0" applyFont="1" applyFill="1" applyAlignment="1">
      <alignment wrapText="1"/>
    </xf>
    <xf numFmtId="0" fontId="13" fillId="5" borderId="46" xfId="0" applyFont="1" applyFill="1" applyBorder="1"/>
    <xf numFmtId="0" fontId="13" fillId="5" borderId="49" xfId="0" applyFont="1" applyFill="1" applyBorder="1"/>
    <xf numFmtId="0" fontId="13" fillId="5" borderId="50" xfId="0" applyFont="1" applyFill="1" applyBorder="1"/>
    <xf numFmtId="0" fontId="27" fillId="6" borderId="63" xfId="0" applyFont="1" applyFill="1" applyBorder="1"/>
    <xf numFmtId="0" fontId="27" fillId="6" borderId="64" xfId="0" applyFont="1" applyFill="1" applyBorder="1"/>
    <xf numFmtId="0" fontId="27" fillId="20" borderId="0" xfId="0" applyFont="1" applyFill="1"/>
    <xf numFmtId="6" fontId="27" fillId="20" borderId="65" xfId="0" applyNumberFormat="1" applyFont="1" applyFill="1" applyBorder="1"/>
    <xf numFmtId="0" fontId="27" fillId="21" borderId="0" xfId="0" applyFont="1" applyFill="1"/>
    <xf numFmtId="6" fontId="27" fillId="21" borderId="65" xfId="0" applyNumberFormat="1" applyFont="1" applyFill="1" applyBorder="1"/>
    <xf numFmtId="0" fontId="27" fillId="22" borderId="0" xfId="0" applyFont="1" applyFill="1"/>
    <xf numFmtId="0" fontId="27" fillId="22" borderId="65" xfId="0" applyFont="1" applyFill="1" applyBorder="1"/>
    <xf numFmtId="0" fontId="27" fillId="22" borderId="58" xfId="0" applyFont="1" applyFill="1" applyBorder="1"/>
    <xf numFmtId="0" fontId="27" fillId="23" borderId="0" xfId="0" applyFont="1" applyFill="1"/>
    <xf numFmtId="0" fontId="27" fillId="23" borderId="65" xfId="0" applyFont="1" applyFill="1" applyBorder="1"/>
    <xf numFmtId="0" fontId="27" fillId="23" borderId="58" xfId="0" applyFont="1" applyFill="1" applyBorder="1"/>
    <xf numFmtId="0" fontId="27" fillId="23" borderId="66" xfId="0" applyFont="1" applyFill="1" applyBorder="1"/>
    <xf numFmtId="0" fontId="27" fillId="20" borderId="65" xfId="0" applyFont="1" applyFill="1" applyBorder="1"/>
    <xf numFmtId="0" fontId="27" fillId="21" borderId="65" xfId="0" applyFont="1" applyFill="1" applyBorder="1"/>
    <xf numFmtId="6" fontId="27" fillId="22" borderId="65" xfId="0" applyNumberFormat="1" applyFont="1" applyFill="1" applyBorder="1"/>
    <xf numFmtId="0" fontId="27" fillId="6" borderId="67" xfId="0" applyFont="1" applyFill="1" applyBorder="1"/>
    <xf numFmtId="0" fontId="27" fillId="6" borderId="6" xfId="0" applyFont="1" applyFill="1" applyBorder="1"/>
    <xf numFmtId="6" fontId="27" fillId="22" borderId="58" xfId="0" applyNumberFormat="1" applyFont="1" applyFill="1" applyBorder="1"/>
    <xf numFmtId="6" fontId="27" fillId="23" borderId="65" xfId="0" applyNumberFormat="1" applyFont="1" applyFill="1" applyBorder="1"/>
    <xf numFmtId="6" fontId="27" fillId="23" borderId="66" xfId="0" applyNumberFormat="1" applyFont="1" applyFill="1" applyBorder="1"/>
    <xf numFmtId="6" fontId="27" fillId="6" borderId="6" xfId="0" applyNumberFormat="1" applyFont="1" applyFill="1" applyBorder="1"/>
    <xf numFmtId="0" fontId="27" fillId="6" borderId="66" xfId="0" applyFont="1" applyFill="1" applyBorder="1"/>
    <xf numFmtId="6" fontId="27" fillId="23" borderId="58" xfId="0" applyNumberFormat="1" applyFont="1" applyFill="1" applyBorder="1"/>
    <xf numFmtId="0" fontId="3" fillId="0" borderId="61" xfId="0" applyFont="1" applyBorder="1" applyAlignment="1">
      <alignment horizontal="center"/>
    </xf>
    <xf numFmtId="0" fontId="3" fillId="0" borderId="62" xfId="0" applyFont="1" applyBorder="1" applyAlignment="1">
      <alignment horizontal="center"/>
    </xf>
    <xf numFmtId="0" fontId="3" fillId="0" borderId="60" xfId="0" applyFont="1" applyBorder="1" applyAlignment="1">
      <alignment horizontal="center"/>
    </xf>
    <xf numFmtId="0" fontId="0" fillId="0" borderId="5" xfId="0" applyBorder="1" applyAlignment="1">
      <alignment horizontal="center"/>
    </xf>
    <xf numFmtId="0" fontId="0" fillId="0" borderId="0" xfId="0" applyAlignment="1">
      <alignment horizontal="center"/>
    </xf>
    <xf numFmtId="0" fontId="3" fillId="5" borderId="0" xfId="0" applyFont="1" applyFill="1" applyAlignment="1">
      <alignment horizontal="left"/>
    </xf>
    <xf numFmtId="1" fontId="26" fillId="0" borderId="0" xfId="0" applyNumberFormat="1" applyFont="1" applyAlignment="1">
      <alignment horizontal="center"/>
    </xf>
    <xf numFmtId="0" fontId="12" fillId="0" borderId="5" xfId="0" applyFont="1" applyBorder="1" applyAlignment="1">
      <alignment horizontal="center"/>
    </xf>
    <xf numFmtId="0" fontId="12" fillId="0" borderId="0" xfId="0" applyFont="1" applyAlignment="1">
      <alignment horizontal="center"/>
    </xf>
    <xf numFmtId="0" fontId="12" fillId="0" borderId="6" xfId="0" applyFont="1" applyBorder="1" applyAlignment="1">
      <alignment horizontal="center"/>
    </xf>
    <xf numFmtId="0" fontId="3" fillId="0" borderId="36" xfId="0" applyFont="1" applyBorder="1" applyAlignment="1">
      <alignment horizontal="center"/>
    </xf>
    <xf numFmtId="164" fontId="11" fillId="0" borderId="29" xfId="0" applyNumberFormat="1" applyFont="1" applyBorder="1" applyAlignment="1">
      <alignment horizontal="right"/>
    </xf>
    <xf numFmtId="164" fontId="11" fillId="0" borderId="28" xfId="0" applyNumberFormat="1" applyFont="1" applyBorder="1" applyAlignment="1">
      <alignment horizontal="right"/>
    </xf>
    <xf numFmtId="0" fontId="3" fillId="12" borderId="10" xfId="0" applyFont="1" applyFill="1" applyBorder="1" applyAlignment="1">
      <alignment horizontal="center"/>
    </xf>
    <xf numFmtId="0" fontId="3" fillId="12" borderId="11" xfId="0" applyFont="1" applyFill="1" applyBorder="1" applyAlignment="1">
      <alignment horizontal="center"/>
    </xf>
    <xf numFmtId="0" fontId="3" fillId="12" borderId="35" xfId="0" applyFont="1" applyFill="1" applyBorder="1" applyAlignment="1">
      <alignment horizontal="center"/>
    </xf>
    <xf numFmtId="0" fontId="3" fillId="12" borderId="5" xfId="0" applyFont="1" applyFill="1" applyBorder="1" applyAlignment="1">
      <alignment horizontal="center"/>
    </xf>
    <xf numFmtId="0" fontId="3" fillId="12" borderId="0" xfId="0" applyFont="1" applyFill="1" applyAlignment="1">
      <alignment horizontal="center"/>
    </xf>
    <xf numFmtId="0" fontId="3" fillId="12" borderId="6" xfId="0" applyFont="1" applyFill="1" applyBorder="1" applyAlignment="1">
      <alignment horizontal="center"/>
    </xf>
    <xf numFmtId="0" fontId="24" fillId="0" borderId="11" xfId="0" applyFont="1" applyBorder="1" applyAlignment="1">
      <alignment horizontal="center"/>
    </xf>
    <xf numFmtId="0" fontId="16" fillId="0" borderId="11" xfId="0" applyFont="1" applyBorder="1" applyAlignment="1">
      <alignment horizontal="center"/>
    </xf>
    <xf numFmtId="0" fontId="24" fillId="0" borderId="0" xfId="0" applyFont="1" applyAlignment="1">
      <alignment horizontal="center"/>
    </xf>
    <xf numFmtId="0" fontId="19" fillId="18" borderId="58" xfId="0" applyFont="1" applyFill="1" applyBorder="1" applyAlignment="1">
      <alignment horizontal="center"/>
    </xf>
    <xf numFmtId="0" fontId="19" fillId="18" borderId="0" xfId="0" applyFont="1" applyFill="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xf numFmtId="10" fontId="18" fillId="18" borderId="14" xfId="1" applyNumberFormat="1" applyFont="1" applyFill="1" applyBorder="1" applyAlignment="1">
      <alignment horizontal="center"/>
    </xf>
  </cellXfs>
  <cellStyles count="4">
    <cellStyle name="Comma" xfId="2" builtinId="3"/>
    <cellStyle name="Currency" xfId="3" builtinId="4"/>
    <cellStyle name="Normal" xfId="0" builtinId="0"/>
    <cellStyle name="Percent" xfId="1" builtinId="5"/>
  </cellStyles>
  <dxfs count="102">
    <dxf>
      <fill>
        <patternFill>
          <bgColor theme="9"/>
        </patternFill>
      </fill>
    </dxf>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val="0"/>
        <i/>
        <strike/>
        <color theme="0" tint="-0.34998626667073579"/>
      </font>
    </dxf>
    <dxf>
      <font>
        <b val="0"/>
        <i/>
        <strike/>
        <color theme="0" tint="-0.34998626667073579"/>
      </font>
    </dxf>
    <dxf>
      <font>
        <b/>
        <i val="0"/>
      </font>
      <fill>
        <patternFill>
          <bgColor rgb="FFFFFF00"/>
        </patternFill>
      </fill>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strike/>
        <u val="none"/>
        <color theme="0" tint="-0.499984740745262"/>
      </font>
      <fill>
        <patternFill>
          <bgColor theme="1" tint="0.24994659260841701"/>
        </patternFill>
      </fill>
    </dxf>
    <dxf>
      <font>
        <b/>
        <i val="0"/>
        <color rgb="FFFFFF00"/>
      </font>
      <border>
        <left style="thin">
          <color auto="1"/>
        </left>
        <right style="thin">
          <color auto="1"/>
        </right>
        <top/>
        <bottom/>
      </border>
    </dxf>
    <dxf>
      <fill>
        <patternFill>
          <bgColor theme="1" tint="0.24994659260841701"/>
        </patternFill>
      </fill>
    </dxf>
    <dxf>
      <fill>
        <patternFill>
          <bgColor theme="1" tint="0.24994659260841701"/>
        </patternFill>
      </fill>
    </dxf>
    <dxf>
      <fill>
        <patternFill>
          <bgColor theme="1" tint="0.24994659260841701"/>
        </patternFill>
      </fill>
    </dxf>
    <dxf>
      <font>
        <strike/>
        <u val="none"/>
        <color theme="0" tint="-0.499984740745262"/>
      </font>
      <fill>
        <patternFill>
          <bgColor theme="1" tint="0.24994659260841701"/>
        </patternFill>
      </fill>
    </dxf>
    <dxf>
      <font>
        <b/>
        <i val="0"/>
        <color rgb="FFFFFF00"/>
      </font>
      <border>
        <left style="thin">
          <color auto="1"/>
        </left>
        <right style="thin">
          <color auto="1"/>
        </right>
        <top/>
        <bottom/>
      </border>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color rgb="FFFFCCCC"/>
      </font>
      <fill>
        <patternFill>
          <bgColor rgb="FFFF0000"/>
        </patternFill>
      </fill>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
      <numFmt numFmtId="0" formatCode="General"/>
    </dxf>
    <dxf>
      <numFmt numFmtId="0" formatCode="General"/>
    </dxf>
  </dxfs>
  <tableStyles count="0" defaultTableStyle="TableStyleMedium2" defaultPivotStyle="PivotStyleLight16"/>
  <colors>
    <mruColors>
      <color rgb="FFFFFF99"/>
      <color rgb="FFCCFF99"/>
      <color rgb="FFFFCCCC"/>
      <color rgb="FFDDBEFF"/>
      <color rgb="FFC99AFF"/>
      <color rgb="FFCCFFFF"/>
      <color rgb="FFFFCC99"/>
      <color rgb="FF66FF66"/>
      <color rgb="FFCCFF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 Type="http://schemas.openxmlformats.org/officeDocument/2006/relationships/image" Target="../media/image3.gif"/><Relationship Id="rId21" Type="http://schemas.openxmlformats.org/officeDocument/2006/relationships/image" Target="../media/image21.gif"/><Relationship Id="rId7" Type="http://schemas.openxmlformats.org/officeDocument/2006/relationships/image" Target="../media/image7.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2" Type="http://schemas.openxmlformats.org/officeDocument/2006/relationships/image" Target="../media/image2.gif"/><Relationship Id="rId16" Type="http://schemas.openxmlformats.org/officeDocument/2006/relationships/image" Target="../media/image16.gif"/><Relationship Id="rId20" Type="http://schemas.openxmlformats.org/officeDocument/2006/relationships/image" Target="../media/image20.gif"/><Relationship Id="rId29" Type="http://schemas.openxmlformats.org/officeDocument/2006/relationships/image" Target="../media/image29.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png"/><Relationship Id="rId5" Type="http://schemas.openxmlformats.org/officeDocument/2006/relationships/image" Target="../media/image5.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gif"/><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20</xdr:row>
          <xdr:rowOff>180975</xdr:rowOff>
        </xdr:from>
        <xdr:to>
          <xdr:col>8</xdr:col>
          <xdr:colOff>0</xdr:colOff>
          <xdr:row>21</xdr:row>
          <xdr:rowOff>180975</xdr:rowOff>
        </xdr:to>
        <xdr:sp macro="" textlink="">
          <xdr:nvSpPr>
            <xdr:cNvPr id="34823" name="Button 7" hidden="1">
              <a:extLst>
                <a:ext uri="{63B3BB69-23CF-44E3-9099-C40C66FF867C}">
                  <a14:compatExt spid="_x0000_s34823"/>
                </a:ext>
                <a:ext uri="{FF2B5EF4-FFF2-40B4-BE49-F238E27FC236}">
                  <a16:creationId xmlns:a16="http://schemas.microsoft.com/office/drawing/2014/main" id="{00000000-0008-0000-0200-000007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All Sheet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6350</xdr:rowOff>
    </xdr:from>
    <xdr:to>
      <xdr:col>1</xdr:col>
      <xdr:colOff>817880</xdr:colOff>
      <xdr:row>0</xdr:row>
      <xdr:rowOff>283845</xdr:rowOff>
    </xdr:to>
    <xdr:pic>
      <xdr:nvPicPr>
        <xdr:cNvPr id="2" name="Picture 1" descr="http://content.sportslogos.net/logos/7/177/thumbs/kwth8f1cfa2sch5xhjjfaof90.gif">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 y="63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0</xdr:row>
      <xdr:rowOff>25400</xdr:rowOff>
    </xdr:from>
    <xdr:to>
      <xdr:col>2</xdr:col>
      <xdr:colOff>855980</xdr:colOff>
      <xdr:row>0</xdr:row>
      <xdr:rowOff>302895</xdr:rowOff>
    </xdr:to>
    <xdr:pic>
      <xdr:nvPicPr>
        <xdr:cNvPr id="3" name="Picture 2" descr="http://content.sportslogos.net/logos/7/173/thumbs/299.gif">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17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419100</xdr:colOff>
      <xdr:row>0</xdr:row>
      <xdr:rowOff>25400</xdr:rowOff>
    </xdr:from>
    <xdr:to>
      <xdr:col>3</xdr:col>
      <xdr:colOff>827405</xdr:colOff>
      <xdr:row>0</xdr:row>
      <xdr:rowOff>302895</xdr:rowOff>
    </xdr:to>
    <xdr:pic>
      <xdr:nvPicPr>
        <xdr:cNvPr id="4" name="Picture 3" descr="http://content.sportslogos.net/logos/7/153/thumbs/318.gif">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419100</xdr:colOff>
      <xdr:row>0</xdr:row>
      <xdr:rowOff>25400</xdr:rowOff>
    </xdr:from>
    <xdr:to>
      <xdr:col>4</xdr:col>
      <xdr:colOff>827405</xdr:colOff>
      <xdr:row>0</xdr:row>
      <xdr:rowOff>302895</xdr:rowOff>
    </xdr:to>
    <xdr:pic>
      <xdr:nvPicPr>
        <xdr:cNvPr id="5" name="Picture 4" descr="http://content.sportslogos.net/logos/7/149/thumbs/n0fd1z6xmhigb0eej3323ebwq.gif">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720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409575</xdr:colOff>
      <xdr:row>0</xdr:row>
      <xdr:rowOff>25400</xdr:rowOff>
    </xdr:from>
    <xdr:to>
      <xdr:col>5</xdr:col>
      <xdr:colOff>817880</xdr:colOff>
      <xdr:row>0</xdr:row>
      <xdr:rowOff>302895</xdr:rowOff>
    </xdr:to>
    <xdr:pic>
      <xdr:nvPicPr>
        <xdr:cNvPr id="6" name="Picture 5" descr="http://content.sportslogos.net/logos/7/174/thumbs/f1wggq2k8ql88fe33jzhw641u.gif">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769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419100</xdr:colOff>
      <xdr:row>0</xdr:row>
      <xdr:rowOff>25400</xdr:rowOff>
    </xdr:from>
    <xdr:to>
      <xdr:col>6</xdr:col>
      <xdr:colOff>827405</xdr:colOff>
      <xdr:row>0</xdr:row>
      <xdr:rowOff>302895</xdr:rowOff>
    </xdr:to>
    <xdr:pic>
      <xdr:nvPicPr>
        <xdr:cNvPr id="7" name="Picture 6" descr="http://content.sportslogos.net/logos/7/169/thumbs/364.gif">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09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0</xdr:row>
      <xdr:rowOff>25400</xdr:rowOff>
    </xdr:from>
    <xdr:to>
      <xdr:col>7</xdr:col>
      <xdr:colOff>836930</xdr:colOff>
      <xdr:row>0</xdr:row>
      <xdr:rowOff>302895</xdr:rowOff>
    </xdr:to>
    <xdr:pic>
      <xdr:nvPicPr>
        <xdr:cNvPr id="8" name="Picture 7" descr="http://content.sportslogos.net/logos/7/154/thumbs/403.gif">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249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0</xdr:row>
      <xdr:rowOff>25400</xdr:rowOff>
    </xdr:from>
    <xdr:to>
      <xdr:col>8</xdr:col>
      <xdr:colOff>836930</xdr:colOff>
      <xdr:row>0</xdr:row>
      <xdr:rowOff>302895</xdr:rowOff>
    </xdr:to>
    <xdr:pic>
      <xdr:nvPicPr>
        <xdr:cNvPr id="9" name="Picture 8" descr="http://content.sportslogos.net/logos/7/155/thumbs/2ioheczrkmc2ibc42c9r.gif">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0393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457200</xdr:colOff>
      <xdr:row>0</xdr:row>
      <xdr:rowOff>25400</xdr:rowOff>
    </xdr:from>
    <xdr:to>
      <xdr:col>9</xdr:col>
      <xdr:colOff>865505</xdr:colOff>
      <xdr:row>0</xdr:row>
      <xdr:rowOff>302895</xdr:rowOff>
    </xdr:to>
    <xdr:pic>
      <xdr:nvPicPr>
        <xdr:cNvPr id="10" name="Picture 9" descr="http://content.sportslogos.net/logos/7/165/thumbs/406.gif">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3823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25400</xdr:rowOff>
    </xdr:from>
    <xdr:to>
      <xdr:col>10</xdr:col>
      <xdr:colOff>827405</xdr:colOff>
      <xdr:row>0</xdr:row>
      <xdr:rowOff>302895</xdr:rowOff>
    </xdr:to>
    <xdr:pic>
      <xdr:nvPicPr>
        <xdr:cNvPr id="11" name="Picture 10" descr="http://content.sportslogos.net/logos/7/161/thumbs/9ebzja2zfeigaziee8y605aqp.gif">
          <a:extLst>
            <a:ext uri="{FF2B5EF4-FFF2-40B4-BE49-F238E27FC236}">
              <a16:creationId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6587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400050</xdr:colOff>
      <xdr:row>0</xdr:row>
      <xdr:rowOff>25400</xdr:rowOff>
    </xdr:from>
    <xdr:to>
      <xdr:col>11</xdr:col>
      <xdr:colOff>808355</xdr:colOff>
      <xdr:row>0</xdr:row>
      <xdr:rowOff>302895</xdr:rowOff>
    </xdr:to>
    <xdr:pic>
      <xdr:nvPicPr>
        <xdr:cNvPr id="12" name="Picture 11" descr="http://content.sportslogos.net/logos/7/170/thumbs/cwuyv0w15ruuk34j9qnfuoif9.gif">
          <a:extLst>
            <a:ext uri="{FF2B5EF4-FFF2-40B4-BE49-F238E27FC236}">
              <a16:creationId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9541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15</xdr:row>
      <xdr:rowOff>34925</xdr:rowOff>
    </xdr:from>
    <xdr:to>
      <xdr:col>1</xdr:col>
      <xdr:colOff>846455</xdr:colOff>
      <xdr:row>15</xdr:row>
      <xdr:rowOff>312420</xdr:rowOff>
    </xdr:to>
    <xdr:pic>
      <xdr:nvPicPr>
        <xdr:cNvPr id="13" name="Picture 12" descr="http://content.sportslogos.net/logos/7/171/thumbs/dcy03myfhffbki5d7il3.gif">
          <a:extLst>
            <a:ext uri="{FF2B5EF4-FFF2-40B4-BE49-F238E27FC236}">
              <a16:creationId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5"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15</xdr:row>
      <xdr:rowOff>25400</xdr:rowOff>
    </xdr:from>
    <xdr:to>
      <xdr:col>2</xdr:col>
      <xdr:colOff>852805</xdr:colOff>
      <xdr:row>15</xdr:row>
      <xdr:rowOff>302895</xdr:rowOff>
    </xdr:to>
    <xdr:pic>
      <xdr:nvPicPr>
        <xdr:cNvPr id="14" name="Picture 13" descr="http://content.sportslogos.net/logos/7/157/thumbs/570.gif">
          <a:extLst>
            <a:ext uri="{FF2B5EF4-FFF2-40B4-BE49-F238E27FC236}">
              <a16:creationId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62175" y="3073400"/>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15</xdr:row>
      <xdr:rowOff>44450</xdr:rowOff>
    </xdr:from>
    <xdr:to>
      <xdr:col>3</xdr:col>
      <xdr:colOff>865505</xdr:colOff>
      <xdr:row>15</xdr:row>
      <xdr:rowOff>321945</xdr:rowOff>
    </xdr:to>
    <xdr:pic>
      <xdr:nvPicPr>
        <xdr:cNvPr id="15" name="Picture 14" descr="http://content.sportslogos.net/logos/7/158/thumbs/593.gif">
          <a:extLst>
            <a:ext uri="{FF2B5EF4-FFF2-40B4-BE49-F238E27FC236}">
              <a16:creationId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95675" y="30924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15</xdr:row>
      <xdr:rowOff>44450</xdr:rowOff>
    </xdr:from>
    <xdr:to>
      <xdr:col>4</xdr:col>
      <xdr:colOff>875030</xdr:colOff>
      <xdr:row>15</xdr:row>
      <xdr:rowOff>331470</xdr:rowOff>
    </xdr:to>
    <xdr:pic>
      <xdr:nvPicPr>
        <xdr:cNvPr id="16" name="Picture 15" descr="http://content.sportslogos.net/logos/7/159/thumbs/15988562013.gif">
          <a:extLst>
            <a:ext uri="{FF2B5EF4-FFF2-40B4-BE49-F238E27FC236}">
              <a16:creationId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819650" y="3092450"/>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15</xdr:row>
      <xdr:rowOff>34925</xdr:rowOff>
    </xdr:from>
    <xdr:to>
      <xdr:col>5</xdr:col>
      <xdr:colOff>833755</xdr:colOff>
      <xdr:row>15</xdr:row>
      <xdr:rowOff>321945</xdr:rowOff>
    </xdr:to>
    <xdr:pic>
      <xdr:nvPicPr>
        <xdr:cNvPr id="17" name="Picture 16" descr="http://content.sportslogos.net/logos/7/162/thumbs/857.gif">
          <a:extLst>
            <a:ext uri="{FF2B5EF4-FFF2-40B4-BE49-F238E27FC236}">
              <a16:creationId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86475" y="3082925"/>
          <a:ext cx="41465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15</xdr:row>
      <xdr:rowOff>53975</xdr:rowOff>
    </xdr:from>
    <xdr:to>
      <xdr:col>7</xdr:col>
      <xdr:colOff>798830</xdr:colOff>
      <xdr:row>15</xdr:row>
      <xdr:rowOff>340995</xdr:rowOff>
    </xdr:to>
    <xdr:pic>
      <xdr:nvPicPr>
        <xdr:cNvPr id="18" name="Picture 17" descr="http://content.sportslogos.net/logos/7/164/thumbs/8e1jhgblydtow4m3okwzxh67k.gif">
          <a:extLst>
            <a:ext uri="{FF2B5EF4-FFF2-40B4-BE49-F238E27FC236}">
              <a16:creationId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686800" y="31019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409575</xdr:colOff>
      <xdr:row>15</xdr:row>
      <xdr:rowOff>25400</xdr:rowOff>
    </xdr:from>
    <xdr:to>
      <xdr:col>8</xdr:col>
      <xdr:colOff>817880</xdr:colOff>
      <xdr:row>15</xdr:row>
      <xdr:rowOff>302895</xdr:rowOff>
    </xdr:to>
    <xdr:pic>
      <xdr:nvPicPr>
        <xdr:cNvPr id="19" name="Picture 18" descr="http://content.sportslogos.net/logos/7/178/thumbs/1029.gif">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020300"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15</xdr:row>
      <xdr:rowOff>25400</xdr:rowOff>
    </xdr:from>
    <xdr:to>
      <xdr:col>9</xdr:col>
      <xdr:colOff>808355</xdr:colOff>
      <xdr:row>15</xdr:row>
      <xdr:rowOff>302895</xdr:rowOff>
    </xdr:to>
    <xdr:pic>
      <xdr:nvPicPr>
        <xdr:cNvPr id="20" name="Picture 19" descr="http://content.sportslogos.net/logos/7/150/thumbs/15041052013.gif">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3252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15</xdr:row>
      <xdr:rowOff>25400</xdr:rowOff>
    </xdr:from>
    <xdr:to>
      <xdr:col>10</xdr:col>
      <xdr:colOff>827405</xdr:colOff>
      <xdr:row>15</xdr:row>
      <xdr:rowOff>302895</xdr:rowOff>
    </xdr:to>
    <xdr:pic>
      <xdr:nvPicPr>
        <xdr:cNvPr id="21" name="Picture 20" descr="http://content.sportslogos.net/logos/7/172/thumbs/17227042013.gif">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26587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15</xdr:row>
      <xdr:rowOff>34925</xdr:rowOff>
    </xdr:from>
    <xdr:to>
      <xdr:col>11</xdr:col>
      <xdr:colOff>836930</xdr:colOff>
      <xdr:row>15</xdr:row>
      <xdr:rowOff>312420</xdr:rowOff>
    </xdr:to>
    <xdr:pic>
      <xdr:nvPicPr>
        <xdr:cNvPr id="22" name="Picture 21" descr="http://content.sportslogos.net/logos/7/151/thumbs/y71myf8mlwlk8lbgagh3fd5e0.gif">
          <a:extLst>
            <a:ext uri="{FF2B5EF4-FFF2-40B4-BE49-F238E27FC236}">
              <a16:creationId xmlns:a16="http://schemas.microsoft.com/office/drawing/2014/main" id="{00000000-0008-0000-15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982700"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30</xdr:row>
      <xdr:rowOff>15875</xdr:rowOff>
    </xdr:from>
    <xdr:to>
      <xdr:col>1</xdr:col>
      <xdr:colOff>789305</xdr:colOff>
      <xdr:row>30</xdr:row>
      <xdr:rowOff>293370</xdr:rowOff>
    </xdr:to>
    <xdr:pic>
      <xdr:nvPicPr>
        <xdr:cNvPr id="23" name="Picture 22" descr="http://content.sportslogos.net/logos/7/175/thumbs/907.gif">
          <a:extLst>
            <a:ext uri="{FF2B5EF4-FFF2-40B4-BE49-F238E27FC236}">
              <a16:creationId xmlns:a16="http://schemas.microsoft.com/office/drawing/2014/main" id="{00000000-0008-0000-15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790575" y="622617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30</xdr:row>
      <xdr:rowOff>25400</xdr:rowOff>
    </xdr:from>
    <xdr:to>
      <xdr:col>2</xdr:col>
      <xdr:colOff>855980</xdr:colOff>
      <xdr:row>30</xdr:row>
      <xdr:rowOff>302895</xdr:rowOff>
    </xdr:to>
    <xdr:pic>
      <xdr:nvPicPr>
        <xdr:cNvPr id="24" name="Picture 23" descr="http://content.sportslogos.net/logos/7/166/thumbs/919.gif">
          <a:extLst>
            <a:ext uri="{FF2B5EF4-FFF2-40B4-BE49-F238E27FC236}">
              <a16:creationId xmlns:a16="http://schemas.microsoft.com/office/drawing/2014/main" id="{00000000-0008-0000-15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17170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30</xdr:row>
      <xdr:rowOff>15875</xdr:rowOff>
    </xdr:from>
    <xdr:to>
      <xdr:col>3</xdr:col>
      <xdr:colOff>846455</xdr:colOff>
      <xdr:row>30</xdr:row>
      <xdr:rowOff>302895</xdr:rowOff>
    </xdr:to>
    <xdr:pic>
      <xdr:nvPicPr>
        <xdr:cNvPr id="25" name="Picture 24" descr="http://content.sportslogos.net/logos/7/152/thumbs/v7tehkwthrwefgounvi7znf5k.gif">
          <a:extLst>
            <a:ext uri="{FF2B5EF4-FFF2-40B4-BE49-F238E27FC236}">
              <a16:creationId xmlns:a16="http://schemas.microsoft.com/office/drawing/2014/main" id="{00000000-0008-0000-15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476625" y="62261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15</xdr:row>
      <xdr:rowOff>25400</xdr:rowOff>
    </xdr:from>
    <xdr:to>
      <xdr:col>6</xdr:col>
      <xdr:colOff>865505</xdr:colOff>
      <xdr:row>15</xdr:row>
      <xdr:rowOff>302895</xdr:rowOff>
    </xdr:to>
    <xdr:pic>
      <xdr:nvPicPr>
        <xdr:cNvPr id="26" name="Picture 25" descr="http://content.sportslogos.net/logos/7/163/thumbs/g9mgk6x3ge26t44cccm9oq1vl.gif">
          <a:extLst>
            <a:ext uri="{FF2B5EF4-FFF2-40B4-BE49-F238E27FC236}">
              <a16:creationId xmlns:a16="http://schemas.microsoft.com/office/drawing/2014/main" id="{00000000-0008-0000-15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74390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30</xdr:row>
      <xdr:rowOff>38100</xdr:rowOff>
    </xdr:from>
    <xdr:to>
      <xdr:col>4</xdr:col>
      <xdr:colOff>789305</xdr:colOff>
      <xdr:row>30</xdr:row>
      <xdr:rowOff>325120</xdr:rowOff>
    </xdr:to>
    <xdr:pic>
      <xdr:nvPicPr>
        <xdr:cNvPr id="27" name="Picture 26" descr="http://content.sportslogos.net/logos/7/167/thumbs/960.gif">
          <a:extLst>
            <a:ext uri="{FF2B5EF4-FFF2-40B4-BE49-F238E27FC236}">
              <a16:creationId xmlns:a16="http://schemas.microsoft.com/office/drawing/2014/main" id="{00000000-0008-0000-15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495800" y="41910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30</xdr:row>
      <xdr:rowOff>38100</xdr:rowOff>
    </xdr:from>
    <xdr:to>
      <xdr:col>5</xdr:col>
      <xdr:colOff>859155</xdr:colOff>
      <xdr:row>30</xdr:row>
      <xdr:rowOff>325120</xdr:rowOff>
    </xdr:to>
    <xdr:pic>
      <xdr:nvPicPr>
        <xdr:cNvPr id="28" name="Picture 27" descr="http://content.sportslogos.net/logos/7/156/thumbs/970.gif">
          <a:extLst>
            <a:ext uri="{FF2B5EF4-FFF2-40B4-BE49-F238E27FC236}">
              <a16:creationId xmlns:a16="http://schemas.microsoft.com/office/drawing/2014/main" id="{00000000-0008-0000-15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5403850" y="6248400"/>
          <a:ext cx="417830"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30</xdr:row>
      <xdr:rowOff>25400</xdr:rowOff>
    </xdr:from>
    <xdr:to>
      <xdr:col>6</xdr:col>
      <xdr:colOff>846455</xdr:colOff>
      <xdr:row>30</xdr:row>
      <xdr:rowOff>302895</xdr:rowOff>
    </xdr:to>
    <xdr:pic>
      <xdr:nvPicPr>
        <xdr:cNvPr id="29" name="Picture 28" descr="http://content.sportslogos.net/logos/7/179/thumbs/17994552009.gif">
          <a:extLst>
            <a:ext uri="{FF2B5EF4-FFF2-40B4-BE49-F238E27FC236}">
              <a16:creationId xmlns:a16="http://schemas.microsoft.com/office/drawing/2014/main" id="{00000000-0008-0000-15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848475"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30</xdr:row>
      <xdr:rowOff>15875</xdr:rowOff>
    </xdr:from>
    <xdr:to>
      <xdr:col>7</xdr:col>
      <xdr:colOff>824230</xdr:colOff>
      <xdr:row>30</xdr:row>
      <xdr:rowOff>293370</xdr:rowOff>
    </xdr:to>
    <xdr:pic>
      <xdr:nvPicPr>
        <xdr:cNvPr id="30" name="Picture 29" descr="http://content.sportslogos.net/logos/7/180/thumbs/pfiobtreaq7j0pzvadktsc6jv.gif">
          <a:extLst>
            <a:ext uri="{FF2B5EF4-FFF2-40B4-BE49-F238E27FC236}">
              <a16:creationId xmlns:a16="http://schemas.microsoft.com/office/drawing/2014/main" id="{00000000-0008-0000-15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705850" y="6226175"/>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30</xdr:row>
      <xdr:rowOff>25400</xdr:rowOff>
    </xdr:from>
    <xdr:to>
      <xdr:col>8</xdr:col>
      <xdr:colOff>836930</xdr:colOff>
      <xdr:row>30</xdr:row>
      <xdr:rowOff>302895</xdr:rowOff>
    </xdr:to>
    <xdr:pic>
      <xdr:nvPicPr>
        <xdr:cNvPr id="31" name="Picture 30" descr="http://content.sportslogos.net/logos/7/176/thumbs/17636702014.gif">
          <a:extLst>
            <a:ext uri="{FF2B5EF4-FFF2-40B4-BE49-F238E27FC236}">
              <a16:creationId xmlns:a16="http://schemas.microsoft.com/office/drawing/2014/main" id="{00000000-0008-0000-15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00393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30</xdr:row>
      <xdr:rowOff>25400</xdr:rowOff>
    </xdr:from>
    <xdr:to>
      <xdr:col>9</xdr:col>
      <xdr:colOff>817880</xdr:colOff>
      <xdr:row>30</xdr:row>
      <xdr:rowOff>302895</xdr:rowOff>
    </xdr:to>
    <xdr:pic>
      <xdr:nvPicPr>
        <xdr:cNvPr id="32" name="Picture 31" descr="http://content.sportslogos.net/logos/7/160/thumbs/1053.gif">
          <a:extLst>
            <a:ext uri="{FF2B5EF4-FFF2-40B4-BE49-F238E27FC236}">
              <a16:creationId xmlns:a16="http://schemas.microsoft.com/office/drawing/2014/main" id="{00000000-0008-0000-15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13347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381001</xdr:colOff>
      <xdr:row>29</xdr:row>
      <xdr:rowOff>133351</xdr:rowOff>
    </xdr:from>
    <xdr:to>
      <xdr:col>10</xdr:col>
      <xdr:colOff>838201</xdr:colOff>
      <xdr:row>30</xdr:row>
      <xdr:rowOff>390526</xdr:rowOff>
    </xdr:to>
    <xdr:pic>
      <xdr:nvPicPr>
        <xdr:cNvPr id="34" name="Picture 33">
          <a:extLst>
            <a:ext uri="{FF2B5EF4-FFF2-40B4-BE49-F238E27FC236}">
              <a16:creationId xmlns:a16="http://schemas.microsoft.com/office/drawing/2014/main" id="{00000000-0008-0000-1500-000022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839576" y="6143626"/>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16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16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16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16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16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16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16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16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16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16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9525</xdr:colOff>
          <xdr:row>8</xdr:row>
          <xdr:rowOff>180975</xdr:rowOff>
        </xdr:from>
        <xdr:to>
          <xdr:col>2</xdr:col>
          <xdr:colOff>28575</xdr:colOff>
          <xdr:row>9</xdr:row>
          <xdr:rowOff>180975</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1600-000020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8</xdr:row>
          <xdr:rowOff>28575</xdr:rowOff>
        </xdr:from>
        <xdr:to>
          <xdr:col>6</xdr:col>
          <xdr:colOff>257175</xdr:colOff>
          <xdr:row>9</xdr:row>
          <xdr:rowOff>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1600-00002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9</xdr:row>
          <xdr:rowOff>9525</xdr:rowOff>
        </xdr:from>
        <xdr:to>
          <xdr:col>6</xdr:col>
          <xdr:colOff>257175</xdr:colOff>
          <xdr:row>10</xdr:row>
          <xdr:rowOff>0</xdr:rowOff>
        </xdr:to>
        <xdr:sp macro="" textlink="">
          <xdr:nvSpPr>
            <xdr:cNvPr id="26658" name="Button 34" hidden="1">
              <a:extLst>
                <a:ext uri="{63B3BB69-23CF-44E3-9099-C40C66FF867C}">
                  <a14:compatExt spid="_x0000_s26658"/>
                </a:ext>
                <a:ext uri="{FF2B5EF4-FFF2-40B4-BE49-F238E27FC236}">
                  <a16:creationId xmlns:a16="http://schemas.microsoft.com/office/drawing/2014/main" id="{00000000-0008-0000-1600-00002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28575</xdr:colOff>
          <xdr:row>10</xdr:row>
          <xdr:rowOff>0</xdr:rowOff>
        </xdr:to>
        <xdr:sp macro="" textlink="">
          <xdr:nvSpPr>
            <xdr:cNvPr id="2" name="Button 35" hidden="1">
              <a:extLst>
                <a:ext uri="{63B3BB69-23CF-44E3-9099-C40C66FF867C}">
                  <a14:compatExt spid="_x0000_s26659"/>
                </a:ext>
                <a:ext uri="{FF2B5EF4-FFF2-40B4-BE49-F238E27FC236}">
                  <a16:creationId xmlns:a16="http://schemas.microsoft.com/office/drawing/2014/main" id="{00000000-0008-0000-16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8</xdr:row>
          <xdr:rowOff>0</xdr:rowOff>
        </xdr:from>
        <xdr:to>
          <xdr:col>10</xdr:col>
          <xdr:colOff>238125</xdr:colOff>
          <xdr:row>9</xdr:row>
          <xdr:rowOff>0</xdr:rowOff>
        </xdr:to>
        <xdr:sp macro="" textlink="">
          <xdr:nvSpPr>
            <xdr:cNvPr id="3" name="Button 36" hidden="1">
              <a:extLst>
                <a:ext uri="{63B3BB69-23CF-44E3-9099-C40C66FF867C}">
                  <a14:compatExt spid="_x0000_s26660"/>
                </a:ext>
                <a:ext uri="{FF2B5EF4-FFF2-40B4-BE49-F238E27FC236}">
                  <a16:creationId xmlns:a16="http://schemas.microsoft.com/office/drawing/2014/main" id="{00000000-0008-0000-16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9</xdr:row>
          <xdr:rowOff>9525</xdr:rowOff>
        </xdr:from>
        <xdr:to>
          <xdr:col>10</xdr:col>
          <xdr:colOff>238125</xdr:colOff>
          <xdr:row>10</xdr:row>
          <xdr:rowOff>0</xdr:rowOff>
        </xdr:to>
        <xdr:sp macro="" textlink="">
          <xdr:nvSpPr>
            <xdr:cNvPr id="4" name="Button 37" hidden="1">
              <a:extLst>
                <a:ext uri="{63B3BB69-23CF-44E3-9099-C40C66FF867C}">
                  <a14:compatExt spid="_x0000_s26661"/>
                </a:ext>
                <a:ext uri="{FF2B5EF4-FFF2-40B4-BE49-F238E27FC236}">
                  <a16:creationId xmlns:a16="http://schemas.microsoft.com/office/drawing/2014/main" id="{00000000-0008-0000-16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485775</xdr:colOff>
          <xdr:row>8</xdr:row>
          <xdr:rowOff>0</xdr:rowOff>
        </xdr:from>
        <xdr:to>
          <xdr:col>15</xdr:col>
          <xdr:colOff>66675</xdr:colOff>
          <xdr:row>9</xdr:row>
          <xdr:rowOff>0</xdr:rowOff>
        </xdr:to>
        <xdr:sp macro="" textlink="">
          <xdr:nvSpPr>
            <xdr:cNvPr id="5" name="Button 38" hidden="1">
              <a:extLst>
                <a:ext uri="{63B3BB69-23CF-44E3-9099-C40C66FF867C}">
                  <a14:compatExt spid="_x0000_s26662"/>
                </a:ext>
                <a:ext uri="{FF2B5EF4-FFF2-40B4-BE49-F238E27FC236}">
                  <a16:creationId xmlns:a16="http://schemas.microsoft.com/office/drawing/2014/main" id="{00000000-0008-0000-1600-000005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485775</xdr:colOff>
          <xdr:row>9</xdr:row>
          <xdr:rowOff>0</xdr:rowOff>
        </xdr:from>
        <xdr:to>
          <xdr:col>12</xdr:col>
          <xdr:colOff>523875</xdr:colOff>
          <xdr:row>10</xdr:row>
          <xdr:rowOff>0</xdr:rowOff>
        </xdr:to>
        <xdr:sp macro="" textlink="">
          <xdr:nvSpPr>
            <xdr:cNvPr id="6" name="Button 39" hidden="1">
              <a:extLst>
                <a:ext uri="{63B3BB69-23CF-44E3-9099-C40C66FF867C}">
                  <a14:compatExt spid="_x0000_s26663"/>
                </a:ext>
                <a:ext uri="{FF2B5EF4-FFF2-40B4-BE49-F238E27FC236}">
                  <a16:creationId xmlns:a16="http://schemas.microsoft.com/office/drawing/2014/main" id="{00000000-0008-0000-16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561975</xdr:colOff>
          <xdr:row>9</xdr:row>
          <xdr:rowOff>9525</xdr:rowOff>
        </xdr:from>
        <xdr:to>
          <xdr:col>15</xdr:col>
          <xdr:colOff>66675</xdr:colOff>
          <xdr:row>10</xdr:row>
          <xdr:rowOff>0</xdr:rowOff>
        </xdr:to>
        <xdr:sp macro="" textlink="">
          <xdr:nvSpPr>
            <xdr:cNvPr id="7" name="Button 40" hidden="1">
              <a:extLst>
                <a:ext uri="{63B3BB69-23CF-44E3-9099-C40C66FF867C}">
                  <a14:compatExt spid="_x0000_s26664"/>
                </a:ext>
                <a:ext uri="{FF2B5EF4-FFF2-40B4-BE49-F238E27FC236}">
                  <a16:creationId xmlns:a16="http://schemas.microsoft.com/office/drawing/2014/main" id="{00000000-0008-0000-16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523875</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 uri="{FF2B5EF4-FFF2-40B4-BE49-F238E27FC236}">
                  <a16:creationId xmlns:a16="http://schemas.microsoft.com/office/drawing/2014/main" id="{00000000-0008-0000-1600-000008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438150</xdr:colOff>
          <xdr:row>0</xdr:row>
          <xdr:rowOff>0</xdr:rowOff>
        </xdr:from>
        <xdr:to>
          <xdr:col>15</xdr:col>
          <xdr:colOff>19050</xdr:colOff>
          <xdr:row>1</xdr:row>
          <xdr:rowOff>0</xdr:rowOff>
        </xdr:to>
        <xdr:sp macro="" textlink="">
          <xdr:nvSpPr>
            <xdr:cNvPr id="9" name="Button 42" hidden="1">
              <a:extLst>
                <a:ext uri="{63B3BB69-23CF-44E3-9099-C40C66FF867C}">
                  <a14:compatExt spid="_x0000_s26666"/>
                </a:ext>
                <a:ext uri="{FF2B5EF4-FFF2-40B4-BE49-F238E27FC236}">
                  <a16:creationId xmlns:a16="http://schemas.microsoft.com/office/drawing/2014/main" id="{00000000-0008-0000-1600-000009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Auction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18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295275</xdr:colOff>
          <xdr:row>1</xdr:row>
          <xdr:rowOff>76200</xdr:rowOff>
        </xdr:from>
        <xdr:to>
          <xdr:col>18</xdr:col>
          <xdr:colOff>38100</xdr:colOff>
          <xdr:row>1</xdr:row>
          <xdr:rowOff>333375</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800-00000C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400-000000000000}" autoFormatId="0" applyNumberFormats="0" applyBorderFormats="0" applyFontFormats="1" applyPatternFormats="1" applyAlignmentFormats="0" applyWidthHeightFormats="0">
  <queryTableRefresh preserveSortFilterLayout="0" nextId="13">
    <queryTableFields count="12">
      <queryTableField id="1" name="Player" tableColumnId="1"/>
      <queryTableField id="2" name="Team" tableColumnId="2"/>
      <queryTableField id="3" name="PASSING ATT" tableColumnId="3"/>
      <queryTableField id="4" name="PASSING CMP" tableColumnId="4"/>
      <queryTableField id="5" name="PASSING YDS" tableColumnId="5"/>
      <queryTableField id="6" name="PASSING TDS" tableColumnId="6"/>
      <queryTableField id="7" name="PASSING INTS" tableColumnId="7"/>
      <queryTableField id="8" name="RUSHING ATT" tableColumnId="8"/>
      <queryTableField id="9" name="RUSHING YDS" tableColumnId="9"/>
      <queryTableField id="10" name="RUSHING TDS" tableColumnId="10"/>
      <queryTableField id="11" name="MISC FL" tableColumnId="11"/>
      <queryTableField id="12" name="MISC FPTS"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600-000001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Team" tableColumnId="2"/>
      <queryTableField id="3" name="RUSHING ATT" tableColumnId="3"/>
      <queryTableField id="4" name="RUSHING YDS" tableColumnId="4"/>
      <queryTableField id="5" name="RUSHING TDS" tableColumnId="5"/>
      <queryTableField id="6" name="RECEIVING REC" tableColumnId="6"/>
      <queryTableField id="7" name="RECEIVING YDS" tableColumnId="7"/>
      <queryTableField id="8" name="RECEIVING TDS" tableColumnId="8"/>
      <queryTableField id="9" name="MISC FL" tableColumnId="9"/>
      <queryTableField id="10" name="MISC FPTS"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00000000-0016-0000-0800-000002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Team" tableColumnId="2"/>
      <queryTableField id="3" name="RECEIVING REC" tableColumnId="3"/>
      <queryTableField id="4" name="RECEIVING YDS" tableColumnId="4"/>
      <queryTableField id="5" name="RECEIVING TDS" tableColumnId="5"/>
      <queryTableField id="6" name="RUSHING ATT" tableColumnId="6"/>
      <queryTableField id="7" name="RUSHING YDS" tableColumnId="7"/>
      <queryTableField id="8" name="RUSHING TDS" tableColumnId="8"/>
      <queryTableField id="9" name="MISC FL" tableColumnId="9"/>
      <queryTableField id="10" name="MISC FPTS"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D00-000003000000}" autoFormatId="0" applyNumberFormats="0" applyBorderFormats="0" applyFontFormats="1" applyPatternFormats="1" applyAlignmentFormats="0" applyWidthHeightFormats="0">
  <queryTableRefresh preserveSortFilterLayout="0" nextId="8">
    <queryTableFields count="7">
      <queryTableField id="1" name="Player" tableColumnId="1"/>
      <queryTableField id="2" name="Team" tableColumnId="2"/>
      <queryTableField id="3" name="RECEIVING REC" tableColumnId="3"/>
      <queryTableField id="4" name="RECEIVING YDS" tableColumnId="4"/>
      <queryTableField id="5" name="RECEIVING TDS" tableColumnId="5"/>
      <queryTableField id="6" name="MISC FL" tableColumnId="6"/>
      <queryTableField id="7" name="MISC FPTS"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F00-000004000000}" autoFormatId="0" applyNumberFormats="0" applyBorderFormats="0" applyFontFormats="1" applyPatternFormats="1" applyAlignmentFormats="0" applyWidthHeightFormats="0">
  <queryTableRefresh preserveSortFilterLayout="0" nextId="7">
    <queryTableFields count="6">
      <queryTableField id="1" name="Player" tableColumnId="1"/>
      <queryTableField id="2" name="Team" tableColumnId="2"/>
      <queryTableField id="3" name="FG" tableColumnId="3"/>
      <queryTableField id="4" name="FGA" tableColumnId="4"/>
      <queryTableField id="5" name="XPT" tableColumnId="5"/>
      <queryTableField id="6" name="FPTS"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200-000005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SACK" tableColumnId="2"/>
      <queryTableField id="3" name="INT" tableColumnId="3"/>
      <queryTableField id="4" name="FR" tableColumnId="4"/>
      <queryTableField id="5" name="FF" tableColumnId="5"/>
      <queryTableField id="6" name="TD" tableColumnId="6"/>
      <queryTableField id="7" name="SAFETY" tableColumnId="7"/>
      <queryTableField id="8" name="PA" tableColumnId="8"/>
      <queryTableField id="9" name="YDS AGN" tableColumnId="9"/>
      <queryTableField id="10" name="FPTS"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E6F168A2-2438-43AC-835D-CE48889C7717}"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B" displayName="QB" ref="A1:L88" tableType="queryTable" totalsRowShown="0">
  <autoFilter ref="A1:L88" xr:uid="{00000000-000C-0000-FFFF-FFFF00000000}"/>
  <tableColumns count="12">
    <tableColumn id="1" xr3:uid="{53DE8D2E-CF04-4D8B-A6A6-6DDA3E9F9F29}" uniqueName="1" name="Player" queryTableFieldId="1"/>
    <tableColumn id="2" xr3:uid="{E3F89656-3B2F-4454-9CBA-2F5CFF2145AC}" uniqueName="2" name="Team" queryTableFieldId="2"/>
    <tableColumn id="3" xr3:uid="{6D2876DE-A66B-4293-B56B-BE188E0952F3}" uniqueName="3" name="PASSING ATT" queryTableFieldId="3"/>
    <tableColumn id="4" xr3:uid="{7EF2E6E9-29CE-49D9-8C87-B227A30B7182}" uniqueName="4" name="PASSING CMP" queryTableFieldId="4"/>
    <tableColumn id="5" xr3:uid="{11ED473D-3EC7-4893-B247-0704F8989B74}" uniqueName="5" name="PASSING YDS" queryTableFieldId="5"/>
    <tableColumn id="6" xr3:uid="{E4A4C690-3C27-47B3-A786-7C4348B7D8E3}" uniqueName="6" name="PASSING TDS" queryTableFieldId="6"/>
    <tableColumn id="7" xr3:uid="{D33B74B4-F259-4E70-8439-1D7C1647B8F2}" uniqueName="7" name="PASSING INTS" queryTableFieldId="7"/>
    <tableColumn id="8" xr3:uid="{890D7709-F6BE-4884-8AAB-62E7497B90EE}" uniqueName="8" name="RUSHING ATT" queryTableFieldId="8"/>
    <tableColumn id="9" xr3:uid="{29A3F120-6FBC-45F4-9A34-57CA88D0BA66}" uniqueName="9" name="RUSHING YDS" queryTableFieldId="9"/>
    <tableColumn id="10" xr3:uid="{ECDAA083-513C-4FB2-9219-6196B435451D}" uniqueName="10" name="RUSHING TDS" queryTableFieldId="10"/>
    <tableColumn id="11" xr3:uid="{C26DDAD8-9E3B-4FF4-AAA5-A2A518CC8C8F}" uniqueName="11" name="MISC FL" queryTableFieldId="11"/>
    <tableColumn id="12" xr3:uid="{531216A6-1AEE-4AF6-AD84-0157DB3DE30B}" uniqueName="12" name="MISC FPTS"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B" displayName="RB" ref="A1:J160" tableType="queryTable" totalsRowShown="0">
  <autoFilter ref="A1:J160" xr:uid="{00000000-000C-0000-FFFF-FFFF01000000}"/>
  <tableColumns count="10">
    <tableColumn id="1" xr3:uid="{4A59E498-0D2C-4FB8-87BE-7E809FCCD7D9}" uniqueName="1" name="Player" queryTableFieldId="1"/>
    <tableColumn id="2" xr3:uid="{1F70F76E-E4ED-4A15-AA43-6A4ACA807BCF}" uniqueName="2" name="Team" queryTableFieldId="2"/>
    <tableColumn id="3" xr3:uid="{26767FC6-B191-4AA4-AACB-B213FE6C4097}" uniqueName="3" name="RUSHING ATT" queryTableFieldId="3"/>
    <tableColumn id="4" xr3:uid="{7BFB2A60-D2C2-4024-B821-C93073207CE3}" uniqueName="4" name="RUSHING YDS" queryTableFieldId="4"/>
    <tableColumn id="5" xr3:uid="{A38AD7E5-A93F-45C3-AEE5-6893D626B6E5}" uniqueName="5" name="RUSHING TDS" queryTableFieldId="5"/>
    <tableColumn id="6" xr3:uid="{BDC5D768-0BEC-4330-A124-E931C24F470F}" uniqueName="6" name="RECEIVING REC" queryTableFieldId="6"/>
    <tableColumn id="7" xr3:uid="{4A18FF26-3E0B-4612-BE64-2042ACD50EFF}" uniqueName="7" name="RECEIVING YDS" queryTableFieldId="7"/>
    <tableColumn id="8" xr3:uid="{3E6F021D-F1FA-4B3F-B352-12F69CAB92CE}" uniqueName="8" name="RECEIVING TDS" queryTableFieldId="8"/>
    <tableColumn id="9" xr3:uid="{3186CEC6-BBF5-4417-BB8A-FF1617110FF0}" uniqueName="9" name="MISC FL" queryTableFieldId="9"/>
    <tableColumn id="10" xr3:uid="{26CDAC2A-A7C7-4FBD-BCBE-A2A22BC286DF}" uniqueName="10" name="MISC FPTS"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WR" displayName="WR" ref="A1:J229" tableType="queryTable" totalsRowShown="0">
  <autoFilter ref="A1:J229" xr:uid="{00000000-000C-0000-FFFF-FFFF02000000}"/>
  <tableColumns count="10">
    <tableColumn id="1" xr3:uid="{86F82298-AF86-4986-A4EC-D5F3122B44B6}" uniqueName="1" name="Player" queryTableFieldId="1"/>
    <tableColumn id="2" xr3:uid="{4D84404E-80F8-4CD7-84E1-0E2FBD157B4D}" uniqueName="2" name="Team" queryTableFieldId="2"/>
    <tableColumn id="3" xr3:uid="{535A17AF-D129-45F7-8D4A-03F336C1E77A}" uniqueName="3" name="RECEIVING REC" queryTableFieldId="3"/>
    <tableColumn id="4" xr3:uid="{81635EA3-9D65-44F8-9474-EA409FC9E109}" uniqueName="4" name="RECEIVING YDS" queryTableFieldId="4"/>
    <tableColumn id="5" xr3:uid="{5DB598D4-0961-4880-A516-241C8F0D153D}" uniqueName="5" name="RECEIVING TDS" queryTableFieldId="5"/>
    <tableColumn id="6" xr3:uid="{6211E0BC-ADC2-4C2E-8DF8-0C207B4F39FF}" uniqueName="6" name="RUSHING ATT" queryTableFieldId="6"/>
    <tableColumn id="7" xr3:uid="{24FD5D63-8D98-4089-B0D2-4E6AF0FC1690}" uniqueName="7" name="RUSHING YDS" queryTableFieldId="7"/>
    <tableColumn id="8" xr3:uid="{508111E8-CE94-45E7-9ACD-7EB2DEE38C10}" uniqueName="8" name="RUSHING TDS" queryTableFieldId="8"/>
    <tableColumn id="9" xr3:uid="{2BF57A4D-2C9C-45AE-9B32-AC92250BE2EE}" uniqueName="9" name="MISC FL" queryTableFieldId="9"/>
    <tableColumn id="10" xr3:uid="{69EAD572-8021-4707-85D9-5ED9FF4F33E4}" uniqueName="10" name="MISC FPTS" queryTableField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E" displayName="TE" ref="A1:G129" tableType="queryTable" totalsRowShown="0">
  <autoFilter ref="A1:G129" xr:uid="{00000000-000C-0000-FFFF-FFFF03000000}"/>
  <tableColumns count="7">
    <tableColumn id="1" xr3:uid="{D890AC4B-887A-4EFD-8239-42D62651D931}" uniqueName="1" name="Player" queryTableFieldId="1"/>
    <tableColumn id="2" xr3:uid="{342E07D7-12DF-447A-AB32-0637CF6F57E4}" uniqueName="2" name="Team" queryTableFieldId="2"/>
    <tableColumn id="3" xr3:uid="{B953DEFB-391C-46FB-9EA2-E3A01CD18B67}" uniqueName="3" name="RECEIVING REC" queryTableFieldId="3"/>
    <tableColumn id="4" xr3:uid="{5E717CD6-54F9-46C5-829A-0316B3AB5943}" uniqueName="4" name="RECEIVING YDS" queryTableFieldId="4"/>
    <tableColumn id="5" xr3:uid="{7B5867E0-BF41-43F9-8B25-CABE82403B17}" uniqueName="5" name="RECEIVING TDS" queryTableFieldId="5"/>
    <tableColumn id="6" xr3:uid="{AB667B93-D795-4D14-AC37-A716D65753A2}" uniqueName="6" name="MISC FL" queryTableFieldId="6"/>
    <tableColumn id="7" xr3:uid="{AAF0BEB3-70C7-4654-BD60-CB226881F2A3}" uniqueName="7" name="MISC FPTS"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K" displayName="K" ref="A1:F35" tableType="queryTable" totalsRowShown="0">
  <autoFilter ref="A1:F35" xr:uid="{00000000-000C-0000-FFFF-FFFF04000000}"/>
  <tableColumns count="6">
    <tableColumn id="1" xr3:uid="{34975AD3-64FE-4C1D-B1D3-8EAA6D33B74F}" uniqueName="1" name="Player" queryTableFieldId="1"/>
    <tableColumn id="2" xr3:uid="{98E41028-D9CE-4F86-AB88-3D198DAF6C98}" uniqueName="2" name="Team" queryTableFieldId="2"/>
    <tableColumn id="3" xr3:uid="{60F5863C-2199-4743-B97B-661B361CCCDA}" uniqueName="3" name="FG" queryTableFieldId="3"/>
    <tableColumn id="4" xr3:uid="{18E70BA6-0AB4-4E97-8F90-3489650F4798}" uniqueName="4" name="FGA" queryTableFieldId="4"/>
    <tableColumn id="5" xr3:uid="{90AE8AEB-D6CC-41E8-A540-8A16F1D4C16C}" uniqueName="5" name="XPT" queryTableFieldId="5"/>
    <tableColumn id="6" xr3:uid="{68C98103-080E-4CA6-B03C-9B2473406F7C}" uniqueName="6" name="FPTS" queryTableField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EF" displayName="DEF" ref="A1:J33" tableType="queryTable" totalsRowShown="0">
  <autoFilter ref="A1:J33" xr:uid="{00000000-000C-0000-FFFF-FFFF05000000}"/>
  <tableColumns count="10">
    <tableColumn id="1" xr3:uid="{2EC7CD7C-5EF8-4ED7-8E84-DECFCAF242DE}" uniqueName="1" name="Player" queryTableFieldId="1"/>
    <tableColumn id="2" xr3:uid="{C4D74FF0-BF78-434A-B33A-EAE3D03149A1}" uniqueName="2" name="SACK" queryTableFieldId="2"/>
    <tableColumn id="3" xr3:uid="{032EEC69-8016-4BD0-AA12-D5083FA301FD}" uniqueName="3" name="INT" queryTableFieldId="3"/>
    <tableColumn id="4" xr3:uid="{C82E00B7-ABF3-4E00-B37B-F1F1FE4F61E8}" uniqueName="4" name="FR" queryTableFieldId="4"/>
    <tableColumn id="5" xr3:uid="{FA4497CE-B685-45BB-A254-7DE49B971706}" uniqueName="5" name="FF" queryTableFieldId="5"/>
    <tableColumn id="6" xr3:uid="{5A07CBAA-554E-44B9-BD36-72F2C0ECA96D}" uniqueName="6" name="TD" queryTableFieldId="6"/>
    <tableColumn id="7" xr3:uid="{4B4D8709-C622-4C1D-9FA6-91CDE7C28DA0}" uniqueName="7" name="SAFETY" queryTableFieldId="7"/>
    <tableColumn id="8" xr3:uid="{B010EC64-5432-4DD2-B7CC-23B040F0622F}" uniqueName="8" name="PA" queryTableFieldId="8"/>
    <tableColumn id="9" xr3:uid="{95CD3DBF-C1C0-45F9-829C-26149143F3EF}" uniqueName="9" name="YDS AGN" queryTableFieldId="9"/>
    <tableColumn id="10" xr3:uid="{B37C056C-33F4-4CFB-9F46-ADD585FB4569}" uniqueName="10" name="FPTS" queryTableField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446792B-0292-429B-8206-91DEC926DECE}" name="DEPTHCHART" displayName="DEPTHCHART" ref="A1:B531" tableType="queryTable" totalsRowShown="0">
  <autoFilter ref="A1:B531" xr:uid="{B446792B-0292-429B-8206-91DEC926DECE}"/>
  <tableColumns count="2">
    <tableColumn id="1" xr3:uid="{F3D88DAB-C379-491A-8890-4855BE0101A9}" uniqueName="1" name="Column1" queryTableFieldId="1" dataDxfId="101"/>
    <tableColumn id="2" xr3:uid="{1A6E8458-B689-4901-A9A8-9E16E5899D64}" uniqueName="2" name="Column2" queryTableFieldId="2" dataDxfId="10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www.fantasypros.com/nfl/players/jewel-hampton.php" TargetMode="External"/><Relationship Id="rId2" Type="http://schemas.openxmlformats.org/officeDocument/2006/relationships/hyperlink" Target="http://www.fantasypros.com/nfl/players/david-johnson.php" TargetMode="External"/><Relationship Id="rId1" Type="http://schemas.openxmlformats.org/officeDocument/2006/relationships/hyperlink" Target="http://www.fantasypros.com/nfl/players/danny-ware.php"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2.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9"/>
  <sheetViews>
    <sheetView tabSelected="1" workbookViewId="0">
      <selection activeCell="A5" sqref="A5"/>
    </sheetView>
  </sheetViews>
  <sheetFormatPr defaultColWidth="8.85546875" defaultRowHeight="15" x14ac:dyDescent="0.25"/>
  <cols>
    <col min="1" max="1" width="173.7109375" customWidth="1"/>
    <col min="3" max="10" width="9.140625" customWidth="1"/>
    <col min="11" max="11" width="13.42578125" customWidth="1"/>
  </cols>
  <sheetData>
    <row r="1" spans="1:11" x14ac:dyDescent="0.25">
      <c r="A1" s="226" t="s">
        <v>0</v>
      </c>
    </row>
    <row r="2" spans="1:11" ht="30" x14ac:dyDescent="0.25">
      <c r="A2" s="227" t="s">
        <v>2515</v>
      </c>
      <c r="B2" s="224"/>
      <c r="C2" s="224"/>
      <c r="D2" s="224"/>
      <c r="E2" s="224"/>
      <c r="F2" s="224"/>
      <c r="G2" s="224"/>
      <c r="H2" s="224"/>
      <c r="I2" s="224"/>
      <c r="J2" s="224"/>
      <c r="K2" s="224"/>
    </row>
    <row r="3" spans="1:11" ht="60" x14ac:dyDescent="0.25">
      <c r="A3" s="225" t="s">
        <v>2514</v>
      </c>
      <c r="B3" s="225"/>
      <c r="C3" s="225"/>
      <c r="D3" s="225"/>
      <c r="E3" s="225"/>
      <c r="F3" s="225"/>
      <c r="G3" s="225"/>
      <c r="H3" s="225"/>
      <c r="I3" s="225"/>
      <c r="J3" s="225"/>
      <c r="K3" s="225"/>
    </row>
    <row r="4" spans="1:11" ht="15.75" customHeight="1" x14ac:dyDescent="0.25">
      <c r="A4" s="225" t="s">
        <v>1</v>
      </c>
      <c r="B4" s="225"/>
      <c r="C4" s="225"/>
      <c r="D4" s="225"/>
      <c r="E4" s="225"/>
      <c r="F4" s="225"/>
      <c r="G4" s="225"/>
      <c r="H4" s="225"/>
      <c r="I4" s="225"/>
      <c r="J4" s="225"/>
      <c r="K4" s="225"/>
    </row>
    <row r="5" spans="1:11" ht="15" customHeight="1" x14ac:dyDescent="0.25">
      <c r="A5" s="225" t="s">
        <v>2</v>
      </c>
      <c r="B5" s="225"/>
      <c r="C5" s="225"/>
      <c r="D5" s="225"/>
      <c r="E5" s="225"/>
      <c r="F5" s="225"/>
      <c r="G5" s="225"/>
      <c r="H5" s="225"/>
      <c r="I5" s="225"/>
      <c r="J5" s="225"/>
      <c r="K5" s="225"/>
    </row>
    <row r="6" spans="1:11" ht="47.25" customHeight="1" x14ac:dyDescent="0.25">
      <c r="A6" s="7" t="s">
        <v>3</v>
      </c>
      <c r="B6" s="7"/>
      <c r="C6" s="7"/>
      <c r="D6" s="7"/>
      <c r="E6" s="7"/>
      <c r="F6" s="7"/>
      <c r="G6" s="7"/>
      <c r="H6" s="7"/>
      <c r="I6" s="7"/>
      <c r="J6" s="7"/>
      <c r="K6" s="7"/>
    </row>
    <row r="7" spans="1:11" ht="49.5" customHeight="1" x14ac:dyDescent="0.25">
      <c r="A7" s="225" t="s">
        <v>4</v>
      </c>
      <c r="B7" s="225"/>
      <c r="C7" s="225"/>
      <c r="D7" s="225"/>
      <c r="E7" s="225"/>
      <c r="F7" s="225"/>
      <c r="G7" s="225"/>
      <c r="H7" s="225"/>
      <c r="I7" s="225"/>
      <c r="J7" s="225"/>
      <c r="K7" s="225"/>
    </row>
    <row r="8" spans="1:11" s="7" customFormat="1" ht="15" customHeight="1" x14ac:dyDescent="0.25">
      <c r="A8" s="7" t="s">
        <v>5</v>
      </c>
    </row>
    <row r="9" spans="1:11" ht="15" customHeight="1" x14ac:dyDescent="0.25">
      <c r="A9" s="7" t="s">
        <v>6</v>
      </c>
      <c r="B9" s="7"/>
      <c r="C9" s="7"/>
      <c r="D9" s="7"/>
      <c r="E9" s="7"/>
      <c r="F9" s="7"/>
      <c r="G9" s="7"/>
      <c r="H9" s="7"/>
      <c r="I9" s="7"/>
      <c r="J9" s="7"/>
      <c r="K9" s="7"/>
    </row>
    <row r="10" spans="1:11" ht="15" customHeight="1" x14ac:dyDescent="0.25">
      <c r="A10" s="7" t="s">
        <v>7</v>
      </c>
      <c r="B10" s="7"/>
      <c r="C10" s="7"/>
      <c r="D10" s="7"/>
      <c r="E10" s="7"/>
      <c r="F10" s="7"/>
      <c r="G10" s="7"/>
      <c r="H10" s="7"/>
      <c r="I10" s="7"/>
      <c r="J10" s="7"/>
      <c r="K10" s="7"/>
    </row>
    <row r="11" spans="1:11" ht="32.25" customHeight="1" x14ac:dyDescent="0.25">
      <c r="A11" s="225" t="s">
        <v>8</v>
      </c>
      <c r="B11" s="225"/>
      <c r="C11" s="225"/>
      <c r="D11" s="225"/>
      <c r="E11" s="225"/>
      <c r="F11" s="225"/>
      <c r="G11" s="225"/>
      <c r="H11" s="225"/>
      <c r="I11" s="225"/>
      <c r="J11" s="225"/>
      <c r="K11" s="225"/>
    </row>
    <row r="12" spans="1:11" x14ac:dyDescent="0.25">
      <c r="A12" s="7"/>
      <c r="B12" s="7"/>
      <c r="C12" s="7"/>
      <c r="D12" s="7"/>
      <c r="E12" s="7"/>
      <c r="F12" s="7"/>
      <c r="G12" s="7"/>
      <c r="H12" s="7"/>
      <c r="I12" s="7"/>
      <c r="J12" s="7"/>
      <c r="K12" s="7"/>
    </row>
    <row r="13" spans="1:11" x14ac:dyDescent="0.25">
      <c r="A13" t="s">
        <v>2665</v>
      </c>
      <c r="B13" s="215"/>
      <c r="C13" s="215"/>
      <c r="D13" s="215"/>
      <c r="E13" s="215"/>
      <c r="F13" s="215"/>
      <c r="G13" s="215"/>
      <c r="H13" s="215"/>
      <c r="I13" s="215"/>
      <c r="J13" s="215"/>
      <c r="K13" s="215"/>
    </row>
    <row r="14" spans="1:11" x14ac:dyDescent="0.25">
      <c r="A14" t="s">
        <v>9</v>
      </c>
    </row>
    <row r="15" spans="1:11" x14ac:dyDescent="0.25">
      <c r="A15" t="s">
        <v>10</v>
      </c>
    </row>
    <row r="16" spans="1:11" x14ac:dyDescent="0.25">
      <c r="A16" t="s">
        <v>11</v>
      </c>
    </row>
    <row r="17" spans="1:1" x14ac:dyDescent="0.25">
      <c r="A17" t="s">
        <v>12</v>
      </c>
    </row>
    <row r="18" spans="1:1" x14ac:dyDescent="0.25">
      <c r="A18" t="s">
        <v>13</v>
      </c>
    </row>
    <row r="19" spans="1:1" x14ac:dyDescent="0.25">
      <c r="A19" t="s">
        <v>2617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N5" sqref="N5"/>
    </sheetView>
  </sheetViews>
  <sheetFormatPr defaultColWidth="8.85546875" defaultRowHeight="15" x14ac:dyDescent="0.25"/>
  <cols>
    <col min="3" max="3" width="17.85546875" bestFit="1" customWidth="1"/>
    <col min="4" max="4" width="11.42578125" customWidth="1"/>
    <col min="5" max="5" width="12.42578125" bestFit="1" customWidth="1"/>
    <col min="6" max="6" width="18.7109375" bestFit="1" customWidth="1"/>
    <col min="7" max="7" width="23.28515625" bestFit="1" customWidth="1"/>
    <col min="8" max="8" width="12" bestFit="1" customWidth="1"/>
    <col min="9" max="9" width="16.42578125" bestFit="1" customWidth="1"/>
    <col min="10" max="10" width="5" bestFit="1" customWidth="1"/>
    <col min="11" max="11" width="13.140625" bestFit="1" customWidth="1"/>
    <col min="12" max="12" width="1.42578125" customWidth="1"/>
    <col min="13" max="13" width="14.85546875" bestFit="1" customWidth="1"/>
    <col min="14" max="14" width="4" bestFit="1" customWidth="1"/>
    <col min="15" max="15" width="13.140625" bestFit="1" customWidth="1"/>
    <col min="16" max="16" width="1.7109375" customWidth="1"/>
    <col min="17" max="17" width="7" customWidth="1"/>
    <col min="20" max="20" width="13.140625" bestFit="1" customWidth="1"/>
  </cols>
  <sheetData>
    <row r="1" spans="1:20" x14ac:dyDescent="0.25">
      <c r="A1" s="255" t="s">
        <v>14</v>
      </c>
      <c r="B1" s="256"/>
      <c r="C1" s="255" t="s">
        <v>15</v>
      </c>
      <c r="D1" s="256"/>
      <c r="E1" s="255" t="s">
        <v>16</v>
      </c>
      <c r="F1" s="256"/>
      <c r="G1" s="255" t="s">
        <v>17</v>
      </c>
      <c r="H1" s="256"/>
      <c r="I1" s="255" t="s">
        <v>18</v>
      </c>
      <c r="J1" s="257"/>
      <c r="K1" s="256"/>
      <c r="M1" s="255" t="s">
        <v>19</v>
      </c>
      <c r="N1" s="257"/>
      <c r="O1" s="256"/>
      <c r="P1" s="201"/>
      <c r="Q1" s="255" t="s">
        <v>806</v>
      </c>
      <c r="R1" s="257"/>
      <c r="S1" s="257"/>
      <c r="T1" s="256"/>
    </row>
    <row r="2" spans="1:20" x14ac:dyDescent="0.25">
      <c r="A2" s="5" t="s">
        <v>20</v>
      </c>
      <c r="B2" s="5" t="s">
        <v>21</v>
      </c>
      <c r="C2" s="8" t="s">
        <v>20</v>
      </c>
      <c r="D2" s="10" t="s">
        <v>22</v>
      </c>
      <c r="E2" s="11" t="s">
        <v>23</v>
      </c>
      <c r="F2" s="37">
        <v>12</v>
      </c>
      <c r="G2" s="11" t="s">
        <v>24</v>
      </c>
      <c r="H2" s="13">
        <f>(F2*F3)-(D8*F2)-(D9*F2)</f>
        <v>2376</v>
      </c>
      <c r="I2" s="96" t="s">
        <v>25</v>
      </c>
      <c r="J2" s="16">
        <v>4</v>
      </c>
      <c r="K2" s="97" t="s">
        <v>26</v>
      </c>
      <c r="M2" s="96" t="s">
        <v>27</v>
      </c>
      <c r="N2" s="16">
        <v>0</v>
      </c>
      <c r="O2" s="97" t="s">
        <v>26</v>
      </c>
      <c r="P2" s="98"/>
      <c r="Q2" s="16">
        <v>2</v>
      </c>
      <c r="R2" s="97" t="s">
        <v>807</v>
      </c>
      <c r="S2" s="16">
        <v>200</v>
      </c>
      <c r="T2" s="97" t="s">
        <v>808</v>
      </c>
    </row>
    <row r="3" spans="1:20" x14ac:dyDescent="0.25">
      <c r="A3" t="s">
        <v>28</v>
      </c>
      <c r="B3" s="35">
        <f ca="1">RBStarters+RBBench</f>
        <v>53.857142857142861</v>
      </c>
      <c r="C3" s="11" t="s">
        <v>29</v>
      </c>
      <c r="D3" s="16">
        <v>1</v>
      </c>
      <c r="E3" s="11" t="s">
        <v>30</v>
      </c>
      <c r="F3" s="16">
        <v>200</v>
      </c>
      <c r="G3" s="11" t="s">
        <v>31</v>
      </c>
      <c r="H3" s="13">
        <f ca="1">SUMIF(QB!Z3:Z81,"&gt;0")+SUMIF('RB'!Z3:Z138,"&gt;0")+SUMIF(WR!Z3:Z183,"&gt;0")+SUMIF(TE!Z3:Z113,"&gt;0")</f>
        <v>6452.5179999999991</v>
      </c>
      <c r="I3" s="94" t="s">
        <v>32</v>
      </c>
      <c r="J3" s="16">
        <v>0.04</v>
      </c>
      <c r="K3" s="98" t="s">
        <v>33</v>
      </c>
      <c r="M3" s="94" t="s">
        <v>34</v>
      </c>
      <c r="N3" s="37">
        <v>6</v>
      </c>
      <c r="O3" s="98" t="s">
        <v>26</v>
      </c>
      <c r="P3" s="98"/>
      <c r="Q3" s="222"/>
      <c r="R3" s="223" t="s">
        <v>809</v>
      </c>
      <c r="S3" s="221">
        <f>Q2/S2</f>
        <v>0.01</v>
      </c>
      <c r="T3" s="98" t="s">
        <v>33</v>
      </c>
    </row>
    <row r="4" spans="1:20" x14ac:dyDescent="0.25">
      <c r="A4" t="s">
        <v>35</v>
      </c>
      <c r="B4" s="35">
        <f ca="1">WRStarters+WRBench</f>
        <v>57.571428571428569</v>
      </c>
      <c r="C4" s="11" t="s">
        <v>28</v>
      </c>
      <c r="D4" s="16">
        <v>2</v>
      </c>
      <c r="E4" s="11" t="s">
        <v>36</v>
      </c>
      <c r="F4" s="93">
        <f>D10+F5</f>
        <v>15</v>
      </c>
      <c r="G4" s="11" t="s">
        <v>37</v>
      </c>
      <c r="H4" s="112">
        <f ca="1">Auction!A2</f>
        <v>1</v>
      </c>
      <c r="I4" s="94" t="s">
        <v>38</v>
      </c>
      <c r="J4" s="16">
        <v>-1</v>
      </c>
      <c r="K4" s="98" t="s">
        <v>26</v>
      </c>
      <c r="M4" s="94" t="s">
        <v>39</v>
      </c>
      <c r="N4" s="92">
        <v>0.1</v>
      </c>
      <c r="O4" s="98" t="s">
        <v>33</v>
      </c>
      <c r="P4" s="63"/>
    </row>
    <row r="5" spans="1:20" x14ac:dyDescent="0.25">
      <c r="A5" t="s">
        <v>29</v>
      </c>
      <c r="B5" s="35">
        <f ca="1">QBStarter+QBBench</f>
        <v>22.285714285714285</v>
      </c>
      <c r="C5" s="11" t="s">
        <v>35</v>
      </c>
      <c r="D5" s="16">
        <v>2</v>
      </c>
      <c r="E5" s="11" t="s">
        <v>40</v>
      </c>
      <c r="F5" s="16">
        <v>6</v>
      </c>
      <c r="G5" s="11" t="s">
        <v>41</v>
      </c>
      <c r="H5" s="13">
        <f ca="1">H2/H3</f>
        <v>0.36822834124600667</v>
      </c>
      <c r="I5" s="94" t="s">
        <v>27</v>
      </c>
      <c r="J5" s="16">
        <v>0</v>
      </c>
      <c r="K5" s="98" t="s">
        <v>26</v>
      </c>
      <c r="M5" s="94" t="s">
        <v>42</v>
      </c>
      <c r="N5" s="16">
        <v>0.5</v>
      </c>
      <c r="O5" s="98" t="s">
        <v>26</v>
      </c>
      <c r="P5" s="63"/>
    </row>
    <row r="6" spans="1:20" x14ac:dyDescent="0.25">
      <c r="A6" t="s">
        <v>43</v>
      </c>
      <c r="B6" s="35">
        <f ca="1">TEStarters+TEBench</f>
        <v>22.285714285714285</v>
      </c>
      <c r="C6" s="11" t="s">
        <v>43</v>
      </c>
      <c r="D6" s="16">
        <v>1</v>
      </c>
      <c r="E6" s="11" t="s">
        <v>44</v>
      </c>
      <c r="F6" s="220">
        <f>F4*F2</f>
        <v>180</v>
      </c>
      <c r="G6" s="11" t="s">
        <v>45</v>
      </c>
      <c r="H6" s="16" t="s">
        <v>46</v>
      </c>
      <c r="I6" s="94" t="s">
        <v>34</v>
      </c>
      <c r="J6" s="16">
        <v>6</v>
      </c>
      <c r="K6" s="98" t="s">
        <v>26</v>
      </c>
      <c r="M6" s="94" t="s">
        <v>47</v>
      </c>
      <c r="N6" s="16">
        <v>6</v>
      </c>
      <c r="O6" s="98" t="s">
        <v>26</v>
      </c>
      <c r="P6" s="63"/>
    </row>
    <row r="7" spans="1:20" x14ac:dyDescent="0.25">
      <c r="A7" t="s">
        <v>48</v>
      </c>
      <c r="B7" s="35">
        <f>D8*F2</f>
        <v>12</v>
      </c>
      <c r="C7" s="11" t="str">
        <f>CONCATENATE("Flex " &amp; FlexType)</f>
        <v>Flex WR/RB/TE</v>
      </c>
      <c r="D7" s="16">
        <v>1</v>
      </c>
      <c r="E7" s="11" t="s">
        <v>49</v>
      </c>
      <c r="F7" s="16" t="s">
        <v>50</v>
      </c>
      <c r="G7" s="11" t="s">
        <v>51</v>
      </c>
      <c r="H7" s="199" t="s">
        <v>52</v>
      </c>
      <c r="I7" s="94" t="s">
        <v>39</v>
      </c>
      <c r="J7" s="16">
        <v>0.1</v>
      </c>
      <c r="K7" s="98" t="s">
        <v>33</v>
      </c>
      <c r="M7" s="94" t="s">
        <v>53</v>
      </c>
      <c r="N7" s="92">
        <v>0.1</v>
      </c>
      <c r="O7" s="98" t="s">
        <v>33</v>
      </c>
      <c r="P7" s="63"/>
    </row>
    <row r="8" spans="1:20" x14ac:dyDescent="0.25">
      <c r="A8" t="s">
        <v>54</v>
      </c>
      <c r="B8" s="35">
        <f>D9*F2</f>
        <v>12</v>
      </c>
      <c r="C8" s="11" t="s">
        <v>48</v>
      </c>
      <c r="D8" s="16">
        <v>1</v>
      </c>
      <c r="E8" s="11" t="s">
        <v>55</v>
      </c>
      <c r="F8" s="16" t="s">
        <v>56</v>
      </c>
      <c r="H8" s="12"/>
      <c r="I8" s="94" t="s">
        <v>57</v>
      </c>
      <c r="J8" s="16">
        <v>-2</v>
      </c>
      <c r="K8" s="98" t="s">
        <v>26</v>
      </c>
      <c r="M8" s="95" t="s">
        <v>57</v>
      </c>
      <c r="N8" s="16">
        <v>-2</v>
      </c>
      <c r="O8" s="99" t="s">
        <v>26</v>
      </c>
      <c r="P8" s="63"/>
    </row>
    <row r="9" spans="1:20" x14ac:dyDescent="0.25">
      <c r="A9" t="s">
        <v>58</v>
      </c>
      <c r="B9" s="36">
        <f ca="1">SUM(B3:B8)</f>
        <v>180</v>
      </c>
      <c r="C9" s="11" t="s">
        <v>59</v>
      </c>
      <c r="D9" s="16">
        <v>1</v>
      </c>
      <c r="E9" s="11"/>
      <c r="H9" s="9"/>
      <c r="I9" s="94" t="s">
        <v>60</v>
      </c>
      <c r="J9" s="16">
        <v>0</v>
      </c>
      <c r="K9" s="98" t="s">
        <v>26</v>
      </c>
      <c r="O9" s="63"/>
      <c r="P9" s="63"/>
    </row>
    <row r="10" spans="1:20" x14ac:dyDescent="0.25">
      <c r="A10" s="14"/>
      <c r="B10" s="15"/>
      <c r="C10" s="11" t="s">
        <v>58</v>
      </c>
      <c r="D10" s="13">
        <f>SUM(D3:D9)</f>
        <v>9</v>
      </c>
      <c r="I10" s="95" t="s">
        <v>61</v>
      </c>
      <c r="J10" s="37">
        <v>0</v>
      </c>
      <c r="K10" s="99" t="s">
        <v>26</v>
      </c>
    </row>
    <row r="11" spans="1:20" x14ac:dyDescent="0.25">
      <c r="A11" s="5" t="s">
        <v>62</v>
      </c>
      <c r="C11" s="33" t="s">
        <v>63</v>
      </c>
      <c r="D11" s="89">
        <f>H2</f>
        <v>2376</v>
      </c>
      <c r="G11" s="5"/>
      <c r="I11" s="255" t="s">
        <v>64</v>
      </c>
      <c r="J11" s="257"/>
      <c r="K11" s="256"/>
      <c r="M11" s="255" t="s">
        <v>65</v>
      </c>
      <c r="N11" s="257"/>
      <c r="O11" s="256"/>
      <c r="P11" s="201"/>
    </row>
    <row r="12" spans="1:20" x14ac:dyDescent="0.25">
      <c r="A12" s="8" t="s">
        <v>20</v>
      </c>
      <c r="B12" s="10" t="s">
        <v>66</v>
      </c>
      <c r="C12" s="94" t="s">
        <v>67</v>
      </c>
      <c r="D12" s="13">
        <f ca="1">SUMIF(QB!$R$3:$R$81,"&gt;0")+SUMIF('RB'!$R$3:$R$138,"&gt;0")+SUMIF(WR!$R$3:$R$195,"&gt;0")+SUMIF(TE!$R$3:$R$113,"&gt;0")</f>
        <v>3156.2219999999998</v>
      </c>
      <c r="G12" s="5"/>
      <c r="I12" s="96" t="s">
        <v>27</v>
      </c>
      <c r="J12" s="16">
        <v>0</v>
      </c>
      <c r="K12" s="97" t="s">
        <v>26</v>
      </c>
      <c r="M12" s="96" t="s">
        <v>27</v>
      </c>
      <c r="N12" s="16">
        <v>0</v>
      </c>
      <c r="O12" s="97" t="s">
        <v>26</v>
      </c>
      <c r="P12" s="63"/>
    </row>
    <row r="13" spans="1:20" x14ac:dyDescent="0.25">
      <c r="A13" s="11" t="s">
        <v>28</v>
      </c>
      <c r="B13" s="35">
        <f ca="1">IF(FlexOn,IF(FlexType="WR/RB/TE",MAX(COUNTIFS(FlexWRRBTE!$F:$F,"Starter",FlexWRRBTE!$C:$C,LeagueInfo!$A$13),$D$4*$F$2),IF(FlexType="WR/RB",MAX(COUNTIFS(FlexWRRB!$F:$F,"Starter",FlexWRRB!$C:$C,LeagueInfo!$A$13),$D$4*$F$2),IF(FlexType="WR/TE",$D$4*$F$2,IF(FlexType="QB/WR/RB/TE",MAX(COUNTIFS(FlexQBWRRBTE!$F:$F,"Starter",FlexQBWRRBTE!$C:$C,LeagueInfo!$A$13),$D$4*$F$2))))),$D$4*$F$2)</f>
        <v>29</v>
      </c>
      <c r="C13" s="94" t="s">
        <v>68</v>
      </c>
      <c r="D13" s="13">
        <f ca="1">SUMIF(QB!Q$3:Q$38,"Bench",QB!S$3:S$81)+SUMIF('RB'!Q$3:Q$138,"Bench",'RB'!S$3:S$138)+SUMIF(WR!Q$3:Q$195,"Bench",WR!S$3:S$195)+SUMIF(TE!Q$3:Q$113,"Bench",TE!S$3:S$113)</f>
        <v>1834.5780000000007</v>
      </c>
      <c r="I13" s="94" t="s">
        <v>34</v>
      </c>
      <c r="J13" s="37">
        <v>6</v>
      </c>
      <c r="K13" s="98" t="s">
        <v>26</v>
      </c>
      <c r="M13" s="94" t="s">
        <v>34</v>
      </c>
      <c r="N13" s="37">
        <v>6</v>
      </c>
      <c r="O13" s="98" t="s">
        <v>26</v>
      </c>
      <c r="P13" s="63"/>
    </row>
    <row r="14" spans="1:20" x14ac:dyDescent="0.25">
      <c r="A14" s="11" t="s">
        <v>35</v>
      </c>
      <c r="B14" s="35">
        <f ca="1">IF(FlexOn,IF(FlexType="WR/RB/TE",MAX(COUNTIFS(FlexWRRBTE!$F:$F,"Starter",FlexWRRBTE!$C:$C,LeagueInfo!$A14),$D$5*$F$2),IF(FlexType="WR/RB",MAX(COUNTIFS(FlexWRRB!$F:$F,"Starter",FlexWRRB!$C:$C,LeagueInfo!$A14),$D$5*$F$2),IF(FlexType="WR/TE",MAX(COUNTIFS(FlexWRTE!$F:$F,"Starter",FlexWRTE!$C:$C,LeagueInfo!$A$14),$D$5*$F$2),IF(FlexType="QB/WR/RB/TE",MAX(COUNTIFS(FlexQBWRRBTE!$F:$F,"Starter",FlexQBWRRBTE!$C:$C,LeagueInfo!$A14),$D$5*$F$2))))),$D$5*$F$2)</f>
        <v>31</v>
      </c>
      <c r="C14" s="94" t="s">
        <v>69</v>
      </c>
      <c r="D14" s="17">
        <v>0.86</v>
      </c>
      <c r="G14" s="216"/>
      <c r="I14" s="94" t="s">
        <v>39</v>
      </c>
      <c r="J14" s="16">
        <v>0.1</v>
      </c>
      <c r="K14" s="98" t="s">
        <v>33</v>
      </c>
      <c r="M14" s="94" t="s">
        <v>39</v>
      </c>
      <c r="N14" s="92">
        <v>0.1</v>
      </c>
      <c r="O14" s="98" t="s">
        <v>33</v>
      </c>
      <c r="P14" s="63"/>
    </row>
    <row r="15" spans="1:20" x14ac:dyDescent="0.25">
      <c r="A15" s="11" t="s">
        <v>29</v>
      </c>
      <c r="B15" s="35">
        <f ca="1">IF(FlexOn,IF(FlexType="WR/RB/TE",MAX(COUNTIFS(FlexWRRBTE!$F:$F,"Starter",FlexWRRBTE!$C:$C,LeagueInfo!$A15),$D$3*$F$2),IF(FlexType="WR/RB",MAX(COUNTIFS(FlexWRRB!$F:$F,"Starter",FlexWRRB!$C:$C,LeagueInfo!$A15),$D$3*$F$2),IF(FlexType="WR/TE",MAX(COUNTIFS(FlexWRTE!$F:$F,"Starter",FlexWRTE!$C:$C,LeagueInfo!$A15),$D$3*$F$2),IF(FlexType="QB/WR/RB/TE",MAX(COUNTIFS(FlexQBWRRBTE!$F:$F,"Starter",FlexQBWRRBTE!$C:$C,LeagueInfo!$A15),$D$3*$F$2))))),$D$3*$F$2)</f>
        <v>12</v>
      </c>
      <c r="C15" s="94" t="s">
        <v>70</v>
      </c>
      <c r="D15" s="90">
        <f>100%-D14</f>
        <v>0.14000000000000001</v>
      </c>
      <c r="E15" s="258" t="str">
        <f ca="1">IF(D19&gt;=F5*F2,IF(BenchPF&gt;StarterPF,"WARNING - TOO MUCH BENCH BUDGET","OK"),"INVALID VALUE - NOT ENOUGH BENCH MONEY")</f>
        <v>OK</v>
      </c>
      <c r="F15" s="259"/>
      <c r="G15" s="259"/>
      <c r="I15" s="94" t="s">
        <v>42</v>
      </c>
      <c r="J15" s="16">
        <v>0.5</v>
      </c>
      <c r="K15" s="98" t="s">
        <v>26</v>
      </c>
      <c r="M15" s="94" t="s">
        <v>42</v>
      </c>
      <c r="N15" s="16">
        <v>0.5</v>
      </c>
      <c r="O15" s="98" t="s">
        <v>26</v>
      </c>
      <c r="P15" s="63"/>
    </row>
    <row r="16" spans="1:20" x14ac:dyDescent="0.25">
      <c r="A16" s="11" t="s">
        <v>43</v>
      </c>
      <c r="B16" s="35">
        <f ca="1">IF(FlexOn,IF(FlexType="WR/RB/TE",MAX(COUNTIFS(FlexWRRBTE!$F:$F,"Starter",FlexWRRBTE!$C:$C,LeagueInfo!$A16),$D$6*$F$2),IF(FlexType="WR/RB",MAX(COUNTIFS(FlexWRRB!$F:$F,"Starter",FlexWRRB!$C:$C,LeagueInfo!$A16),$D$6*$F$2),IF(FlexType="WR/TE",MAX(COUNTIFS(FlexWRTE!$F:$F,"Starter",FlexWRTE!$C:$C,LeagueInfo!$A16),$D$6*$F$2),IF(FlexType="QB/WR/RB/TE",MAX(COUNTIFS(FlexQBWRRBTE!$F:$F,"Starter",FlexQBWRRBTE!$C:$C,LeagueInfo!$A16),$D$6*$F$2))))),$D$6*$F$2)</f>
        <v>12</v>
      </c>
      <c r="C16" s="94" t="s">
        <v>71</v>
      </c>
      <c r="D16" s="13">
        <f ca="1">D18/D12</f>
        <v>0.37407116495232079</v>
      </c>
      <c r="I16" s="94" t="s">
        <v>47</v>
      </c>
      <c r="J16" s="16">
        <v>6</v>
      </c>
      <c r="K16" s="98" t="s">
        <v>26</v>
      </c>
      <c r="M16" s="94" t="s">
        <v>47</v>
      </c>
      <c r="N16" s="16">
        <v>6</v>
      </c>
      <c r="O16" s="98" t="s">
        <v>26</v>
      </c>
      <c r="P16" s="63"/>
    </row>
    <row r="17" spans="1:16" x14ac:dyDescent="0.25">
      <c r="A17" s="8" t="s">
        <v>58</v>
      </c>
      <c r="B17" s="36">
        <f ca="1">SUM(B13:B16)</f>
        <v>84</v>
      </c>
      <c r="C17" s="94" t="s">
        <v>72</v>
      </c>
      <c r="D17" s="13">
        <f ca="1">D19/D13</f>
        <v>0.18131690230668848</v>
      </c>
      <c r="I17" s="94" t="s">
        <v>53</v>
      </c>
      <c r="J17" s="92">
        <v>0.1</v>
      </c>
      <c r="K17" s="98" t="s">
        <v>33</v>
      </c>
      <c r="M17" s="94" t="s">
        <v>53</v>
      </c>
      <c r="N17" s="92">
        <v>0.1</v>
      </c>
      <c r="O17" s="98" t="s">
        <v>33</v>
      </c>
      <c r="P17" s="63"/>
    </row>
    <row r="18" spans="1:16" x14ac:dyDescent="0.25">
      <c r="A18" s="86" t="s">
        <v>73</v>
      </c>
      <c r="B18" s="79"/>
      <c r="C18" s="94" t="s">
        <v>74</v>
      </c>
      <c r="D18" s="13">
        <f ca="1">D11*D14-((QB!S3-QB!R3)*QBStarter+('RB'!S3-'RB'!R3)*RBStarters+(WR!S3-WR!R3)*WRStarters+(TE!S3-TE!R3)*TEStarters)*BenchPF</f>
        <v>1180.6516403881437</v>
      </c>
      <c r="I18" s="95" t="s">
        <v>57</v>
      </c>
      <c r="J18" s="16">
        <v>-2</v>
      </c>
      <c r="K18" s="99" t="s">
        <v>26</v>
      </c>
      <c r="M18" s="95" t="s">
        <v>57</v>
      </c>
      <c r="N18" s="16">
        <v>-2</v>
      </c>
      <c r="O18" s="99" t="s">
        <v>26</v>
      </c>
      <c r="P18" s="63"/>
    </row>
    <row r="19" spans="1:16" x14ac:dyDescent="0.25">
      <c r="A19" s="8" t="s">
        <v>20</v>
      </c>
      <c r="B19" s="10" t="s">
        <v>66</v>
      </c>
      <c r="C19" s="95" t="s">
        <v>75</v>
      </c>
      <c r="D19" s="91">
        <f>D11*D15</f>
        <v>332.64000000000004</v>
      </c>
      <c r="G19" s="63"/>
      <c r="O19" s="63"/>
      <c r="P19" s="63"/>
    </row>
    <row r="20" spans="1:16" x14ac:dyDescent="0.25">
      <c r="A20" s="11" t="s">
        <v>28</v>
      </c>
      <c r="B20" s="35">
        <f ca="1">IF(QBStarter+(QBStarter/$B$17)*($F$5*$F$2)&lt;=32,(RBStarters/$B$17)*($F$5*$F$2),(RBStarters/$B$17)*($F$5*$F$2)+(($B$15/$B$17)*($F$5*$F$2)-(32-QBStarter))*(RBStarters/SUM(RBStarters,WRStarters)))</f>
        <v>24.857142857142858</v>
      </c>
      <c r="G20" s="63"/>
      <c r="O20" s="63"/>
      <c r="P20" s="63"/>
    </row>
    <row r="21" spans="1:16" x14ac:dyDescent="0.25">
      <c r="A21" s="11" t="s">
        <v>35</v>
      </c>
      <c r="B21" s="35">
        <f ca="1">IF(QBStarter+(QBStarter/$B$17)*($F$5*$F$2)&lt;=32,(WRStarters/$B$17)*($F$5*$F$2),(WRStarters/$B$17)*($F$5*$F$2)+(($B$15/$B$17)*($F$5*$F$2)-(32-QBStarter))*(WRStarters/SUM(RBStarters,WRStarters)))</f>
        <v>26.571428571428573</v>
      </c>
      <c r="G21" s="63"/>
      <c r="O21" s="63"/>
      <c r="P21" s="63"/>
    </row>
    <row r="22" spans="1:16" x14ac:dyDescent="0.25">
      <c r="A22" s="11" t="s">
        <v>29</v>
      </c>
      <c r="B22" s="35">
        <f ca="1">IF((QBStarter/$B$17)*($F$5*$F$2)+QBStarter&lt;=32,(QBStarter/$B$17)*($F$5*$F$2),32-QBStarter)</f>
        <v>10.285714285714285</v>
      </c>
      <c r="E22" s="260" t="s">
        <v>769</v>
      </c>
      <c r="F22" s="260"/>
      <c r="G22" s="63"/>
    </row>
    <row r="23" spans="1:16" x14ac:dyDescent="0.25">
      <c r="A23" s="11" t="s">
        <v>43</v>
      </c>
      <c r="B23" s="35">
        <f ca="1">(B16/$B$17)*($F$5*$F$2)</f>
        <v>10.285714285714285</v>
      </c>
      <c r="E23" s="261" t="str">
        <f ca="1">IF(ROUND(SUM(B24,B17,B8,B7),0)=F6,"","Click again, refresh did not complete successfully.")</f>
        <v/>
      </c>
      <c r="F23" s="261"/>
      <c r="G23" s="261"/>
      <c r="H23" s="261"/>
    </row>
    <row r="24" spans="1:16" x14ac:dyDescent="0.25">
      <c r="A24" s="87" t="s">
        <v>58</v>
      </c>
      <c r="B24" s="88">
        <f ca="1">SUM(B20:B23)</f>
        <v>72</v>
      </c>
    </row>
    <row r="25" spans="1:16" x14ac:dyDescent="0.25">
      <c r="E25" s="115"/>
      <c r="F25" s="63"/>
    </row>
    <row r="26" spans="1:16" x14ac:dyDescent="0.25">
      <c r="B26" s="115"/>
      <c r="D26" s="115"/>
      <c r="E26" s="63"/>
      <c r="F26" s="115"/>
      <c r="G26" s="204"/>
      <c r="H26" s="204"/>
      <c r="I26" s="204"/>
      <c r="K26" s="178"/>
    </row>
    <row r="27" spans="1:16" x14ac:dyDescent="0.25">
      <c r="C27" s="5"/>
      <c r="F27" s="115"/>
      <c r="G27" s="204"/>
      <c r="H27" s="204"/>
      <c r="I27" s="204"/>
      <c r="K27" s="178"/>
    </row>
    <row r="28" spans="1:16" x14ac:dyDescent="0.25">
      <c r="C28" s="115"/>
      <c r="D28" s="115"/>
      <c r="E28" s="115"/>
      <c r="F28" s="115"/>
      <c r="G28" s="178"/>
      <c r="H28" s="115"/>
      <c r="I28" s="115"/>
      <c r="J28" s="115"/>
    </row>
    <row r="29" spans="1:16" x14ac:dyDescent="0.25">
      <c r="F29" s="115"/>
    </row>
    <row r="89" spans="9:11" x14ac:dyDescent="0.25">
      <c r="I89" t="s">
        <v>76</v>
      </c>
    </row>
    <row r="90" spans="9:11" x14ac:dyDescent="0.25">
      <c r="I90" t="s">
        <v>46</v>
      </c>
    </row>
    <row r="96" spans="9:11" x14ac:dyDescent="0.25">
      <c r="K96" s="5"/>
    </row>
    <row r="97" spans="7:11" x14ac:dyDescent="0.25">
      <c r="G97" t="s">
        <v>50</v>
      </c>
      <c r="H97" s="155" t="s">
        <v>77</v>
      </c>
      <c r="K97" t="s">
        <v>78</v>
      </c>
    </row>
    <row r="98" spans="7:11" x14ac:dyDescent="0.25">
      <c r="G98" t="s">
        <v>79</v>
      </c>
      <c r="H98" s="156" t="s">
        <v>80</v>
      </c>
      <c r="I98" t="s">
        <v>52</v>
      </c>
      <c r="K98" t="s">
        <v>81</v>
      </c>
    </row>
    <row r="99" spans="7:11" x14ac:dyDescent="0.25">
      <c r="G99" t="s">
        <v>88</v>
      </c>
      <c r="H99" s="157" t="s">
        <v>82</v>
      </c>
      <c r="I99" t="s">
        <v>83</v>
      </c>
      <c r="K99" t="s">
        <v>56</v>
      </c>
    </row>
    <row r="100" spans="7:11" x14ac:dyDescent="0.25">
      <c r="H100" s="212" t="s">
        <v>84</v>
      </c>
      <c r="K100" t="s">
        <v>1008</v>
      </c>
    </row>
  </sheetData>
  <mergeCells count="12">
    <mergeCell ref="E15:G15"/>
    <mergeCell ref="E22:F22"/>
    <mergeCell ref="E23:H23"/>
    <mergeCell ref="I1:K1"/>
    <mergeCell ref="I11:K11"/>
    <mergeCell ref="A1:B1"/>
    <mergeCell ref="Q1:T1"/>
    <mergeCell ref="M1:O1"/>
    <mergeCell ref="M11:O11"/>
    <mergeCell ref="G1:H1"/>
    <mergeCell ref="E1:F1"/>
    <mergeCell ref="C1:D1"/>
  </mergeCells>
  <conditionalFormatting sqref="E15 G14">
    <cfRule type="containsText" dxfId="99" priority="5" operator="containsText" text="INVALID">
      <formula>NOT(ISERROR(SEARCH("INVALID",E14)))</formula>
    </cfRule>
    <cfRule type="containsText" dxfId="98" priority="6" operator="containsText" text="WARNING">
      <formula>NOT(ISERROR(SEARCH("WARNING",E14)))</formula>
    </cfRule>
    <cfRule type="containsText" dxfId="97" priority="7" operator="containsText" text="OK">
      <formula>NOT(ISERROR(SEARCH("OK",E14)))</formula>
    </cfRule>
  </conditionalFormatting>
  <conditionalFormatting sqref="C11:D19">
    <cfRule type="expression" dxfId="96" priority="4">
      <formula>IF($H$7="Average VBD",TRUE)</formula>
    </cfRule>
  </conditionalFormatting>
  <conditionalFormatting sqref="B24 B17 B9">
    <cfRule type="expression" dxfId="95" priority="1">
      <formula>ROUND(SUM($B$24,$B$17,$B$7,$B$8),0)&lt;&gt;$F$6</formula>
    </cfRule>
  </conditionalFormatting>
  <dataValidations count="4">
    <dataValidation type="list" allowBlank="1" showInputMessage="1" showErrorMessage="1" sqref="F7" xr:uid="{00000000-0002-0000-0100-000000000000}">
      <formula1>$G$97:$G$99</formula1>
    </dataValidation>
    <dataValidation type="list" allowBlank="1" showInputMessage="1" showErrorMessage="1" sqref="H6" xr:uid="{00000000-0002-0000-0100-000001000000}">
      <formula1>$I$89:$I$90</formula1>
    </dataValidation>
    <dataValidation type="list" allowBlank="1" showInputMessage="1" showErrorMessage="1" sqref="H7" xr:uid="{00000000-0002-0000-0100-000002000000}">
      <formula1>$I$98:$I$99</formula1>
    </dataValidation>
    <dataValidation type="list" allowBlank="1" showInputMessage="1" showErrorMessage="1" sqref="F8" xr:uid="{00000000-0002-0000-0100-000003000000}">
      <formula1>$K$97:$K$100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23" r:id="rId4" name="Button 7">
              <controlPr defaultSize="0" print="0" autoFill="0" autoPict="0" macro="[0]!Refresh_All_Data">
                <anchor moveWithCells="1" sizeWithCells="1">
                  <from>
                    <xdr:col>6</xdr:col>
                    <xdr:colOff>28575</xdr:colOff>
                    <xdr:row>20</xdr:row>
                    <xdr:rowOff>180975</xdr:rowOff>
                  </from>
                  <to>
                    <xdr:col>8</xdr:col>
                    <xdr:colOff>0</xdr:colOff>
                    <xdr:row>21</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Y2235"/>
  <sheetViews>
    <sheetView workbookViewId="0">
      <selection activeCell="D15" sqref="D15"/>
    </sheetView>
  </sheetViews>
  <sheetFormatPr defaultColWidth="8.85546875" defaultRowHeight="15" x14ac:dyDescent="0.25"/>
  <cols>
    <col min="1" max="1" width="24.28515625" bestFit="1" customWidth="1"/>
    <col min="2" max="2" width="12.85546875" customWidth="1"/>
    <col min="3" max="3" width="10.42578125" bestFit="1" customWidth="1"/>
    <col min="4" max="4" width="12.85546875" bestFit="1" customWidth="1"/>
    <col min="6" max="7" width="48" customWidth="1"/>
    <col min="8" max="8" width="22.42578125" bestFit="1" customWidth="1"/>
    <col min="9" max="11" width="20.42578125" bestFit="1" customWidth="1"/>
    <col min="12" max="12" width="18.5703125" customWidth="1"/>
    <col min="18" max="18" width="13.140625" bestFit="1" customWidth="1"/>
    <col min="24" max="24" width="0.42578125" customWidth="1"/>
    <col min="25" max="25" width="1.42578125" hidden="1" customWidth="1"/>
  </cols>
  <sheetData>
    <row r="1" spans="1:25" x14ac:dyDescent="0.25">
      <c r="A1" s="5" t="s">
        <v>85</v>
      </c>
      <c r="B1" s="5" t="s">
        <v>86</v>
      </c>
      <c r="C1" s="5" t="s">
        <v>87</v>
      </c>
      <c r="D1" s="5" t="s">
        <v>1010</v>
      </c>
      <c r="F1" s="5" t="s">
        <v>89</v>
      </c>
      <c r="G1" s="5"/>
      <c r="H1" s="5"/>
      <c r="I1" s="5"/>
      <c r="J1" s="5"/>
      <c r="K1" s="5"/>
      <c r="L1" s="5"/>
      <c r="M1" s="5"/>
      <c r="N1" s="5"/>
      <c r="O1" s="5"/>
      <c r="P1" s="5"/>
      <c r="Q1" s="5"/>
      <c r="R1" s="5"/>
      <c r="S1" s="5"/>
      <c r="T1" s="5"/>
      <c r="U1" s="5"/>
      <c r="V1" s="5"/>
      <c r="W1" s="5"/>
      <c r="X1" s="5"/>
      <c r="Y1" s="5"/>
    </row>
    <row r="2" spans="1:25" x14ac:dyDescent="0.25">
      <c r="A2" t="str">
        <f t="shared" ref="A2:A65" si="0">_xlfn.CONCAT(TRIM(H1116)," ",TRIM(I1116),IF(ISNUMBER(J1116),"",_xlfn.CONCAT(" ",TRIM(J1116))))</f>
        <v>Jonathan Taylor</v>
      </c>
      <c r="B2" s="75">
        <f t="shared" ref="B2:B65" si="1">IF(ISNUMBER(J1116),J1116,K1116)</f>
        <v>71</v>
      </c>
      <c r="C2" s="75">
        <f t="shared" ref="C2:C65" si="2">IF(ISNUMBER(J1116),K1116,L1116)</f>
        <v>66</v>
      </c>
      <c r="D2" s="180">
        <f t="shared" ref="D2:D65" si="3">IF(ISNUMBER(J1116),L1116,M1116)</f>
        <v>78</v>
      </c>
      <c r="F2" s="5" t="s">
        <v>91</v>
      </c>
      <c r="G2" s="5"/>
      <c r="H2" s="5"/>
      <c r="I2" s="5"/>
      <c r="J2" s="5"/>
      <c r="K2" s="5"/>
      <c r="L2" s="5"/>
      <c r="M2" s="5"/>
      <c r="N2" s="5"/>
      <c r="O2" s="5"/>
      <c r="P2" s="5"/>
      <c r="Q2" s="5"/>
      <c r="T2" s="5"/>
      <c r="U2" s="5"/>
      <c r="V2" s="5"/>
      <c r="W2" s="5"/>
      <c r="X2" s="5"/>
      <c r="Y2" s="5"/>
    </row>
    <row r="3" spans="1:25" x14ac:dyDescent="0.25">
      <c r="A3" t="str">
        <f t="shared" si="0"/>
        <v>Derrick Henry</v>
      </c>
      <c r="B3" s="75">
        <f t="shared" si="1"/>
        <v>60</v>
      </c>
      <c r="C3" s="75">
        <f t="shared" si="2"/>
        <v>57</v>
      </c>
      <c r="D3" s="180">
        <f t="shared" si="3"/>
        <v>66</v>
      </c>
      <c r="F3" t="s">
        <v>1005</v>
      </c>
    </row>
    <row r="4" spans="1:25" x14ac:dyDescent="0.25">
      <c r="A4" t="str">
        <f t="shared" si="0"/>
        <v>Austin Ekeler</v>
      </c>
      <c r="B4" s="75">
        <f t="shared" si="1"/>
        <v>62</v>
      </c>
      <c r="C4" s="75">
        <f t="shared" si="2"/>
        <v>59</v>
      </c>
      <c r="D4" s="180">
        <f t="shared" si="3"/>
        <v>60</v>
      </c>
    </row>
    <row r="5" spans="1:25" x14ac:dyDescent="0.25">
      <c r="A5" t="str">
        <f t="shared" si="0"/>
        <v>Christian McCaffrey</v>
      </c>
      <c r="B5" s="75">
        <f t="shared" si="1"/>
        <v>61</v>
      </c>
      <c r="C5" s="75">
        <f t="shared" si="2"/>
        <v>61</v>
      </c>
      <c r="D5" s="180">
        <f t="shared" si="3"/>
        <v>59</v>
      </c>
      <c r="J5" s="75"/>
      <c r="K5" s="200"/>
    </row>
    <row r="6" spans="1:25" x14ac:dyDescent="0.25">
      <c r="A6" t="str">
        <f t="shared" si="0"/>
        <v>Cooper Kupp</v>
      </c>
      <c r="B6" s="75">
        <f t="shared" si="1"/>
        <v>59</v>
      </c>
      <c r="C6" s="75">
        <f t="shared" si="2"/>
        <v>61</v>
      </c>
      <c r="D6" s="180">
        <f t="shared" si="3"/>
        <v>52</v>
      </c>
    </row>
    <row r="7" spans="1:25" x14ac:dyDescent="0.25">
      <c r="A7" t="str">
        <f t="shared" si="0"/>
        <v>Dalvin Cook</v>
      </c>
      <c r="B7" s="75">
        <f t="shared" si="1"/>
        <v>58</v>
      </c>
      <c r="C7" s="75">
        <f t="shared" si="2"/>
        <v>51</v>
      </c>
      <c r="D7" s="180">
        <f t="shared" si="3"/>
        <v>49</v>
      </c>
    </row>
    <row r="8" spans="1:25" x14ac:dyDescent="0.25">
      <c r="A8" t="str">
        <f t="shared" si="0"/>
        <v>Joe Mixon</v>
      </c>
      <c r="B8" s="75">
        <f t="shared" si="1"/>
        <v>53</v>
      </c>
      <c r="C8" s="75">
        <f t="shared" si="2"/>
        <v>46</v>
      </c>
      <c r="D8" s="180">
        <f t="shared" si="3"/>
        <v>48</v>
      </c>
    </row>
    <row r="9" spans="1:25" x14ac:dyDescent="0.25">
      <c r="A9" t="str">
        <f t="shared" si="0"/>
        <v>Najee Harris</v>
      </c>
      <c r="B9" s="75">
        <f t="shared" si="1"/>
        <v>55</v>
      </c>
      <c r="C9" s="75">
        <f t="shared" si="2"/>
        <v>53</v>
      </c>
      <c r="D9" s="180">
        <f t="shared" si="3"/>
        <v>43</v>
      </c>
    </row>
    <row r="10" spans="1:25" x14ac:dyDescent="0.25">
      <c r="A10" t="str">
        <f t="shared" si="0"/>
        <v>Alvin Kamara</v>
      </c>
      <c r="B10" s="75">
        <f t="shared" si="1"/>
        <v>40</v>
      </c>
      <c r="C10" s="75">
        <f t="shared" si="2"/>
        <v>48</v>
      </c>
      <c r="D10" s="180">
        <f t="shared" si="3"/>
        <v>41</v>
      </c>
    </row>
    <row r="11" spans="1:25" x14ac:dyDescent="0.25">
      <c r="A11" t="str">
        <f t="shared" si="0"/>
        <v>Ja'Marr Chase</v>
      </c>
      <c r="B11" s="75">
        <f t="shared" si="1"/>
        <v>54</v>
      </c>
      <c r="C11" s="75">
        <f t="shared" si="2"/>
        <v>56</v>
      </c>
      <c r="D11" s="180">
        <f t="shared" si="3"/>
        <v>41</v>
      </c>
    </row>
    <row r="12" spans="1:25" x14ac:dyDescent="0.25">
      <c r="A12" t="str">
        <f t="shared" si="0"/>
        <v>Justin Jefferson</v>
      </c>
      <c r="B12" s="75">
        <f t="shared" si="1"/>
        <v>58</v>
      </c>
      <c r="C12" s="75">
        <f t="shared" si="2"/>
        <v>58</v>
      </c>
      <c r="D12" s="180">
        <f t="shared" si="3"/>
        <v>41</v>
      </c>
    </row>
    <row r="13" spans="1:25" x14ac:dyDescent="0.25">
      <c r="A13" t="str">
        <f t="shared" si="0"/>
        <v>Deebo Samuel</v>
      </c>
      <c r="B13" s="75">
        <f t="shared" si="1"/>
        <v>37</v>
      </c>
      <c r="C13" s="75">
        <f t="shared" si="2"/>
        <v>44</v>
      </c>
      <c r="D13" s="180">
        <f t="shared" si="3"/>
        <v>40</v>
      </c>
    </row>
    <row r="14" spans="1:25" x14ac:dyDescent="0.25">
      <c r="A14" t="str">
        <f t="shared" si="0"/>
        <v>Travis Kelce</v>
      </c>
      <c r="B14" s="75">
        <f t="shared" si="1"/>
        <v>42</v>
      </c>
      <c r="C14" s="75">
        <f t="shared" si="2"/>
        <v>38</v>
      </c>
      <c r="D14" s="180">
        <f t="shared" si="3"/>
        <v>38</v>
      </c>
    </row>
    <row r="15" spans="1:25" x14ac:dyDescent="0.25">
      <c r="A15" t="str">
        <f t="shared" si="0"/>
        <v>Mark Andrews</v>
      </c>
      <c r="B15" s="75">
        <f t="shared" si="1"/>
        <v>32</v>
      </c>
      <c r="C15" s="75">
        <f t="shared" si="2"/>
        <v>34</v>
      </c>
      <c r="D15" s="180">
        <f t="shared" si="3"/>
        <v>37</v>
      </c>
    </row>
    <row r="16" spans="1:25" x14ac:dyDescent="0.25">
      <c r="A16" t="str">
        <f t="shared" si="0"/>
        <v>Aaron Jones</v>
      </c>
      <c r="B16" s="75">
        <f t="shared" si="1"/>
        <v>38</v>
      </c>
      <c r="C16" s="75">
        <f t="shared" si="2"/>
        <v>34</v>
      </c>
      <c r="D16" s="180">
        <f t="shared" si="3"/>
        <v>36</v>
      </c>
    </row>
    <row r="17" spans="1:4" x14ac:dyDescent="0.25">
      <c r="A17" t="str">
        <f t="shared" si="0"/>
        <v>Javonte Williams</v>
      </c>
      <c r="B17" s="75">
        <f t="shared" si="1"/>
        <v>43</v>
      </c>
      <c r="C17" s="75">
        <f t="shared" si="2"/>
        <v>34</v>
      </c>
      <c r="D17" s="180">
        <f t="shared" si="3"/>
        <v>36</v>
      </c>
    </row>
    <row r="18" spans="1:4" x14ac:dyDescent="0.25">
      <c r="A18" t="str">
        <f t="shared" si="0"/>
        <v>Nick Chubb</v>
      </c>
      <c r="B18" s="75">
        <f t="shared" si="1"/>
        <v>48</v>
      </c>
      <c r="C18" s="75">
        <f t="shared" si="2"/>
        <v>30</v>
      </c>
      <c r="D18" s="180">
        <f t="shared" si="3"/>
        <v>36</v>
      </c>
    </row>
    <row r="19" spans="1:4" x14ac:dyDescent="0.25">
      <c r="A19" t="str">
        <f t="shared" si="0"/>
        <v>Leonard Fournette</v>
      </c>
      <c r="B19" s="75">
        <f t="shared" si="1"/>
        <v>39</v>
      </c>
      <c r="C19" s="75">
        <f t="shared" si="2"/>
        <v>35</v>
      </c>
      <c r="D19" s="180">
        <f t="shared" si="3"/>
        <v>35</v>
      </c>
    </row>
    <row r="20" spans="1:4" x14ac:dyDescent="0.25">
      <c r="A20" t="str">
        <f t="shared" si="0"/>
        <v>Saquon Barkley</v>
      </c>
      <c r="B20" s="75">
        <f t="shared" si="1"/>
        <v>38</v>
      </c>
      <c r="C20" s="75">
        <f t="shared" si="2"/>
        <v>32</v>
      </c>
      <c r="D20" s="180">
        <f t="shared" si="3"/>
        <v>35</v>
      </c>
    </row>
    <row r="21" spans="1:4" x14ac:dyDescent="0.25">
      <c r="A21" t="str">
        <f t="shared" si="0"/>
        <v>James Conner</v>
      </c>
      <c r="B21" s="75">
        <f t="shared" si="1"/>
        <v>25</v>
      </c>
      <c r="C21" s="75">
        <f t="shared" si="2"/>
        <v>31</v>
      </c>
      <c r="D21" s="180">
        <f t="shared" si="3"/>
        <v>34</v>
      </c>
    </row>
    <row r="22" spans="1:4" x14ac:dyDescent="0.25">
      <c r="A22" t="str">
        <f t="shared" si="0"/>
        <v>D'Andre Swift</v>
      </c>
      <c r="B22" s="75">
        <f t="shared" si="1"/>
        <v>44</v>
      </c>
      <c r="C22" s="75">
        <f t="shared" si="2"/>
        <v>41</v>
      </c>
      <c r="D22" s="180">
        <f t="shared" si="3"/>
        <v>33</v>
      </c>
    </row>
    <row r="23" spans="1:4" x14ac:dyDescent="0.25">
      <c r="A23" t="str">
        <f t="shared" si="0"/>
        <v>Davante Adams</v>
      </c>
      <c r="B23" s="75">
        <f t="shared" si="1"/>
        <v>47</v>
      </c>
      <c r="C23" s="75">
        <f t="shared" si="2"/>
        <v>47</v>
      </c>
      <c r="D23" s="180">
        <f t="shared" si="3"/>
        <v>32</v>
      </c>
    </row>
    <row r="24" spans="1:4" x14ac:dyDescent="0.25">
      <c r="A24" t="str">
        <f t="shared" si="0"/>
        <v>David Montgomery</v>
      </c>
      <c r="B24" s="75">
        <f t="shared" si="1"/>
        <v>20</v>
      </c>
      <c r="C24" s="75">
        <f t="shared" si="2"/>
        <v>18</v>
      </c>
      <c r="D24" s="180">
        <f t="shared" si="3"/>
        <v>30</v>
      </c>
    </row>
    <row r="25" spans="1:4" x14ac:dyDescent="0.25">
      <c r="A25" t="str">
        <f t="shared" si="0"/>
        <v>Josh Allen</v>
      </c>
      <c r="B25" s="75">
        <f t="shared" si="1"/>
        <v>31</v>
      </c>
      <c r="C25" s="75">
        <f t="shared" si="2"/>
        <v>28</v>
      </c>
      <c r="D25" s="180">
        <f t="shared" si="3"/>
        <v>29</v>
      </c>
    </row>
    <row r="26" spans="1:4" x14ac:dyDescent="0.25">
      <c r="A26" t="str">
        <f t="shared" si="0"/>
        <v>Stefon Diggs</v>
      </c>
      <c r="B26" s="75">
        <f t="shared" si="1"/>
        <v>45</v>
      </c>
      <c r="C26" s="75">
        <f t="shared" si="2"/>
        <v>46</v>
      </c>
      <c r="D26" s="180">
        <f t="shared" si="3"/>
        <v>29</v>
      </c>
    </row>
    <row r="27" spans="1:4" x14ac:dyDescent="0.25">
      <c r="A27" t="str">
        <f t="shared" si="0"/>
        <v>Ezekiel Elliott</v>
      </c>
      <c r="B27" s="75">
        <f t="shared" si="1"/>
        <v>27</v>
      </c>
      <c r="C27" s="75">
        <f t="shared" si="2"/>
        <v>21</v>
      </c>
      <c r="D27" s="180">
        <f t="shared" si="3"/>
        <v>28</v>
      </c>
    </row>
    <row r="28" spans="1:4" x14ac:dyDescent="0.25">
      <c r="A28" t="str">
        <f t="shared" si="0"/>
        <v>CeeDee Lamb</v>
      </c>
      <c r="B28" s="75">
        <f t="shared" si="1"/>
        <v>40</v>
      </c>
      <c r="C28" s="75">
        <f t="shared" si="2"/>
        <v>39</v>
      </c>
      <c r="D28" s="180">
        <f t="shared" si="3"/>
        <v>27</v>
      </c>
    </row>
    <row r="29" spans="1:4" x14ac:dyDescent="0.25">
      <c r="A29" t="str">
        <f t="shared" si="0"/>
        <v>J.K. Dobbins</v>
      </c>
      <c r="B29" s="75">
        <f t="shared" si="1"/>
        <v>12</v>
      </c>
      <c r="C29" s="75">
        <f t="shared" si="2"/>
        <v>17</v>
      </c>
      <c r="D29" s="180">
        <f t="shared" si="3"/>
        <v>27</v>
      </c>
    </row>
    <row r="30" spans="1:4" x14ac:dyDescent="0.25">
      <c r="A30" t="str">
        <f t="shared" si="0"/>
        <v>Mike Evans</v>
      </c>
      <c r="B30" s="75">
        <f t="shared" si="1"/>
        <v>31</v>
      </c>
      <c r="C30" s="75">
        <f t="shared" si="2"/>
        <v>29</v>
      </c>
      <c r="D30" s="180">
        <f t="shared" si="3"/>
        <v>27</v>
      </c>
    </row>
    <row r="31" spans="1:4" x14ac:dyDescent="0.25">
      <c r="A31" t="str">
        <f t="shared" si="0"/>
        <v>Tyreek Hill</v>
      </c>
      <c r="B31" s="75">
        <f t="shared" si="1"/>
        <v>31</v>
      </c>
      <c r="C31" s="75">
        <f t="shared" si="2"/>
        <v>38</v>
      </c>
      <c r="D31" s="180">
        <f t="shared" si="3"/>
        <v>26</v>
      </c>
    </row>
    <row r="32" spans="1:4" x14ac:dyDescent="0.25">
      <c r="A32" t="str">
        <f t="shared" si="0"/>
        <v>Breece Hall</v>
      </c>
      <c r="B32" s="75">
        <f t="shared" si="1"/>
        <v>16</v>
      </c>
      <c r="C32" s="75">
        <f t="shared" si="2"/>
        <v>17</v>
      </c>
      <c r="D32" s="180">
        <f t="shared" si="3"/>
        <v>25</v>
      </c>
    </row>
    <row r="33" spans="1:4" x14ac:dyDescent="0.25">
      <c r="A33" t="str">
        <f t="shared" si="0"/>
        <v>Cam Akers</v>
      </c>
      <c r="B33" s="75">
        <f t="shared" si="1"/>
        <v>23</v>
      </c>
      <c r="C33" s="75">
        <f t="shared" si="2"/>
        <v>25</v>
      </c>
      <c r="D33" s="180">
        <f t="shared" si="3"/>
        <v>25</v>
      </c>
    </row>
    <row r="34" spans="1:4" x14ac:dyDescent="0.25">
      <c r="A34" t="str">
        <f t="shared" si="0"/>
        <v>Elijah Mitchell</v>
      </c>
      <c r="B34" s="75">
        <f t="shared" si="1"/>
        <v>17</v>
      </c>
      <c r="C34" s="75">
        <f t="shared" si="2"/>
        <v>10</v>
      </c>
      <c r="D34" s="180">
        <f t="shared" si="3"/>
        <v>25</v>
      </c>
    </row>
    <row r="35" spans="1:4" x14ac:dyDescent="0.25">
      <c r="A35" t="str">
        <f t="shared" si="0"/>
        <v>Damien Harris</v>
      </c>
      <c r="B35" s="75">
        <f t="shared" si="1"/>
        <v>7</v>
      </c>
      <c r="C35" s="75">
        <f t="shared" si="2"/>
        <v>3</v>
      </c>
      <c r="D35" s="180">
        <f t="shared" si="3"/>
        <v>24</v>
      </c>
    </row>
    <row r="36" spans="1:4" x14ac:dyDescent="0.25">
      <c r="A36" t="str">
        <f t="shared" si="0"/>
        <v>Josh Jacobs</v>
      </c>
      <c r="B36" s="75">
        <f t="shared" si="1"/>
        <v>12</v>
      </c>
      <c r="C36" s="75">
        <f t="shared" si="2"/>
        <v>12</v>
      </c>
      <c r="D36" s="180">
        <f t="shared" si="3"/>
        <v>24</v>
      </c>
    </row>
    <row r="37" spans="1:4" x14ac:dyDescent="0.25">
      <c r="A37" t="str">
        <f t="shared" si="0"/>
        <v>Tee Higgins</v>
      </c>
      <c r="B37" s="75">
        <f t="shared" si="1"/>
        <v>26</v>
      </c>
      <c r="C37" s="75">
        <f t="shared" si="2"/>
        <v>27</v>
      </c>
      <c r="D37" s="180">
        <f t="shared" si="3"/>
        <v>24</v>
      </c>
    </row>
    <row r="38" spans="1:4" x14ac:dyDescent="0.25">
      <c r="A38" t="str">
        <f t="shared" si="0"/>
        <v>A.J. Brown</v>
      </c>
      <c r="B38" s="75">
        <f t="shared" si="1"/>
        <v>23</v>
      </c>
      <c r="C38" s="75">
        <f t="shared" si="2"/>
        <v>24</v>
      </c>
      <c r="D38" s="180">
        <f t="shared" si="3"/>
        <v>22</v>
      </c>
    </row>
    <row r="39" spans="1:4" x14ac:dyDescent="0.25">
      <c r="A39" t="str">
        <f t="shared" si="0"/>
        <v>Patrick Mahomes II</v>
      </c>
      <c r="B39" s="75">
        <f t="shared" si="1"/>
        <v>14</v>
      </c>
      <c r="C39" s="75">
        <f t="shared" si="2"/>
        <v>21</v>
      </c>
      <c r="D39" s="180">
        <f t="shared" si="3"/>
        <v>22</v>
      </c>
    </row>
    <row r="40" spans="1:4" x14ac:dyDescent="0.25">
      <c r="A40" t="str">
        <f t="shared" si="0"/>
        <v>Miles Sanders</v>
      </c>
      <c r="B40" s="75">
        <f t="shared" si="1"/>
        <v>6</v>
      </c>
      <c r="C40" s="75">
        <f t="shared" si="2"/>
        <v>7</v>
      </c>
      <c r="D40" s="180">
        <f t="shared" si="3"/>
        <v>21</v>
      </c>
    </row>
    <row r="41" spans="1:4" x14ac:dyDescent="0.25">
      <c r="A41" t="str">
        <f t="shared" si="0"/>
        <v>Travis Etienne Jr.</v>
      </c>
      <c r="B41" s="75">
        <f t="shared" si="1"/>
        <v>14</v>
      </c>
      <c r="C41" s="75">
        <f t="shared" si="2"/>
        <v>15</v>
      </c>
      <c r="D41" s="180">
        <f t="shared" si="3"/>
        <v>21</v>
      </c>
    </row>
    <row r="42" spans="1:4" x14ac:dyDescent="0.25">
      <c r="A42" t="str">
        <f t="shared" si="0"/>
        <v>Michael Pittman Jr.</v>
      </c>
      <c r="B42" s="75">
        <f t="shared" si="1"/>
        <v>23</v>
      </c>
      <c r="C42" s="75">
        <f t="shared" si="2"/>
        <v>25</v>
      </c>
      <c r="D42" s="180">
        <f t="shared" si="3"/>
        <v>20</v>
      </c>
    </row>
    <row r="43" spans="1:4" x14ac:dyDescent="0.25">
      <c r="A43" t="str">
        <f t="shared" si="0"/>
        <v>Mike Williams</v>
      </c>
      <c r="B43" s="75">
        <f t="shared" si="1"/>
        <v>10</v>
      </c>
      <c r="C43" s="75">
        <f t="shared" si="2"/>
        <v>19</v>
      </c>
      <c r="D43" s="180">
        <f t="shared" si="3"/>
        <v>20</v>
      </c>
    </row>
    <row r="44" spans="1:4" x14ac:dyDescent="0.25">
      <c r="A44" t="str">
        <f t="shared" si="0"/>
        <v>Kyle Pitts</v>
      </c>
      <c r="B44" s="75">
        <f t="shared" si="1"/>
        <v>18</v>
      </c>
      <c r="C44" s="75">
        <f t="shared" si="2"/>
        <v>22</v>
      </c>
      <c r="D44" s="180">
        <f t="shared" si="3"/>
        <v>19</v>
      </c>
    </row>
    <row r="45" spans="1:4" x14ac:dyDescent="0.25">
      <c r="A45" t="str">
        <f t="shared" si="0"/>
        <v>Clyde Edwards-Helaire</v>
      </c>
      <c r="B45" s="75">
        <f t="shared" si="1"/>
        <v>5</v>
      </c>
      <c r="C45" s="75">
        <f t="shared" si="2"/>
        <v>8</v>
      </c>
      <c r="D45" s="180">
        <f t="shared" si="3"/>
        <v>18</v>
      </c>
    </row>
    <row r="46" spans="1:4" x14ac:dyDescent="0.25">
      <c r="A46" t="str">
        <f t="shared" si="0"/>
        <v>DJ Moore</v>
      </c>
      <c r="B46" s="75">
        <f t="shared" si="1"/>
        <v>16</v>
      </c>
      <c r="C46" s="75">
        <f t="shared" si="2"/>
        <v>25</v>
      </c>
      <c r="D46" s="180">
        <f t="shared" si="3"/>
        <v>18</v>
      </c>
    </row>
    <row r="47" spans="1:4" x14ac:dyDescent="0.25">
      <c r="A47" t="str">
        <f t="shared" si="0"/>
        <v>Justin Herbert</v>
      </c>
      <c r="B47" s="75">
        <f t="shared" si="1"/>
        <v>14</v>
      </c>
      <c r="C47" s="75">
        <f t="shared" si="2"/>
        <v>17</v>
      </c>
      <c r="D47" s="180">
        <f t="shared" si="3"/>
        <v>18</v>
      </c>
    </row>
    <row r="48" spans="1:4" x14ac:dyDescent="0.25">
      <c r="A48" t="str">
        <f t="shared" si="0"/>
        <v>Rashaad Penny</v>
      </c>
      <c r="B48" s="75">
        <f t="shared" si="1"/>
        <v>5</v>
      </c>
      <c r="C48" s="75">
        <f t="shared" si="2"/>
        <v>3</v>
      </c>
      <c r="D48" s="180">
        <f t="shared" si="3"/>
        <v>18</v>
      </c>
    </row>
    <row r="49" spans="1:4" x14ac:dyDescent="0.25">
      <c r="A49" t="str">
        <f t="shared" si="0"/>
        <v>AJ Dillon</v>
      </c>
      <c r="B49" s="75">
        <f t="shared" si="1"/>
        <v>10</v>
      </c>
      <c r="C49" s="75">
        <f t="shared" si="2"/>
        <v>5</v>
      </c>
      <c r="D49" s="180">
        <f t="shared" si="3"/>
        <v>17</v>
      </c>
    </row>
    <row r="50" spans="1:4" x14ac:dyDescent="0.25">
      <c r="A50" t="str">
        <f t="shared" si="0"/>
        <v>Brandin Cooks</v>
      </c>
      <c r="B50" s="75">
        <f t="shared" si="1"/>
        <v>4</v>
      </c>
      <c r="C50" s="75">
        <f t="shared" si="2"/>
        <v>15</v>
      </c>
      <c r="D50" s="180">
        <f t="shared" si="3"/>
        <v>17</v>
      </c>
    </row>
    <row r="51" spans="1:4" x14ac:dyDescent="0.25">
      <c r="A51" t="str">
        <f t="shared" si="0"/>
        <v>Darren Waller</v>
      </c>
      <c r="B51" s="75">
        <f t="shared" si="1"/>
        <v>11</v>
      </c>
      <c r="C51" s="75">
        <f t="shared" si="2"/>
        <v>12</v>
      </c>
      <c r="D51" s="180">
        <f t="shared" si="3"/>
        <v>17</v>
      </c>
    </row>
    <row r="52" spans="1:4" x14ac:dyDescent="0.25">
      <c r="A52" t="str">
        <f t="shared" si="0"/>
        <v>Devin Singletary</v>
      </c>
      <c r="B52" s="75">
        <f t="shared" si="1"/>
        <v>6</v>
      </c>
      <c r="C52" s="75">
        <f t="shared" si="2"/>
        <v>7</v>
      </c>
      <c r="D52" s="180">
        <f t="shared" si="3"/>
        <v>17</v>
      </c>
    </row>
    <row r="53" spans="1:4" x14ac:dyDescent="0.25">
      <c r="A53" t="str">
        <f t="shared" si="0"/>
        <v>Gabriel Davis</v>
      </c>
      <c r="B53" s="75">
        <f t="shared" si="1"/>
        <v>5</v>
      </c>
      <c r="C53" s="75">
        <f t="shared" si="2"/>
        <v>10</v>
      </c>
      <c r="D53" s="180">
        <f t="shared" si="3"/>
        <v>17</v>
      </c>
    </row>
    <row r="54" spans="1:4" x14ac:dyDescent="0.25">
      <c r="A54" t="str">
        <f t="shared" si="0"/>
        <v>Keenan Allen</v>
      </c>
      <c r="B54" s="75">
        <f t="shared" si="1"/>
        <v>26</v>
      </c>
      <c r="C54" s="75">
        <f t="shared" si="2"/>
        <v>30</v>
      </c>
      <c r="D54" s="180">
        <f t="shared" si="3"/>
        <v>17</v>
      </c>
    </row>
    <row r="55" spans="1:4" x14ac:dyDescent="0.25">
      <c r="A55" t="str">
        <f t="shared" si="0"/>
        <v>Kyler Murray</v>
      </c>
      <c r="B55" s="75">
        <f t="shared" si="1"/>
        <v>6</v>
      </c>
      <c r="C55" s="75">
        <f t="shared" si="2"/>
        <v>11</v>
      </c>
      <c r="D55" s="180">
        <f t="shared" si="3"/>
        <v>17</v>
      </c>
    </row>
    <row r="56" spans="1:4" x14ac:dyDescent="0.25">
      <c r="A56" t="str">
        <f t="shared" si="0"/>
        <v>Lamar Jackson</v>
      </c>
      <c r="B56" s="75">
        <f t="shared" si="1"/>
        <v>13</v>
      </c>
      <c r="C56" s="75">
        <f t="shared" si="2"/>
        <v>13</v>
      </c>
      <c r="D56" s="180">
        <f t="shared" si="3"/>
        <v>17</v>
      </c>
    </row>
    <row r="57" spans="1:4" x14ac:dyDescent="0.25">
      <c r="A57" t="str">
        <f t="shared" si="0"/>
        <v>DK Metcalf</v>
      </c>
      <c r="B57" s="75">
        <f t="shared" si="1"/>
        <v>8</v>
      </c>
      <c r="C57" s="75">
        <f t="shared" si="2"/>
        <v>15</v>
      </c>
      <c r="D57" s="180">
        <f t="shared" si="3"/>
        <v>16</v>
      </c>
    </row>
    <row r="58" spans="1:4" x14ac:dyDescent="0.25">
      <c r="A58" t="str">
        <f t="shared" si="0"/>
        <v>Jalen Hurts</v>
      </c>
      <c r="B58" s="75">
        <f t="shared" si="1"/>
        <v>6</v>
      </c>
      <c r="C58" s="75">
        <f t="shared" si="2"/>
        <v>9</v>
      </c>
      <c r="D58" s="180">
        <f t="shared" si="3"/>
        <v>16</v>
      </c>
    </row>
    <row r="59" spans="1:4" x14ac:dyDescent="0.25">
      <c r="A59" t="str">
        <f t="shared" si="0"/>
        <v>Tony Pollard</v>
      </c>
      <c r="B59" s="75">
        <f t="shared" si="1"/>
        <v>3</v>
      </c>
      <c r="C59" s="75">
        <f t="shared" si="2"/>
        <v>4</v>
      </c>
      <c r="D59" s="180">
        <f t="shared" si="3"/>
        <v>16</v>
      </c>
    </row>
    <row r="60" spans="1:4" x14ac:dyDescent="0.25">
      <c r="A60" t="str">
        <f t="shared" si="0"/>
        <v>Antonio Gibson</v>
      </c>
      <c r="B60" s="75">
        <f t="shared" si="1"/>
        <v>19</v>
      </c>
      <c r="C60" s="75">
        <f t="shared" si="2"/>
        <v>6</v>
      </c>
      <c r="D60" s="180">
        <f t="shared" si="3"/>
        <v>15</v>
      </c>
    </row>
    <row r="61" spans="1:4" x14ac:dyDescent="0.25">
      <c r="A61" t="str">
        <f t="shared" si="0"/>
        <v>Cordarrelle Patterson</v>
      </c>
      <c r="B61" s="75">
        <f t="shared" si="1"/>
        <v>2</v>
      </c>
      <c r="C61" s="75">
        <f t="shared" si="2"/>
        <v>4</v>
      </c>
      <c r="D61" s="180">
        <f t="shared" si="3"/>
        <v>15</v>
      </c>
    </row>
    <row r="62" spans="1:4" x14ac:dyDescent="0.25">
      <c r="A62" t="str">
        <f t="shared" si="0"/>
        <v>Diontae Johnson</v>
      </c>
      <c r="B62" s="75">
        <f t="shared" si="1"/>
        <v>12</v>
      </c>
      <c r="C62" s="75">
        <f t="shared" si="2"/>
        <v>18</v>
      </c>
      <c r="D62" s="180">
        <f t="shared" si="3"/>
        <v>15</v>
      </c>
    </row>
    <row r="63" spans="1:4" x14ac:dyDescent="0.25">
      <c r="A63" t="str">
        <f t="shared" si="0"/>
        <v>George Kittle</v>
      </c>
      <c r="B63" s="75">
        <f t="shared" si="1"/>
        <v>12</v>
      </c>
      <c r="C63" s="75">
        <f t="shared" si="2"/>
        <v>13</v>
      </c>
      <c r="D63" s="180">
        <f t="shared" si="3"/>
        <v>15</v>
      </c>
    </row>
    <row r="64" spans="1:4" x14ac:dyDescent="0.25">
      <c r="A64" t="str">
        <f t="shared" si="0"/>
        <v>Courtland Sutton</v>
      </c>
      <c r="B64" s="75">
        <f t="shared" si="1"/>
        <v>10</v>
      </c>
      <c r="C64" s="75">
        <f t="shared" si="2"/>
        <v>14</v>
      </c>
      <c r="D64" s="180">
        <f t="shared" si="3"/>
        <v>14</v>
      </c>
    </row>
    <row r="65" spans="1:4" x14ac:dyDescent="0.25">
      <c r="A65" t="str">
        <f t="shared" si="0"/>
        <v>Dalton Schultz</v>
      </c>
      <c r="B65" s="75">
        <f t="shared" si="1"/>
        <v>7</v>
      </c>
      <c r="C65" s="75">
        <f t="shared" si="2"/>
        <v>7</v>
      </c>
      <c r="D65" s="180">
        <f t="shared" si="3"/>
        <v>14</v>
      </c>
    </row>
    <row r="66" spans="1:4" x14ac:dyDescent="0.25">
      <c r="A66" t="str">
        <f t="shared" ref="A66:A129" si="4">_xlfn.CONCAT(TRIM(H1180)," ",TRIM(I1180),IF(ISNUMBER(J1180),"",_xlfn.CONCAT(" ",TRIM(J1180))))</f>
        <v>Rhamondre Stevenson</v>
      </c>
      <c r="B66" s="75">
        <f t="shared" ref="B66:B129" si="5">IF(ISNUMBER(J1180),J1180,K1180)</f>
        <v>4</v>
      </c>
      <c r="C66" s="75">
        <f t="shared" ref="C66:C129" si="6">IF(ISNUMBER(J1180),K1180,L1180)</f>
        <v>4</v>
      </c>
      <c r="D66" s="180">
        <f t="shared" ref="D66:D129" si="7">IF(ISNUMBER(J1180),L1180,M1180)</f>
        <v>14</v>
      </c>
    </row>
    <row r="67" spans="1:4" x14ac:dyDescent="0.25">
      <c r="A67" t="str">
        <f t="shared" si="4"/>
        <v>Terry McLaurin</v>
      </c>
      <c r="B67" s="75">
        <f t="shared" si="5"/>
        <v>12</v>
      </c>
      <c r="C67" s="75">
        <f t="shared" si="6"/>
        <v>21</v>
      </c>
      <c r="D67" s="180">
        <f t="shared" si="7"/>
        <v>14</v>
      </c>
    </row>
    <row r="68" spans="1:4" x14ac:dyDescent="0.25">
      <c r="A68" t="str">
        <f t="shared" si="4"/>
        <v>Jaylen Waddle</v>
      </c>
      <c r="B68" s="75">
        <f t="shared" si="5"/>
        <v>13</v>
      </c>
      <c r="C68" s="75">
        <f t="shared" si="6"/>
        <v>17</v>
      </c>
      <c r="D68" s="180">
        <f t="shared" si="7"/>
        <v>13</v>
      </c>
    </row>
    <row r="69" spans="1:4" x14ac:dyDescent="0.25">
      <c r="A69" t="str">
        <f t="shared" si="4"/>
        <v>Michael Thomas</v>
      </c>
      <c r="B69" s="75">
        <f t="shared" si="5"/>
        <v>6</v>
      </c>
      <c r="C69" s="75">
        <f t="shared" si="6"/>
        <v>7</v>
      </c>
      <c r="D69" s="180">
        <f t="shared" si="7"/>
        <v>13</v>
      </c>
    </row>
    <row r="70" spans="1:4" x14ac:dyDescent="0.25">
      <c r="A70" t="str">
        <f t="shared" si="4"/>
        <v>Tom Brady</v>
      </c>
      <c r="B70" s="75">
        <f t="shared" si="5"/>
        <v>4</v>
      </c>
      <c r="C70" s="75">
        <f t="shared" si="6"/>
        <v>7</v>
      </c>
      <c r="D70" s="180">
        <f t="shared" si="7"/>
        <v>13</v>
      </c>
    </row>
    <row r="71" spans="1:4" x14ac:dyDescent="0.25">
      <c r="A71" t="str">
        <f t="shared" si="4"/>
        <v>Amon-Ra St. Brown</v>
      </c>
      <c r="B71" s="75">
        <f t="shared" si="5"/>
        <v>5</v>
      </c>
      <c r="C71" s="75">
        <f t="shared" si="6"/>
        <v>11</v>
      </c>
      <c r="D71" s="180">
        <f t="shared" si="7"/>
        <v>12</v>
      </c>
    </row>
    <row r="72" spans="1:4" x14ac:dyDescent="0.25">
      <c r="A72" t="str">
        <f t="shared" si="4"/>
        <v>Dak Prescott</v>
      </c>
      <c r="B72" s="75">
        <f t="shared" si="5"/>
        <v>3</v>
      </c>
      <c r="C72" s="75">
        <f t="shared" si="6"/>
        <v>5</v>
      </c>
      <c r="D72" s="180">
        <f t="shared" si="7"/>
        <v>12</v>
      </c>
    </row>
    <row r="73" spans="1:4" x14ac:dyDescent="0.25">
      <c r="A73" t="str">
        <f t="shared" si="4"/>
        <v>Darnell Mooney</v>
      </c>
      <c r="B73" s="75">
        <f t="shared" si="5"/>
        <v>2</v>
      </c>
      <c r="C73" s="75">
        <f t="shared" si="6"/>
        <v>9</v>
      </c>
      <c r="D73" s="180">
        <f t="shared" si="7"/>
        <v>12</v>
      </c>
    </row>
    <row r="74" spans="1:4" x14ac:dyDescent="0.25">
      <c r="A74" t="str">
        <f t="shared" si="4"/>
        <v>Jerry Jeudy</v>
      </c>
      <c r="B74" s="75">
        <f t="shared" si="5"/>
        <v>6</v>
      </c>
      <c r="C74" s="75">
        <f t="shared" si="6"/>
        <v>13</v>
      </c>
      <c r="D74" s="180">
        <f t="shared" si="7"/>
        <v>12</v>
      </c>
    </row>
    <row r="75" spans="1:4" x14ac:dyDescent="0.25">
      <c r="A75" t="str">
        <f t="shared" si="4"/>
        <v>Chase Edmonds</v>
      </c>
      <c r="B75" s="75">
        <f t="shared" si="5"/>
        <v>4</v>
      </c>
      <c r="C75" s="75">
        <f t="shared" si="6"/>
        <v>4</v>
      </c>
      <c r="D75" s="180">
        <f t="shared" si="7"/>
        <v>11</v>
      </c>
    </row>
    <row r="76" spans="1:4" x14ac:dyDescent="0.25">
      <c r="A76" t="str">
        <f t="shared" si="4"/>
        <v>Dallas Goedert</v>
      </c>
      <c r="B76" s="75">
        <f t="shared" si="5"/>
        <v>3</v>
      </c>
      <c r="C76" s="75">
        <f t="shared" si="6"/>
        <v>4</v>
      </c>
      <c r="D76" s="180">
        <f t="shared" si="7"/>
        <v>11</v>
      </c>
    </row>
    <row r="77" spans="1:4" x14ac:dyDescent="0.25">
      <c r="A77" t="str">
        <f t="shared" si="4"/>
        <v>Elijah Moore</v>
      </c>
      <c r="B77" s="75">
        <f t="shared" si="5"/>
        <v>3</v>
      </c>
      <c r="C77" s="75">
        <f t="shared" si="6"/>
        <v>3</v>
      </c>
      <c r="D77" s="180">
        <f t="shared" si="7"/>
        <v>11</v>
      </c>
    </row>
    <row r="78" spans="1:4" x14ac:dyDescent="0.25">
      <c r="A78" t="str">
        <f t="shared" si="4"/>
        <v>Melvin Gordon III</v>
      </c>
      <c r="B78" s="75">
        <f t="shared" si="5"/>
        <v>2</v>
      </c>
      <c r="C78" s="75">
        <f t="shared" si="6"/>
        <v>2</v>
      </c>
      <c r="D78" s="180">
        <f t="shared" si="7"/>
        <v>11</v>
      </c>
    </row>
    <row r="79" spans="1:4" x14ac:dyDescent="0.25">
      <c r="A79" t="str">
        <f t="shared" si="4"/>
        <v>Tyler Lockett</v>
      </c>
      <c r="B79" s="75">
        <f t="shared" si="5"/>
        <v>1</v>
      </c>
      <c r="C79" s="75">
        <f t="shared" si="6"/>
        <v>3</v>
      </c>
      <c r="D79" s="180">
        <f t="shared" si="7"/>
        <v>11</v>
      </c>
    </row>
    <row r="80" spans="1:4" x14ac:dyDescent="0.25">
      <c r="A80" t="str">
        <f t="shared" si="4"/>
        <v>Adam Thielen</v>
      </c>
      <c r="B80" s="75">
        <f t="shared" si="5"/>
        <v>3</v>
      </c>
      <c r="C80" s="75">
        <f t="shared" si="6"/>
        <v>7</v>
      </c>
      <c r="D80" s="180">
        <f t="shared" si="7"/>
        <v>10</v>
      </c>
    </row>
    <row r="81" spans="1:4" x14ac:dyDescent="0.25">
      <c r="A81" t="str">
        <f t="shared" si="4"/>
        <v>Chris Godwin</v>
      </c>
      <c r="B81" s="75">
        <f t="shared" si="5"/>
        <v>4</v>
      </c>
      <c r="C81" s="75">
        <f t="shared" si="6"/>
        <v>9</v>
      </c>
      <c r="D81" s="180">
        <f t="shared" si="7"/>
        <v>10</v>
      </c>
    </row>
    <row r="82" spans="1:4" x14ac:dyDescent="0.25">
      <c r="A82" t="str">
        <f t="shared" si="4"/>
        <v>Joe Burrow</v>
      </c>
      <c r="B82" s="75">
        <f t="shared" si="5"/>
        <v>6</v>
      </c>
      <c r="C82" s="75">
        <f t="shared" si="6"/>
        <v>7</v>
      </c>
      <c r="D82" s="180">
        <f t="shared" si="7"/>
        <v>10</v>
      </c>
    </row>
    <row r="83" spans="1:4" x14ac:dyDescent="0.25">
      <c r="A83" t="str">
        <f t="shared" si="4"/>
        <v>Kareem Hunt</v>
      </c>
      <c r="B83" s="75">
        <f t="shared" si="5"/>
        <v>4</v>
      </c>
      <c r="C83" s="75">
        <f t="shared" si="6"/>
        <v>5</v>
      </c>
      <c r="D83" s="180">
        <f t="shared" si="7"/>
        <v>10</v>
      </c>
    </row>
    <row r="84" spans="1:4" x14ac:dyDescent="0.25">
      <c r="A84" t="str">
        <f t="shared" si="4"/>
        <v>Marquise Brown</v>
      </c>
      <c r="B84" s="75">
        <f t="shared" si="5"/>
        <v>3</v>
      </c>
      <c r="C84" s="75">
        <f t="shared" si="6"/>
        <v>13</v>
      </c>
      <c r="D84" s="180">
        <f t="shared" si="7"/>
        <v>10</v>
      </c>
    </row>
    <row r="85" spans="1:4" x14ac:dyDescent="0.25">
      <c r="A85" t="str">
        <f t="shared" si="4"/>
        <v>Aaron Rodgers</v>
      </c>
      <c r="B85" s="75">
        <f t="shared" si="5"/>
        <v>2</v>
      </c>
      <c r="C85" s="75">
        <f t="shared" si="6"/>
        <v>7</v>
      </c>
      <c r="D85" s="180">
        <f t="shared" si="7"/>
        <v>9</v>
      </c>
    </row>
    <row r="86" spans="1:4" x14ac:dyDescent="0.25">
      <c r="A86" t="str">
        <f t="shared" si="4"/>
        <v>Amari Cooper</v>
      </c>
      <c r="B86" s="75">
        <f t="shared" si="5"/>
        <v>6</v>
      </c>
      <c r="C86" s="75">
        <f t="shared" si="6"/>
        <v>6</v>
      </c>
      <c r="D86" s="180">
        <f t="shared" si="7"/>
        <v>9</v>
      </c>
    </row>
    <row r="87" spans="1:4" x14ac:dyDescent="0.25">
      <c r="A87" t="str">
        <f t="shared" si="4"/>
        <v>Dameon Pierce</v>
      </c>
      <c r="B87" s="75">
        <f t="shared" si="5"/>
        <v>5</v>
      </c>
      <c r="C87" s="75">
        <f t="shared" si="6"/>
        <v>5</v>
      </c>
      <c r="D87" s="180">
        <f t="shared" si="7"/>
        <v>9</v>
      </c>
    </row>
    <row r="88" spans="1:4" x14ac:dyDescent="0.25">
      <c r="A88" t="str">
        <f t="shared" si="4"/>
        <v>JuJu Smith-Schuster</v>
      </c>
      <c r="B88" s="75">
        <f t="shared" si="5"/>
        <v>5</v>
      </c>
      <c r="C88" s="75">
        <f t="shared" si="6"/>
        <v>7</v>
      </c>
      <c r="D88" s="180">
        <f t="shared" si="7"/>
        <v>9</v>
      </c>
    </row>
    <row r="89" spans="1:4" x14ac:dyDescent="0.25">
      <c r="A89" t="str">
        <f t="shared" si="4"/>
        <v>Robert Woods</v>
      </c>
      <c r="B89" s="75">
        <f t="shared" si="5"/>
        <v>1</v>
      </c>
      <c r="C89" s="75">
        <f t="shared" si="6"/>
        <v>2</v>
      </c>
      <c r="D89" s="180">
        <f t="shared" si="7"/>
        <v>9</v>
      </c>
    </row>
    <row r="90" spans="1:4" x14ac:dyDescent="0.25">
      <c r="A90" t="str">
        <f t="shared" si="4"/>
        <v>Allen Robinson II</v>
      </c>
      <c r="B90" s="75">
        <f t="shared" si="5"/>
        <v>7</v>
      </c>
      <c r="C90" s="75">
        <f t="shared" si="6"/>
        <v>8</v>
      </c>
      <c r="D90" s="180">
        <f t="shared" si="7"/>
        <v>8</v>
      </c>
    </row>
    <row r="91" spans="1:4" x14ac:dyDescent="0.25">
      <c r="A91" t="str">
        <f t="shared" si="4"/>
        <v>Brian Robinson Jr.</v>
      </c>
      <c r="B91" s="75">
        <f t="shared" si="5"/>
        <v>3</v>
      </c>
      <c r="C91" s="75">
        <f t="shared" si="6"/>
        <v>0</v>
      </c>
      <c r="D91" s="180">
        <f t="shared" si="7"/>
        <v>8</v>
      </c>
    </row>
    <row r="92" spans="1:4" x14ac:dyDescent="0.25">
      <c r="A92" t="str">
        <f t="shared" si="4"/>
        <v>Hunter Renfrow</v>
      </c>
      <c r="B92" s="75">
        <f t="shared" si="5"/>
        <v>2</v>
      </c>
      <c r="C92" s="75">
        <f t="shared" si="6"/>
        <v>6</v>
      </c>
      <c r="D92" s="180">
        <f t="shared" si="7"/>
        <v>8</v>
      </c>
    </row>
    <row r="93" spans="1:4" x14ac:dyDescent="0.25">
      <c r="A93" t="str">
        <f t="shared" si="4"/>
        <v>James Robinson</v>
      </c>
      <c r="B93" s="75">
        <f t="shared" si="5"/>
        <v>1</v>
      </c>
      <c r="C93" s="75">
        <f t="shared" si="6"/>
        <v>2</v>
      </c>
      <c r="D93" s="180">
        <f t="shared" si="7"/>
        <v>8</v>
      </c>
    </row>
    <row r="94" spans="1:4" x14ac:dyDescent="0.25">
      <c r="A94" t="str">
        <f t="shared" si="4"/>
        <v>Matthew Stafford</v>
      </c>
      <c r="B94" s="75">
        <f t="shared" si="5"/>
        <v>2</v>
      </c>
      <c r="C94" s="75">
        <f t="shared" si="6"/>
        <v>4</v>
      </c>
      <c r="D94" s="180">
        <f t="shared" si="7"/>
        <v>8</v>
      </c>
    </row>
    <row r="95" spans="1:4" x14ac:dyDescent="0.25">
      <c r="A95" t="str">
        <f t="shared" si="4"/>
        <v>Trey Lance</v>
      </c>
      <c r="B95" s="75">
        <f t="shared" si="5"/>
        <v>2</v>
      </c>
      <c r="C95" s="75">
        <f t="shared" si="6"/>
        <v>4</v>
      </c>
      <c r="D95" s="180">
        <f t="shared" si="7"/>
        <v>8</v>
      </c>
    </row>
    <row r="96" spans="1:4" x14ac:dyDescent="0.25">
      <c r="A96" t="str">
        <f t="shared" si="4"/>
        <v>Darrell Henderson Jr.</v>
      </c>
      <c r="B96" s="75">
        <f t="shared" si="5"/>
        <v>1</v>
      </c>
      <c r="C96" s="75">
        <f t="shared" si="6"/>
        <v>1</v>
      </c>
      <c r="D96" s="180">
        <f t="shared" si="7"/>
        <v>7</v>
      </c>
    </row>
    <row r="97" spans="1:4" x14ac:dyDescent="0.25">
      <c r="A97" t="str">
        <f t="shared" si="4"/>
        <v>Hunter Henry</v>
      </c>
      <c r="B97" s="75">
        <f t="shared" si="5"/>
        <v>1</v>
      </c>
      <c r="C97" s="75">
        <f t="shared" si="6"/>
        <v>1</v>
      </c>
      <c r="D97" s="180">
        <f t="shared" si="7"/>
        <v>7</v>
      </c>
    </row>
    <row r="98" spans="1:4" x14ac:dyDescent="0.25">
      <c r="A98" t="str">
        <f t="shared" si="4"/>
        <v>James Cook</v>
      </c>
      <c r="B98" s="75">
        <f t="shared" si="5"/>
        <v>2</v>
      </c>
      <c r="C98" s="75">
        <f t="shared" si="6"/>
        <v>2</v>
      </c>
      <c r="D98" s="180">
        <f t="shared" si="7"/>
        <v>7</v>
      </c>
    </row>
    <row r="99" spans="1:4" x14ac:dyDescent="0.25">
      <c r="A99" t="str">
        <f t="shared" si="4"/>
        <v>Ken Walker III</v>
      </c>
      <c r="B99" s="75">
        <f t="shared" si="5"/>
        <v>2</v>
      </c>
      <c r="C99" s="75">
        <f t="shared" si="6"/>
        <v>2</v>
      </c>
      <c r="D99" s="180">
        <f t="shared" si="7"/>
        <v>7</v>
      </c>
    </row>
    <row r="100" spans="1:4" x14ac:dyDescent="0.25">
      <c r="A100" t="str">
        <f t="shared" si="4"/>
        <v>Michael Carter</v>
      </c>
      <c r="B100" s="75">
        <f t="shared" si="5"/>
        <v>1</v>
      </c>
      <c r="C100" s="75">
        <f t="shared" si="6"/>
        <v>1</v>
      </c>
      <c r="D100" s="180">
        <f t="shared" si="7"/>
        <v>7</v>
      </c>
    </row>
    <row r="101" spans="1:4" x14ac:dyDescent="0.25">
      <c r="A101" t="str">
        <f t="shared" si="4"/>
        <v>Rashod Bateman</v>
      </c>
      <c r="B101" s="75">
        <f t="shared" si="5"/>
        <v>3</v>
      </c>
      <c r="C101" s="75">
        <f t="shared" si="6"/>
        <v>5</v>
      </c>
      <c r="D101" s="180">
        <f t="shared" si="7"/>
        <v>7</v>
      </c>
    </row>
    <row r="102" spans="1:4" x14ac:dyDescent="0.25">
      <c r="A102" t="str">
        <f t="shared" si="4"/>
        <v>T.J. Hockenson</v>
      </c>
      <c r="B102" s="75">
        <f t="shared" si="5"/>
        <v>4</v>
      </c>
      <c r="C102" s="75">
        <f t="shared" si="6"/>
        <v>5</v>
      </c>
      <c r="D102" s="180">
        <f t="shared" si="7"/>
        <v>7</v>
      </c>
    </row>
    <row r="103" spans="1:4" x14ac:dyDescent="0.25">
      <c r="A103" t="str">
        <f t="shared" si="4"/>
        <v>Allen Lazard</v>
      </c>
      <c r="B103" s="75">
        <f t="shared" si="5"/>
        <v>2</v>
      </c>
      <c r="C103" s="75">
        <f t="shared" si="6"/>
        <v>4</v>
      </c>
      <c r="D103" s="180">
        <f t="shared" si="7"/>
        <v>6</v>
      </c>
    </row>
    <row r="104" spans="1:4" x14ac:dyDescent="0.25">
      <c r="A104" t="str">
        <f t="shared" si="4"/>
        <v>Brandon Aiyuk</v>
      </c>
      <c r="B104" s="75">
        <f t="shared" si="5"/>
        <v>2</v>
      </c>
      <c r="C104" s="75">
        <f t="shared" si="6"/>
        <v>3</v>
      </c>
      <c r="D104" s="180">
        <f t="shared" si="7"/>
        <v>6</v>
      </c>
    </row>
    <row r="105" spans="1:4" x14ac:dyDescent="0.25">
      <c r="A105" t="str">
        <f t="shared" si="4"/>
        <v>Chase Claypool</v>
      </c>
      <c r="B105" s="75">
        <f t="shared" si="5"/>
        <v>1</v>
      </c>
      <c r="C105" s="75">
        <f t="shared" si="6"/>
        <v>2</v>
      </c>
      <c r="D105" s="180">
        <f t="shared" si="7"/>
        <v>6</v>
      </c>
    </row>
    <row r="106" spans="1:4" x14ac:dyDescent="0.25">
      <c r="A106" t="str">
        <f t="shared" si="4"/>
        <v>Dawson Knox</v>
      </c>
      <c r="B106" s="75">
        <f t="shared" si="5"/>
        <v>2</v>
      </c>
      <c r="C106" s="75">
        <f t="shared" si="6"/>
        <v>2</v>
      </c>
      <c r="D106" s="180">
        <f t="shared" si="7"/>
        <v>6</v>
      </c>
    </row>
    <row r="107" spans="1:4" x14ac:dyDescent="0.25">
      <c r="A107" t="str">
        <f t="shared" si="4"/>
        <v>DeVonta Smith</v>
      </c>
      <c r="B107" s="75">
        <f t="shared" si="5"/>
        <v>1</v>
      </c>
      <c r="C107" s="75">
        <f t="shared" si="6"/>
        <v>4</v>
      </c>
      <c r="D107" s="180">
        <f t="shared" si="7"/>
        <v>6</v>
      </c>
    </row>
    <row r="108" spans="1:4" x14ac:dyDescent="0.25">
      <c r="A108" t="str">
        <f t="shared" si="4"/>
        <v>Jamaal Williams</v>
      </c>
      <c r="B108" s="75">
        <f t="shared" si="5"/>
        <v>1</v>
      </c>
      <c r="C108" s="75">
        <f t="shared" si="6"/>
        <v>1</v>
      </c>
      <c r="D108" s="180">
        <f t="shared" si="7"/>
        <v>6</v>
      </c>
    </row>
    <row r="109" spans="1:4" x14ac:dyDescent="0.25">
      <c r="A109" t="str">
        <f t="shared" si="4"/>
        <v>Raheem Mostert</v>
      </c>
      <c r="B109" s="75">
        <f t="shared" si="5"/>
        <v>1</v>
      </c>
      <c r="C109" s="75">
        <f t="shared" si="6"/>
        <v>1</v>
      </c>
      <c r="D109" s="180">
        <f t="shared" si="7"/>
        <v>6</v>
      </c>
    </row>
    <row r="110" spans="1:4" x14ac:dyDescent="0.25">
      <c r="A110" t="str">
        <f t="shared" si="4"/>
        <v>Russell Wilson</v>
      </c>
      <c r="B110" s="75">
        <f t="shared" si="5"/>
        <v>4</v>
      </c>
      <c r="C110" s="75">
        <f t="shared" si="6"/>
        <v>6</v>
      </c>
      <c r="D110" s="180">
        <f t="shared" si="7"/>
        <v>6</v>
      </c>
    </row>
    <row r="111" spans="1:4" x14ac:dyDescent="0.25">
      <c r="A111" t="str">
        <f t="shared" si="4"/>
        <v>Alexander Mattison</v>
      </c>
      <c r="B111" s="75">
        <f t="shared" si="5"/>
        <v>1</v>
      </c>
      <c r="C111" s="75">
        <f t="shared" si="6"/>
        <v>1</v>
      </c>
      <c r="D111" s="180">
        <f t="shared" si="7"/>
        <v>5</v>
      </c>
    </row>
    <row r="112" spans="1:4" x14ac:dyDescent="0.25">
      <c r="A112" t="str">
        <f t="shared" si="4"/>
        <v>Christian Kirk</v>
      </c>
      <c r="B112" s="75">
        <f t="shared" si="5"/>
        <v>1</v>
      </c>
      <c r="C112" s="75">
        <f t="shared" si="6"/>
        <v>3</v>
      </c>
      <c r="D112" s="180">
        <f t="shared" si="7"/>
        <v>5</v>
      </c>
    </row>
    <row r="113" spans="1:4" x14ac:dyDescent="0.25">
      <c r="A113" t="str">
        <f t="shared" si="4"/>
        <v>Derek Carr</v>
      </c>
      <c r="B113" s="75">
        <f t="shared" si="5"/>
        <v>1</v>
      </c>
      <c r="C113" s="75">
        <f t="shared" si="6"/>
        <v>3</v>
      </c>
      <c r="D113" s="180">
        <f t="shared" si="7"/>
        <v>5</v>
      </c>
    </row>
    <row r="114" spans="1:4" x14ac:dyDescent="0.25">
      <c r="A114" t="str">
        <f t="shared" si="4"/>
        <v>Drake London</v>
      </c>
      <c r="B114" s="75">
        <f t="shared" si="5"/>
        <v>1</v>
      </c>
      <c r="C114" s="75">
        <f t="shared" si="6"/>
        <v>4</v>
      </c>
      <c r="D114" s="180">
        <f t="shared" si="7"/>
        <v>5</v>
      </c>
    </row>
    <row r="115" spans="1:4" x14ac:dyDescent="0.25">
      <c r="A115" t="str">
        <f t="shared" si="4"/>
        <v>Kenneth Gainwell</v>
      </c>
      <c r="B115" s="75">
        <f t="shared" si="5"/>
        <v>1</v>
      </c>
      <c r="C115" s="75">
        <f t="shared" si="6"/>
        <v>0</v>
      </c>
      <c r="D115" s="180">
        <f t="shared" si="7"/>
        <v>5</v>
      </c>
    </row>
    <row r="116" spans="1:4" x14ac:dyDescent="0.25">
      <c r="A116" t="str">
        <f t="shared" si="4"/>
        <v>Kirk Cousins</v>
      </c>
      <c r="B116" s="75">
        <f t="shared" si="5"/>
        <v>1</v>
      </c>
      <c r="C116" s="75">
        <f t="shared" si="6"/>
        <v>2</v>
      </c>
      <c r="D116" s="180">
        <f t="shared" si="7"/>
        <v>5</v>
      </c>
    </row>
    <row r="117" spans="1:4" x14ac:dyDescent="0.25">
      <c r="A117" t="str">
        <f t="shared" si="4"/>
        <v>Mark Ingram II</v>
      </c>
      <c r="B117" s="75">
        <f t="shared" si="5"/>
        <v>1</v>
      </c>
      <c r="C117" s="75">
        <f t="shared" si="6"/>
        <v>0</v>
      </c>
      <c r="D117" s="180">
        <f t="shared" si="7"/>
        <v>5</v>
      </c>
    </row>
    <row r="118" spans="1:4" x14ac:dyDescent="0.25">
      <c r="A118" t="str">
        <f t="shared" si="4"/>
        <v>Zach Ertz</v>
      </c>
      <c r="B118" s="75">
        <f t="shared" si="5"/>
        <v>2</v>
      </c>
      <c r="C118" s="75">
        <f t="shared" si="6"/>
        <v>3</v>
      </c>
      <c r="D118" s="180">
        <f t="shared" si="7"/>
        <v>5</v>
      </c>
    </row>
    <row r="119" spans="1:4" x14ac:dyDescent="0.25">
      <c r="A119" t="str">
        <f t="shared" si="4"/>
        <v>Isaiah Spiller</v>
      </c>
      <c r="B119" s="75">
        <f t="shared" si="5"/>
        <v>1</v>
      </c>
      <c r="C119" s="75">
        <f t="shared" si="6"/>
        <v>0</v>
      </c>
      <c r="D119" s="180">
        <f t="shared" si="7"/>
        <v>4</v>
      </c>
    </row>
    <row r="120" spans="1:4" x14ac:dyDescent="0.25">
      <c r="A120" t="str">
        <f t="shared" si="4"/>
        <v>Marlon Mack</v>
      </c>
      <c r="B120" s="75">
        <f t="shared" si="5"/>
        <v>1</v>
      </c>
      <c r="C120" s="75">
        <f t="shared" si="6"/>
        <v>0</v>
      </c>
      <c r="D120" s="180">
        <f t="shared" si="7"/>
        <v>4</v>
      </c>
    </row>
    <row r="121" spans="1:4" x14ac:dyDescent="0.25">
      <c r="A121" t="str">
        <f t="shared" si="4"/>
        <v>Nyheim Hines</v>
      </c>
      <c r="B121" s="75">
        <f t="shared" si="5"/>
        <v>1</v>
      </c>
      <c r="C121" s="75">
        <f t="shared" si="6"/>
        <v>1</v>
      </c>
      <c r="D121" s="180">
        <f t="shared" si="7"/>
        <v>4</v>
      </c>
    </row>
    <row r="122" spans="1:4" x14ac:dyDescent="0.25">
      <c r="A122" t="str">
        <f t="shared" si="4"/>
        <v>Rachaad White</v>
      </c>
      <c r="B122" s="75">
        <f t="shared" si="5"/>
        <v>1</v>
      </c>
      <c r="C122" s="75">
        <f t="shared" si="6"/>
        <v>0</v>
      </c>
      <c r="D122" s="180">
        <f t="shared" si="7"/>
        <v>4</v>
      </c>
    </row>
    <row r="123" spans="1:4" x14ac:dyDescent="0.25">
      <c r="A123" t="str">
        <f t="shared" si="4"/>
        <v>Tyler Allgeier</v>
      </c>
      <c r="B123" s="75">
        <f t="shared" si="5"/>
        <v>1</v>
      </c>
      <c r="C123" s="75">
        <f t="shared" si="6"/>
        <v>0</v>
      </c>
      <c r="D123" s="180">
        <f t="shared" si="7"/>
        <v>4</v>
      </c>
    </row>
    <row r="124" spans="1:4" x14ac:dyDescent="0.25">
      <c r="A124" t="str">
        <f t="shared" si="4"/>
        <v>DeAndre Hopkins</v>
      </c>
      <c r="B124" s="75">
        <f t="shared" si="5"/>
        <v>5</v>
      </c>
      <c r="C124" s="75">
        <f t="shared" si="6"/>
        <v>4</v>
      </c>
      <c r="D124" s="180">
        <f t="shared" si="7"/>
        <v>3</v>
      </c>
    </row>
    <row r="125" spans="1:4" x14ac:dyDescent="0.25">
      <c r="A125" t="str">
        <f t="shared" si="4"/>
        <v>Gus Edwards</v>
      </c>
      <c r="B125" s="75">
        <f t="shared" si="5"/>
        <v>1</v>
      </c>
      <c r="C125" s="75">
        <f t="shared" si="6"/>
        <v>0</v>
      </c>
      <c r="D125" s="180">
        <f t="shared" si="7"/>
        <v>3</v>
      </c>
    </row>
    <row r="126" spans="1:4" x14ac:dyDescent="0.25">
      <c r="A126" t="str">
        <f t="shared" si="4"/>
        <v>J.D. McKissic</v>
      </c>
      <c r="B126" s="75">
        <f t="shared" si="5"/>
        <v>1</v>
      </c>
      <c r="C126" s="75">
        <f t="shared" si="6"/>
        <v>1</v>
      </c>
      <c r="D126" s="180">
        <f t="shared" si="7"/>
        <v>3</v>
      </c>
    </row>
    <row r="127" spans="1:4" x14ac:dyDescent="0.25">
      <c r="A127" t="str">
        <f t="shared" si="4"/>
        <v>Kadarius Toney</v>
      </c>
      <c r="B127" s="75">
        <f t="shared" si="5"/>
        <v>1</v>
      </c>
      <c r="C127" s="75">
        <f t="shared" si="6"/>
        <v>2</v>
      </c>
      <c r="D127" s="180">
        <f t="shared" si="7"/>
        <v>3</v>
      </c>
    </row>
    <row r="128" spans="1:4" x14ac:dyDescent="0.25">
      <c r="A128" t="str">
        <f t="shared" si="4"/>
        <v>Marquez Valdes-Scantling</v>
      </c>
      <c r="B128" s="75">
        <f t="shared" si="5"/>
        <v>1</v>
      </c>
      <c r="C128" s="75">
        <f t="shared" si="6"/>
        <v>1</v>
      </c>
      <c r="D128" s="180">
        <f t="shared" si="7"/>
        <v>3</v>
      </c>
    </row>
    <row r="129" spans="1:4" x14ac:dyDescent="0.25">
      <c r="A129" t="str">
        <f t="shared" si="4"/>
        <v>Mecole Hardman</v>
      </c>
      <c r="B129" s="75">
        <f t="shared" si="5"/>
        <v>1</v>
      </c>
      <c r="C129" s="75">
        <f t="shared" si="6"/>
        <v>0</v>
      </c>
      <c r="D129" s="180">
        <f t="shared" si="7"/>
        <v>3</v>
      </c>
    </row>
    <row r="130" spans="1:4" x14ac:dyDescent="0.25">
      <c r="A130" t="str">
        <f t="shared" ref="A130:A193" si="8">_xlfn.CONCAT(TRIM(H1244)," ",TRIM(I1244),IF(ISNUMBER(J1244),"",_xlfn.CONCAT(" ",TRIM(J1244))))</f>
        <v>Mike Gesicki</v>
      </c>
      <c r="B130" s="75">
        <f t="shared" ref="B130:B193" si="9">IF(ISNUMBER(J1244),J1244,K1244)</f>
        <v>1</v>
      </c>
      <c r="C130" s="75">
        <f t="shared" ref="C130:C193" si="10">IF(ISNUMBER(J1244),K1244,L1244)</f>
        <v>1</v>
      </c>
      <c r="D130" s="180">
        <f t="shared" ref="D130:D193" si="11">IF(ISNUMBER(J1244),L1244,M1244)</f>
        <v>3</v>
      </c>
    </row>
    <row r="131" spans="1:4" x14ac:dyDescent="0.25">
      <c r="A131" t="str">
        <f t="shared" si="8"/>
        <v>Rex Burkhead</v>
      </c>
      <c r="B131" s="75">
        <f t="shared" si="9"/>
        <v>0</v>
      </c>
      <c r="C131" s="75">
        <f t="shared" si="10"/>
        <v>0</v>
      </c>
      <c r="D131" s="180">
        <f t="shared" si="11"/>
        <v>3</v>
      </c>
    </row>
    <row r="132" spans="1:4" x14ac:dyDescent="0.25">
      <c r="A132" t="str">
        <f t="shared" si="8"/>
        <v>Treylon Burks</v>
      </c>
      <c r="B132" s="75">
        <f t="shared" si="9"/>
        <v>1</v>
      </c>
      <c r="C132" s="75">
        <f t="shared" si="10"/>
        <v>1</v>
      </c>
      <c r="D132" s="180">
        <f t="shared" si="11"/>
        <v>3</v>
      </c>
    </row>
    <row r="133" spans="1:4" x14ac:dyDescent="0.25">
      <c r="A133" t="str">
        <f t="shared" si="8"/>
        <v>Tua Tagovailoa</v>
      </c>
      <c r="B133" s="75">
        <f t="shared" si="9"/>
        <v>1</v>
      </c>
      <c r="C133" s="75">
        <f t="shared" si="10"/>
        <v>2</v>
      </c>
      <c r="D133" s="180">
        <f t="shared" si="11"/>
        <v>3</v>
      </c>
    </row>
    <row r="134" spans="1:4" x14ac:dyDescent="0.25">
      <c r="A134" t="str">
        <f t="shared" si="8"/>
        <v>Buffalo Bills</v>
      </c>
      <c r="B134" s="75">
        <f t="shared" si="9"/>
        <v>4</v>
      </c>
      <c r="C134" s="75">
        <f t="shared" si="10"/>
        <v>0</v>
      </c>
      <c r="D134" s="180">
        <f t="shared" si="11"/>
        <v>2</v>
      </c>
    </row>
    <row r="135" spans="1:4" x14ac:dyDescent="0.25">
      <c r="A135" t="str">
        <f t="shared" si="8"/>
        <v>Cole Kmet</v>
      </c>
      <c r="B135" s="75">
        <f t="shared" si="9"/>
        <v>1</v>
      </c>
      <c r="C135" s="75">
        <f t="shared" si="10"/>
        <v>1</v>
      </c>
      <c r="D135" s="180">
        <f t="shared" si="11"/>
        <v>2</v>
      </c>
    </row>
    <row r="136" spans="1:4" x14ac:dyDescent="0.25">
      <c r="A136" t="str">
        <f t="shared" si="8"/>
        <v>Darrel Williams</v>
      </c>
      <c r="B136" s="75">
        <f t="shared" si="9"/>
        <v>1</v>
      </c>
      <c r="C136" s="75">
        <f t="shared" si="10"/>
        <v>0</v>
      </c>
      <c r="D136" s="180">
        <f t="shared" si="11"/>
        <v>2</v>
      </c>
    </row>
    <row r="137" spans="1:4" x14ac:dyDescent="0.25">
      <c r="A137" t="str">
        <f t="shared" si="8"/>
        <v>David Njoku</v>
      </c>
      <c r="B137" s="75">
        <f t="shared" si="9"/>
        <v>1</v>
      </c>
      <c r="C137" s="75">
        <f t="shared" si="10"/>
        <v>1</v>
      </c>
      <c r="D137" s="180">
        <f t="shared" si="11"/>
        <v>2</v>
      </c>
    </row>
    <row r="138" spans="1:4" x14ac:dyDescent="0.25">
      <c r="A138" t="str">
        <f t="shared" si="8"/>
        <v>DeVante Parker</v>
      </c>
      <c r="B138" s="75">
        <f t="shared" si="9"/>
        <v>1</v>
      </c>
      <c r="C138" s="75">
        <f t="shared" si="10"/>
        <v>1</v>
      </c>
      <c r="D138" s="180">
        <f t="shared" si="11"/>
        <v>2</v>
      </c>
    </row>
    <row r="139" spans="1:4" x14ac:dyDescent="0.25">
      <c r="A139" t="str">
        <f t="shared" si="8"/>
        <v>Jakobi Meyers</v>
      </c>
      <c r="B139" s="75">
        <f t="shared" si="9"/>
        <v>1</v>
      </c>
      <c r="C139" s="75">
        <f t="shared" si="10"/>
        <v>1</v>
      </c>
      <c r="D139" s="180">
        <f t="shared" si="11"/>
        <v>2</v>
      </c>
    </row>
    <row r="140" spans="1:4" x14ac:dyDescent="0.25">
      <c r="A140" t="str">
        <f t="shared" si="8"/>
        <v>Kenny Golladay</v>
      </c>
      <c r="B140" s="75">
        <f t="shared" si="9"/>
        <v>1</v>
      </c>
      <c r="C140" s="75">
        <f t="shared" si="10"/>
        <v>1</v>
      </c>
      <c r="D140" s="180">
        <f t="shared" si="11"/>
        <v>2</v>
      </c>
    </row>
    <row r="141" spans="1:4" x14ac:dyDescent="0.25">
      <c r="A141" t="str">
        <f t="shared" si="8"/>
        <v>Khalil Herbert</v>
      </c>
      <c r="B141" s="75">
        <f t="shared" si="9"/>
        <v>1</v>
      </c>
      <c r="C141" s="75">
        <f t="shared" si="10"/>
        <v>0</v>
      </c>
      <c r="D141" s="180">
        <f t="shared" si="11"/>
        <v>2</v>
      </c>
    </row>
    <row r="142" spans="1:4" x14ac:dyDescent="0.25">
      <c r="A142" t="str">
        <f t="shared" si="8"/>
        <v>Noah Fant</v>
      </c>
      <c r="B142" s="75">
        <f t="shared" si="9"/>
        <v>1</v>
      </c>
      <c r="C142" s="75">
        <f t="shared" si="10"/>
        <v>1</v>
      </c>
      <c r="D142" s="180">
        <f t="shared" si="11"/>
        <v>2</v>
      </c>
    </row>
    <row r="143" spans="1:4" x14ac:dyDescent="0.25">
      <c r="A143" t="str">
        <f t="shared" si="8"/>
        <v>Pat Freiermuth</v>
      </c>
      <c r="B143" s="75">
        <f t="shared" si="9"/>
        <v>1</v>
      </c>
      <c r="C143" s="75">
        <f t="shared" si="10"/>
        <v>2</v>
      </c>
      <c r="D143" s="180">
        <f t="shared" si="11"/>
        <v>2</v>
      </c>
    </row>
    <row r="144" spans="1:4" x14ac:dyDescent="0.25">
      <c r="A144" t="str">
        <f t="shared" si="8"/>
        <v>Pittsburgh Steelers</v>
      </c>
      <c r="B144" s="75">
        <f t="shared" si="9"/>
        <v>1</v>
      </c>
      <c r="C144" s="75">
        <f t="shared" si="10"/>
        <v>0</v>
      </c>
      <c r="D144" s="180">
        <f t="shared" si="11"/>
        <v>2</v>
      </c>
    </row>
    <row r="145" spans="1:4" x14ac:dyDescent="0.25">
      <c r="A145" t="str">
        <f t="shared" si="8"/>
        <v>Russell Gage</v>
      </c>
      <c r="B145" s="75">
        <f t="shared" si="9"/>
        <v>1</v>
      </c>
      <c r="C145" s="75">
        <f t="shared" si="10"/>
        <v>1</v>
      </c>
      <c r="D145" s="180">
        <f t="shared" si="11"/>
        <v>2</v>
      </c>
    </row>
    <row r="146" spans="1:4" x14ac:dyDescent="0.25">
      <c r="A146" t="str">
        <f t="shared" si="8"/>
        <v>Ryan Tannehill</v>
      </c>
      <c r="B146" s="75">
        <f t="shared" si="9"/>
        <v>1</v>
      </c>
      <c r="C146" s="75">
        <f t="shared" si="10"/>
        <v>0</v>
      </c>
      <c r="D146" s="180">
        <f t="shared" si="11"/>
        <v>2</v>
      </c>
    </row>
    <row r="147" spans="1:4" x14ac:dyDescent="0.25">
      <c r="A147" t="str">
        <f t="shared" si="8"/>
        <v>Tampa Bay Buccaneers</v>
      </c>
      <c r="B147" s="75">
        <f t="shared" si="9"/>
        <v>1</v>
      </c>
      <c r="C147" s="75">
        <f t="shared" si="10"/>
        <v>0</v>
      </c>
      <c r="D147" s="180">
        <f t="shared" si="11"/>
        <v>2</v>
      </c>
    </row>
    <row r="148" spans="1:4" x14ac:dyDescent="0.25">
      <c r="A148" t="str">
        <f t="shared" si="8"/>
        <v>Tyler Higbee</v>
      </c>
      <c r="B148" s="75">
        <f t="shared" si="9"/>
        <v>1</v>
      </c>
      <c r="C148" s="75">
        <f t="shared" si="10"/>
        <v>1</v>
      </c>
      <c r="D148" s="180">
        <f t="shared" si="11"/>
        <v>2</v>
      </c>
    </row>
    <row r="149" spans="1:4" x14ac:dyDescent="0.25">
      <c r="A149" t="str">
        <f t="shared" si="8"/>
        <v>Zamir White</v>
      </c>
      <c r="B149" s="75">
        <f t="shared" si="9"/>
        <v>1</v>
      </c>
      <c r="C149" s="75">
        <f t="shared" si="10"/>
        <v>0</v>
      </c>
      <c r="D149" s="180">
        <f t="shared" si="11"/>
        <v>2</v>
      </c>
    </row>
    <row r="150" spans="1:4" x14ac:dyDescent="0.25">
      <c r="A150" t="str">
        <f t="shared" si="8"/>
        <v>Brett Maher</v>
      </c>
      <c r="B150" s="75">
        <f t="shared" si="9"/>
        <v>0</v>
      </c>
      <c r="C150" s="75">
        <f t="shared" si="10"/>
        <v>0</v>
      </c>
      <c r="D150" s="180">
        <f t="shared" si="11"/>
        <v>1</v>
      </c>
    </row>
    <row r="151" spans="1:4" x14ac:dyDescent="0.25">
      <c r="A151" t="str">
        <f t="shared" si="8"/>
        <v>Chris Olave</v>
      </c>
      <c r="B151" s="75">
        <f t="shared" si="9"/>
        <v>1</v>
      </c>
      <c r="C151" s="75">
        <f t="shared" si="10"/>
        <v>2</v>
      </c>
      <c r="D151" s="180">
        <f t="shared" si="11"/>
        <v>1</v>
      </c>
    </row>
    <row r="152" spans="1:4" x14ac:dyDescent="0.25">
      <c r="A152" t="str">
        <f t="shared" si="8"/>
        <v>D'Onta Foreman</v>
      </c>
      <c r="B152" s="75">
        <f t="shared" si="9"/>
        <v>1</v>
      </c>
      <c r="C152" s="75">
        <f t="shared" si="10"/>
        <v>0</v>
      </c>
      <c r="D152" s="180">
        <f t="shared" si="11"/>
        <v>1</v>
      </c>
    </row>
    <row r="153" spans="1:4" x14ac:dyDescent="0.25">
      <c r="A153" t="str">
        <f t="shared" si="8"/>
        <v>Dallas Cowboys</v>
      </c>
      <c r="B153" s="75">
        <f t="shared" si="9"/>
        <v>1</v>
      </c>
      <c r="C153" s="75">
        <f t="shared" si="10"/>
        <v>0</v>
      </c>
      <c r="D153" s="180">
        <f t="shared" si="11"/>
        <v>1</v>
      </c>
    </row>
    <row r="154" spans="1:4" x14ac:dyDescent="0.25">
      <c r="A154" t="str">
        <f t="shared" si="8"/>
        <v>Daniel Carlson</v>
      </c>
      <c r="B154" s="75">
        <f t="shared" si="9"/>
        <v>1</v>
      </c>
      <c r="C154" s="75">
        <f t="shared" si="10"/>
        <v>1</v>
      </c>
      <c r="D154" s="180">
        <f t="shared" si="11"/>
        <v>1</v>
      </c>
    </row>
    <row r="155" spans="1:4" x14ac:dyDescent="0.25">
      <c r="A155" t="str">
        <f t="shared" si="8"/>
        <v>Evan McPherson</v>
      </c>
      <c r="B155" s="75">
        <f t="shared" si="9"/>
        <v>2</v>
      </c>
      <c r="C155" s="75">
        <f t="shared" si="10"/>
        <v>2</v>
      </c>
      <c r="D155" s="180">
        <f t="shared" si="11"/>
        <v>1</v>
      </c>
    </row>
    <row r="156" spans="1:4" x14ac:dyDescent="0.25">
      <c r="A156" t="str">
        <f t="shared" si="8"/>
        <v>Gerald Everett</v>
      </c>
      <c r="B156" s="75">
        <f t="shared" si="9"/>
        <v>1</v>
      </c>
      <c r="C156" s="75">
        <f t="shared" si="10"/>
        <v>0</v>
      </c>
      <c r="D156" s="180">
        <f t="shared" si="11"/>
        <v>1</v>
      </c>
    </row>
    <row r="157" spans="1:4" x14ac:dyDescent="0.25">
      <c r="A157" t="str">
        <f t="shared" si="8"/>
        <v>Green Bay Packers</v>
      </c>
      <c r="B157" s="75">
        <f t="shared" si="9"/>
        <v>1</v>
      </c>
      <c r="C157" s="75">
        <f t="shared" si="10"/>
        <v>0</v>
      </c>
      <c r="D157" s="180">
        <f t="shared" si="11"/>
        <v>1</v>
      </c>
    </row>
    <row r="158" spans="1:4" x14ac:dyDescent="0.25">
      <c r="A158" t="str">
        <f t="shared" si="8"/>
        <v>Greg Joseph</v>
      </c>
      <c r="B158" s="75">
        <f t="shared" si="9"/>
        <v>1</v>
      </c>
      <c r="C158" s="75">
        <f t="shared" si="10"/>
        <v>0</v>
      </c>
      <c r="D158" s="180">
        <f t="shared" si="11"/>
        <v>1</v>
      </c>
    </row>
    <row r="159" spans="1:4" x14ac:dyDescent="0.25">
      <c r="A159" t="str">
        <f t="shared" si="8"/>
        <v>Harrison Butker</v>
      </c>
      <c r="B159" s="75">
        <f t="shared" si="9"/>
        <v>1</v>
      </c>
      <c r="C159" s="75">
        <f t="shared" si="10"/>
        <v>2</v>
      </c>
      <c r="D159" s="180">
        <f t="shared" si="11"/>
        <v>1</v>
      </c>
    </row>
    <row r="160" spans="1:4" x14ac:dyDescent="0.25">
      <c r="A160" t="str">
        <f t="shared" si="8"/>
        <v>Indianapolis Colts</v>
      </c>
      <c r="B160" s="75">
        <f t="shared" si="9"/>
        <v>1</v>
      </c>
      <c r="C160" s="75">
        <f t="shared" si="10"/>
        <v>0</v>
      </c>
      <c r="D160" s="180">
        <f t="shared" si="11"/>
        <v>1</v>
      </c>
    </row>
    <row r="161" spans="1:4" x14ac:dyDescent="0.25">
      <c r="A161" t="str">
        <f t="shared" si="8"/>
        <v>Irv Smith Jr.</v>
      </c>
      <c r="B161" s="75">
        <f t="shared" si="9"/>
        <v>1</v>
      </c>
      <c r="C161" s="75">
        <f t="shared" si="10"/>
        <v>1</v>
      </c>
      <c r="D161" s="180">
        <f t="shared" si="11"/>
        <v>1</v>
      </c>
    </row>
    <row r="162" spans="1:4" x14ac:dyDescent="0.25">
      <c r="A162" t="str">
        <f t="shared" si="8"/>
        <v>Jarvis Landry</v>
      </c>
      <c r="B162" s="75">
        <f t="shared" si="9"/>
        <v>1</v>
      </c>
      <c r="C162" s="75">
        <f t="shared" si="10"/>
        <v>1</v>
      </c>
      <c r="D162" s="180">
        <f t="shared" si="11"/>
        <v>1</v>
      </c>
    </row>
    <row r="163" spans="1:4" x14ac:dyDescent="0.25">
      <c r="A163" t="str">
        <f t="shared" si="8"/>
        <v>Justin Fields</v>
      </c>
      <c r="B163" s="75">
        <f t="shared" si="9"/>
        <v>1</v>
      </c>
      <c r="C163" s="75">
        <f t="shared" si="10"/>
        <v>1</v>
      </c>
      <c r="D163" s="180">
        <f t="shared" si="11"/>
        <v>1</v>
      </c>
    </row>
    <row r="164" spans="1:4" x14ac:dyDescent="0.25">
      <c r="A164" t="str">
        <f t="shared" si="8"/>
        <v>Justin Tucker</v>
      </c>
      <c r="B164" s="75">
        <f t="shared" si="9"/>
        <v>3</v>
      </c>
      <c r="C164" s="75">
        <f t="shared" si="10"/>
        <v>4</v>
      </c>
      <c r="D164" s="180">
        <f t="shared" si="11"/>
        <v>1</v>
      </c>
    </row>
    <row r="165" spans="1:4" x14ac:dyDescent="0.25">
      <c r="A165" t="str">
        <f t="shared" si="8"/>
        <v>Los Angeles Chargers</v>
      </c>
      <c r="B165" s="75">
        <f t="shared" si="9"/>
        <v>1</v>
      </c>
      <c r="C165" s="75">
        <f t="shared" si="10"/>
        <v>0</v>
      </c>
      <c r="D165" s="180">
        <f t="shared" si="11"/>
        <v>1</v>
      </c>
    </row>
    <row r="166" spans="1:4" x14ac:dyDescent="0.25">
      <c r="A166" t="str">
        <f t="shared" si="8"/>
        <v>Los Angeles Rams</v>
      </c>
      <c r="B166" s="75">
        <f t="shared" si="9"/>
        <v>0</v>
      </c>
      <c r="C166" s="75">
        <f t="shared" si="10"/>
        <v>0</v>
      </c>
      <c r="D166" s="180">
        <f t="shared" si="11"/>
        <v>1</v>
      </c>
    </row>
    <row r="167" spans="1:4" x14ac:dyDescent="0.25">
      <c r="A167" t="str">
        <f t="shared" si="8"/>
        <v>Mason Crosby</v>
      </c>
      <c r="B167" s="75">
        <f t="shared" si="9"/>
        <v>0</v>
      </c>
      <c r="C167" s="75">
        <f t="shared" si="10"/>
        <v>0</v>
      </c>
      <c r="D167" s="180">
        <f t="shared" si="11"/>
        <v>1</v>
      </c>
    </row>
    <row r="168" spans="1:4" x14ac:dyDescent="0.25">
      <c r="A168" t="str">
        <f t="shared" si="8"/>
        <v>Matt Gay</v>
      </c>
      <c r="B168" s="75">
        <f t="shared" si="9"/>
        <v>1</v>
      </c>
      <c r="C168" s="75">
        <f t="shared" si="10"/>
        <v>2</v>
      </c>
      <c r="D168" s="180">
        <f t="shared" si="11"/>
        <v>1</v>
      </c>
    </row>
    <row r="169" spans="1:4" x14ac:dyDescent="0.25">
      <c r="A169" t="str">
        <f t="shared" si="8"/>
        <v>Matt Prater</v>
      </c>
      <c r="B169" s="75">
        <f t="shared" si="9"/>
        <v>1</v>
      </c>
      <c r="C169" s="75">
        <f t="shared" si="10"/>
        <v>1</v>
      </c>
      <c r="D169" s="180">
        <f t="shared" si="11"/>
        <v>1</v>
      </c>
    </row>
    <row r="170" spans="1:4" x14ac:dyDescent="0.25">
      <c r="A170" t="str">
        <f t="shared" si="8"/>
        <v>Miami Dolphins</v>
      </c>
      <c r="B170" s="75">
        <f t="shared" si="9"/>
        <v>1</v>
      </c>
      <c r="C170" s="75">
        <f t="shared" si="10"/>
        <v>0</v>
      </c>
      <c r="D170" s="180">
        <f t="shared" si="11"/>
        <v>1</v>
      </c>
    </row>
    <row r="171" spans="1:4" x14ac:dyDescent="0.25">
      <c r="A171" t="str">
        <f t="shared" si="8"/>
        <v>Michael Gallup</v>
      </c>
      <c r="B171" s="75">
        <f t="shared" si="9"/>
        <v>1</v>
      </c>
      <c r="C171" s="75">
        <f t="shared" si="10"/>
        <v>0</v>
      </c>
      <c r="D171" s="180">
        <f t="shared" si="11"/>
        <v>1</v>
      </c>
    </row>
    <row r="172" spans="1:4" x14ac:dyDescent="0.25">
      <c r="A172" t="str">
        <f t="shared" si="8"/>
        <v>Minnesota Vikings</v>
      </c>
      <c r="B172" s="75">
        <f t="shared" si="9"/>
        <v>1</v>
      </c>
      <c r="C172" s="75">
        <f t="shared" si="10"/>
        <v>0</v>
      </c>
      <c r="D172" s="180">
        <f t="shared" si="11"/>
        <v>1</v>
      </c>
    </row>
    <row r="173" spans="1:4" x14ac:dyDescent="0.25">
      <c r="A173" t="str">
        <f t="shared" si="8"/>
        <v>New Orleans Saints</v>
      </c>
      <c r="B173" s="75">
        <f t="shared" si="9"/>
        <v>1</v>
      </c>
      <c r="C173" s="75">
        <f t="shared" si="10"/>
        <v>0</v>
      </c>
      <c r="D173" s="180">
        <f t="shared" si="11"/>
        <v>1</v>
      </c>
    </row>
    <row r="174" spans="1:4" x14ac:dyDescent="0.25">
      <c r="A174" t="str">
        <f t="shared" si="8"/>
        <v>Nick Folk</v>
      </c>
      <c r="B174" s="75">
        <f t="shared" si="9"/>
        <v>1</v>
      </c>
      <c r="C174" s="75">
        <f t="shared" si="10"/>
        <v>1</v>
      </c>
      <c r="D174" s="180">
        <f t="shared" si="11"/>
        <v>1</v>
      </c>
    </row>
    <row r="175" spans="1:4" x14ac:dyDescent="0.25">
      <c r="A175" t="str">
        <f t="shared" si="8"/>
        <v>Robbie Anderson</v>
      </c>
      <c r="B175" s="75">
        <f t="shared" si="9"/>
        <v>0</v>
      </c>
      <c r="C175" s="75">
        <f t="shared" si="10"/>
        <v>1</v>
      </c>
      <c r="D175" s="180">
        <f t="shared" si="11"/>
        <v>1</v>
      </c>
    </row>
    <row r="176" spans="1:4" x14ac:dyDescent="0.25">
      <c r="A176" t="str">
        <f t="shared" si="8"/>
        <v>Ryan Succop</v>
      </c>
      <c r="B176" s="75">
        <f t="shared" si="9"/>
        <v>1</v>
      </c>
      <c r="C176" s="75">
        <f t="shared" si="10"/>
        <v>0</v>
      </c>
      <c r="D176" s="180">
        <f t="shared" si="11"/>
        <v>1</v>
      </c>
    </row>
    <row r="177" spans="1:4" x14ac:dyDescent="0.25">
      <c r="A177" t="str">
        <f t="shared" si="8"/>
        <v>San Francisco 49ers</v>
      </c>
      <c r="B177" s="75">
        <f t="shared" si="9"/>
        <v>2</v>
      </c>
      <c r="C177" s="75">
        <f t="shared" si="10"/>
        <v>0</v>
      </c>
      <c r="D177" s="180">
        <f t="shared" si="11"/>
        <v>1</v>
      </c>
    </row>
    <row r="178" spans="1:4" x14ac:dyDescent="0.25">
      <c r="A178" t="str">
        <f t="shared" si="8"/>
        <v>Trevor Lawrence</v>
      </c>
      <c r="B178" s="75">
        <f t="shared" si="9"/>
        <v>1</v>
      </c>
      <c r="C178" s="75">
        <f t="shared" si="10"/>
        <v>2</v>
      </c>
      <c r="D178" s="180">
        <f t="shared" si="11"/>
        <v>1</v>
      </c>
    </row>
    <row r="179" spans="1:4" x14ac:dyDescent="0.25">
      <c r="A179" t="str">
        <f t="shared" si="8"/>
        <v>Tyler Bass</v>
      </c>
      <c r="B179" s="75">
        <f t="shared" si="9"/>
        <v>1</v>
      </c>
      <c r="C179" s="75">
        <f t="shared" si="10"/>
        <v>1</v>
      </c>
      <c r="D179" s="180">
        <f t="shared" si="11"/>
        <v>1</v>
      </c>
    </row>
    <row r="180" spans="1:4" x14ac:dyDescent="0.25">
      <c r="A180" t="str">
        <f t="shared" si="8"/>
        <v>Tyler Boyd</v>
      </c>
      <c r="B180" s="75">
        <f t="shared" si="9"/>
        <v>1</v>
      </c>
      <c r="C180" s="75">
        <f t="shared" si="10"/>
        <v>1</v>
      </c>
      <c r="D180" s="180">
        <f t="shared" si="11"/>
        <v>1</v>
      </c>
    </row>
    <row r="181" spans="1:4" x14ac:dyDescent="0.25">
      <c r="A181" t="str">
        <f t="shared" si="8"/>
        <v>A.J. Green</v>
      </c>
      <c r="B181" s="75">
        <f t="shared" si="9"/>
        <v>0</v>
      </c>
      <c r="C181" s="75">
        <f t="shared" si="10"/>
        <v>0</v>
      </c>
      <c r="D181" s="180">
        <f t="shared" si="11"/>
        <v>0</v>
      </c>
    </row>
    <row r="182" spans="1:4" x14ac:dyDescent="0.25">
      <c r="A182" t="str">
        <f t="shared" si="8"/>
        <v>Adam Trautman</v>
      </c>
      <c r="B182" s="75">
        <f t="shared" si="9"/>
        <v>0</v>
      </c>
      <c r="C182" s="75">
        <f t="shared" si="10"/>
        <v>0</v>
      </c>
      <c r="D182" s="180">
        <f t="shared" si="11"/>
        <v>0</v>
      </c>
    </row>
    <row r="183" spans="1:4" x14ac:dyDescent="0.25">
      <c r="A183" t="str">
        <f t="shared" si="8"/>
        <v>Albert Okwuegbunam</v>
      </c>
      <c r="B183" s="75">
        <f t="shared" si="9"/>
        <v>1</v>
      </c>
      <c r="C183" s="75">
        <f t="shared" si="10"/>
        <v>0</v>
      </c>
      <c r="D183" s="180">
        <f t="shared" si="11"/>
        <v>0</v>
      </c>
    </row>
    <row r="184" spans="1:4" x14ac:dyDescent="0.25">
      <c r="A184" t="str">
        <f t="shared" si="8"/>
        <v>Alec Pierce</v>
      </c>
      <c r="B184" s="75">
        <f t="shared" si="9"/>
        <v>0</v>
      </c>
      <c r="C184" s="75">
        <f t="shared" si="10"/>
        <v>0</v>
      </c>
      <c r="D184" s="180">
        <f t="shared" si="11"/>
        <v>0</v>
      </c>
    </row>
    <row r="185" spans="1:4" x14ac:dyDescent="0.25">
      <c r="A185" t="str">
        <f t="shared" si="8"/>
        <v>Ameer Abdullah</v>
      </c>
      <c r="B185" s="75">
        <f t="shared" si="9"/>
        <v>0</v>
      </c>
      <c r="C185" s="75">
        <f t="shared" si="10"/>
        <v>0</v>
      </c>
      <c r="D185" s="180">
        <f t="shared" si="11"/>
        <v>0</v>
      </c>
    </row>
    <row r="186" spans="1:4" x14ac:dyDescent="0.25">
      <c r="A186" t="str">
        <f t="shared" si="8"/>
        <v>Arizona Cardinals</v>
      </c>
      <c r="B186" s="75">
        <f t="shared" si="9"/>
        <v>0</v>
      </c>
      <c r="C186" s="75">
        <f t="shared" si="10"/>
        <v>0</v>
      </c>
      <c r="D186" s="180">
        <f t="shared" si="11"/>
        <v>0</v>
      </c>
    </row>
    <row r="187" spans="1:4" x14ac:dyDescent="0.25">
      <c r="A187" t="str">
        <f t="shared" si="8"/>
        <v>Atlanta Falcons</v>
      </c>
      <c r="B187" s="75">
        <f t="shared" si="9"/>
        <v>0</v>
      </c>
      <c r="C187" s="75">
        <f t="shared" si="10"/>
        <v>0</v>
      </c>
      <c r="D187" s="180">
        <f t="shared" si="11"/>
        <v>0</v>
      </c>
    </row>
    <row r="188" spans="1:4" x14ac:dyDescent="0.25">
      <c r="A188" t="str">
        <f t="shared" si="8"/>
        <v>Austin Hooper</v>
      </c>
      <c r="B188" s="75">
        <f t="shared" si="9"/>
        <v>1</v>
      </c>
      <c r="C188" s="75">
        <f t="shared" si="10"/>
        <v>0</v>
      </c>
      <c r="D188" s="180">
        <f t="shared" si="11"/>
        <v>0</v>
      </c>
    </row>
    <row r="189" spans="1:4" x14ac:dyDescent="0.25">
      <c r="A189" t="str">
        <f t="shared" si="8"/>
        <v>Austin Seibert</v>
      </c>
      <c r="B189" s="75">
        <f t="shared" si="9"/>
        <v>0</v>
      </c>
      <c r="C189" s="75">
        <f t="shared" si="10"/>
        <v>0</v>
      </c>
      <c r="D189" s="180">
        <f t="shared" si="11"/>
        <v>0</v>
      </c>
    </row>
    <row r="190" spans="1:4" x14ac:dyDescent="0.25">
      <c r="A190" t="str">
        <f t="shared" si="8"/>
        <v>Baker Mayfield</v>
      </c>
      <c r="B190" s="75">
        <f t="shared" si="9"/>
        <v>1</v>
      </c>
      <c r="C190" s="75">
        <f t="shared" si="10"/>
        <v>1</v>
      </c>
      <c r="D190" s="180">
        <f t="shared" si="11"/>
        <v>0</v>
      </c>
    </row>
    <row r="191" spans="1:4" x14ac:dyDescent="0.25">
      <c r="A191" t="str">
        <f t="shared" si="8"/>
        <v>Baltimore Ravens</v>
      </c>
      <c r="B191" s="75">
        <f t="shared" si="9"/>
        <v>1</v>
      </c>
      <c r="C191" s="75">
        <f t="shared" si="10"/>
        <v>0</v>
      </c>
      <c r="D191" s="180">
        <f t="shared" si="11"/>
        <v>0</v>
      </c>
    </row>
    <row r="192" spans="1:4" x14ac:dyDescent="0.25">
      <c r="A192" t="str">
        <f t="shared" si="8"/>
        <v>Boston Scott</v>
      </c>
      <c r="B192" s="75">
        <f t="shared" si="9"/>
        <v>0</v>
      </c>
      <c r="C192" s="75">
        <f t="shared" si="10"/>
        <v>0</v>
      </c>
      <c r="D192" s="180">
        <f t="shared" si="11"/>
        <v>0</v>
      </c>
    </row>
    <row r="193" spans="1:4" x14ac:dyDescent="0.25">
      <c r="A193" t="str">
        <f t="shared" si="8"/>
        <v>Brandon Bolden</v>
      </c>
      <c r="B193" s="75">
        <f t="shared" si="9"/>
        <v>0</v>
      </c>
      <c r="C193" s="75">
        <f t="shared" si="10"/>
        <v>0</v>
      </c>
      <c r="D193" s="180">
        <f t="shared" si="11"/>
        <v>0</v>
      </c>
    </row>
    <row r="194" spans="1:4" x14ac:dyDescent="0.25">
      <c r="A194" t="str">
        <f t="shared" ref="A194:A257" si="12">_xlfn.CONCAT(TRIM(H1308)," ",TRIM(I1308),IF(ISNUMBER(J1308),"",_xlfn.CONCAT(" ",TRIM(J1308))))</f>
        <v>Brandon McManus</v>
      </c>
      <c r="B194" s="75">
        <f t="shared" ref="B194:B257" si="13">IF(ISNUMBER(J1308),J1308,K1308)</f>
        <v>1</v>
      </c>
      <c r="C194" s="75">
        <f t="shared" ref="C194:C257" si="14">IF(ISNUMBER(J1308),K1308,L1308)</f>
        <v>1</v>
      </c>
      <c r="D194" s="180">
        <f t="shared" ref="D194:D257" si="15">IF(ISNUMBER(J1308),L1308,M1308)</f>
        <v>0</v>
      </c>
    </row>
    <row r="195" spans="1:4" x14ac:dyDescent="0.25">
      <c r="A195" t="str">
        <f t="shared" si="12"/>
        <v>Braxton Berrios</v>
      </c>
      <c r="B195" s="75">
        <f t="shared" si="13"/>
        <v>0</v>
      </c>
      <c r="C195" s="75">
        <f t="shared" si="14"/>
        <v>0</v>
      </c>
      <c r="D195" s="180">
        <f t="shared" si="15"/>
        <v>0</v>
      </c>
    </row>
    <row r="196" spans="1:4" x14ac:dyDescent="0.25">
      <c r="A196" t="str">
        <f t="shared" si="12"/>
        <v>Brevin Jordan</v>
      </c>
      <c r="B196" s="75">
        <f t="shared" si="13"/>
        <v>0</v>
      </c>
      <c r="C196" s="75">
        <f t="shared" si="14"/>
        <v>0</v>
      </c>
      <c r="D196" s="180">
        <f t="shared" si="15"/>
        <v>0</v>
      </c>
    </row>
    <row r="197" spans="1:4" x14ac:dyDescent="0.25">
      <c r="A197" t="str">
        <f t="shared" si="12"/>
        <v>Bryan Edwards</v>
      </c>
      <c r="B197" s="75">
        <f t="shared" si="13"/>
        <v>0</v>
      </c>
      <c r="C197" s="75">
        <f t="shared" si="14"/>
        <v>0</v>
      </c>
      <c r="D197" s="180">
        <f t="shared" si="15"/>
        <v>0</v>
      </c>
    </row>
    <row r="198" spans="1:4" x14ac:dyDescent="0.25">
      <c r="A198" t="str">
        <f t="shared" si="12"/>
        <v>Byron Pringle</v>
      </c>
      <c r="B198" s="75">
        <f t="shared" si="13"/>
        <v>0</v>
      </c>
      <c r="C198" s="75">
        <f t="shared" si="14"/>
        <v>0</v>
      </c>
      <c r="D198" s="180">
        <f t="shared" si="15"/>
        <v>0</v>
      </c>
    </row>
    <row r="199" spans="1:4" x14ac:dyDescent="0.25">
      <c r="A199" t="str">
        <f t="shared" si="12"/>
        <v>C.J. Uzomah</v>
      </c>
      <c r="B199" s="75">
        <f t="shared" si="13"/>
        <v>0</v>
      </c>
      <c r="C199" s="75">
        <f t="shared" si="14"/>
        <v>0</v>
      </c>
      <c r="D199" s="180">
        <f t="shared" si="15"/>
        <v>0</v>
      </c>
    </row>
    <row r="200" spans="1:4" x14ac:dyDescent="0.25">
      <c r="A200" t="str">
        <f t="shared" si="12"/>
        <v>Cairo Santos</v>
      </c>
      <c r="B200" s="75">
        <f t="shared" si="13"/>
        <v>0</v>
      </c>
      <c r="C200" s="75">
        <f t="shared" si="14"/>
        <v>0</v>
      </c>
      <c r="D200" s="180">
        <f t="shared" si="15"/>
        <v>0</v>
      </c>
    </row>
    <row r="201" spans="1:4" x14ac:dyDescent="0.25">
      <c r="A201" t="str">
        <f t="shared" si="12"/>
        <v>Cameron Brate</v>
      </c>
      <c r="B201" s="75">
        <f t="shared" si="13"/>
        <v>1</v>
      </c>
      <c r="C201" s="75">
        <f t="shared" si="14"/>
        <v>0</v>
      </c>
      <c r="D201" s="180">
        <f t="shared" si="15"/>
        <v>0</v>
      </c>
    </row>
    <row r="202" spans="1:4" x14ac:dyDescent="0.25">
      <c r="A202" t="str">
        <f t="shared" si="12"/>
        <v>Carolina Panthers</v>
      </c>
      <c r="B202" s="75">
        <f t="shared" si="13"/>
        <v>0</v>
      </c>
      <c r="C202" s="75">
        <f t="shared" si="14"/>
        <v>0</v>
      </c>
      <c r="D202" s="180">
        <f t="shared" si="15"/>
        <v>0</v>
      </c>
    </row>
    <row r="203" spans="1:4" x14ac:dyDescent="0.25">
      <c r="A203" t="str">
        <f t="shared" si="12"/>
        <v>Carson Wentz</v>
      </c>
      <c r="B203" s="75">
        <f t="shared" si="13"/>
        <v>1</v>
      </c>
      <c r="C203" s="75">
        <f t="shared" si="14"/>
        <v>0</v>
      </c>
      <c r="D203" s="180">
        <f t="shared" si="15"/>
        <v>0</v>
      </c>
    </row>
    <row r="204" spans="1:4" x14ac:dyDescent="0.25">
      <c r="A204" t="str">
        <f t="shared" si="12"/>
        <v>Cedrick Wilson Jr.</v>
      </c>
      <c r="B204" s="75">
        <f t="shared" si="13"/>
        <v>0</v>
      </c>
      <c r="C204" s="75">
        <f t="shared" si="14"/>
        <v>0</v>
      </c>
      <c r="D204" s="180">
        <f t="shared" si="15"/>
        <v>0</v>
      </c>
    </row>
    <row r="205" spans="1:4" x14ac:dyDescent="0.25">
      <c r="A205" t="str">
        <f t="shared" si="12"/>
        <v>Chicago Bears</v>
      </c>
      <c r="B205" s="75">
        <f t="shared" si="13"/>
        <v>1</v>
      </c>
      <c r="C205" s="75">
        <f t="shared" si="14"/>
        <v>0</v>
      </c>
      <c r="D205" s="180">
        <f t="shared" si="15"/>
        <v>0</v>
      </c>
    </row>
    <row r="206" spans="1:4" x14ac:dyDescent="0.25">
      <c r="A206" t="str">
        <f t="shared" si="12"/>
        <v>Chris Boswell</v>
      </c>
      <c r="B206" s="75">
        <f t="shared" si="13"/>
        <v>1</v>
      </c>
      <c r="C206" s="75">
        <f t="shared" si="14"/>
        <v>0</v>
      </c>
      <c r="D206" s="180">
        <f t="shared" si="15"/>
        <v>0</v>
      </c>
    </row>
    <row r="207" spans="1:4" x14ac:dyDescent="0.25">
      <c r="A207" t="str">
        <f t="shared" si="12"/>
        <v>Chris Conley</v>
      </c>
      <c r="B207" s="75">
        <f t="shared" si="13"/>
        <v>0</v>
      </c>
      <c r="C207" s="75">
        <f t="shared" si="14"/>
        <v>0</v>
      </c>
      <c r="D207" s="180">
        <f t="shared" si="15"/>
        <v>0</v>
      </c>
    </row>
    <row r="208" spans="1:4" x14ac:dyDescent="0.25">
      <c r="A208" t="str">
        <f t="shared" si="12"/>
        <v>Chris Evans</v>
      </c>
      <c r="B208" s="75">
        <f t="shared" si="13"/>
        <v>0</v>
      </c>
      <c r="C208" s="75">
        <f t="shared" si="14"/>
        <v>0</v>
      </c>
      <c r="D208" s="180">
        <f t="shared" si="15"/>
        <v>0</v>
      </c>
    </row>
    <row r="209" spans="1:4" x14ac:dyDescent="0.25">
      <c r="A209" t="str">
        <f t="shared" si="12"/>
        <v>Christian Watson</v>
      </c>
      <c r="B209" s="75">
        <f t="shared" si="13"/>
        <v>1</v>
      </c>
      <c r="C209" s="75">
        <f t="shared" si="14"/>
        <v>0</v>
      </c>
      <c r="D209" s="180">
        <f t="shared" si="15"/>
        <v>0</v>
      </c>
    </row>
    <row r="210" spans="1:4" x14ac:dyDescent="0.25">
      <c r="A210" t="str">
        <f t="shared" si="12"/>
        <v>Chuba Hubbard</v>
      </c>
      <c r="B210" s="75">
        <f t="shared" si="13"/>
        <v>0</v>
      </c>
      <c r="C210" s="75">
        <f t="shared" si="14"/>
        <v>0</v>
      </c>
      <c r="D210" s="180">
        <f t="shared" si="15"/>
        <v>0</v>
      </c>
    </row>
    <row r="211" spans="1:4" x14ac:dyDescent="0.25">
      <c r="A211" t="str">
        <f t="shared" si="12"/>
        <v>Cincinnati Bengals</v>
      </c>
      <c r="B211" s="75">
        <f t="shared" si="13"/>
        <v>1</v>
      </c>
      <c r="C211" s="75">
        <f t="shared" si="14"/>
        <v>0</v>
      </c>
      <c r="D211" s="180">
        <f t="shared" si="15"/>
        <v>0</v>
      </c>
    </row>
    <row r="212" spans="1:4" x14ac:dyDescent="0.25">
      <c r="A212" t="str">
        <f t="shared" si="12"/>
        <v>Cleveland Browns</v>
      </c>
      <c r="B212" s="75">
        <f t="shared" si="13"/>
        <v>1</v>
      </c>
      <c r="C212" s="75">
        <f t="shared" si="14"/>
        <v>0</v>
      </c>
      <c r="D212" s="180">
        <f t="shared" si="15"/>
        <v>0</v>
      </c>
    </row>
    <row r="213" spans="1:4" x14ac:dyDescent="0.25">
      <c r="A213" t="str">
        <f t="shared" si="12"/>
        <v>Corey Davis</v>
      </c>
      <c r="B213" s="75">
        <f t="shared" si="13"/>
        <v>0</v>
      </c>
      <c r="C213" s="75">
        <f t="shared" si="14"/>
        <v>0</v>
      </c>
      <c r="D213" s="180">
        <f t="shared" si="15"/>
        <v>0</v>
      </c>
    </row>
    <row r="214" spans="1:4" x14ac:dyDescent="0.25">
      <c r="A214" t="str">
        <f t="shared" si="12"/>
        <v>Craig Reynolds</v>
      </c>
      <c r="B214" s="75">
        <f t="shared" si="13"/>
        <v>0</v>
      </c>
      <c r="C214" s="75">
        <f t="shared" si="14"/>
        <v>0</v>
      </c>
      <c r="D214" s="180">
        <f t="shared" si="15"/>
        <v>0</v>
      </c>
    </row>
    <row r="215" spans="1:4" x14ac:dyDescent="0.25">
      <c r="A215" t="str">
        <f t="shared" si="12"/>
        <v>Curtis Samuel</v>
      </c>
      <c r="B215" s="75">
        <f t="shared" si="13"/>
        <v>0</v>
      </c>
      <c r="C215" s="75">
        <f t="shared" si="14"/>
        <v>0</v>
      </c>
      <c r="D215" s="180">
        <f t="shared" si="15"/>
        <v>0</v>
      </c>
    </row>
    <row r="216" spans="1:4" x14ac:dyDescent="0.25">
      <c r="A216" t="str">
        <f t="shared" si="12"/>
        <v>D'Ernest Johnson</v>
      </c>
      <c r="B216" s="75">
        <f t="shared" si="13"/>
        <v>0</v>
      </c>
      <c r="C216" s="75">
        <f t="shared" si="14"/>
        <v>0</v>
      </c>
      <c r="D216" s="180">
        <f t="shared" si="15"/>
        <v>0</v>
      </c>
    </row>
    <row r="217" spans="1:4" x14ac:dyDescent="0.25">
      <c r="A217" t="str">
        <f t="shared" si="12"/>
        <v>D.J. Chark</v>
      </c>
      <c r="B217" s="75">
        <f t="shared" si="13"/>
        <v>1</v>
      </c>
      <c r="C217" s="75">
        <f t="shared" si="14"/>
        <v>1</v>
      </c>
      <c r="D217" s="180">
        <f t="shared" si="15"/>
        <v>0</v>
      </c>
    </row>
    <row r="218" spans="1:4" x14ac:dyDescent="0.25">
      <c r="A218" t="str">
        <f t="shared" si="12"/>
        <v>Damien Williams</v>
      </c>
      <c r="B218" s="75">
        <f t="shared" si="13"/>
        <v>0</v>
      </c>
      <c r="C218" s="75">
        <f t="shared" si="14"/>
        <v>0</v>
      </c>
      <c r="D218" s="180">
        <f t="shared" si="15"/>
        <v>0</v>
      </c>
    </row>
    <row r="219" spans="1:4" x14ac:dyDescent="0.25">
      <c r="A219" t="str">
        <f t="shared" si="12"/>
        <v>Daniel Jones</v>
      </c>
      <c r="B219" s="75">
        <f t="shared" si="13"/>
        <v>1</v>
      </c>
      <c r="C219" s="75">
        <f t="shared" si="14"/>
        <v>0</v>
      </c>
      <c r="D219" s="180">
        <f t="shared" si="15"/>
        <v>0</v>
      </c>
    </row>
    <row r="220" spans="1:4" x14ac:dyDescent="0.25">
      <c r="A220" t="str">
        <f t="shared" si="12"/>
        <v>David Bell</v>
      </c>
      <c r="B220" s="75">
        <f t="shared" si="13"/>
        <v>0</v>
      </c>
      <c r="C220" s="75">
        <f t="shared" si="14"/>
        <v>0</v>
      </c>
      <c r="D220" s="180">
        <f t="shared" si="15"/>
        <v>0</v>
      </c>
    </row>
    <row r="221" spans="1:4" x14ac:dyDescent="0.25">
      <c r="A221" t="str">
        <f t="shared" si="12"/>
        <v>Davis Mills</v>
      </c>
      <c r="B221" s="75">
        <f t="shared" si="13"/>
        <v>0</v>
      </c>
      <c r="C221" s="75">
        <f t="shared" si="14"/>
        <v>0</v>
      </c>
      <c r="D221" s="180">
        <f t="shared" si="15"/>
        <v>0</v>
      </c>
    </row>
    <row r="222" spans="1:4" x14ac:dyDescent="0.25">
      <c r="A222" t="str">
        <f t="shared" si="12"/>
        <v>Denver Broncos</v>
      </c>
      <c r="B222" s="75">
        <f t="shared" si="13"/>
        <v>1</v>
      </c>
      <c r="C222" s="75">
        <f t="shared" si="14"/>
        <v>0</v>
      </c>
      <c r="D222" s="180">
        <f t="shared" si="15"/>
        <v>0</v>
      </c>
    </row>
    <row r="223" spans="1:4" x14ac:dyDescent="0.25">
      <c r="A223" t="str">
        <f t="shared" si="12"/>
        <v>Deshaun Watson</v>
      </c>
      <c r="B223" s="75">
        <f t="shared" si="13"/>
        <v>2</v>
      </c>
      <c r="C223" s="75">
        <f t="shared" si="14"/>
        <v>0</v>
      </c>
      <c r="D223" s="180">
        <f t="shared" si="15"/>
        <v>0</v>
      </c>
    </row>
    <row r="224" spans="1:4" x14ac:dyDescent="0.25">
      <c r="A224" t="str">
        <f t="shared" si="12"/>
        <v>Detroit Lions</v>
      </c>
      <c r="B224" s="75">
        <f t="shared" si="13"/>
        <v>0</v>
      </c>
      <c r="C224" s="75">
        <f t="shared" si="14"/>
        <v>0</v>
      </c>
      <c r="D224" s="180">
        <f t="shared" si="15"/>
        <v>0</v>
      </c>
    </row>
    <row r="225" spans="1:4" x14ac:dyDescent="0.25">
      <c r="A225" t="str">
        <f t="shared" si="12"/>
        <v>Devin Duvernay</v>
      </c>
      <c r="B225" s="75">
        <f t="shared" si="13"/>
        <v>0</v>
      </c>
      <c r="C225" s="75">
        <f t="shared" si="14"/>
        <v>0</v>
      </c>
      <c r="D225" s="180">
        <f t="shared" si="15"/>
        <v>0</v>
      </c>
    </row>
    <row r="226" spans="1:4" x14ac:dyDescent="0.25">
      <c r="A226" t="str">
        <f t="shared" si="12"/>
        <v>Donovan Peoples-Jones</v>
      </c>
      <c r="B226" s="75">
        <f t="shared" si="13"/>
        <v>0</v>
      </c>
      <c r="C226" s="75">
        <f t="shared" si="14"/>
        <v>0</v>
      </c>
      <c r="D226" s="180">
        <f t="shared" si="15"/>
        <v>0</v>
      </c>
    </row>
    <row r="227" spans="1:4" x14ac:dyDescent="0.25">
      <c r="A227" t="str">
        <f t="shared" si="12"/>
        <v>Dontrell Hilliard</v>
      </c>
      <c r="B227" s="75">
        <f t="shared" si="13"/>
        <v>0</v>
      </c>
      <c r="C227" s="75">
        <f t="shared" si="14"/>
        <v>0</v>
      </c>
      <c r="D227" s="180">
        <f t="shared" si="15"/>
        <v>0</v>
      </c>
    </row>
    <row r="228" spans="1:4" x14ac:dyDescent="0.25">
      <c r="A228" t="str">
        <f t="shared" si="12"/>
        <v>Dustin Hopkins</v>
      </c>
      <c r="B228" s="75">
        <f t="shared" si="13"/>
        <v>1</v>
      </c>
      <c r="C228" s="75">
        <f t="shared" si="14"/>
        <v>0</v>
      </c>
      <c r="D228" s="180">
        <f t="shared" si="15"/>
        <v>0</v>
      </c>
    </row>
    <row r="229" spans="1:4" x14ac:dyDescent="0.25">
      <c r="A229" t="str">
        <f t="shared" si="12"/>
        <v>Eno Benjamin</v>
      </c>
      <c r="B229" s="75">
        <f t="shared" si="13"/>
        <v>0</v>
      </c>
      <c r="C229" s="75">
        <f t="shared" si="14"/>
        <v>0</v>
      </c>
      <c r="D229" s="180">
        <f t="shared" si="15"/>
        <v>0</v>
      </c>
    </row>
    <row r="230" spans="1:4" x14ac:dyDescent="0.25">
      <c r="A230" t="str">
        <f t="shared" si="12"/>
        <v>Evan Engram</v>
      </c>
      <c r="B230" s="75">
        <f t="shared" si="13"/>
        <v>1</v>
      </c>
      <c r="C230" s="75">
        <f t="shared" si="14"/>
        <v>0</v>
      </c>
      <c r="D230" s="180">
        <f t="shared" si="15"/>
        <v>0</v>
      </c>
    </row>
    <row r="231" spans="1:4" x14ac:dyDescent="0.25">
      <c r="A231" t="str">
        <f t="shared" si="12"/>
        <v>Garrett Wilson</v>
      </c>
      <c r="B231" s="75">
        <f t="shared" si="13"/>
        <v>1</v>
      </c>
      <c r="C231" s="75">
        <f t="shared" si="14"/>
        <v>1</v>
      </c>
      <c r="D231" s="180">
        <f t="shared" si="15"/>
        <v>0</v>
      </c>
    </row>
    <row r="232" spans="1:4" x14ac:dyDescent="0.25">
      <c r="A232" t="str">
        <f t="shared" si="12"/>
        <v>Geno Smith</v>
      </c>
      <c r="B232" s="75">
        <f t="shared" si="13"/>
        <v>0</v>
      </c>
      <c r="C232" s="75">
        <f t="shared" si="14"/>
        <v>0</v>
      </c>
      <c r="D232" s="180">
        <f t="shared" si="15"/>
        <v>0</v>
      </c>
    </row>
    <row r="233" spans="1:4" x14ac:dyDescent="0.25">
      <c r="A233" t="str">
        <f t="shared" si="12"/>
        <v>George Pickens</v>
      </c>
      <c r="B233" s="75">
        <f t="shared" si="13"/>
        <v>1</v>
      </c>
      <c r="C233" s="75">
        <f t="shared" si="14"/>
        <v>1</v>
      </c>
      <c r="D233" s="180">
        <f t="shared" si="15"/>
        <v>0</v>
      </c>
    </row>
    <row r="234" spans="1:4" x14ac:dyDescent="0.25">
      <c r="A234" t="str">
        <f t="shared" si="12"/>
        <v>Graham Gano</v>
      </c>
      <c r="B234" s="75">
        <f t="shared" si="13"/>
        <v>0</v>
      </c>
      <c r="C234" s="75">
        <f t="shared" si="14"/>
        <v>1</v>
      </c>
      <c r="D234" s="180">
        <f t="shared" si="15"/>
        <v>0</v>
      </c>
    </row>
    <row r="235" spans="1:4" x14ac:dyDescent="0.25">
      <c r="A235" t="str">
        <f t="shared" si="12"/>
        <v>Hassan Haskins</v>
      </c>
      <c r="B235" s="75">
        <f t="shared" si="13"/>
        <v>0</v>
      </c>
      <c r="C235" s="75">
        <f t="shared" si="14"/>
        <v>0</v>
      </c>
      <c r="D235" s="180">
        <f t="shared" si="15"/>
        <v>0</v>
      </c>
    </row>
    <row r="236" spans="1:4" x14ac:dyDescent="0.25">
      <c r="A236" t="str">
        <f t="shared" si="12"/>
        <v>Hayden Hurst</v>
      </c>
      <c r="B236" s="75">
        <f t="shared" si="13"/>
        <v>1</v>
      </c>
      <c r="C236" s="75">
        <f t="shared" si="14"/>
        <v>0</v>
      </c>
      <c r="D236" s="180">
        <f t="shared" si="15"/>
        <v>0</v>
      </c>
    </row>
    <row r="237" spans="1:4" x14ac:dyDescent="0.25">
      <c r="A237" t="str">
        <f t="shared" si="12"/>
        <v>Houston Texans</v>
      </c>
      <c r="B237" s="75">
        <f t="shared" si="13"/>
        <v>0</v>
      </c>
      <c r="C237" s="75">
        <f t="shared" si="14"/>
        <v>0</v>
      </c>
      <c r="D237" s="180">
        <f t="shared" si="15"/>
        <v>0</v>
      </c>
    </row>
    <row r="238" spans="1:4" x14ac:dyDescent="0.25">
      <c r="A238" t="str">
        <f t="shared" si="12"/>
        <v>Isaiah McKenzie</v>
      </c>
      <c r="B238" s="75">
        <f t="shared" si="13"/>
        <v>1</v>
      </c>
      <c r="C238" s="75">
        <f t="shared" si="14"/>
        <v>0</v>
      </c>
      <c r="D238" s="180">
        <f t="shared" si="15"/>
        <v>0</v>
      </c>
    </row>
    <row r="239" spans="1:4" x14ac:dyDescent="0.25">
      <c r="A239" t="str">
        <f t="shared" si="12"/>
        <v>Isiah Pacheco</v>
      </c>
      <c r="B239" s="75">
        <f t="shared" si="13"/>
        <v>1</v>
      </c>
      <c r="C239" s="75">
        <f t="shared" si="14"/>
        <v>1</v>
      </c>
      <c r="D239" s="180">
        <f t="shared" si="15"/>
        <v>0</v>
      </c>
    </row>
    <row r="240" spans="1:4" x14ac:dyDescent="0.25">
      <c r="A240" t="str">
        <f t="shared" si="12"/>
        <v>Jacksonville Jaguars</v>
      </c>
      <c r="B240" s="75">
        <f t="shared" si="13"/>
        <v>0</v>
      </c>
      <c r="C240" s="75">
        <f t="shared" si="14"/>
        <v>0</v>
      </c>
      <c r="D240" s="180">
        <f t="shared" si="15"/>
        <v>0</v>
      </c>
    </row>
    <row r="241" spans="1:4" x14ac:dyDescent="0.25">
      <c r="A241" t="str">
        <f t="shared" si="12"/>
        <v>Jacoby Brissett</v>
      </c>
      <c r="B241" s="75">
        <f t="shared" si="13"/>
        <v>0</v>
      </c>
      <c r="C241" s="75">
        <f t="shared" si="14"/>
        <v>0</v>
      </c>
      <c r="D241" s="180">
        <f t="shared" si="15"/>
        <v>0</v>
      </c>
    </row>
    <row r="242" spans="1:4" x14ac:dyDescent="0.25">
      <c r="A242" t="str">
        <f t="shared" si="12"/>
        <v>Jahan Dotson</v>
      </c>
      <c r="B242" s="75">
        <f t="shared" si="13"/>
        <v>1</v>
      </c>
      <c r="C242" s="75">
        <f t="shared" si="14"/>
        <v>1</v>
      </c>
      <c r="D242" s="180">
        <f t="shared" si="15"/>
        <v>0</v>
      </c>
    </row>
    <row r="243" spans="1:4" x14ac:dyDescent="0.25">
      <c r="A243" t="str">
        <f t="shared" si="12"/>
        <v>Jake Elliott</v>
      </c>
      <c r="B243" s="75">
        <f t="shared" si="13"/>
        <v>1</v>
      </c>
      <c r="C243" s="75">
        <f t="shared" si="14"/>
        <v>0</v>
      </c>
      <c r="D243" s="180">
        <f t="shared" si="15"/>
        <v>0</v>
      </c>
    </row>
    <row r="244" spans="1:4" x14ac:dyDescent="0.25">
      <c r="A244" t="str">
        <f t="shared" si="12"/>
        <v>Jalen Tolbert</v>
      </c>
      <c r="B244" s="75">
        <f t="shared" si="13"/>
        <v>1</v>
      </c>
      <c r="C244" s="75">
        <f t="shared" si="14"/>
        <v>0</v>
      </c>
      <c r="D244" s="180">
        <f t="shared" si="15"/>
        <v>0</v>
      </c>
    </row>
    <row r="245" spans="1:4" x14ac:dyDescent="0.25">
      <c r="A245" t="str">
        <f t="shared" si="12"/>
        <v>Jameis Winston</v>
      </c>
      <c r="B245" s="75">
        <f t="shared" si="13"/>
        <v>1</v>
      </c>
      <c r="C245" s="75">
        <f t="shared" si="14"/>
        <v>1</v>
      </c>
      <c r="D245" s="180">
        <f t="shared" si="15"/>
        <v>0</v>
      </c>
    </row>
    <row r="246" spans="1:4" x14ac:dyDescent="0.25">
      <c r="A246" t="str">
        <f t="shared" si="12"/>
        <v>James Washington</v>
      </c>
      <c r="B246" s="75">
        <f t="shared" si="13"/>
        <v>0</v>
      </c>
      <c r="C246" s="75">
        <f t="shared" si="14"/>
        <v>0</v>
      </c>
      <c r="D246" s="180">
        <f t="shared" si="15"/>
        <v>0</v>
      </c>
    </row>
    <row r="247" spans="1:4" x14ac:dyDescent="0.25">
      <c r="A247" t="str">
        <f t="shared" si="12"/>
        <v>Jameson Williams</v>
      </c>
      <c r="B247" s="75">
        <f t="shared" si="13"/>
        <v>2</v>
      </c>
      <c r="C247" s="75">
        <f t="shared" si="14"/>
        <v>0</v>
      </c>
      <c r="D247" s="180">
        <f t="shared" si="15"/>
        <v>0</v>
      </c>
    </row>
    <row r="248" spans="1:4" x14ac:dyDescent="0.25">
      <c r="A248" t="str">
        <f t="shared" si="12"/>
        <v>Jamison Crowder</v>
      </c>
      <c r="B248" s="75">
        <f t="shared" si="13"/>
        <v>0</v>
      </c>
      <c r="C248" s="75">
        <f t="shared" si="14"/>
        <v>0</v>
      </c>
      <c r="D248" s="180">
        <f t="shared" si="15"/>
        <v>0</v>
      </c>
    </row>
    <row r="249" spans="1:4" x14ac:dyDescent="0.25">
      <c r="A249" t="str">
        <f t="shared" si="12"/>
        <v>Jared Goff</v>
      </c>
      <c r="B249" s="75">
        <f t="shared" si="13"/>
        <v>1</v>
      </c>
      <c r="C249" s="75">
        <f t="shared" si="14"/>
        <v>0</v>
      </c>
      <c r="D249" s="180">
        <f t="shared" si="15"/>
        <v>0</v>
      </c>
    </row>
    <row r="250" spans="1:4" x14ac:dyDescent="0.25">
      <c r="A250" t="str">
        <f t="shared" si="12"/>
        <v>Jason Sanders</v>
      </c>
      <c r="B250" s="75">
        <f t="shared" si="13"/>
        <v>1</v>
      </c>
      <c r="C250" s="75">
        <f t="shared" si="14"/>
        <v>0</v>
      </c>
      <c r="D250" s="180">
        <f t="shared" si="15"/>
        <v>0</v>
      </c>
    </row>
    <row r="251" spans="1:4" x14ac:dyDescent="0.25">
      <c r="A251" t="str">
        <f t="shared" si="12"/>
        <v>Jeff Wilson Jr.</v>
      </c>
      <c r="B251" s="75">
        <f t="shared" si="13"/>
        <v>0</v>
      </c>
      <c r="C251" s="75">
        <f t="shared" si="14"/>
        <v>0</v>
      </c>
      <c r="D251" s="180">
        <f t="shared" si="15"/>
        <v>0</v>
      </c>
    </row>
    <row r="252" spans="1:4" x14ac:dyDescent="0.25">
      <c r="A252" t="str">
        <f t="shared" si="12"/>
        <v>Jerick McKinnon</v>
      </c>
      <c r="B252" s="75">
        <f t="shared" si="13"/>
        <v>0</v>
      </c>
      <c r="C252" s="75">
        <f t="shared" si="14"/>
        <v>0</v>
      </c>
      <c r="D252" s="180">
        <f t="shared" si="15"/>
        <v>0</v>
      </c>
    </row>
    <row r="253" spans="1:4" x14ac:dyDescent="0.25">
      <c r="A253" t="str">
        <f t="shared" si="12"/>
        <v>Joshua Kelley</v>
      </c>
      <c r="B253" s="75">
        <f t="shared" si="13"/>
        <v>0</v>
      </c>
      <c r="C253" s="75">
        <f t="shared" si="14"/>
        <v>0</v>
      </c>
      <c r="D253" s="180">
        <f t="shared" si="15"/>
        <v>0</v>
      </c>
    </row>
    <row r="254" spans="1:4" x14ac:dyDescent="0.25">
      <c r="A254" t="str">
        <f t="shared" si="12"/>
        <v>Joshua Palmer</v>
      </c>
      <c r="B254" s="75">
        <f t="shared" si="13"/>
        <v>0</v>
      </c>
      <c r="C254" s="75">
        <f t="shared" si="14"/>
        <v>1</v>
      </c>
      <c r="D254" s="180">
        <f t="shared" si="15"/>
        <v>0</v>
      </c>
    </row>
    <row r="255" spans="1:4" x14ac:dyDescent="0.25">
      <c r="A255" t="str">
        <f t="shared" si="12"/>
        <v>Julio Jones</v>
      </c>
      <c r="B255" s="75">
        <f t="shared" si="13"/>
        <v>1</v>
      </c>
      <c r="C255" s="75">
        <f t="shared" si="14"/>
        <v>1</v>
      </c>
      <c r="D255" s="180">
        <f t="shared" si="15"/>
        <v>0</v>
      </c>
    </row>
    <row r="256" spans="1:4" x14ac:dyDescent="0.25">
      <c r="A256" t="str">
        <f t="shared" si="12"/>
        <v>Justin Jackson</v>
      </c>
      <c r="B256" s="75">
        <f t="shared" si="13"/>
        <v>0</v>
      </c>
      <c r="C256" s="75">
        <f t="shared" si="14"/>
        <v>0</v>
      </c>
      <c r="D256" s="180">
        <f t="shared" si="15"/>
        <v>0</v>
      </c>
    </row>
    <row r="257" spans="1:4" x14ac:dyDescent="0.25">
      <c r="A257" t="str">
        <f t="shared" si="12"/>
        <v>K.J. Osborn</v>
      </c>
      <c r="B257" s="75">
        <f t="shared" si="13"/>
        <v>0</v>
      </c>
      <c r="C257" s="75">
        <f t="shared" si="14"/>
        <v>0</v>
      </c>
      <c r="D257" s="180">
        <f t="shared" si="15"/>
        <v>0</v>
      </c>
    </row>
    <row r="258" spans="1:4" x14ac:dyDescent="0.25">
      <c r="A258" t="str">
        <f t="shared" ref="A258:A321" si="16">_xlfn.CONCAT(TRIM(H1372)," ",TRIM(I1372),IF(ISNUMBER(J1372),"",_xlfn.CONCAT(" ",TRIM(J1372))))</f>
        <v>KJ Hamler</v>
      </c>
      <c r="B258" s="75">
        <f t="shared" ref="B258:B321" si="17">IF(ISNUMBER(J1372),J1372,K1372)</f>
        <v>0</v>
      </c>
      <c r="C258" s="75">
        <f t="shared" ref="C258:C321" si="18">IF(ISNUMBER(J1372),K1372,L1372)</f>
        <v>0</v>
      </c>
      <c r="D258" s="180">
        <f t="shared" ref="D258:D321" si="19">IF(ISNUMBER(J1372),L1372,M1372)</f>
        <v>0</v>
      </c>
    </row>
    <row r="259" spans="1:4" x14ac:dyDescent="0.25">
      <c r="A259" t="str">
        <f t="shared" si="16"/>
        <v>Kansas City Chiefs</v>
      </c>
      <c r="B259" s="75">
        <f t="shared" si="17"/>
        <v>1</v>
      </c>
      <c r="C259" s="75">
        <f t="shared" si="18"/>
        <v>0</v>
      </c>
      <c r="D259" s="180">
        <f t="shared" si="19"/>
        <v>0</v>
      </c>
    </row>
    <row r="260" spans="1:4" x14ac:dyDescent="0.25">
      <c r="A260" t="str">
        <f t="shared" si="16"/>
        <v>Ke'Shawn Vaughn</v>
      </c>
      <c r="B260" s="75">
        <f t="shared" si="17"/>
        <v>0</v>
      </c>
      <c r="C260" s="75">
        <f t="shared" si="18"/>
        <v>0</v>
      </c>
      <c r="D260" s="180">
        <f t="shared" si="19"/>
        <v>0</v>
      </c>
    </row>
    <row r="261" spans="1:4" x14ac:dyDescent="0.25">
      <c r="A261" t="str">
        <f t="shared" si="16"/>
        <v>Kendrick Bourne</v>
      </c>
      <c r="B261" s="75">
        <f t="shared" si="17"/>
        <v>0</v>
      </c>
      <c r="C261" s="75">
        <f t="shared" si="18"/>
        <v>0</v>
      </c>
      <c r="D261" s="180">
        <f t="shared" si="19"/>
        <v>0</v>
      </c>
    </row>
    <row r="262" spans="1:4" x14ac:dyDescent="0.25">
      <c r="A262" t="str">
        <f t="shared" si="16"/>
        <v>Kenyan Drake</v>
      </c>
      <c r="B262" s="75">
        <f t="shared" si="17"/>
        <v>0</v>
      </c>
      <c r="C262" s="75">
        <f t="shared" si="18"/>
        <v>0</v>
      </c>
      <c r="D262" s="180">
        <f t="shared" si="19"/>
        <v>0</v>
      </c>
    </row>
    <row r="263" spans="1:4" x14ac:dyDescent="0.25">
      <c r="A263" t="str">
        <f t="shared" si="16"/>
        <v>Kyle Juszczyk</v>
      </c>
      <c r="B263" s="75">
        <f t="shared" si="17"/>
        <v>0</v>
      </c>
      <c r="C263" s="75">
        <f t="shared" si="18"/>
        <v>0</v>
      </c>
      <c r="D263" s="180">
        <f t="shared" si="19"/>
        <v>0</v>
      </c>
    </row>
    <row r="264" spans="1:4" x14ac:dyDescent="0.25">
      <c r="A264" t="str">
        <f t="shared" si="16"/>
        <v>Kyle Rudolph</v>
      </c>
      <c r="B264" s="75">
        <f t="shared" si="17"/>
        <v>0</v>
      </c>
      <c r="C264" s="75">
        <f t="shared" si="18"/>
        <v>0</v>
      </c>
      <c r="D264" s="180">
        <f t="shared" si="19"/>
        <v>0</v>
      </c>
    </row>
    <row r="265" spans="1:4" x14ac:dyDescent="0.25">
      <c r="A265" t="str">
        <f t="shared" si="16"/>
        <v>Las Vegas Raiders</v>
      </c>
      <c r="B265" s="75">
        <f t="shared" si="17"/>
        <v>1</v>
      </c>
      <c r="C265" s="75">
        <f t="shared" si="18"/>
        <v>0</v>
      </c>
      <c r="D265" s="180">
        <f t="shared" si="19"/>
        <v>0</v>
      </c>
    </row>
    <row r="266" spans="1:4" x14ac:dyDescent="0.25">
      <c r="A266" t="str">
        <f t="shared" si="16"/>
        <v>Laviska Shenault Jr.</v>
      </c>
      <c r="B266" s="75">
        <f t="shared" si="17"/>
        <v>0</v>
      </c>
      <c r="C266" s="75">
        <f t="shared" si="18"/>
        <v>0</v>
      </c>
      <c r="D266" s="180">
        <f t="shared" si="19"/>
        <v>0</v>
      </c>
    </row>
    <row r="267" spans="1:4" x14ac:dyDescent="0.25">
      <c r="A267" t="str">
        <f t="shared" si="16"/>
        <v>Logan Thomas</v>
      </c>
      <c r="B267" s="75">
        <f t="shared" si="17"/>
        <v>1</v>
      </c>
      <c r="C267" s="75">
        <f t="shared" si="18"/>
        <v>0</v>
      </c>
      <c r="D267" s="180">
        <f t="shared" si="19"/>
        <v>0</v>
      </c>
    </row>
    <row r="268" spans="1:4" x14ac:dyDescent="0.25">
      <c r="A268" t="str">
        <f t="shared" si="16"/>
        <v>Mac Jones</v>
      </c>
      <c r="B268" s="75">
        <f t="shared" si="17"/>
        <v>1</v>
      </c>
      <c r="C268" s="75">
        <f t="shared" si="18"/>
        <v>1</v>
      </c>
      <c r="D268" s="180">
        <f t="shared" si="19"/>
        <v>0</v>
      </c>
    </row>
    <row r="269" spans="1:4" x14ac:dyDescent="0.25">
      <c r="A269" t="str">
        <f t="shared" si="16"/>
        <v>Marcus Mariota</v>
      </c>
      <c r="B269" s="75">
        <f t="shared" si="17"/>
        <v>0</v>
      </c>
      <c r="C269" s="75">
        <f t="shared" si="18"/>
        <v>0</v>
      </c>
      <c r="D269" s="180">
        <f t="shared" si="19"/>
        <v>0</v>
      </c>
    </row>
    <row r="270" spans="1:4" x14ac:dyDescent="0.25">
      <c r="A270" t="str">
        <f t="shared" si="16"/>
        <v>Marvin Jones</v>
      </c>
      <c r="B270" s="75">
        <f t="shared" si="17"/>
        <v>0</v>
      </c>
      <c r="C270" s="75">
        <f t="shared" si="18"/>
        <v>1</v>
      </c>
      <c r="D270" s="180">
        <f t="shared" si="19"/>
        <v>0</v>
      </c>
    </row>
    <row r="271" spans="1:4" x14ac:dyDescent="0.25">
      <c r="A271" t="str">
        <f t="shared" si="16"/>
        <v>Matt Breida</v>
      </c>
      <c r="B271" s="75">
        <f t="shared" si="17"/>
        <v>0</v>
      </c>
      <c r="C271" s="75">
        <f t="shared" si="18"/>
        <v>0</v>
      </c>
      <c r="D271" s="180">
        <f t="shared" si="19"/>
        <v>0</v>
      </c>
    </row>
    <row r="272" spans="1:4" x14ac:dyDescent="0.25">
      <c r="A272" t="str">
        <f t="shared" si="16"/>
        <v>Matt Ryan</v>
      </c>
      <c r="B272" s="75">
        <f t="shared" si="17"/>
        <v>1</v>
      </c>
      <c r="C272" s="75">
        <f t="shared" si="18"/>
        <v>1</v>
      </c>
      <c r="D272" s="180">
        <f t="shared" si="19"/>
        <v>0</v>
      </c>
    </row>
    <row r="273" spans="1:4" x14ac:dyDescent="0.25">
      <c r="A273" t="str">
        <f t="shared" si="16"/>
        <v>Mike Davis</v>
      </c>
      <c r="B273" s="75">
        <f t="shared" si="17"/>
        <v>0</v>
      </c>
      <c r="C273" s="75">
        <f t="shared" si="18"/>
        <v>0</v>
      </c>
      <c r="D273" s="180">
        <f t="shared" si="19"/>
        <v>0</v>
      </c>
    </row>
    <row r="274" spans="1:4" x14ac:dyDescent="0.25">
      <c r="A274" t="str">
        <f t="shared" si="16"/>
        <v>Mitch Trubisky</v>
      </c>
      <c r="B274" s="75">
        <f t="shared" si="17"/>
        <v>0</v>
      </c>
      <c r="C274" s="75">
        <f t="shared" si="18"/>
        <v>0</v>
      </c>
      <c r="D274" s="180">
        <f t="shared" si="19"/>
        <v>0</v>
      </c>
    </row>
    <row r="275" spans="1:4" x14ac:dyDescent="0.25">
      <c r="A275" t="str">
        <f t="shared" si="16"/>
        <v>Mo Alie-Cox</v>
      </c>
      <c r="B275" s="75">
        <f t="shared" si="17"/>
        <v>0</v>
      </c>
      <c r="C275" s="75">
        <f t="shared" si="18"/>
        <v>0</v>
      </c>
      <c r="D275" s="180">
        <f t="shared" si="19"/>
        <v>0</v>
      </c>
    </row>
    <row r="276" spans="1:4" x14ac:dyDescent="0.25">
      <c r="A276" t="str">
        <f t="shared" si="16"/>
        <v>Nelson Agholor</v>
      </c>
      <c r="B276" s="75">
        <f t="shared" si="17"/>
        <v>0</v>
      </c>
      <c r="C276" s="75">
        <f t="shared" si="18"/>
        <v>0</v>
      </c>
      <c r="D276" s="180">
        <f t="shared" si="19"/>
        <v>0</v>
      </c>
    </row>
    <row r="277" spans="1:4" x14ac:dyDescent="0.25">
      <c r="A277" t="str">
        <f t="shared" si="16"/>
        <v>New England Patriots</v>
      </c>
      <c r="B277" s="75">
        <f t="shared" si="17"/>
        <v>1</v>
      </c>
      <c r="C277" s="75">
        <f t="shared" si="18"/>
        <v>0</v>
      </c>
      <c r="D277" s="180">
        <f t="shared" si="19"/>
        <v>0</v>
      </c>
    </row>
    <row r="278" spans="1:4" x14ac:dyDescent="0.25">
      <c r="A278" t="str">
        <f t="shared" si="16"/>
        <v>New York Giants</v>
      </c>
      <c r="B278" s="75">
        <f t="shared" si="17"/>
        <v>0</v>
      </c>
      <c r="C278" s="75">
        <f t="shared" si="18"/>
        <v>0</v>
      </c>
      <c r="D278" s="180">
        <f t="shared" si="19"/>
        <v>0</v>
      </c>
    </row>
    <row r="279" spans="1:4" x14ac:dyDescent="0.25">
      <c r="A279" t="str">
        <f t="shared" si="16"/>
        <v>New York Jets</v>
      </c>
      <c r="B279" s="75">
        <f t="shared" si="17"/>
        <v>0</v>
      </c>
      <c r="C279" s="75">
        <f t="shared" si="18"/>
        <v>0</v>
      </c>
      <c r="D279" s="180">
        <f t="shared" si="19"/>
        <v>0</v>
      </c>
    </row>
    <row r="280" spans="1:4" x14ac:dyDescent="0.25">
      <c r="A280" t="str">
        <f t="shared" si="16"/>
        <v>Nick Westbrook-Ikhine</v>
      </c>
      <c r="B280" s="75">
        <f t="shared" si="17"/>
        <v>0</v>
      </c>
      <c r="C280" s="75">
        <f t="shared" si="18"/>
        <v>0</v>
      </c>
      <c r="D280" s="180">
        <f t="shared" si="19"/>
        <v>0</v>
      </c>
    </row>
    <row r="281" spans="1:4" x14ac:dyDescent="0.25">
      <c r="A281" t="str">
        <f t="shared" si="16"/>
        <v>Nico Collins</v>
      </c>
      <c r="B281" s="75">
        <f t="shared" si="17"/>
        <v>1</v>
      </c>
      <c r="C281" s="75">
        <f t="shared" si="18"/>
        <v>0</v>
      </c>
      <c r="D281" s="180">
        <f t="shared" si="19"/>
        <v>0</v>
      </c>
    </row>
    <row r="282" spans="1:4" x14ac:dyDescent="0.25">
      <c r="A282" t="str">
        <f t="shared" si="16"/>
        <v>Olamide Zaccheaus</v>
      </c>
      <c r="B282" s="75">
        <f t="shared" si="17"/>
        <v>0</v>
      </c>
      <c r="C282" s="75">
        <f t="shared" si="18"/>
        <v>0</v>
      </c>
      <c r="D282" s="180">
        <f t="shared" si="19"/>
        <v>0</v>
      </c>
    </row>
    <row r="283" spans="1:4" x14ac:dyDescent="0.25">
      <c r="A283" t="str">
        <f t="shared" si="16"/>
        <v>Parris Campbell</v>
      </c>
      <c r="B283" s="75">
        <f t="shared" si="17"/>
        <v>0</v>
      </c>
      <c r="C283" s="75">
        <f t="shared" si="18"/>
        <v>0</v>
      </c>
      <c r="D283" s="180">
        <f t="shared" si="19"/>
        <v>0</v>
      </c>
    </row>
    <row r="284" spans="1:4" x14ac:dyDescent="0.25">
      <c r="A284" t="str">
        <f t="shared" si="16"/>
        <v>Philadelphia Eagles</v>
      </c>
      <c r="B284" s="75">
        <f t="shared" si="17"/>
        <v>1</v>
      </c>
      <c r="C284" s="75">
        <f t="shared" si="18"/>
        <v>0</v>
      </c>
      <c r="D284" s="180">
        <f t="shared" si="19"/>
        <v>0</v>
      </c>
    </row>
    <row r="285" spans="1:4" x14ac:dyDescent="0.25">
      <c r="A285" t="str">
        <f t="shared" si="16"/>
        <v>Phillip Lindsay</v>
      </c>
      <c r="B285" s="75">
        <f t="shared" si="17"/>
        <v>0</v>
      </c>
      <c r="C285" s="75">
        <f t="shared" si="18"/>
        <v>0</v>
      </c>
      <c r="D285" s="180">
        <f t="shared" si="19"/>
        <v>0</v>
      </c>
    </row>
    <row r="286" spans="1:4" x14ac:dyDescent="0.25">
      <c r="A286" t="str">
        <f t="shared" si="16"/>
        <v>Randall Cobb</v>
      </c>
      <c r="B286" s="75">
        <f t="shared" si="17"/>
        <v>0</v>
      </c>
      <c r="C286" s="75">
        <f t="shared" si="18"/>
        <v>0</v>
      </c>
      <c r="D286" s="180">
        <f t="shared" si="19"/>
        <v>0</v>
      </c>
    </row>
    <row r="287" spans="1:4" x14ac:dyDescent="0.25">
      <c r="A287" t="str">
        <f t="shared" si="16"/>
        <v>Randy Bullock</v>
      </c>
      <c r="B287" s="75">
        <f t="shared" si="17"/>
        <v>0</v>
      </c>
      <c r="C287" s="75">
        <f t="shared" si="18"/>
        <v>0</v>
      </c>
      <c r="D287" s="180">
        <f t="shared" si="19"/>
        <v>0</v>
      </c>
    </row>
    <row r="288" spans="1:4" x14ac:dyDescent="0.25">
      <c r="A288" t="str">
        <f t="shared" si="16"/>
        <v>Robbie Gould</v>
      </c>
      <c r="B288" s="75">
        <f t="shared" si="17"/>
        <v>1</v>
      </c>
      <c r="C288" s="75">
        <f t="shared" si="18"/>
        <v>0</v>
      </c>
      <c r="D288" s="180">
        <f t="shared" si="19"/>
        <v>0</v>
      </c>
    </row>
    <row r="289" spans="1:4" x14ac:dyDescent="0.25">
      <c r="A289" t="str">
        <f t="shared" si="16"/>
        <v>Robert Tonyan</v>
      </c>
      <c r="B289" s="75">
        <f t="shared" si="17"/>
        <v>1</v>
      </c>
      <c r="C289" s="75">
        <f t="shared" si="18"/>
        <v>0</v>
      </c>
      <c r="D289" s="180">
        <f t="shared" si="19"/>
        <v>0</v>
      </c>
    </row>
    <row r="290" spans="1:4" x14ac:dyDescent="0.25">
      <c r="A290" t="str">
        <f t="shared" si="16"/>
        <v>Rodrigo Blankenship</v>
      </c>
      <c r="B290" s="75">
        <f t="shared" si="17"/>
        <v>1</v>
      </c>
      <c r="C290" s="75">
        <f t="shared" si="18"/>
        <v>0</v>
      </c>
      <c r="D290" s="180">
        <f t="shared" si="19"/>
        <v>0</v>
      </c>
    </row>
    <row r="291" spans="1:4" x14ac:dyDescent="0.25">
      <c r="A291" t="str">
        <f t="shared" si="16"/>
        <v>Romeo Doubs</v>
      </c>
      <c r="B291" s="75">
        <f t="shared" si="17"/>
        <v>1</v>
      </c>
      <c r="C291" s="75">
        <f t="shared" si="18"/>
        <v>0</v>
      </c>
      <c r="D291" s="180">
        <f t="shared" si="19"/>
        <v>0</v>
      </c>
    </row>
    <row r="292" spans="1:4" x14ac:dyDescent="0.25">
      <c r="A292" t="str">
        <f t="shared" si="16"/>
        <v>Ronald Jones II</v>
      </c>
      <c r="B292" s="75">
        <f t="shared" si="17"/>
        <v>1</v>
      </c>
      <c r="C292" s="75">
        <f t="shared" si="18"/>
        <v>0</v>
      </c>
      <c r="D292" s="180">
        <f t="shared" si="19"/>
        <v>0</v>
      </c>
    </row>
    <row r="293" spans="1:4" x14ac:dyDescent="0.25">
      <c r="A293" t="str">
        <f t="shared" si="16"/>
        <v>Rondale Moore</v>
      </c>
      <c r="B293" s="75">
        <f t="shared" si="17"/>
        <v>1</v>
      </c>
      <c r="C293" s="75">
        <f t="shared" si="18"/>
        <v>0</v>
      </c>
      <c r="D293" s="180">
        <f t="shared" si="19"/>
        <v>0</v>
      </c>
    </row>
    <row r="294" spans="1:4" x14ac:dyDescent="0.25">
      <c r="A294" t="str">
        <f t="shared" si="16"/>
        <v>Samaje Perine</v>
      </c>
      <c r="B294" s="75">
        <f t="shared" si="17"/>
        <v>0</v>
      </c>
      <c r="C294" s="75">
        <f t="shared" si="18"/>
        <v>0</v>
      </c>
      <c r="D294" s="180">
        <f t="shared" si="19"/>
        <v>0</v>
      </c>
    </row>
    <row r="295" spans="1:4" x14ac:dyDescent="0.25">
      <c r="A295" t="str">
        <f t="shared" si="16"/>
        <v>Sammy Watkins</v>
      </c>
      <c r="B295" s="75">
        <f t="shared" si="17"/>
        <v>1</v>
      </c>
      <c r="C295" s="75">
        <f t="shared" si="18"/>
        <v>0</v>
      </c>
      <c r="D295" s="180">
        <f t="shared" si="19"/>
        <v>0</v>
      </c>
    </row>
    <row r="296" spans="1:4" x14ac:dyDescent="0.25">
      <c r="A296" t="str">
        <f t="shared" si="16"/>
        <v>Seattle Seahawks</v>
      </c>
      <c r="B296" s="75">
        <f t="shared" si="17"/>
        <v>0</v>
      </c>
      <c r="C296" s="75">
        <f t="shared" si="18"/>
        <v>0</v>
      </c>
      <c r="D296" s="180">
        <f t="shared" si="19"/>
        <v>0</v>
      </c>
    </row>
    <row r="297" spans="1:4" x14ac:dyDescent="0.25">
      <c r="A297" t="str">
        <f t="shared" si="16"/>
        <v>Skyy Moore</v>
      </c>
      <c r="B297" s="75">
        <f t="shared" si="17"/>
        <v>1</v>
      </c>
      <c r="C297" s="75">
        <f t="shared" si="18"/>
        <v>1</v>
      </c>
      <c r="D297" s="180">
        <f t="shared" si="19"/>
        <v>0</v>
      </c>
    </row>
    <row r="298" spans="1:4" x14ac:dyDescent="0.25">
      <c r="A298" t="str">
        <f t="shared" si="16"/>
        <v>Sony Michel</v>
      </c>
      <c r="B298" s="75">
        <f t="shared" si="17"/>
        <v>1</v>
      </c>
      <c r="C298" s="75">
        <f t="shared" si="18"/>
        <v>0</v>
      </c>
      <c r="D298" s="180">
        <f t="shared" si="19"/>
        <v>0</v>
      </c>
    </row>
    <row r="299" spans="1:4" x14ac:dyDescent="0.25">
      <c r="A299" t="str">
        <f t="shared" si="16"/>
        <v>Sterling Shepard</v>
      </c>
      <c r="B299" s="75">
        <f t="shared" si="17"/>
        <v>0</v>
      </c>
      <c r="C299" s="75">
        <f t="shared" si="18"/>
        <v>0</v>
      </c>
      <c r="D299" s="180">
        <f t="shared" si="19"/>
        <v>0</v>
      </c>
    </row>
    <row r="300" spans="1:4" x14ac:dyDescent="0.25">
      <c r="A300" t="str">
        <f t="shared" si="16"/>
        <v>Tennessee Titans</v>
      </c>
      <c r="B300" s="75">
        <f t="shared" si="17"/>
        <v>1</v>
      </c>
      <c r="C300" s="75">
        <f t="shared" si="18"/>
        <v>0</v>
      </c>
      <c r="D300" s="180">
        <f t="shared" si="19"/>
        <v>0</v>
      </c>
    </row>
    <row r="301" spans="1:4" x14ac:dyDescent="0.25">
      <c r="A301" t="str">
        <f t="shared" si="16"/>
        <v>Tevin Coleman</v>
      </c>
      <c r="B301" s="75">
        <f t="shared" si="17"/>
        <v>0</v>
      </c>
      <c r="C301" s="75">
        <f t="shared" si="18"/>
        <v>0</v>
      </c>
      <c r="D301" s="180">
        <f t="shared" si="19"/>
        <v>0</v>
      </c>
    </row>
    <row r="302" spans="1:4" x14ac:dyDescent="0.25">
      <c r="A302" t="str">
        <f t="shared" si="16"/>
        <v>Travis Homer</v>
      </c>
      <c r="B302" s="75">
        <f t="shared" si="17"/>
        <v>0</v>
      </c>
      <c r="C302" s="75">
        <f t="shared" si="18"/>
        <v>0</v>
      </c>
      <c r="D302" s="180">
        <f t="shared" si="19"/>
        <v>0</v>
      </c>
    </row>
    <row r="303" spans="1:4" x14ac:dyDescent="0.25">
      <c r="A303" t="str">
        <f t="shared" si="16"/>
        <v>Tyler Goodson</v>
      </c>
      <c r="B303" s="75">
        <f t="shared" si="17"/>
        <v>0</v>
      </c>
      <c r="C303" s="75">
        <f t="shared" si="18"/>
        <v>0</v>
      </c>
      <c r="D303" s="180">
        <f t="shared" si="19"/>
        <v>0</v>
      </c>
    </row>
    <row r="304" spans="1:4" x14ac:dyDescent="0.25">
      <c r="A304" t="str">
        <f t="shared" si="16"/>
        <v>Tyrion Davis-Price</v>
      </c>
      <c r="B304" s="75">
        <f t="shared" si="17"/>
        <v>0</v>
      </c>
      <c r="C304" s="75">
        <f t="shared" si="18"/>
        <v>0</v>
      </c>
      <c r="D304" s="180">
        <f t="shared" si="19"/>
        <v>0</v>
      </c>
    </row>
    <row r="305" spans="1:4" x14ac:dyDescent="0.25">
      <c r="A305" t="str">
        <f t="shared" si="16"/>
        <v>Van Jefferson</v>
      </c>
      <c r="B305" s="75">
        <f t="shared" si="17"/>
        <v>0</v>
      </c>
      <c r="C305" s="75">
        <f t="shared" si="18"/>
        <v>0</v>
      </c>
      <c r="D305" s="180">
        <f t="shared" si="19"/>
        <v>0</v>
      </c>
    </row>
    <row r="306" spans="1:4" x14ac:dyDescent="0.25">
      <c r="A306" t="str">
        <f t="shared" si="16"/>
        <v>Wan'Dale Robinson</v>
      </c>
      <c r="B306" s="75">
        <f t="shared" si="17"/>
        <v>0</v>
      </c>
      <c r="C306" s="75">
        <f t="shared" si="18"/>
        <v>0</v>
      </c>
      <c r="D306" s="180">
        <f t="shared" si="19"/>
        <v>0</v>
      </c>
    </row>
    <row r="307" spans="1:4" x14ac:dyDescent="0.25">
      <c r="A307" t="str">
        <f t="shared" si="16"/>
        <v>Washington Commanders</v>
      </c>
      <c r="B307" s="75">
        <f t="shared" si="17"/>
        <v>0</v>
      </c>
      <c r="C307" s="75">
        <f t="shared" si="18"/>
        <v>0</v>
      </c>
      <c r="D307" s="180">
        <f t="shared" si="19"/>
        <v>0</v>
      </c>
    </row>
    <row r="308" spans="1:4" x14ac:dyDescent="0.25">
      <c r="A308" t="str">
        <f t="shared" si="16"/>
        <v>Wil Lutz</v>
      </c>
      <c r="B308" s="75">
        <f t="shared" si="17"/>
        <v>1</v>
      </c>
      <c r="C308" s="75">
        <f t="shared" si="18"/>
        <v>0</v>
      </c>
      <c r="D308" s="180">
        <f t="shared" si="19"/>
        <v>0</v>
      </c>
    </row>
    <row r="309" spans="1:4" x14ac:dyDescent="0.25">
      <c r="A309" t="str">
        <f t="shared" si="16"/>
        <v>Younghoe Koo</v>
      </c>
      <c r="B309" s="75">
        <f t="shared" si="17"/>
        <v>1</v>
      </c>
      <c r="C309" s="75">
        <f t="shared" si="18"/>
        <v>0</v>
      </c>
      <c r="D309" s="180">
        <f t="shared" si="19"/>
        <v>0</v>
      </c>
    </row>
    <row r="310" spans="1:4" x14ac:dyDescent="0.25">
      <c r="A310" t="str">
        <f t="shared" si="16"/>
        <v>Zach Wilson</v>
      </c>
      <c r="B310" s="75">
        <f t="shared" si="17"/>
        <v>0</v>
      </c>
      <c r="C310" s="75">
        <f t="shared" si="18"/>
        <v>0</v>
      </c>
      <c r="D310" s="180">
        <f t="shared" si="19"/>
        <v>0</v>
      </c>
    </row>
    <row r="311" spans="1:4" x14ac:dyDescent="0.25">
      <c r="A311" t="str">
        <f t="shared" si="16"/>
        <v>Zay Jones</v>
      </c>
      <c r="B311" s="75">
        <f t="shared" si="17"/>
        <v>0</v>
      </c>
      <c r="C311" s="75">
        <f t="shared" si="18"/>
        <v>0</v>
      </c>
      <c r="D311" s="180">
        <f t="shared" si="19"/>
        <v>0</v>
      </c>
    </row>
    <row r="312" spans="1:4" x14ac:dyDescent="0.25">
      <c r="A312" t="str">
        <f t="shared" si="16"/>
        <v>Kenny Pickett</v>
      </c>
      <c r="B312" s="75">
        <f t="shared" si="17"/>
        <v>1</v>
      </c>
      <c r="C312" s="75">
        <f t="shared" si="18"/>
        <v>0</v>
      </c>
      <c r="D312" s="180">
        <f t="shared" si="19"/>
        <v>0</v>
      </c>
    </row>
    <row r="313" spans="1:4" x14ac:dyDescent="0.25">
      <c r="A313" t="str">
        <f t="shared" si="16"/>
        <v>Rob Gronkowski</v>
      </c>
      <c r="B313" s="75">
        <f t="shared" si="17"/>
        <v>2</v>
      </c>
      <c r="C313" s="75">
        <f t="shared" si="18"/>
        <v>0</v>
      </c>
      <c r="D313" s="180">
        <f t="shared" si="19"/>
        <v>0</v>
      </c>
    </row>
    <row r="314" spans="1:4" x14ac:dyDescent="0.25">
      <c r="A314" t="str">
        <f t="shared" si="16"/>
        <v>Taysom Hill</v>
      </c>
      <c r="B314" s="75">
        <f t="shared" si="17"/>
        <v>1</v>
      </c>
      <c r="C314" s="75">
        <f t="shared" si="18"/>
        <v>0</v>
      </c>
      <c r="D314" s="180">
        <f t="shared" si="19"/>
        <v>0</v>
      </c>
    </row>
    <row r="315" spans="1:4" x14ac:dyDescent="0.25">
      <c r="A315" t="str">
        <f t="shared" si="16"/>
        <v>Greg Zuerlein</v>
      </c>
      <c r="B315" s="75">
        <f t="shared" si="17"/>
        <v>1</v>
      </c>
      <c r="C315" s="75">
        <f t="shared" si="18"/>
        <v>0</v>
      </c>
      <c r="D315" s="180">
        <f t="shared" si="19"/>
        <v>0</v>
      </c>
    </row>
    <row r="316" spans="1:4" x14ac:dyDescent="0.25">
      <c r="A316" t="str">
        <f t="shared" si="16"/>
        <v>Odell Beckham Jr.</v>
      </c>
      <c r="B316" s="75">
        <f t="shared" si="17"/>
        <v>1</v>
      </c>
      <c r="C316" s="75">
        <f t="shared" si="18"/>
        <v>0</v>
      </c>
      <c r="D316" s="180">
        <f t="shared" si="19"/>
        <v>0</v>
      </c>
    </row>
    <row r="317" spans="1:4" x14ac:dyDescent="0.25">
      <c r="A317" t="str">
        <f t="shared" si="16"/>
        <v>Cade York</v>
      </c>
      <c r="B317" s="75">
        <f t="shared" si="17"/>
        <v>1</v>
      </c>
      <c r="C317" s="75">
        <f t="shared" si="18"/>
        <v>0</v>
      </c>
      <c r="D317" s="180">
        <f t="shared" si="19"/>
        <v>0</v>
      </c>
    </row>
    <row r="318" spans="1:4" x14ac:dyDescent="0.25">
      <c r="A318" t="str">
        <f t="shared" si="16"/>
        <v>Washington Football Team</v>
      </c>
      <c r="B318" s="75">
        <f t="shared" si="17"/>
        <v>1</v>
      </c>
      <c r="C318" s="75">
        <f t="shared" si="18"/>
        <v>0</v>
      </c>
      <c r="D318" s="180">
        <f t="shared" si="19"/>
        <v>0</v>
      </c>
    </row>
    <row r="319" spans="1:4" x14ac:dyDescent="0.25">
      <c r="A319" t="str">
        <f t="shared" si="16"/>
        <v>Brian Robinson</v>
      </c>
      <c r="B319" s="75">
        <f t="shared" si="17"/>
        <v>0</v>
      </c>
      <c r="C319" s="75">
        <f t="shared" si="18"/>
        <v>1</v>
      </c>
      <c r="D319" s="180">
        <f t="shared" si="19"/>
        <v>0</v>
      </c>
    </row>
    <row r="320" spans="1:4" x14ac:dyDescent="0.25">
      <c r="A320" t="str">
        <f t="shared" si="16"/>
        <v>Bills 0</v>
      </c>
      <c r="B320" s="75">
        <f t="shared" si="17"/>
        <v>4</v>
      </c>
      <c r="C320" s="75">
        <f t="shared" si="18"/>
        <v>0</v>
      </c>
      <c r="D320" s="180">
        <f t="shared" si="19"/>
        <v>0</v>
      </c>
    </row>
    <row r="321" spans="1:4" x14ac:dyDescent="0.25">
      <c r="A321" t="str">
        <f t="shared" si="16"/>
        <v>Saints 0</v>
      </c>
      <c r="B321" s="75">
        <f t="shared" si="17"/>
        <v>2</v>
      </c>
      <c r="C321" s="75">
        <f t="shared" si="18"/>
        <v>0</v>
      </c>
      <c r="D321" s="180">
        <f t="shared" si="19"/>
        <v>0</v>
      </c>
    </row>
    <row r="322" spans="1:4" x14ac:dyDescent="0.25">
      <c r="A322" t="str">
        <f t="shared" ref="A322:A385" si="20">_xlfn.CONCAT(TRIM(H1436)," ",TRIM(I1436),IF(ISNUMBER(J1436),"",_xlfn.CONCAT(" ",TRIM(J1436))))</f>
        <v>Packers 0</v>
      </c>
      <c r="B322" s="75">
        <f t="shared" ref="B322:B385" si="21">IF(ISNUMBER(J1436),J1436,K1436)</f>
        <v>2</v>
      </c>
      <c r="C322" s="75">
        <f t="shared" ref="C322:C385" si="22">IF(ISNUMBER(J1436),K1436,L1436)</f>
        <v>0</v>
      </c>
      <c r="D322" s="180">
        <f t="shared" ref="D322:D385" si="23">IF(ISNUMBER(J1436),L1436,M1436)</f>
        <v>0</v>
      </c>
    </row>
    <row r="323" spans="1:4" x14ac:dyDescent="0.25">
      <c r="A323" t="str">
        <f t="shared" si="20"/>
        <v>Ravens 0</v>
      </c>
      <c r="B323" s="75">
        <f t="shared" si="21"/>
        <v>2</v>
      </c>
      <c r="C323" s="75">
        <f t="shared" si="22"/>
        <v>0</v>
      </c>
      <c r="D323" s="180">
        <f t="shared" si="23"/>
        <v>0</v>
      </c>
    </row>
    <row r="324" spans="1:4" x14ac:dyDescent="0.25">
      <c r="A324" t="str">
        <f t="shared" si="20"/>
        <v>Buccaneers 0</v>
      </c>
      <c r="B324" s="75">
        <f t="shared" si="21"/>
        <v>2</v>
      </c>
      <c r="C324" s="75">
        <f t="shared" si="22"/>
        <v>0</v>
      </c>
      <c r="D324" s="180">
        <f t="shared" si="23"/>
        <v>0</v>
      </c>
    </row>
    <row r="325" spans="1:4" x14ac:dyDescent="0.25">
      <c r="A325" t="str">
        <f t="shared" si="20"/>
        <v>49ers 0</v>
      </c>
      <c r="B325" s="75">
        <f t="shared" si="21"/>
        <v>2</v>
      </c>
      <c r="C325" s="75">
        <f t="shared" si="22"/>
        <v>0</v>
      </c>
      <c r="D325" s="180">
        <f t="shared" si="23"/>
        <v>0</v>
      </c>
    </row>
    <row r="326" spans="1:4" x14ac:dyDescent="0.25">
      <c r="A326" t="str">
        <f t="shared" si="20"/>
        <v>Cowboys 0</v>
      </c>
      <c r="B326" s="75">
        <f t="shared" si="21"/>
        <v>1</v>
      </c>
      <c r="C326" s="75">
        <f t="shared" si="22"/>
        <v>0</v>
      </c>
      <c r="D326" s="180">
        <f t="shared" si="23"/>
        <v>0</v>
      </c>
    </row>
    <row r="327" spans="1:4" x14ac:dyDescent="0.25">
      <c r="A327" t="str">
        <f t="shared" si="20"/>
        <v>Colts 0</v>
      </c>
      <c r="B327" s="75">
        <f t="shared" si="21"/>
        <v>1</v>
      </c>
      <c r="C327" s="75">
        <f t="shared" si="22"/>
        <v>0</v>
      </c>
      <c r="D327" s="180">
        <f t="shared" si="23"/>
        <v>0</v>
      </c>
    </row>
    <row r="328" spans="1:4" x14ac:dyDescent="0.25">
      <c r="A328" t="str">
        <f t="shared" si="20"/>
        <v>Steelers 0</v>
      </c>
      <c r="B328" s="75">
        <f t="shared" si="21"/>
        <v>1</v>
      </c>
      <c r="C328" s="75">
        <f t="shared" si="22"/>
        <v>0</v>
      </c>
      <c r="D328" s="180">
        <f t="shared" si="23"/>
        <v>0</v>
      </c>
    </row>
    <row r="329" spans="1:4" x14ac:dyDescent="0.25">
      <c r="A329" t="str">
        <f t="shared" si="20"/>
        <v>Commanders 0</v>
      </c>
      <c r="B329" s="75">
        <f t="shared" si="21"/>
        <v>1</v>
      </c>
      <c r="C329" s="75">
        <f t="shared" si="22"/>
        <v>0</v>
      </c>
      <c r="D329" s="180">
        <f t="shared" si="23"/>
        <v>0</v>
      </c>
    </row>
    <row r="330" spans="1:4" x14ac:dyDescent="0.25">
      <c r="A330" t="str">
        <f t="shared" si="20"/>
        <v>Chargers 0</v>
      </c>
      <c r="B330" s="75">
        <f t="shared" si="21"/>
        <v>1</v>
      </c>
      <c r="C330" s="75">
        <f t="shared" si="22"/>
        <v>0</v>
      </c>
      <c r="D330" s="180">
        <f t="shared" si="23"/>
        <v>0</v>
      </c>
    </row>
    <row r="331" spans="1:4" x14ac:dyDescent="0.25">
      <c r="A331" t="str">
        <f t="shared" si="20"/>
        <v>Bengals 0</v>
      </c>
      <c r="B331" s="75">
        <f t="shared" si="21"/>
        <v>0</v>
      </c>
      <c r="C331" s="75">
        <f t="shared" si="22"/>
        <v>0</v>
      </c>
      <c r="D331" s="180">
        <f t="shared" si="23"/>
        <v>0</v>
      </c>
    </row>
    <row r="332" spans="1:4" x14ac:dyDescent="0.25">
      <c r="A332" t="str">
        <f t="shared" si="20"/>
        <v>Ty Montgomery</v>
      </c>
      <c r="B332" s="75">
        <f t="shared" si="21"/>
        <v>0</v>
      </c>
      <c r="C332" s="75">
        <f t="shared" si="22"/>
        <v>0</v>
      </c>
      <c r="D332" s="180">
        <f t="shared" si="23"/>
        <v>0</v>
      </c>
    </row>
    <row r="333" spans="1:4" x14ac:dyDescent="0.25">
      <c r="A333" t="str">
        <f t="shared" si="20"/>
        <v>Dolphins 0</v>
      </c>
      <c r="B333" s="75">
        <f t="shared" si="21"/>
        <v>0</v>
      </c>
      <c r="C333" s="75">
        <f t="shared" si="22"/>
        <v>0</v>
      </c>
      <c r="D333" s="180">
        <f t="shared" si="23"/>
        <v>0</v>
      </c>
    </row>
    <row r="334" spans="1:4" x14ac:dyDescent="0.25">
      <c r="A334" t="str">
        <f t="shared" si="20"/>
        <v>Browns 0</v>
      </c>
      <c r="B334" s="75">
        <f t="shared" si="21"/>
        <v>0</v>
      </c>
      <c r="C334" s="75">
        <f t="shared" si="22"/>
        <v>0</v>
      </c>
      <c r="D334" s="180">
        <f t="shared" si="23"/>
        <v>0</v>
      </c>
    </row>
    <row r="335" spans="1:4" x14ac:dyDescent="0.25">
      <c r="A335" t="str">
        <f t="shared" si="20"/>
        <v>Velus Jones Jr.</v>
      </c>
      <c r="B335" s="75">
        <f t="shared" si="21"/>
        <v>0</v>
      </c>
      <c r="C335" s="75">
        <f t="shared" si="22"/>
        <v>0</v>
      </c>
      <c r="D335" s="180">
        <f t="shared" si="23"/>
        <v>0</v>
      </c>
    </row>
    <row r="336" spans="1:4" x14ac:dyDescent="0.25">
      <c r="A336" t="str">
        <f t="shared" si="20"/>
        <v>DeeJay Dallas</v>
      </c>
      <c r="B336" s="75">
        <f t="shared" si="21"/>
        <v>0</v>
      </c>
      <c r="C336" s="75">
        <f t="shared" si="22"/>
        <v>0</v>
      </c>
      <c r="D336" s="180">
        <f t="shared" si="23"/>
        <v>0</v>
      </c>
    </row>
    <row r="337" spans="1:4" x14ac:dyDescent="0.25">
      <c r="A337" t="str">
        <f t="shared" si="20"/>
        <v>Dee Eskridge</v>
      </c>
      <c r="B337" s="75">
        <f t="shared" si="21"/>
        <v>0</v>
      </c>
      <c r="C337" s="75">
        <f t="shared" si="22"/>
        <v>0</v>
      </c>
      <c r="D337" s="180">
        <f t="shared" si="23"/>
        <v>0</v>
      </c>
    </row>
    <row r="338" spans="1:4" x14ac:dyDescent="0.25">
      <c r="A338" t="str">
        <f t="shared" si="20"/>
        <v>Patriots 0</v>
      </c>
      <c r="B338" s="75">
        <f t="shared" si="21"/>
        <v>0</v>
      </c>
      <c r="C338" s="75">
        <f t="shared" si="22"/>
        <v>0</v>
      </c>
      <c r="D338" s="180">
        <f t="shared" si="23"/>
        <v>0</v>
      </c>
    </row>
    <row r="339" spans="1:4" x14ac:dyDescent="0.25">
      <c r="A339" t="str">
        <f t="shared" si="20"/>
        <v>Eagles 0</v>
      </c>
      <c r="B339" s="75">
        <f t="shared" si="21"/>
        <v>0</v>
      </c>
      <c r="C339" s="75">
        <f t="shared" si="22"/>
        <v>0</v>
      </c>
      <c r="D339" s="180">
        <f t="shared" si="23"/>
        <v>0</v>
      </c>
    </row>
    <row r="340" spans="1:4" x14ac:dyDescent="0.25">
      <c r="A340" t="str">
        <f t="shared" si="20"/>
        <v>Tyler Conklin</v>
      </c>
      <c r="B340" s="75">
        <f t="shared" si="21"/>
        <v>0</v>
      </c>
      <c r="C340" s="75">
        <f t="shared" si="22"/>
        <v>0</v>
      </c>
      <c r="D340" s="180">
        <f t="shared" si="23"/>
        <v>0</v>
      </c>
    </row>
    <row r="341" spans="1:4" x14ac:dyDescent="0.25">
      <c r="A341" t="str">
        <f t="shared" si="20"/>
        <v>Isaiah Likely</v>
      </c>
      <c r="B341" s="75">
        <f t="shared" si="21"/>
        <v>0</v>
      </c>
      <c r="C341" s="75">
        <f t="shared" si="22"/>
        <v>0</v>
      </c>
      <c r="D341" s="180">
        <f t="shared" si="23"/>
        <v>0</v>
      </c>
    </row>
    <row r="342" spans="1:4" x14ac:dyDescent="0.25">
      <c r="A342" t="str">
        <f t="shared" si="20"/>
        <v>Terrace Marshall Jr.</v>
      </c>
      <c r="B342" s="75">
        <f t="shared" si="21"/>
        <v>0</v>
      </c>
      <c r="C342" s="75">
        <f t="shared" si="22"/>
        <v>0</v>
      </c>
      <c r="D342" s="180">
        <f t="shared" si="23"/>
        <v>0</v>
      </c>
    </row>
    <row r="343" spans="1:4" x14ac:dyDescent="0.25">
      <c r="A343" t="str">
        <f t="shared" si="20"/>
        <v>Jauan Jennings</v>
      </c>
      <c r="B343" s="75">
        <f t="shared" si="21"/>
        <v>0</v>
      </c>
      <c r="C343" s="75">
        <f t="shared" si="22"/>
        <v>0</v>
      </c>
      <c r="D343" s="180">
        <f t="shared" si="23"/>
        <v>0</v>
      </c>
    </row>
    <row r="344" spans="1:4" x14ac:dyDescent="0.25">
      <c r="A344" t="str">
        <f t="shared" si="20"/>
        <v>Giovani Bernard</v>
      </c>
      <c r="B344" s="75">
        <f t="shared" si="21"/>
        <v>0</v>
      </c>
      <c r="C344" s="75">
        <f t="shared" si="22"/>
        <v>0</v>
      </c>
      <c r="D344" s="180">
        <f t="shared" si="23"/>
        <v>0</v>
      </c>
    </row>
    <row r="345" spans="1:4" x14ac:dyDescent="0.25">
      <c r="A345" t="str">
        <f t="shared" si="20"/>
        <v>Dwayne Washington</v>
      </c>
      <c r="B345" s="75">
        <f t="shared" si="21"/>
        <v>0</v>
      </c>
      <c r="C345" s="75">
        <f t="shared" si="22"/>
        <v>0</v>
      </c>
      <c r="D345" s="180">
        <f t="shared" si="23"/>
        <v>0</v>
      </c>
    </row>
    <row r="346" spans="1:4" x14ac:dyDescent="0.25">
      <c r="A346" t="str">
        <f t="shared" si="20"/>
        <v>Rico Dowdle</v>
      </c>
      <c r="B346" s="75">
        <f t="shared" si="21"/>
        <v>0</v>
      </c>
      <c r="C346" s="75">
        <f t="shared" si="22"/>
        <v>0</v>
      </c>
      <c r="D346" s="180">
        <f t="shared" si="23"/>
        <v>0</v>
      </c>
    </row>
    <row r="347" spans="1:4" x14ac:dyDescent="0.25">
      <c r="A347" t="str">
        <f t="shared" si="20"/>
        <v>Benny Snell Jr.</v>
      </c>
      <c r="B347" s="75">
        <f t="shared" si="21"/>
        <v>0</v>
      </c>
      <c r="C347" s="75">
        <f t="shared" si="22"/>
        <v>0</v>
      </c>
      <c r="D347" s="180">
        <f t="shared" si="23"/>
        <v>0</v>
      </c>
    </row>
    <row r="348" spans="1:4" x14ac:dyDescent="0.25">
      <c r="A348" t="str">
        <f t="shared" si="20"/>
        <v>Snoop Conner</v>
      </c>
      <c r="B348" s="75">
        <f t="shared" si="21"/>
        <v>0</v>
      </c>
      <c r="C348" s="75">
        <f t="shared" si="22"/>
        <v>0</v>
      </c>
      <c r="D348" s="180">
        <f t="shared" si="23"/>
        <v>0</v>
      </c>
    </row>
    <row r="349" spans="1:4" x14ac:dyDescent="0.25">
      <c r="A349" t="str">
        <f t="shared" si="20"/>
        <v>Kene Nwangwu</v>
      </c>
      <c r="B349" s="75">
        <f t="shared" si="21"/>
        <v>0</v>
      </c>
      <c r="C349" s="75">
        <f t="shared" si="22"/>
        <v>0</v>
      </c>
      <c r="D349" s="180">
        <f t="shared" si="23"/>
        <v>0</v>
      </c>
    </row>
    <row r="350" spans="1:4" x14ac:dyDescent="0.25">
      <c r="A350" t="str">
        <f t="shared" si="20"/>
        <v>Larry Rountree III</v>
      </c>
      <c r="B350" s="75">
        <f t="shared" si="21"/>
        <v>0</v>
      </c>
      <c r="C350" s="75">
        <f t="shared" si="22"/>
        <v>0</v>
      </c>
      <c r="D350" s="180">
        <f t="shared" si="23"/>
        <v>0</v>
      </c>
    </row>
    <row r="351" spans="1:4" x14ac:dyDescent="0.25">
      <c r="A351" t="str">
        <f t="shared" si="20"/>
        <v>Anthony Schwartz</v>
      </c>
      <c r="B351" s="75">
        <f t="shared" si="21"/>
        <v>0</v>
      </c>
      <c r="C351" s="75">
        <f t="shared" si="22"/>
        <v>0</v>
      </c>
      <c r="D351" s="180">
        <f t="shared" si="23"/>
        <v>0</v>
      </c>
    </row>
    <row r="352" spans="1:4" x14ac:dyDescent="0.25">
      <c r="A352" t="str">
        <f t="shared" si="20"/>
        <v>Rams 0</v>
      </c>
      <c r="B352" s="75">
        <f t="shared" si="21"/>
        <v>1</v>
      </c>
      <c r="C352" s="75">
        <f t="shared" si="22"/>
        <v>0</v>
      </c>
      <c r="D352" s="180">
        <f t="shared" si="23"/>
        <v>0</v>
      </c>
    </row>
    <row r="353" spans="1:4" x14ac:dyDescent="0.25">
      <c r="A353" t="str">
        <f t="shared" si="20"/>
        <v>Titans 0</v>
      </c>
      <c r="B353" s="75">
        <f t="shared" si="21"/>
        <v>0</v>
      </c>
      <c r="C353" s="75">
        <f t="shared" si="22"/>
        <v>0</v>
      </c>
      <c r="D353" s="180">
        <f t="shared" si="23"/>
        <v>0</v>
      </c>
    </row>
    <row r="354" spans="1:4" x14ac:dyDescent="0.25">
      <c r="A354" t="str">
        <f t="shared" si="20"/>
        <v>Tommy Tremble</v>
      </c>
      <c r="B354" s="75">
        <f t="shared" si="21"/>
        <v>0</v>
      </c>
      <c r="C354" s="75">
        <f t="shared" si="22"/>
        <v>0</v>
      </c>
      <c r="D354" s="180">
        <f t="shared" si="23"/>
        <v>0</v>
      </c>
    </row>
    <row r="355" spans="1:4" x14ac:dyDescent="0.25">
      <c r="A355" t="str">
        <f t="shared" si="20"/>
        <v>Jonnu Smith</v>
      </c>
      <c r="B355" s="75">
        <f t="shared" si="21"/>
        <v>0</v>
      </c>
      <c r="C355" s="75">
        <f t="shared" si="22"/>
        <v>0</v>
      </c>
      <c r="D355" s="180">
        <f t="shared" si="23"/>
        <v>0</v>
      </c>
    </row>
    <row r="356" spans="1:4" x14ac:dyDescent="0.25">
      <c r="A356" t="str">
        <f t="shared" si="20"/>
        <v>Dan Arnold</v>
      </c>
      <c r="B356" s="75">
        <f t="shared" si="21"/>
        <v>0</v>
      </c>
      <c r="C356" s="75">
        <f t="shared" si="22"/>
        <v>0</v>
      </c>
      <c r="D356" s="180">
        <f t="shared" si="23"/>
        <v>0</v>
      </c>
    </row>
    <row r="357" spans="1:4" x14ac:dyDescent="0.25">
      <c r="A357" t="str">
        <f t="shared" si="20"/>
        <v>Keelan Cole</v>
      </c>
      <c r="B357" s="75">
        <f t="shared" si="21"/>
        <v>0</v>
      </c>
      <c r="C357" s="75">
        <f t="shared" si="22"/>
        <v>0</v>
      </c>
      <c r="D357" s="180">
        <f t="shared" si="23"/>
        <v>0</v>
      </c>
    </row>
    <row r="358" spans="1:4" x14ac:dyDescent="0.25">
      <c r="A358" t="str">
        <f t="shared" si="20"/>
        <v>Drew Lock</v>
      </c>
      <c r="B358" s="75">
        <f t="shared" si="21"/>
        <v>0</v>
      </c>
      <c r="C358" s="75">
        <f t="shared" si="22"/>
        <v>0</v>
      </c>
      <c r="D358" s="180">
        <f t="shared" si="23"/>
        <v>0</v>
      </c>
    </row>
    <row r="359" spans="1:4" x14ac:dyDescent="0.25">
      <c r="A359" t="str">
        <f t="shared" si="20"/>
        <v>Broncos 0</v>
      </c>
      <c r="B359" s="75">
        <f t="shared" si="21"/>
        <v>0</v>
      </c>
      <c r="C359" s="75">
        <f t="shared" si="22"/>
        <v>0</v>
      </c>
      <c r="D359" s="180">
        <f t="shared" si="23"/>
        <v>0</v>
      </c>
    </row>
    <row r="360" spans="1:4" x14ac:dyDescent="0.25">
      <c r="A360" t="str">
        <f t="shared" si="20"/>
        <v>Vikings 0</v>
      </c>
      <c r="B360" s="75">
        <f t="shared" si="21"/>
        <v>0</v>
      </c>
      <c r="C360" s="75">
        <f t="shared" si="22"/>
        <v>0</v>
      </c>
      <c r="D360" s="180">
        <f t="shared" si="23"/>
        <v>0</v>
      </c>
    </row>
    <row r="361" spans="1:4" x14ac:dyDescent="0.25">
      <c r="A361" t="str">
        <f t="shared" si="20"/>
        <v>Panthers 0</v>
      </c>
      <c r="B361" s="75">
        <f t="shared" si="21"/>
        <v>0</v>
      </c>
      <c r="C361" s="75">
        <f t="shared" si="22"/>
        <v>0</v>
      </c>
      <c r="D361" s="180">
        <f t="shared" si="23"/>
        <v>0</v>
      </c>
    </row>
    <row r="362" spans="1:4" x14ac:dyDescent="0.25">
      <c r="A362" t="str">
        <f t="shared" si="20"/>
        <v>Raiders 0</v>
      </c>
      <c r="B362" s="75">
        <f t="shared" si="21"/>
        <v>0</v>
      </c>
      <c r="C362" s="75">
        <f t="shared" si="22"/>
        <v>0</v>
      </c>
      <c r="D362" s="180">
        <f t="shared" si="23"/>
        <v>0</v>
      </c>
    </row>
    <row r="363" spans="1:4" x14ac:dyDescent="0.25">
      <c r="A363" t="str">
        <f t="shared" si="20"/>
        <v>Gary Brightwell</v>
      </c>
      <c r="B363" s="75">
        <f t="shared" si="21"/>
        <v>0</v>
      </c>
      <c r="C363" s="75">
        <f t="shared" si="22"/>
        <v>0</v>
      </c>
      <c r="D363" s="180">
        <f t="shared" si="23"/>
        <v>0</v>
      </c>
    </row>
    <row r="364" spans="1:4" x14ac:dyDescent="0.25">
      <c r="A364" t="str">
        <f t="shared" si="20"/>
        <v>Qadree Ollison</v>
      </c>
      <c r="B364" s="75">
        <f t="shared" si="21"/>
        <v>0</v>
      </c>
      <c r="C364" s="75">
        <f t="shared" si="22"/>
        <v>0</v>
      </c>
      <c r="D364" s="180">
        <f t="shared" si="23"/>
        <v>0</v>
      </c>
    </row>
    <row r="365" spans="1:4" x14ac:dyDescent="0.25">
      <c r="A365" t="str">
        <f t="shared" si="20"/>
        <v>Jaylen Warren</v>
      </c>
      <c r="B365" s="75">
        <f t="shared" si="21"/>
        <v>0</v>
      </c>
      <c r="C365" s="75">
        <f t="shared" si="22"/>
        <v>0</v>
      </c>
      <c r="D365" s="180">
        <f t="shared" si="23"/>
        <v>0</v>
      </c>
    </row>
    <row r="366" spans="1:4" x14ac:dyDescent="0.25">
      <c r="A366" t="str">
        <f t="shared" si="20"/>
        <v>Trestan Ebner</v>
      </c>
      <c r="B366" s="75">
        <f t="shared" si="21"/>
        <v>0</v>
      </c>
      <c r="C366" s="75">
        <f t="shared" si="22"/>
        <v>0</v>
      </c>
      <c r="D366" s="180">
        <f t="shared" si="23"/>
        <v>0</v>
      </c>
    </row>
    <row r="367" spans="1:4" x14ac:dyDescent="0.25">
      <c r="A367" t="str">
        <f t="shared" si="20"/>
        <v>Donald Parham Jr.</v>
      </c>
      <c r="B367" s="75">
        <f t="shared" si="21"/>
        <v>0</v>
      </c>
      <c r="C367" s="75">
        <f t="shared" si="22"/>
        <v>0</v>
      </c>
      <c r="D367" s="180">
        <f t="shared" si="23"/>
        <v>0</v>
      </c>
    </row>
    <row r="368" spans="1:4" x14ac:dyDescent="0.25">
      <c r="A368" t="str">
        <f t="shared" si="20"/>
        <v>Harrison Bryant</v>
      </c>
      <c r="B368" s="75">
        <f t="shared" si="21"/>
        <v>0</v>
      </c>
      <c r="C368" s="75">
        <f t="shared" si="22"/>
        <v>0</v>
      </c>
      <c r="D368" s="180">
        <f t="shared" si="23"/>
        <v>0</v>
      </c>
    </row>
    <row r="369" spans="1:4" x14ac:dyDescent="0.25">
      <c r="A369" t="str">
        <f t="shared" si="20"/>
        <v>Desmond Ridder</v>
      </c>
      <c r="B369" s="75">
        <f t="shared" si="21"/>
        <v>0</v>
      </c>
      <c r="C369" s="75">
        <f t="shared" si="22"/>
        <v>0</v>
      </c>
      <c r="D369" s="180">
        <f t="shared" si="23"/>
        <v>0</v>
      </c>
    </row>
    <row r="370" spans="1:4" x14ac:dyDescent="0.25">
      <c r="A370" t="str">
        <f t="shared" si="20"/>
        <v>Jimmy Garoppolo</v>
      </c>
      <c r="B370" s="75">
        <f t="shared" si="21"/>
        <v>0</v>
      </c>
      <c r="C370" s="75">
        <f t="shared" si="22"/>
        <v>0</v>
      </c>
      <c r="D370" s="180">
        <f t="shared" si="23"/>
        <v>0</v>
      </c>
    </row>
    <row r="371" spans="1:4" x14ac:dyDescent="0.25">
      <c r="A371" t="str">
        <f t="shared" si="20"/>
        <v>Sam Darnold</v>
      </c>
      <c r="B371" s="75">
        <f t="shared" si="21"/>
        <v>0</v>
      </c>
      <c r="C371" s="75">
        <f t="shared" si="22"/>
        <v>0</v>
      </c>
      <c r="D371" s="180">
        <f t="shared" si="23"/>
        <v>0</v>
      </c>
    </row>
    <row r="372" spans="1:4" x14ac:dyDescent="0.25">
      <c r="A372" t="str">
        <f t="shared" si="20"/>
        <v>Teddy Bridgewater</v>
      </c>
      <c r="B372" s="75">
        <f t="shared" si="21"/>
        <v>0</v>
      </c>
      <c r="C372" s="75">
        <f t="shared" si="22"/>
        <v>0</v>
      </c>
      <c r="D372" s="180">
        <f t="shared" si="23"/>
        <v>0</v>
      </c>
    </row>
    <row r="373" spans="1:4" x14ac:dyDescent="0.25">
      <c r="A373" t="str">
        <f t="shared" si="20"/>
        <v>Gardner Minshew II</v>
      </c>
      <c r="B373" s="75">
        <f t="shared" si="21"/>
        <v>0</v>
      </c>
      <c r="C373" s="75">
        <f t="shared" si="22"/>
        <v>0</v>
      </c>
      <c r="D373" s="180">
        <f t="shared" si="23"/>
        <v>0</v>
      </c>
    </row>
    <row r="374" spans="1:4" x14ac:dyDescent="0.25">
      <c r="A374" t="str">
        <f t="shared" si="20"/>
        <v>Dare Ogunbowale</v>
      </c>
      <c r="B374" s="75">
        <f t="shared" si="21"/>
        <v>0</v>
      </c>
      <c r="C374" s="75">
        <f t="shared" si="22"/>
        <v>0</v>
      </c>
      <c r="D374" s="180">
        <f t="shared" si="23"/>
        <v>0</v>
      </c>
    </row>
    <row r="375" spans="1:4" x14ac:dyDescent="0.25">
      <c r="A375" t="str">
        <f t="shared" si="20"/>
        <v>Antonio Williams</v>
      </c>
      <c r="B375" s="75">
        <f t="shared" si="21"/>
        <v>0</v>
      </c>
      <c r="C375" s="75">
        <f t="shared" si="22"/>
        <v>0</v>
      </c>
      <c r="D375" s="180">
        <f t="shared" si="23"/>
        <v>0</v>
      </c>
    </row>
    <row r="376" spans="1:4" x14ac:dyDescent="0.25">
      <c r="A376" t="str">
        <f t="shared" si="20"/>
        <v>Daniel Bellinger</v>
      </c>
      <c r="B376" s="75">
        <f t="shared" si="21"/>
        <v>0</v>
      </c>
      <c r="C376" s="75">
        <f t="shared" si="22"/>
        <v>0</v>
      </c>
      <c r="D376" s="180">
        <f t="shared" si="23"/>
        <v>0</v>
      </c>
    </row>
    <row r="377" spans="1:4" x14ac:dyDescent="0.25">
      <c r="A377" t="str">
        <f t="shared" si="20"/>
        <v>John Bates</v>
      </c>
      <c r="B377" s="75">
        <f t="shared" si="21"/>
        <v>0</v>
      </c>
      <c r="C377" s="75">
        <f t="shared" si="22"/>
        <v>0</v>
      </c>
      <c r="D377" s="180">
        <f t="shared" si="23"/>
        <v>0</v>
      </c>
    </row>
    <row r="378" spans="1:4" x14ac:dyDescent="0.25">
      <c r="A378" t="str">
        <f t="shared" si="20"/>
        <v>Kylen Granson</v>
      </c>
      <c r="B378" s="75">
        <f t="shared" si="21"/>
        <v>0</v>
      </c>
      <c r="C378" s="75">
        <f t="shared" si="22"/>
        <v>0</v>
      </c>
      <c r="D378" s="180">
        <f t="shared" si="23"/>
        <v>0</v>
      </c>
    </row>
    <row r="379" spans="1:4" x14ac:dyDescent="0.25">
      <c r="A379" t="str">
        <f t="shared" si="20"/>
        <v>Cade Otton</v>
      </c>
      <c r="B379" s="75">
        <f t="shared" si="21"/>
        <v>0</v>
      </c>
      <c r="C379" s="75">
        <f t="shared" si="22"/>
        <v>0</v>
      </c>
      <c r="D379" s="180">
        <f t="shared" si="23"/>
        <v>0</v>
      </c>
    </row>
    <row r="380" spans="1:4" x14ac:dyDescent="0.25">
      <c r="A380" t="str">
        <f t="shared" si="20"/>
        <v>Trey McBride</v>
      </c>
      <c r="B380" s="75">
        <f t="shared" si="21"/>
        <v>0</v>
      </c>
      <c r="C380" s="75">
        <f t="shared" si="22"/>
        <v>0</v>
      </c>
      <c r="D380" s="180">
        <f t="shared" si="23"/>
        <v>0</v>
      </c>
    </row>
    <row r="381" spans="1:4" x14ac:dyDescent="0.25">
      <c r="A381" t="str">
        <f t="shared" si="20"/>
        <v>Greg Dulcich</v>
      </c>
      <c r="B381" s="75">
        <f t="shared" si="21"/>
        <v>0</v>
      </c>
      <c r="C381" s="75">
        <f t="shared" si="22"/>
        <v>0</v>
      </c>
      <c r="D381" s="180">
        <f t="shared" si="23"/>
        <v>0</v>
      </c>
    </row>
    <row r="382" spans="1:4" x14ac:dyDescent="0.25">
      <c r="A382" t="str">
        <f t="shared" si="20"/>
        <v>Foster Moreau</v>
      </c>
      <c r="B382" s="75">
        <f t="shared" si="21"/>
        <v>0</v>
      </c>
      <c r="C382" s="75">
        <f t="shared" si="22"/>
        <v>0</v>
      </c>
      <c r="D382" s="180">
        <f t="shared" si="23"/>
        <v>0</v>
      </c>
    </row>
    <row r="383" spans="1:4" x14ac:dyDescent="0.25">
      <c r="A383" t="str">
        <f t="shared" si="20"/>
        <v>Josiah Deguara</v>
      </c>
      <c r="B383" s="75">
        <f t="shared" si="21"/>
        <v>0</v>
      </c>
      <c r="C383" s="75">
        <f t="shared" si="22"/>
        <v>0</v>
      </c>
      <c r="D383" s="180">
        <f t="shared" si="23"/>
        <v>0</v>
      </c>
    </row>
    <row r="384" spans="1:4" x14ac:dyDescent="0.25">
      <c r="A384" t="str">
        <f t="shared" si="20"/>
        <v>Will Dissly</v>
      </c>
      <c r="B384" s="75">
        <f t="shared" si="21"/>
        <v>0</v>
      </c>
      <c r="C384" s="75">
        <f t="shared" si="22"/>
        <v>0</v>
      </c>
      <c r="D384" s="180">
        <f t="shared" si="23"/>
        <v>0</v>
      </c>
    </row>
    <row r="385" spans="1:4" x14ac:dyDescent="0.25">
      <c r="A385" t="str">
        <f t="shared" si="20"/>
        <v>O.J. Howard</v>
      </c>
      <c r="B385" s="75">
        <f t="shared" si="21"/>
        <v>0</v>
      </c>
      <c r="C385" s="75">
        <f t="shared" si="22"/>
        <v>0</v>
      </c>
      <c r="D385" s="180">
        <f t="shared" si="23"/>
        <v>0</v>
      </c>
    </row>
    <row r="386" spans="1:4" x14ac:dyDescent="0.25">
      <c r="A386" t="str">
        <f t="shared" ref="A386:A449" si="24">_xlfn.CONCAT(TRIM(H1500)," ",TRIM(I1500),IF(ISNUMBER(J1500),"",_xlfn.CONCAT(" ",TRIM(J1500))))</f>
        <v>Jelani Woods</v>
      </c>
      <c r="B386" s="75">
        <f t="shared" ref="B386:B449" si="25">IF(ISNUMBER(J1500),J1500,K1500)</f>
        <v>0</v>
      </c>
      <c r="C386" s="75">
        <f t="shared" ref="C386:C449" si="26">IF(ISNUMBER(J1500),K1500,L1500)</f>
        <v>0</v>
      </c>
      <c r="D386" s="180">
        <f t="shared" ref="D386:D449" si="27">IF(ISNUMBER(J1500),L1500,M1500)</f>
        <v>0</v>
      </c>
    </row>
    <row r="387" spans="1:4" x14ac:dyDescent="0.25">
      <c r="A387" t="str">
        <f t="shared" si="24"/>
        <v>Tyler Huntley</v>
      </c>
      <c r="B387" s="75">
        <f t="shared" si="25"/>
        <v>0</v>
      </c>
      <c r="C387" s="75">
        <f t="shared" si="26"/>
        <v>0</v>
      </c>
      <c r="D387" s="180">
        <f t="shared" si="27"/>
        <v>0</v>
      </c>
    </row>
    <row r="388" spans="1:4" x14ac:dyDescent="0.25">
      <c r="A388" t="str">
        <f t="shared" si="24"/>
        <v>Tyrod Taylor</v>
      </c>
      <c r="B388" s="75">
        <f t="shared" si="25"/>
        <v>0</v>
      </c>
      <c r="C388" s="75">
        <f t="shared" si="26"/>
        <v>0</v>
      </c>
      <c r="D388" s="180">
        <f t="shared" si="27"/>
        <v>0</v>
      </c>
    </row>
    <row r="389" spans="1:4" x14ac:dyDescent="0.25">
      <c r="A389" t="str">
        <f t="shared" si="24"/>
        <v>Malik Willis</v>
      </c>
      <c r="B389" s="75">
        <f t="shared" si="25"/>
        <v>0</v>
      </c>
      <c r="C389" s="75">
        <f t="shared" si="26"/>
        <v>0</v>
      </c>
      <c r="D389" s="180">
        <f t="shared" si="27"/>
        <v>0</v>
      </c>
    </row>
    <row r="390" spans="1:4" x14ac:dyDescent="0.25">
      <c r="A390" t="str">
        <f t="shared" si="24"/>
        <v>Jordan Love</v>
      </c>
      <c r="B390" s="75">
        <f t="shared" si="25"/>
        <v>0</v>
      </c>
      <c r="C390" s="75">
        <f t="shared" si="26"/>
        <v>0</v>
      </c>
      <c r="D390" s="180">
        <f t="shared" si="27"/>
        <v>0</v>
      </c>
    </row>
    <row r="391" spans="1:4" x14ac:dyDescent="0.25">
      <c r="A391" t="str">
        <f t="shared" si="24"/>
        <v>Andy Dalton</v>
      </c>
      <c r="B391" s="75">
        <f t="shared" si="25"/>
        <v>0</v>
      </c>
      <c r="C391" s="75">
        <f t="shared" si="26"/>
        <v>0</v>
      </c>
      <c r="D391" s="180">
        <f t="shared" si="27"/>
        <v>0</v>
      </c>
    </row>
    <row r="392" spans="1:4" x14ac:dyDescent="0.25">
      <c r="A392" t="str">
        <f t="shared" si="24"/>
        <v>Joe Flacco</v>
      </c>
      <c r="B392" s="75">
        <f t="shared" si="25"/>
        <v>0</v>
      </c>
      <c r="C392" s="75">
        <f t="shared" si="26"/>
        <v>0</v>
      </c>
      <c r="D392" s="180">
        <f t="shared" si="27"/>
        <v>0</v>
      </c>
    </row>
    <row r="393" spans="1:4" x14ac:dyDescent="0.25">
      <c r="A393" t="str">
        <f t="shared" si="24"/>
        <v>Taylor Heinicke</v>
      </c>
      <c r="B393" s="75">
        <f t="shared" si="25"/>
        <v>0</v>
      </c>
      <c r="C393" s="75">
        <f t="shared" si="26"/>
        <v>0</v>
      </c>
      <c r="D393" s="180">
        <f t="shared" si="27"/>
        <v>0</v>
      </c>
    </row>
    <row r="394" spans="1:4" x14ac:dyDescent="0.25">
      <c r="A394" t="str">
        <f t="shared" si="24"/>
        <v>Kyle Allen</v>
      </c>
      <c r="B394" s="75">
        <f t="shared" si="25"/>
        <v>0</v>
      </c>
      <c r="C394" s="75">
        <f t="shared" si="26"/>
        <v>0</v>
      </c>
      <c r="D394" s="180">
        <f t="shared" si="27"/>
        <v>0</v>
      </c>
    </row>
    <row r="395" spans="1:4" x14ac:dyDescent="0.25">
      <c r="A395" t="str">
        <f t="shared" si="24"/>
        <v>Chad Henne</v>
      </c>
      <c r="B395" s="75">
        <f t="shared" si="25"/>
        <v>0</v>
      </c>
      <c r="C395" s="75">
        <f t="shared" si="26"/>
        <v>0</v>
      </c>
      <c r="D395" s="180">
        <f t="shared" si="27"/>
        <v>0</v>
      </c>
    </row>
    <row r="396" spans="1:4" x14ac:dyDescent="0.25">
      <c r="A396" t="str">
        <f t="shared" si="24"/>
        <v>Case Keenum</v>
      </c>
      <c r="B396" s="75">
        <f t="shared" si="25"/>
        <v>0</v>
      </c>
      <c r="C396" s="75">
        <f t="shared" si="26"/>
        <v>0</v>
      </c>
      <c r="D396" s="180">
        <f t="shared" si="27"/>
        <v>0</v>
      </c>
    </row>
    <row r="397" spans="1:4" x14ac:dyDescent="0.25">
      <c r="A397" t="str">
        <f t="shared" si="24"/>
        <v>Joey Slye</v>
      </c>
      <c r="B397" s="75">
        <f t="shared" si="25"/>
        <v>0</v>
      </c>
      <c r="C397" s="75">
        <f t="shared" si="26"/>
        <v>0</v>
      </c>
      <c r="D397" s="180">
        <f t="shared" si="27"/>
        <v>0</v>
      </c>
    </row>
    <row r="398" spans="1:4" x14ac:dyDescent="0.25">
      <c r="A398" t="str">
        <f t="shared" si="24"/>
        <v>Michael Badgley</v>
      </c>
      <c r="B398" s="75">
        <f t="shared" si="25"/>
        <v>0</v>
      </c>
      <c r="C398" s="75">
        <f t="shared" si="26"/>
        <v>0</v>
      </c>
      <c r="D398" s="180">
        <f t="shared" si="27"/>
        <v>0</v>
      </c>
    </row>
    <row r="399" spans="1:4" x14ac:dyDescent="0.25">
      <c r="A399" t="str">
        <f t="shared" si="24"/>
        <v>Zane Gonzalez</v>
      </c>
      <c r="B399" s="75">
        <f t="shared" si="25"/>
        <v>0</v>
      </c>
      <c r="C399" s="75">
        <f t="shared" si="26"/>
        <v>0</v>
      </c>
      <c r="D399" s="180">
        <f t="shared" si="27"/>
        <v>0</v>
      </c>
    </row>
    <row r="400" spans="1:4" x14ac:dyDescent="0.25">
      <c r="A400" t="str">
        <f t="shared" si="24"/>
        <v>Jason Myers</v>
      </c>
      <c r="B400" s="75">
        <f t="shared" si="25"/>
        <v>0</v>
      </c>
      <c r="C400" s="75">
        <f t="shared" si="26"/>
        <v>0</v>
      </c>
      <c r="D400" s="180">
        <f t="shared" si="27"/>
        <v>0</v>
      </c>
    </row>
    <row r="401" spans="1:4" x14ac:dyDescent="0.25">
      <c r="A401" t="str">
        <f t="shared" si="24"/>
        <v>Ka'imi Fairbairn</v>
      </c>
      <c r="B401" s="75">
        <f t="shared" si="25"/>
        <v>0</v>
      </c>
      <c r="C401" s="75">
        <f t="shared" si="26"/>
        <v>0</v>
      </c>
      <c r="D401" s="180">
        <f t="shared" si="27"/>
        <v>0</v>
      </c>
    </row>
    <row r="402" spans="1:4" x14ac:dyDescent="0.25">
      <c r="A402" t="str">
        <f t="shared" si="24"/>
        <v>Giants 0</v>
      </c>
      <c r="B402" s="75">
        <f t="shared" si="25"/>
        <v>0</v>
      </c>
      <c r="C402" s="75">
        <f t="shared" si="26"/>
        <v>0</v>
      </c>
      <c r="D402" s="180">
        <f t="shared" si="27"/>
        <v>0</v>
      </c>
    </row>
    <row r="403" spans="1:4" x14ac:dyDescent="0.25">
      <c r="A403" t="str">
        <f t="shared" si="24"/>
        <v>Cardinals 0</v>
      </c>
      <c r="B403" s="75">
        <f t="shared" si="25"/>
        <v>0</v>
      </c>
      <c r="C403" s="75">
        <f t="shared" si="26"/>
        <v>0</v>
      </c>
      <c r="D403" s="180">
        <f t="shared" si="27"/>
        <v>0</v>
      </c>
    </row>
    <row r="404" spans="1:4" x14ac:dyDescent="0.25">
      <c r="A404" t="str">
        <f t="shared" si="24"/>
        <v>Jets 0</v>
      </c>
      <c r="B404" s="75">
        <f t="shared" si="25"/>
        <v>0</v>
      </c>
      <c r="C404" s="75">
        <f t="shared" si="26"/>
        <v>0</v>
      </c>
      <c r="D404" s="180">
        <f t="shared" si="27"/>
        <v>0</v>
      </c>
    </row>
    <row r="405" spans="1:4" x14ac:dyDescent="0.25">
      <c r="A405" t="str">
        <f t="shared" si="24"/>
        <v>Bears 0</v>
      </c>
      <c r="B405" s="75">
        <f t="shared" si="25"/>
        <v>0</v>
      </c>
      <c r="C405" s="75">
        <f t="shared" si="26"/>
        <v>0</v>
      </c>
      <c r="D405" s="180">
        <f t="shared" si="27"/>
        <v>0</v>
      </c>
    </row>
    <row r="406" spans="1:4" x14ac:dyDescent="0.25">
      <c r="A406" t="str">
        <f t="shared" si="24"/>
        <v>Chiefs 0</v>
      </c>
      <c r="B406" s="75">
        <f t="shared" si="25"/>
        <v>0</v>
      </c>
      <c r="C406" s="75">
        <f t="shared" si="26"/>
        <v>0</v>
      </c>
      <c r="D406" s="180">
        <f t="shared" si="27"/>
        <v>0</v>
      </c>
    </row>
    <row r="407" spans="1:4" x14ac:dyDescent="0.25">
      <c r="A407" t="str">
        <f t="shared" si="24"/>
        <v>Jaguars 0</v>
      </c>
      <c r="B407" s="75">
        <f t="shared" si="25"/>
        <v>0</v>
      </c>
      <c r="C407" s="75">
        <f t="shared" si="26"/>
        <v>0</v>
      </c>
      <c r="D407" s="180">
        <f t="shared" si="27"/>
        <v>0</v>
      </c>
    </row>
    <row r="408" spans="1:4" x14ac:dyDescent="0.25">
      <c r="A408" t="str">
        <f t="shared" si="24"/>
        <v>Seahawks 0</v>
      </c>
      <c r="B408" s="75">
        <f t="shared" si="25"/>
        <v>0</v>
      </c>
      <c r="C408" s="75">
        <f t="shared" si="26"/>
        <v>0</v>
      </c>
      <c r="D408" s="180">
        <f t="shared" si="27"/>
        <v>0</v>
      </c>
    </row>
    <row r="409" spans="1:4" x14ac:dyDescent="0.25">
      <c r="A409" t="str">
        <f t="shared" si="24"/>
        <v>Falcons 0</v>
      </c>
      <c r="B409" s="75">
        <f t="shared" si="25"/>
        <v>0</v>
      </c>
      <c r="C409" s="75">
        <f t="shared" si="26"/>
        <v>0</v>
      </c>
      <c r="D409" s="180">
        <f t="shared" si="27"/>
        <v>0</v>
      </c>
    </row>
    <row r="410" spans="1:4" x14ac:dyDescent="0.25">
      <c r="A410" t="str">
        <f t="shared" si="24"/>
        <v>Texans 0</v>
      </c>
      <c r="B410" s="75">
        <f t="shared" si="25"/>
        <v>0</v>
      </c>
      <c r="C410" s="75">
        <f t="shared" si="26"/>
        <v>0</v>
      </c>
      <c r="D410" s="180">
        <f t="shared" si="27"/>
        <v>0</v>
      </c>
    </row>
    <row r="411" spans="1:4" x14ac:dyDescent="0.25">
      <c r="A411" t="str">
        <f t="shared" si="24"/>
        <v>Lions 0</v>
      </c>
      <c r="B411" s="75">
        <f t="shared" si="25"/>
        <v>0</v>
      </c>
      <c r="C411" s="75">
        <f t="shared" si="26"/>
        <v>0</v>
      </c>
      <c r="D411" s="180">
        <f t="shared" si="27"/>
        <v>0</v>
      </c>
    </row>
    <row r="412" spans="1:4" x14ac:dyDescent="0.25">
      <c r="A412" t="str">
        <f t="shared" si="24"/>
        <v>James Proche II</v>
      </c>
      <c r="B412" s="75">
        <f t="shared" si="25"/>
        <v>0</v>
      </c>
      <c r="C412" s="75">
        <f t="shared" si="26"/>
        <v>0</v>
      </c>
      <c r="D412" s="180">
        <f t="shared" si="27"/>
        <v>0</v>
      </c>
    </row>
    <row r="413" spans="1:4" x14ac:dyDescent="0.25">
      <c r="A413" t="str">
        <f t="shared" si="24"/>
        <v>Phillip Dorsett</v>
      </c>
      <c r="B413" s="75">
        <f t="shared" si="25"/>
        <v>0</v>
      </c>
      <c r="C413" s="75">
        <f t="shared" si="26"/>
        <v>0</v>
      </c>
      <c r="D413" s="180">
        <f t="shared" si="27"/>
        <v>0</v>
      </c>
    </row>
    <row r="414" spans="1:4" x14ac:dyDescent="0.25">
      <c r="A414" t="str">
        <f t="shared" si="24"/>
        <v>Kyle Philips</v>
      </c>
      <c r="B414" s="75">
        <f t="shared" si="25"/>
        <v>0</v>
      </c>
      <c r="C414" s="75">
        <f t="shared" si="26"/>
        <v>0</v>
      </c>
      <c r="D414" s="180">
        <f t="shared" si="27"/>
        <v>0</v>
      </c>
    </row>
    <row r="415" spans="1:4" x14ac:dyDescent="0.25">
      <c r="A415" t="str">
        <f t="shared" si="24"/>
        <v>Tutu Atwell</v>
      </c>
      <c r="B415" s="75">
        <f t="shared" si="25"/>
        <v>0</v>
      </c>
      <c r="C415" s="75">
        <f t="shared" si="26"/>
        <v>0</v>
      </c>
      <c r="D415" s="180">
        <f t="shared" si="27"/>
        <v>0</v>
      </c>
    </row>
    <row r="416" spans="1:4" x14ac:dyDescent="0.25">
      <c r="A416" t="str">
        <f t="shared" si="24"/>
        <v>Josh Reynolds</v>
      </c>
      <c r="B416" s="75">
        <f t="shared" si="25"/>
        <v>0</v>
      </c>
      <c r="C416" s="75">
        <f t="shared" si="26"/>
        <v>0</v>
      </c>
      <c r="D416" s="180">
        <f t="shared" si="27"/>
        <v>0</v>
      </c>
    </row>
    <row r="417" spans="1:4" x14ac:dyDescent="0.25">
      <c r="A417" t="str">
        <f t="shared" si="24"/>
        <v>Freddie Swain</v>
      </c>
      <c r="B417" s="75">
        <f t="shared" si="25"/>
        <v>0</v>
      </c>
      <c r="C417" s="75">
        <f t="shared" si="26"/>
        <v>0</v>
      </c>
      <c r="D417" s="180">
        <f t="shared" si="27"/>
        <v>0</v>
      </c>
    </row>
    <row r="418" spans="1:4" x14ac:dyDescent="0.25">
      <c r="A418" t="str">
        <f t="shared" si="24"/>
        <v>Geoff Swaim</v>
      </c>
      <c r="B418" s="75">
        <f t="shared" si="25"/>
        <v>0</v>
      </c>
      <c r="C418" s="75">
        <f t="shared" si="26"/>
        <v>0</v>
      </c>
      <c r="D418" s="180">
        <f t="shared" si="27"/>
        <v>0</v>
      </c>
    </row>
    <row r="419" spans="1:4" x14ac:dyDescent="0.25">
      <c r="A419" t="str">
        <f t="shared" si="24"/>
        <v>Jalen Guyton</v>
      </c>
      <c r="B419" s="75">
        <f t="shared" si="25"/>
        <v>0</v>
      </c>
      <c r="C419" s="75">
        <f t="shared" si="26"/>
        <v>0</v>
      </c>
      <c r="D419" s="180">
        <f t="shared" si="27"/>
        <v>0</v>
      </c>
    </row>
    <row r="420" spans="1:4" x14ac:dyDescent="0.25">
      <c r="A420" t="str">
        <f t="shared" si="24"/>
        <v>Noah Brown</v>
      </c>
      <c r="B420" s="75">
        <f t="shared" si="25"/>
        <v>0</v>
      </c>
      <c r="C420" s="75">
        <f t="shared" si="26"/>
        <v>0</v>
      </c>
      <c r="D420" s="180">
        <f t="shared" si="27"/>
        <v>0</v>
      </c>
    </row>
    <row r="421" spans="1:4" x14ac:dyDescent="0.25">
      <c r="A421" t="str">
        <f t="shared" si="24"/>
        <v>Ihmir Smith-Marsette</v>
      </c>
      <c r="B421" s="75">
        <f t="shared" si="25"/>
        <v>0</v>
      </c>
      <c r="C421" s="75">
        <f t="shared" si="26"/>
        <v>0</v>
      </c>
      <c r="D421" s="180">
        <f t="shared" si="27"/>
        <v>0</v>
      </c>
    </row>
    <row r="422" spans="1:4" x14ac:dyDescent="0.25">
      <c r="A422" t="str">
        <f t="shared" si="24"/>
        <v>Calvin Austin III</v>
      </c>
      <c r="B422" s="75">
        <f t="shared" si="25"/>
        <v>0</v>
      </c>
      <c r="C422" s="75">
        <f t="shared" si="26"/>
        <v>0</v>
      </c>
      <c r="D422" s="180">
        <f t="shared" si="27"/>
        <v>0</v>
      </c>
    </row>
    <row r="423" spans="1:4" x14ac:dyDescent="0.25">
      <c r="A423" t="str">
        <f t="shared" si="24"/>
        <v>Tyrie Cleveland</v>
      </c>
      <c r="B423" s="75">
        <f t="shared" si="25"/>
        <v>0</v>
      </c>
      <c r="C423" s="75">
        <f t="shared" si="26"/>
        <v>0</v>
      </c>
      <c r="D423" s="180">
        <f t="shared" si="27"/>
        <v>0</v>
      </c>
    </row>
    <row r="424" spans="1:4" x14ac:dyDescent="0.25">
      <c r="A424" t="str">
        <f t="shared" si="24"/>
        <v>Pharaoh Brown</v>
      </c>
      <c r="B424" s="75">
        <f t="shared" si="25"/>
        <v>0</v>
      </c>
      <c r="C424" s="75">
        <f t="shared" si="26"/>
        <v>0</v>
      </c>
      <c r="D424" s="180">
        <f t="shared" si="27"/>
        <v>0</v>
      </c>
    </row>
    <row r="425" spans="1:4" x14ac:dyDescent="0.25">
      <c r="A425" t="str">
        <f t="shared" si="24"/>
        <v>Ian Thomas</v>
      </c>
      <c r="B425" s="75">
        <f t="shared" si="25"/>
        <v>0</v>
      </c>
      <c r="C425" s="75">
        <f t="shared" si="26"/>
        <v>0</v>
      </c>
      <c r="D425" s="180">
        <f t="shared" si="27"/>
        <v>0</v>
      </c>
    </row>
    <row r="426" spans="1:4" x14ac:dyDescent="0.25">
      <c r="A426" t="str">
        <f t="shared" si="24"/>
        <v>Quez Watkins</v>
      </c>
      <c r="B426" s="75">
        <f t="shared" si="25"/>
        <v>0</v>
      </c>
      <c r="C426" s="75">
        <f t="shared" si="26"/>
        <v>0</v>
      </c>
      <c r="D426" s="180">
        <f t="shared" si="27"/>
        <v>0</v>
      </c>
    </row>
    <row r="427" spans="1:4" x14ac:dyDescent="0.25">
      <c r="A427" t="str">
        <f t="shared" si="24"/>
        <v>Rashard Higgins</v>
      </c>
      <c r="B427" s="75">
        <f t="shared" si="25"/>
        <v>0</v>
      </c>
      <c r="C427" s="75">
        <f t="shared" si="26"/>
        <v>0</v>
      </c>
      <c r="D427" s="180">
        <f t="shared" si="27"/>
        <v>0</v>
      </c>
    </row>
    <row r="428" spans="1:4" x14ac:dyDescent="0.25">
      <c r="A428" t="str">
        <f t="shared" si="24"/>
        <v>Ashton Dulin</v>
      </c>
      <c r="B428" s="75">
        <f t="shared" si="25"/>
        <v>0</v>
      </c>
      <c r="C428" s="75">
        <f t="shared" si="26"/>
        <v>0</v>
      </c>
      <c r="D428" s="180">
        <f t="shared" si="27"/>
        <v>0</v>
      </c>
    </row>
    <row r="429" spans="1:4" x14ac:dyDescent="0.25">
      <c r="A429" t="str">
        <f t="shared" si="24"/>
        <v>Mack Hollins</v>
      </c>
      <c r="B429" s="75">
        <f t="shared" si="25"/>
        <v>0</v>
      </c>
      <c r="C429" s="75">
        <f t="shared" si="26"/>
        <v>0</v>
      </c>
      <c r="D429" s="180">
        <f t="shared" si="27"/>
        <v>0</v>
      </c>
    </row>
    <row r="430" spans="1:4" x14ac:dyDescent="0.25">
      <c r="A430" t="str">
        <f t="shared" si="24"/>
        <v>James O'Shaughnessy</v>
      </c>
      <c r="B430" s="75">
        <f t="shared" si="25"/>
        <v>0</v>
      </c>
      <c r="C430" s="75">
        <f t="shared" si="26"/>
        <v>0</v>
      </c>
      <c r="D430" s="180">
        <f t="shared" si="27"/>
        <v>0</v>
      </c>
    </row>
    <row r="431" spans="1:4" x14ac:dyDescent="0.25">
      <c r="A431" t="str">
        <f t="shared" si="24"/>
        <v>Chris Myarick</v>
      </c>
      <c r="B431" s="75">
        <f t="shared" si="25"/>
        <v>0</v>
      </c>
      <c r="C431" s="75">
        <f t="shared" si="26"/>
        <v>0</v>
      </c>
      <c r="D431" s="180">
        <f t="shared" si="27"/>
        <v>0</v>
      </c>
    </row>
    <row r="432" spans="1:4" x14ac:dyDescent="0.25">
      <c r="A432" t="str">
        <f t="shared" si="24"/>
        <v>Chris Moore</v>
      </c>
      <c r="B432" s="75">
        <f t="shared" si="25"/>
        <v>0</v>
      </c>
      <c r="C432" s="75">
        <f t="shared" si="26"/>
        <v>0</v>
      </c>
      <c r="D432" s="180">
        <f t="shared" si="27"/>
        <v>0</v>
      </c>
    </row>
    <row r="433" spans="1:4" x14ac:dyDescent="0.25">
      <c r="A433" t="str">
        <f t="shared" si="24"/>
        <v>Montrell Washington</v>
      </c>
      <c r="B433" s="75">
        <f t="shared" si="25"/>
        <v>0</v>
      </c>
      <c r="C433" s="75">
        <f t="shared" si="26"/>
        <v>0</v>
      </c>
      <c r="D433" s="180">
        <f t="shared" si="27"/>
        <v>0</v>
      </c>
    </row>
    <row r="434" spans="1:4" x14ac:dyDescent="0.25">
      <c r="A434" t="str">
        <f t="shared" si="24"/>
        <v>Zach Pascal</v>
      </c>
      <c r="B434" s="75">
        <f t="shared" si="25"/>
        <v>0</v>
      </c>
      <c r="C434" s="75">
        <f t="shared" si="26"/>
        <v>0</v>
      </c>
      <c r="D434" s="180">
        <f t="shared" si="27"/>
        <v>0</v>
      </c>
    </row>
    <row r="435" spans="1:4" x14ac:dyDescent="0.25">
      <c r="A435" t="str">
        <f t="shared" si="24"/>
        <v>Anthony Firkser</v>
      </c>
      <c r="B435" s="75">
        <f t="shared" si="25"/>
        <v>0</v>
      </c>
      <c r="C435" s="75">
        <f t="shared" si="26"/>
        <v>0</v>
      </c>
      <c r="D435" s="180">
        <f t="shared" si="27"/>
        <v>0</v>
      </c>
    </row>
    <row r="436" spans="1:4" x14ac:dyDescent="0.25">
      <c r="A436" t="str">
        <f t="shared" si="24"/>
        <v>Tyquan Thornton</v>
      </c>
      <c r="B436" s="75">
        <f t="shared" si="25"/>
        <v>0</v>
      </c>
      <c r="C436" s="75">
        <f t="shared" si="26"/>
        <v>0</v>
      </c>
      <c r="D436" s="180">
        <f t="shared" si="27"/>
        <v>0</v>
      </c>
    </row>
    <row r="437" spans="1:4" x14ac:dyDescent="0.25">
      <c r="A437" t="str">
        <f t="shared" si="24"/>
        <v>Demarcus Robinson</v>
      </c>
      <c r="B437" s="75">
        <f t="shared" si="25"/>
        <v>0</v>
      </c>
      <c r="C437" s="75">
        <f t="shared" si="26"/>
        <v>0</v>
      </c>
      <c r="D437" s="180">
        <f t="shared" si="27"/>
        <v>0</v>
      </c>
    </row>
    <row r="438" spans="1:4" x14ac:dyDescent="0.25">
      <c r="A438" t="str">
        <f t="shared" si="24"/>
        <v>Equanimeous St. Brown</v>
      </c>
      <c r="B438" s="75">
        <f t="shared" si="25"/>
        <v>0</v>
      </c>
      <c r="C438" s="75">
        <f t="shared" si="26"/>
        <v>0</v>
      </c>
      <c r="D438" s="180">
        <f t="shared" si="27"/>
        <v>0</v>
      </c>
    </row>
    <row r="439" spans="1:4" x14ac:dyDescent="0.25">
      <c r="A439" t="str">
        <f t="shared" si="24"/>
        <v>Marquez Callaway</v>
      </c>
      <c r="B439" s="75">
        <f t="shared" si="25"/>
        <v>0</v>
      </c>
      <c r="C439" s="75">
        <f t="shared" si="26"/>
        <v>0</v>
      </c>
      <c r="D439" s="180">
        <f t="shared" si="27"/>
        <v>0</v>
      </c>
    </row>
    <row r="440" spans="1:4" x14ac:dyDescent="0.25">
      <c r="A440" t="str">
        <f t="shared" si="24"/>
        <v>Amari Rodgers</v>
      </c>
      <c r="B440" s="75">
        <f t="shared" si="25"/>
        <v>0</v>
      </c>
      <c r="C440" s="75">
        <f t="shared" si="26"/>
        <v>0</v>
      </c>
      <c r="D440" s="180">
        <f t="shared" si="27"/>
        <v>0</v>
      </c>
    </row>
    <row r="441" spans="1:4" x14ac:dyDescent="0.25">
      <c r="A441" t="str">
        <f t="shared" si="24"/>
        <v>Kalif Raymond</v>
      </c>
      <c r="B441" s="75">
        <f t="shared" si="25"/>
        <v>0</v>
      </c>
      <c r="C441" s="75">
        <f t="shared" si="26"/>
        <v>0</v>
      </c>
      <c r="D441" s="180">
        <f t="shared" si="27"/>
        <v>0</v>
      </c>
    </row>
    <row r="442" spans="1:4" x14ac:dyDescent="0.25">
      <c r="A442" t="str">
        <f t="shared" si="24"/>
        <v>Durham Smythe</v>
      </c>
      <c r="B442" s="75">
        <f t="shared" si="25"/>
        <v>0</v>
      </c>
      <c r="C442" s="75">
        <f t="shared" si="26"/>
        <v>0</v>
      </c>
      <c r="D442" s="180">
        <f t="shared" si="27"/>
        <v>0</v>
      </c>
    </row>
    <row r="443" spans="1:4" x14ac:dyDescent="0.25">
      <c r="A443" t="str">
        <f t="shared" si="24"/>
        <v>Ben Skowronek</v>
      </c>
      <c r="B443" s="75">
        <f t="shared" si="25"/>
        <v>0</v>
      </c>
      <c r="C443" s="75">
        <f t="shared" si="26"/>
        <v>0</v>
      </c>
      <c r="D443" s="180">
        <f t="shared" si="27"/>
        <v>0</v>
      </c>
    </row>
    <row r="444" spans="1:4" x14ac:dyDescent="0.25">
      <c r="A444" t="str">
        <f t="shared" si="24"/>
        <v>Erik Ezukanma</v>
      </c>
      <c r="B444" s="75">
        <f t="shared" si="25"/>
        <v>0</v>
      </c>
      <c r="C444" s="75">
        <f t="shared" si="26"/>
        <v>0</v>
      </c>
      <c r="D444" s="180">
        <f t="shared" si="27"/>
        <v>0</v>
      </c>
    </row>
    <row r="445" spans="1:4" x14ac:dyDescent="0.25">
      <c r="A445" t="str">
        <f t="shared" si="24"/>
        <v>Noah Gray</v>
      </c>
      <c r="B445" s="75">
        <f t="shared" si="25"/>
        <v>0</v>
      </c>
      <c r="C445" s="75">
        <f t="shared" si="26"/>
        <v>0</v>
      </c>
      <c r="D445" s="180">
        <f t="shared" si="27"/>
        <v>0</v>
      </c>
    </row>
    <row r="446" spans="1:4" x14ac:dyDescent="0.25">
      <c r="A446" t="str">
        <f t="shared" si="24"/>
        <v>Justin Watson</v>
      </c>
      <c r="B446" s="75">
        <f t="shared" si="25"/>
        <v>0</v>
      </c>
      <c r="C446" s="75">
        <f t="shared" si="26"/>
        <v>0</v>
      </c>
      <c r="D446" s="180">
        <f t="shared" si="27"/>
        <v>0</v>
      </c>
    </row>
    <row r="447" spans="1:4" x14ac:dyDescent="0.25">
      <c r="A447" t="str">
        <f t="shared" si="24"/>
        <v>Dyami Brown</v>
      </c>
      <c r="B447" s="75">
        <f t="shared" si="25"/>
        <v>0</v>
      </c>
      <c r="C447" s="75">
        <f t="shared" si="26"/>
        <v>0</v>
      </c>
      <c r="D447" s="180">
        <f t="shared" si="27"/>
        <v>0</v>
      </c>
    </row>
    <row r="448" spans="1:4" x14ac:dyDescent="0.25">
      <c r="A448" t="str">
        <f t="shared" si="24"/>
        <v>Connor Heyward</v>
      </c>
      <c r="B448" s="75">
        <f t="shared" si="25"/>
        <v>0</v>
      </c>
      <c r="C448" s="75">
        <f t="shared" si="26"/>
        <v>0</v>
      </c>
      <c r="D448" s="180">
        <f t="shared" si="27"/>
        <v>0</v>
      </c>
    </row>
    <row r="449" spans="1:4" x14ac:dyDescent="0.25">
      <c r="A449" t="str">
        <f t="shared" si="24"/>
        <v>Brandon Zylstra</v>
      </c>
      <c r="B449" s="75">
        <f t="shared" si="25"/>
        <v>0</v>
      </c>
      <c r="C449" s="75">
        <f t="shared" si="26"/>
        <v>0</v>
      </c>
      <c r="D449" s="180">
        <f t="shared" si="27"/>
        <v>0</v>
      </c>
    </row>
    <row r="450" spans="1:4" x14ac:dyDescent="0.25">
      <c r="A450" t="str">
        <f t="shared" ref="A450:A513" si="28">_xlfn.CONCAT(TRIM(H1564)," ",TRIM(I1564),IF(ISNUMBER(J1564),"",_xlfn.CONCAT(" ",TRIM(J1564))))</f>
        <v>Trent Sherfield</v>
      </c>
      <c r="B450" s="75">
        <f t="shared" ref="B450:B513" si="29">IF(ISNUMBER(J1564),J1564,K1564)</f>
        <v>0</v>
      </c>
      <c r="C450" s="75">
        <f t="shared" ref="C450:C513" si="30">IF(ISNUMBER(J1564),K1564,L1564)</f>
        <v>0</v>
      </c>
      <c r="D450" s="180">
        <f t="shared" ref="D450:D513" si="31">IF(ISNUMBER(J1564),L1564,M1564)</f>
        <v>0</v>
      </c>
    </row>
    <row r="451" spans="1:4" x14ac:dyDescent="0.25">
      <c r="A451" t="str">
        <f t="shared" si="28"/>
        <v>Jalen Reagor</v>
      </c>
      <c r="B451" s="75">
        <f t="shared" si="29"/>
        <v>0</v>
      </c>
      <c r="C451" s="75">
        <f t="shared" si="30"/>
        <v>0</v>
      </c>
      <c r="D451" s="180">
        <f t="shared" si="31"/>
        <v>0</v>
      </c>
    </row>
    <row r="452" spans="1:4" x14ac:dyDescent="0.25">
      <c r="A452" t="str">
        <f t="shared" si="28"/>
        <v>Tajae Sharpe</v>
      </c>
      <c r="B452" s="75">
        <f t="shared" si="29"/>
        <v>0</v>
      </c>
      <c r="C452" s="75">
        <f t="shared" si="30"/>
        <v>0</v>
      </c>
      <c r="D452" s="180">
        <f t="shared" si="31"/>
        <v>0</v>
      </c>
    </row>
    <row r="453" spans="1:4" x14ac:dyDescent="0.25">
      <c r="A453" t="str">
        <f t="shared" si="28"/>
        <v>Brycen Hopkins</v>
      </c>
      <c r="B453" s="75">
        <f t="shared" si="29"/>
        <v>0</v>
      </c>
      <c r="C453" s="75">
        <f t="shared" si="30"/>
        <v>0</v>
      </c>
      <c r="D453" s="180">
        <f t="shared" si="31"/>
        <v>0</v>
      </c>
    </row>
    <row r="454" spans="1:4" x14ac:dyDescent="0.25">
      <c r="A454" t="str">
        <f t="shared" si="28"/>
        <v>David Sills V</v>
      </c>
      <c r="B454" s="75">
        <f t="shared" si="29"/>
        <v>0</v>
      </c>
      <c r="C454" s="75">
        <f t="shared" si="30"/>
        <v>0</v>
      </c>
      <c r="D454" s="180">
        <f t="shared" si="31"/>
        <v>0</v>
      </c>
    </row>
    <row r="455" spans="1:4" x14ac:dyDescent="0.25">
      <c r="A455" t="str">
        <f t="shared" si="28"/>
        <v>Sean McKeon</v>
      </c>
      <c r="B455" s="75">
        <f t="shared" si="29"/>
        <v>0</v>
      </c>
      <c r="C455" s="75">
        <f t="shared" si="30"/>
        <v>0</v>
      </c>
      <c r="D455" s="180">
        <f t="shared" si="31"/>
        <v>0</v>
      </c>
    </row>
    <row r="456" spans="1:4" x14ac:dyDescent="0.25">
      <c r="A456" t="str">
        <f t="shared" si="28"/>
        <v>Breshad Perriman</v>
      </c>
      <c r="B456" s="75">
        <f t="shared" si="29"/>
        <v>0</v>
      </c>
      <c r="C456" s="75">
        <f t="shared" si="30"/>
        <v>0</v>
      </c>
      <c r="D456" s="180">
        <f t="shared" si="31"/>
        <v>0</v>
      </c>
    </row>
    <row r="457" spans="1:4" x14ac:dyDescent="0.25">
      <c r="A457" t="str">
        <f t="shared" si="28"/>
        <v>Damiere Byrd</v>
      </c>
      <c r="B457" s="75">
        <f t="shared" si="29"/>
        <v>0</v>
      </c>
      <c r="C457" s="75">
        <f t="shared" si="30"/>
        <v>0</v>
      </c>
      <c r="D457" s="180">
        <f t="shared" si="31"/>
        <v>0</v>
      </c>
    </row>
    <row r="458" spans="1:4" x14ac:dyDescent="0.25">
      <c r="A458" t="str">
        <f t="shared" si="28"/>
        <v>Laquon Treadwell</v>
      </c>
      <c r="B458" s="75">
        <f t="shared" si="29"/>
        <v>0</v>
      </c>
      <c r="C458" s="75">
        <f t="shared" si="30"/>
        <v>0</v>
      </c>
      <c r="D458" s="180">
        <f t="shared" si="31"/>
        <v>0</v>
      </c>
    </row>
    <row r="459" spans="1:4" x14ac:dyDescent="0.25">
      <c r="A459" t="str">
        <f t="shared" si="28"/>
        <v>Danny Gray</v>
      </c>
      <c r="B459" s="75">
        <f t="shared" si="29"/>
        <v>0</v>
      </c>
      <c r="C459" s="75">
        <f t="shared" si="30"/>
        <v>0</v>
      </c>
      <c r="D459" s="180">
        <f t="shared" si="31"/>
        <v>0</v>
      </c>
    </row>
    <row r="460" spans="1:4" x14ac:dyDescent="0.25">
      <c r="A460" t="str">
        <f t="shared" si="28"/>
        <v>Simi Fehoko</v>
      </c>
      <c r="B460" s="75">
        <f t="shared" si="29"/>
        <v>0</v>
      </c>
      <c r="C460" s="75">
        <f t="shared" si="30"/>
        <v>0</v>
      </c>
      <c r="D460" s="180">
        <f t="shared" si="31"/>
        <v>0</v>
      </c>
    </row>
    <row r="461" spans="1:4" x14ac:dyDescent="0.25">
      <c r="A461" t="str">
        <f t="shared" si="28"/>
        <v>Tre'Quan Smith</v>
      </c>
      <c r="B461" s="75">
        <f t="shared" si="29"/>
        <v>0</v>
      </c>
      <c r="C461" s="75">
        <f t="shared" si="30"/>
        <v>0</v>
      </c>
      <c r="D461" s="180">
        <f t="shared" si="31"/>
        <v>0</v>
      </c>
    </row>
    <row r="462" spans="1:4" x14ac:dyDescent="0.25">
      <c r="A462" t="str">
        <f t="shared" si="28"/>
        <v>Nick Vannett</v>
      </c>
      <c r="B462" s="75">
        <f t="shared" si="29"/>
        <v>0</v>
      </c>
      <c r="C462" s="75">
        <f t="shared" si="30"/>
        <v>0</v>
      </c>
      <c r="D462" s="180">
        <f t="shared" si="31"/>
        <v>0</v>
      </c>
    </row>
    <row r="463" spans="1:4" x14ac:dyDescent="0.25">
      <c r="A463" t="str">
        <f t="shared" si="28"/>
        <v>Richie James</v>
      </c>
      <c r="B463" s="75">
        <f t="shared" si="29"/>
        <v>0</v>
      </c>
      <c r="C463" s="75">
        <f t="shared" si="30"/>
        <v>0</v>
      </c>
      <c r="D463" s="180">
        <f t="shared" si="31"/>
        <v>0</v>
      </c>
    </row>
    <row r="464" spans="1:4" x14ac:dyDescent="0.25">
      <c r="A464" t="str">
        <f t="shared" si="28"/>
        <v>Tre' McKitty</v>
      </c>
      <c r="B464" s="75">
        <f t="shared" si="29"/>
        <v>0</v>
      </c>
      <c r="C464" s="75">
        <f t="shared" si="30"/>
        <v>0</v>
      </c>
      <c r="D464" s="180">
        <f t="shared" si="31"/>
        <v>0</v>
      </c>
    </row>
    <row r="465" spans="1:4" x14ac:dyDescent="0.25">
      <c r="A465" t="str">
        <f t="shared" si="28"/>
        <v>Blake Bell</v>
      </c>
      <c r="B465" s="75">
        <f t="shared" si="29"/>
        <v>0</v>
      </c>
      <c r="C465" s="75">
        <f t="shared" si="30"/>
        <v>0</v>
      </c>
      <c r="D465" s="180">
        <f t="shared" si="31"/>
        <v>0</v>
      </c>
    </row>
    <row r="466" spans="1:4" x14ac:dyDescent="0.25">
      <c r="A466" t="str">
        <f t="shared" si="28"/>
        <v>Marcedes Lewis</v>
      </c>
      <c r="B466" s="75">
        <f t="shared" si="29"/>
        <v>0</v>
      </c>
      <c r="C466" s="75">
        <f t="shared" si="30"/>
        <v>0</v>
      </c>
      <c r="D466" s="180">
        <f t="shared" si="31"/>
        <v>0</v>
      </c>
    </row>
    <row r="467" spans="1:4" x14ac:dyDescent="0.25">
      <c r="A467" t="str">
        <f t="shared" si="28"/>
        <v>Jamal Agnew</v>
      </c>
      <c r="B467" s="75">
        <f t="shared" si="29"/>
        <v>0</v>
      </c>
      <c r="C467" s="75">
        <f t="shared" si="30"/>
        <v>0</v>
      </c>
      <c r="D467" s="180">
        <f t="shared" si="31"/>
        <v>0</v>
      </c>
    </row>
    <row r="468" spans="1:4" x14ac:dyDescent="0.25">
      <c r="A468" t="str">
        <f t="shared" si="28"/>
        <v>Maxx Williams</v>
      </c>
      <c r="B468" s="75">
        <f t="shared" si="29"/>
        <v>0</v>
      </c>
      <c r="C468" s="75">
        <f t="shared" si="30"/>
        <v>0</v>
      </c>
      <c r="D468" s="180">
        <f t="shared" si="31"/>
        <v>0</v>
      </c>
    </row>
    <row r="469" spans="1:4" x14ac:dyDescent="0.25">
      <c r="A469" t="str">
        <f t="shared" si="28"/>
        <v>Antoine Wesley</v>
      </c>
      <c r="B469" s="75">
        <f t="shared" si="29"/>
        <v>0</v>
      </c>
      <c r="C469" s="75">
        <f t="shared" si="30"/>
        <v>0</v>
      </c>
      <c r="D469" s="180">
        <f t="shared" si="31"/>
        <v>0</v>
      </c>
    </row>
    <row r="470" spans="1:4" x14ac:dyDescent="0.25">
      <c r="A470" t="str">
        <f t="shared" si="28"/>
        <v>Johnny Mundt</v>
      </c>
      <c r="B470" s="75">
        <f t="shared" si="29"/>
        <v>0</v>
      </c>
      <c r="C470" s="75">
        <f t="shared" si="30"/>
        <v>0</v>
      </c>
      <c r="D470" s="180">
        <f t="shared" si="31"/>
        <v>0</v>
      </c>
    </row>
    <row r="471" spans="1:4" x14ac:dyDescent="0.25">
      <c r="A471" t="str">
        <f t="shared" si="28"/>
        <v>Keith Smith</v>
      </c>
      <c r="B471" s="75">
        <f t="shared" si="29"/>
        <v>0</v>
      </c>
      <c r="C471" s="75">
        <f t="shared" si="30"/>
        <v>0</v>
      </c>
      <c r="D471" s="180">
        <f t="shared" si="31"/>
        <v>0</v>
      </c>
    </row>
    <row r="472" spans="1:4" x14ac:dyDescent="0.25">
      <c r="A472" t="str">
        <f t="shared" si="28"/>
        <v>Tyree Jackson</v>
      </c>
      <c r="B472" s="75">
        <f t="shared" si="29"/>
        <v>0</v>
      </c>
      <c r="C472" s="75">
        <f t="shared" si="30"/>
        <v>0</v>
      </c>
      <c r="D472" s="180">
        <f t="shared" si="31"/>
        <v>0</v>
      </c>
    </row>
    <row r="473" spans="1:4" x14ac:dyDescent="0.25">
      <c r="A473" t="str">
        <f t="shared" si="28"/>
        <v>Tommy Sweeney</v>
      </c>
      <c r="B473" s="75">
        <f t="shared" si="29"/>
        <v>0</v>
      </c>
      <c r="C473" s="75">
        <f t="shared" si="30"/>
        <v>0</v>
      </c>
      <c r="D473" s="180">
        <f t="shared" si="31"/>
        <v>0</v>
      </c>
    </row>
    <row r="474" spans="1:4" x14ac:dyDescent="0.25">
      <c r="A474" t="str">
        <f t="shared" si="28"/>
        <v>Deonte Harty</v>
      </c>
      <c r="B474" s="75">
        <f t="shared" si="29"/>
        <v>0</v>
      </c>
      <c r="C474" s="75">
        <f t="shared" si="30"/>
        <v>0</v>
      </c>
      <c r="D474" s="180">
        <f t="shared" si="31"/>
        <v>0</v>
      </c>
    </row>
    <row r="475" spans="1:4" x14ac:dyDescent="0.25">
      <c r="A475" t="str">
        <f t="shared" si="28"/>
        <v>Samori Toure</v>
      </c>
      <c r="B475" s="75">
        <f t="shared" si="29"/>
        <v>0</v>
      </c>
      <c r="C475" s="75">
        <f t="shared" si="30"/>
        <v>0</v>
      </c>
      <c r="D475" s="180">
        <f t="shared" si="31"/>
        <v>0</v>
      </c>
    </row>
    <row r="476" spans="1:4" x14ac:dyDescent="0.25">
      <c r="A476" t="str">
        <f t="shared" si="28"/>
        <v>Teagan Quitoriano</v>
      </c>
      <c r="B476" s="75">
        <f t="shared" si="29"/>
        <v>0</v>
      </c>
      <c r="C476" s="75">
        <f t="shared" si="30"/>
        <v>0</v>
      </c>
      <c r="D476" s="180">
        <f t="shared" si="31"/>
        <v>0</v>
      </c>
    </row>
    <row r="477" spans="1:4" x14ac:dyDescent="0.25">
      <c r="A477" t="str">
        <f t="shared" si="28"/>
        <v>Luke Farrell</v>
      </c>
      <c r="B477" s="75">
        <f t="shared" si="29"/>
        <v>0</v>
      </c>
      <c r="C477" s="75">
        <f t="shared" si="30"/>
        <v>0</v>
      </c>
      <c r="D477" s="180">
        <f t="shared" si="31"/>
        <v>0</v>
      </c>
    </row>
    <row r="478" spans="1:4" x14ac:dyDescent="0.25">
      <c r="A478" t="str">
        <f t="shared" si="28"/>
        <v>Chris Manhertz</v>
      </c>
      <c r="B478" s="75">
        <f t="shared" si="29"/>
        <v>0</v>
      </c>
      <c r="C478" s="75">
        <f t="shared" si="30"/>
        <v>0</v>
      </c>
      <c r="D478" s="180">
        <f t="shared" si="31"/>
        <v>0</v>
      </c>
    </row>
    <row r="479" spans="1:4" x14ac:dyDescent="0.25">
      <c r="A479" t="str">
        <f t="shared" si="28"/>
        <v>C.J. Ham</v>
      </c>
      <c r="B479" s="75">
        <f t="shared" si="29"/>
        <v>0</v>
      </c>
      <c r="C479" s="75">
        <f t="shared" si="30"/>
        <v>0</v>
      </c>
      <c r="D479" s="180">
        <f t="shared" si="31"/>
        <v>0</v>
      </c>
    </row>
    <row r="480" spans="1:4" x14ac:dyDescent="0.25">
      <c r="A480" t="str">
        <f t="shared" si="28"/>
        <v>Drew Sample</v>
      </c>
      <c r="B480" s="75">
        <f t="shared" si="29"/>
        <v>0</v>
      </c>
      <c r="C480" s="75">
        <f t="shared" si="30"/>
        <v>0</v>
      </c>
      <c r="D480" s="180">
        <f t="shared" si="31"/>
        <v>0</v>
      </c>
    </row>
    <row r="481" spans="1:4" x14ac:dyDescent="0.25">
      <c r="A481" t="str">
        <f t="shared" si="28"/>
        <v>Blaine Gabbert</v>
      </c>
      <c r="B481" s="75">
        <f t="shared" si="29"/>
        <v>0</v>
      </c>
      <c r="C481" s="75">
        <f t="shared" si="30"/>
        <v>0</v>
      </c>
      <c r="D481" s="180">
        <f t="shared" si="31"/>
        <v>0</v>
      </c>
    </row>
    <row r="482" spans="1:4" x14ac:dyDescent="0.25">
      <c r="A482" t="str">
        <f t="shared" si="28"/>
        <v>Ryan Griffin</v>
      </c>
      <c r="B482" s="75">
        <f t="shared" si="29"/>
        <v>0</v>
      </c>
      <c r="C482" s="75">
        <f t="shared" si="30"/>
        <v>0</v>
      </c>
      <c r="D482" s="180">
        <f t="shared" si="31"/>
        <v>0</v>
      </c>
    </row>
    <row r="483" spans="1:4" x14ac:dyDescent="0.25">
      <c r="A483" t="str">
        <f t="shared" si="28"/>
        <v>Bisi Johnson</v>
      </c>
      <c r="B483" s="75">
        <f t="shared" si="29"/>
        <v>0</v>
      </c>
      <c r="C483" s="75">
        <f t="shared" si="30"/>
        <v>0</v>
      </c>
      <c r="D483" s="180">
        <f t="shared" si="31"/>
        <v>0</v>
      </c>
    </row>
    <row r="484" spans="1:4" x14ac:dyDescent="0.25">
      <c r="A484" t="str">
        <f t="shared" si="28"/>
        <v>Cooper Rush</v>
      </c>
      <c r="B484" s="75">
        <f t="shared" si="29"/>
        <v>0</v>
      </c>
      <c r="C484" s="75">
        <f t="shared" si="30"/>
        <v>0</v>
      </c>
      <c r="D484" s="180">
        <f t="shared" si="31"/>
        <v>0</v>
      </c>
    </row>
    <row r="485" spans="1:4" x14ac:dyDescent="0.25">
      <c r="A485" t="str">
        <f t="shared" si="28"/>
        <v>Jalen Camp</v>
      </c>
      <c r="B485" s="75">
        <f t="shared" si="29"/>
        <v>0</v>
      </c>
      <c r="C485" s="75">
        <f t="shared" si="30"/>
        <v>0</v>
      </c>
      <c r="D485" s="180">
        <f t="shared" si="31"/>
        <v>0</v>
      </c>
    </row>
    <row r="486" spans="1:4" x14ac:dyDescent="0.25">
      <c r="A486" t="str">
        <f t="shared" si="28"/>
        <v>Colby Parkinson</v>
      </c>
      <c r="B486" s="75">
        <f t="shared" si="29"/>
        <v>0</v>
      </c>
      <c r="C486" s="75">
        <f t="shared" si="30"/>
        <v>0</v>
      </c>
      <c r="D486" s="180">
        <f t="shared" si="31"/>
        <v>0</v>
      </c>
    </row>
    <row r="487" spans="1:4" x14ac:dyDescent="0.25">
      <c r="A487" t="str">
        <f t="shared" si="28"/>
        <v>Josh Johnson</v>
      </c>
      <c r="B487" s="75">
        <f t="shared" si="29"/>
        <v>0</v>
      </c>
      <c r="C487" s="75">
        <f t="shared" si="30"/>
        <v>0</v>
      </c>
      <c r="D487" s="180">
        <f t="shared" si="31"/>
        <v>0</v>
      </c>
    </row>
    <row r="488" spans="1:4" x14ac:dyDescent="0.25">
      <c r="A488" t="str">
        <f t="shared" si="28"/>
        <v>Nick Boyle</v>
      </c>
      <c r="B488" s="75">
        <f t="shared" si="29"/>
        <v>0</v>
      </c>
      <c r="C488" s="75">
        <f t="shared" si="30"/>
        <v>0</v>
      </c>
      <c r="D488" s="180">
        <f t="shared" si="31"/>
        <v>0</v>
      </c>
    </row>
    <row r="489" spans="1:4" x14ac:dyDescent="0.25">
      <c r="A489" t="str">
        <f t="shared" si="28"/>
        <v>Zack Moss</v>
      </c>
      <c r="B489" s="75">
        <f t="shared" si="29"/>
        <v>0</v>
      </c>
      <c r="C489" s="75">
        <f t="shared" si="30"/>
        <v>0</v>
      </c>
      <c r="D489" s="180">
        <f t="shared" si="31"/>
        <v>0</v>
      </c>
    </row>
    <row r="490" spans="1:4" x14ac:dyDescent="0.25">
      <c r="A490" t="str">
        <f t="shared" si="28"/>
        <v>Jake Funk</v>
      </c>
      <c r="B490" s="75">
        <f t="shared" si="29"/>
        <v>0</v>
      </c>
      <c r="C490" s="75">
        <f t="shared" si="30"/>
        <v>0</v>
      </c>
      <c r="D490" s="180">
        <f t="shared" si="31"/>
        <v>0</v>
      </c>
    </row>
    <row r="491" spans="1:4" x14ac:dyDescent="0.25">
      <c r="A491" t="str">
        <f t="shared" si="28"/>
        <v>Jody Fortson</v>
      </c>
      <c r="B491" s="75">
        <f t="shared" si="29"/>
        <v>0</v>
      </c>
      <c r="C491" s="75">
        <f t="shared" si="30"/>
        <v>0</v>
      </c>
      <c r="D491" s="180">
        <f t="shared" si="31"/>
        <v>0</v>
      </c>
    </row>
    <row r="492" spans="1:4" x14ac:dyDescent="0.25">
      <c r="A492" t="str">
        <f t="shared" si="28"/>
        <v>Chase Daniel</v>
      </c>
      <c r="B492" s="75">
        <f t="shared" si="29"/>
        <v>0</v>
      </c>
      <c r="C492" s="75">
        <f t="shared" si="30"/>
        <v>0</v>
      </c>
      <c r="D492" s="180">
        <f t="shared" si="31"/>
        <v>0</v>
      </c>
    </row>
    <row r="493" spans="1:4" x14ac:dyDescent="0.25">
      <c r="A493" t="str">
        <f t="shared" si="28"/>
        <v>John Wolford</v>
      </c>
      <c r="B493" s="75">
        <f t="shared" si="29"/>
        <v>0</v>
      </c>
      <c r="C493" s="75">
        <f t="shared" si="30"/>
        <v>0</v>
      </c>
      <c r="D493" s="180">
        <f t="shared" si="31"/>
        <v>0</v>
      </c>
    </row>
    <row r="494" spans="1:4" x14ac:dyDescent="0.25">
      <c r="A494" t="str">
        <f t="shared" si="28"/>
        <v>Miller Forristall</v>
      </c>
      <c r="B494" s="75">
        <f t="shared" si="29"/>
        <v>0</v>
      </c>
      <c r="C494" s="75">
        <f t="shared" si="30"/>
        <v>0</v>
      </c>
      <c r="D494" s="180">
        <f t="shared" si="31"/>
        <v>0</v>
      </c>
    </row>
    <row r="495" spans="1:4" x14ac:dyDescent="0.25">
      <c r="A495" t="str">
        <f t="shared" si="28"/>
        <v>Racey McMath</v>
      </c>
      <c r="B495" s="75">
        <f t="shared" si="29"/>
        <v>0</v>
      </c>
      <c r="C495" s="75">
        <f t="shared" si="30"/>
        <v>0</v>
      </c>
      <c r="D495" s="180">
        <f t="shared" si="31"/>
        <v>0</v>
      </c>
    </row>
    <row r="496" spans="1:4" x14ac:dyDescent="0.25">
      <c r="A496" t="str">
        <f t="shared" si="28"/>
        <v>Brandon Allen</v>
      </c>
      <c r="B496" s="75">
        <f t="shared" si="29"/>
        <v>0</v>
      </c>
      <c r="C496" s="75">
        <f t="shared" si="30"/>
        <v>0</v>
      </c>
      <c r="D496" s="180">
        <f t="shared" si="31"/>
        <v>0</v>
      </c>
    </row>
    <row r="497" spans="1:4" x14ac:dyDescent="0.25">
      <c r="A497" t="str">
        <f t="shared" si="28"/>
        <v>DeAndre Carter</v>
      </c>
      <c r="B497" s="75">
        <f t="shared" si="29"/>
        <v>0</v>
      </c>
      <c r="C497" s="75">
        <f t="shared" si="30"/>
        <v>0</v>
      </c>
      <c r="D497" s="180">
        <f t="shared" si="31"/>
        <v>0</v>
      </c>
    </row>
    <row r="498" spans="1:4" x14ac:dyDescent="0.25">
      <c r="A498" t="str">
        <f t="shared" si="28"/>
        <v>Quintez Cephus</v>
      </c>
      <c r="B498" s="75">
        <f t="shared" si="29"/>
        <v>0</v>
      </c>
      <c r="C498" s="75">
        <f t="shared" si="30"/>
        <v>0</v>
      </c>
      <c r="D498" s="180">
        <f t="shared" si="31"/>
        <v>0</v>
      </c>
    </row>
    <row r="499" spans="1:4" x14ac:dyDescent="0.25">
      <c r="A499" t="str">
        <f t="shared" si="28"/>
        <v>Brock Wright</v>
      </c>
      <c r="B499" s="75">
        <f t="shared" si="29"/>
        <v>0</v>
      </c>
      <c r="C499" s="75">
        <f t="shared" si="30"/>
        <v>0</v>
      </c>
      <c r="D499" s="180">
        <f t="shared" si="31"/>
        <v>0</v>
      </c>
    </row>
    <row r="500" spans="1:4" x14ac:dyDescent="0.25">
      <c r="A500" t="str">
        <f t="shared" si="28"/>
        <v>Jake Ferguson</v>
      </c>
      <c r="B500" s="75">
        <f t="shared" si="29"/>
        <v>0</v>
      </c>
      <c r="C500" s="75">
        <f t="shared" si="30"/>
        <v>0</v>
      </c>
      <c r="D500" s="180">
        <f t="shared" si="31"/>
        <v>0</v>
      </c>
    </row>
    <row r="501" spans="1:4" x14ac:dyDescent="0.25">
      <c r="A501" t="str">
        <f t="shared" si="28"/>
        <v>Jarrett Stidham</v>
      </c>
      <c r="B501" s="75">
        <f t="shared" si="29"/>
        <v>0</v>
      </c>
      <c r="C501" s="75">
        <f t="shared" si="30"/>
        <v>0</v>
      </c>
      <c r="D501" s="180">
        <f t="shared" si="31"/>
        <v>0</v>
      </c>
    </row>
    <row r="502" spans="1:4" x14ac:dyDescent="0.25">
      <c r="A502" t="str">
        <f t="shared" si="28"/>
        <v>C.J. Beathard</v>
      </c>
      <c r="B502" s="75">
        <f t="shared" si="29"/>
        <v>0</v>
      </c>
      <c r="C502" s="75">
        <f t="shared" si="30"/>
        <v>0</v>
      </c>
      <c r="D502" s="180">
        <f t="shared" si="31"/>
        <v>0</v>
      </c>
    </row>
    <row r="503" spans="1:4" x14ac:dyDescent="0.25">
      <c r="A503" t="str">
        <f t="shared" si="28"/>
        <v>Abram Smith</v>
      </c>
      <c r="B503" s="75">
        <f t="shared" si="29"/>
        <v>0</v>
      </c>
      <c r="C503" s="75">
        <f t="shared" si="30"/>
        <v>0</v>
      </c>
      <c r="D503" s="180">
        <f t="shared" si="31"/>
        <v>0</v>
      </c>
    </row>
    <row r="504" spans="1:4" x14ac:dyDescent="0.25">
      <c r="A504" t="str">
        <f t="shared" si="28"/>
        <v>Pierre Strong Jr.</v>
      </c>
      <c r="B504" s="75">
        <f t="shared" si="29"/>
        <v>0</v>
      </c>
      <c r="C504" s="75">
        <f t="shared" si="30"/>
        <v>0</v>
      </c>
      <c r="D504" s="180">
        <f t="shared" si="31"/>
        <v>0</v>
      </c>
    </row>
    <row r="505" spans="1:4" x14ac:dyDescent="0.25">
      <c r="A505" t="str">
        <f t="shared" si="28"/>
        <v>Mike Boone</v>
      </c>
      <c r="B505" s="75">
        <f t="shared" si="29"/>
        <v>0</v>
      </c>
      <c r="C505" s="75">
        <f t="shared" si="30"/>
        <v>0</v>
      </c>
      <c r="D505" s="180">
        <f t="shared" si="31"/>
        <v>0</v>
      </c>
    </row>
    <row r="506" spans="1:4" x14ac:dyDescent="0.25">
      <c r="A506" t="str">
        <f t="shared" si="28"/>
        <v>Dante Pettis</v>
      </c>
      <c r="B506" s="75">
        <f t="shared" si="29"/>
        <v>0</v>
      </c>
      <c r="C506" s="75">
        <f t="shared" si="30"/>
        <v>0</v>
      </c>
      <c r="D506" s="180">
        <f t="shared" si="31"/>
        <v>0</v>
      </c>
    </row>
    <row r="507" spans="1:4" x14ac:dyDescent="0.25">
      <c r="A507" t="str">
        <f t="shared" si="28"/>
        <v>Nick Foles</v>
      </c>
      <c r="B507" s="75">
        <f t="shared" si="29"/>
        <v>0</v>
      </c>
      <c r="C507" s="75">
        <f t="shared" si="30"/>
        <v>0</v>
      </c>
      <c r="D507" s="180">
        <f t="shared" si="31"/>
        <v>0</v>
      </c>
    </row>
    <row r="508" spans="1:4" x14ac:dyDescent="0.25">
      <c r="A508" t="str">
        <f t="shared" si="28"/>
        <v>Sean Mannion</v>
      </c>
      <c r="B508" s="75">
        <f t="shared" si="29"/>
        <v>0</v>
      </c>
      <c r="C508" s="75">
        <f t="shared" si="30"/>
        <v>0</v>
      </c>
      <c r="D508" s="180">
        <f t="shared" si="31"/>
        <v>0</v>
      </c>
    </row>
    <row r="509" spans="1:4" x14ac:dyDescent="0.25">
      <c r="A509" t="str">
        <f t="shared" si="28"/>
        <v>KhaDarel Hodge</v>
      </c>
      <c r="B509" s="75">
        <f t="shared" si="29"/>
        <v>0</v>
      </c>
      <c r="C509" s="75">
        <f t="shared" si="30"/>
        <v>0</v>
      </c>
      <c r="D509" s="180">
        <f t="shared" si="31"/>
        <v>0</v>
      </c>
    </row>
    <row r="510" spans="1:4" x14ac:dyDescent="0.25">
      <c r="A510" t="str">
        <f t="shared" si="28"/>
        <v>Cole Turner</v>
      </c>
      <c r="B510" s="75">
        <f t="shared" si="29"/>
        <v>0</v>
      </c>
      <c r="C510" s="75">
        <f t="shared" si="30"/>
        <v>0</v>
      </c>
      <c r="D510" s="180">
        <f t="shared" si="31"/>
        <v>0</v>
      </c>
    </row>
    <row r="511" spans="1:4" x14ac:dyDescent="0.25">
      <c r="A511" t="str">
        <f t="shared" si="28"/>
        <v>Patrick Ricard</v>
      </c>
      <c r="B511" s="75">
        <f t="shared" si="29"/>
        <v>0</v>
      </c>
      <c r="C511" s="75">
        <f t="shared" si="30"/>
        <v>0</v>
      </c>
      <c r="D511" s="180">
        <f t="shared" si="31"/>
        <v>0</v>
      </c>
    </row>
    <row r="512" spans="1:4" x14ac:dyDescent="0.25">
      <c r="A512" t="str">
        <f t="shared" si="28"/>
        <v>Tyler Kroft</v>
      </c>
      <c r="B512" s="75">
        <f t="shared" si="29"/>
        <v>0</v>
      </c>
      <c r="C512" s="75">
        <f t="shared" si="30"/>
        <v>0</v>
      </c>
      <c r="D512" s="180">
        <f t="shared" si="31"/>
        <v>0</v>
      </c>
    </row>
    <row r="513" spans="1:4" x14ac:dyDescent="0.25">
      <c r="A513" t="str">
        <f t="shared" si="28"/>
        <v>Jared Pinkney</v>
      </c>
      <c r="B513" s="75">
        <f t="shared" si="29"/>
        <v>0</v>
      </c>
      <c r="C513" s="75">
        <f t="shared" si="30"/>
        <v>0</v>
      </c>
      <c r="D513" s="180">
        <f t="shared" si="31"/>
        <v>0</v>
      </c>
    </row>
    <row r="514" spans="1:4" x14ac:dyDescent="0.25">
      <c r="A514" t="str">
        <f t="shared" ref="A514:A577" si="32">_xlfn.CONCAT(TRIM(H1628)," ",TRIM(I1628),IF(ISNUMBER(J1628),"",_xlfn.CONCAT(" ",TRIM(J1628))))</f>
        <v>Colt McCoy</v>
      </c>
      <c r="B514" s="75">
        <f t="shared" ref="B514:B577" si="33">IF(ISNUMBER(J1628),J1628,K1628)</f>
        <v>0</v>
      </c>
      <c r="C514" s="75">
        <f t="shared" ref="C514:C577" si="34">IF(ISNUMBER(J1628),K1628,L1628)</f>
        <v>0</v>
      </c>
      <c r="D514" s="180">
        <f t="shared" ref="D514:D577" si="35">IF(ISNUMBER(J1628),L1628,M1628)</f>
        <v>0</v>
      </c>
    </row>
    <row r="515" spans="1:4" x14ac:dyDescent="0.25">
      <c r="A515" t="str">
        <f t="shared" si="32"/>
        <v>Tyler Johnson</v>
      </c>
      <c r="B515" s="75">
        <f t="shared" si="33"/>
        <v>0</v>
      </c>
      <c r="C515" s="75">
        <f t="shared" si="34"/>
        <v>0</v>
      </c>
      <c r="D515" s="180">
        <f t="shared" si="35"/>
        <v>0</v>
      </c>
    </row>
    <row r="516" spans="1:4" x14ac:dyDescent="0.25">
      <c r="A516" t="str">
        <f t="shared" si="32"/>
        <v>Deon Jackson</v>
      </c>
      <c r="B516" s="75">
        <f t="shared" si="33"/>
        <v>0</v>
      </c>
      <c r="C516" s="75">
        <f t="shared" si="34"/>
        <v>0</v>
      </c>
      <c r="D516" s="180">
        <f t="shared" si="35"/>
        <v>0</v>
      </c>
    </row>
    <row r="517" spans="1:4" x14ac:dyDescent="0.25">
      <c r="A517" t="str">
        <f t="shared" si="32"/>
        <v>Hunter Long</v>
      </c>
      <c r="B517" s="75">
        <f t="shared" si="33"/>
        <v>0</v>
      </c>
      <c r="C517" s="75">
        <f t="shared" si="34"/>
        <v>0</v>
      </c>
      <c r="D517" s="180">
        <f t="shared" si="35"/>
        <v>0</v>
      </c>
    </row>
    <row r="518" spans="1:4" x14ac:dyDescent="0.25">
      <c r="A518" t="str">
        <f t="shared" si="32"/>
        <v>Dillon Stoner</v>
      </c>
      <c r="B518" s="75">
        <f t="shared" si="33"/>
        <v>0</v>
      </c>
      <c r="C518" s="75">
        <f t="shared" si="34"/>
        <v>0</v>
      </c>
      <c r="D518" s="180">
        <f t="shared" si="35"/>
        <v>0</v>
      </c>
    </row>
    <row r="519" spans="1:4" x14ac:dyDescent="0.25">
      <c r="A519" t="str">
        <f t="shared" si="32"/>
        <v>Trent Taylor</v>
      </c>
      <c r="B519" s="75">
        <f t="shared" si="33"/>
        <v>0</v>
      </c>
      <c r="C519" s="75">
        <f t="shared" si="34"/>
        <v>0</v>
      </c>
      <c r="D519" s="180">
        <f t="shared" si="35"/>
        <v>0</v>
      </c>
    </row>
    <row r="520" spans="1:4" x14ac:dyDescent="0.25">
      <c r="A520" t="str">
        <f t="shared" si="32"/>
        <v>Trevor Siemian</v>
      </c>
      <c r="B520" s="75">
        <f t="shared" si="33"/>
        <v>0</v>
      </c>
      <c r="C520" s="75">
        <f t="shared" si="34"/>
        <v>0</v>
      </c>
      <c r="D520" s="180">
        <f t="shared" si="35"/>
        <v>0</v>
      </c>
    </row>
    <row r="521" spans="1:4" x14ac:dyDescent="0.25">
      <c r="A521" t="str">
        <f t="shared" si="32"/>
        <v>Tyron Johnson</v>
      </c>
      <c r="B521" s="75">
        <f t="shared" si="33"/>
        <v>0</v>
      </c>
      <c r="C521" s="75">
        <f t="shared" si="34"/>
        <v>0</v>
      </c>
      <c r="D521" s="180">
        <f t="shared" si="35"/>
        <v>0</v>
      </c>
    </row>
    <row r="522" spans="1:4" x14ac:dyDescent="0.25">
      <c r="A522" t="str">
        <f t="shared" si="32"/>
        <v>Seth Williams</v>
      </c>
      <c r="B522" s="75">
        <f t="shared" si="33"/>
        <v>0</v>
      </c>
      <c r="C522" s="75">
        <f t="shared" si="34"/>
        <v>0</v>
      </c>
      <c r="D522" s="180">
        <f t="shared" si="35"/>
        <v>0</v>
      </c>
    </row>
    <row r="523" spans="1:4" x14ac:dyDescent="0.25">
      <c r="A523" t="str">
        <f t="shared" si="32"/>
        <v>Ben Ellefson</v>
      </c>
      <c r="B523" s="75">
        <f t="shared" si="33"/>
        <v>0</v>
      </c>
      <c r="C523" s="75">
        <f t="shared" si="34"/>
        <v>0</v>
      </c>
      <c r="D523" s="180">
        <f t="shared" si="35"/>
        <v>0</v>
      </c>
    </row>
    <row r="524" spans="1:4" x14ac:dyDescent="0.25">
      <c r="A524" t="str">
        <f t="shared" si="32"/>
        <v>Nate Sudfeld</v>
      </c>
      <c r="B524" s="75">
        <f t="shared" si="33"/>
        <v>0</v>
      </c>
      <c r="C524" s="75">
        <f t="shared" si="34"/>
        <v>0</v>
      </c>
      <c r="D524" s="180">
        <f t="shared" si="35"/>
        <v>0</v>
      </c>
    </row>
    <row r="525" spans="1:4" x14ac:dyDescent="0.25">
      <c r="A525" t="str">
        <f t="shared" si="32"/>
        <v>Kyren Williams</v>
      </c>
      <c r="B525" s="75">
        <f t="shared" si="33"/>
        <v>0</v>
      </c>
      <c r="C525" s="75">
        <f t="shared" si="34"/>
        <v>0</v>
      </c>
      <c r="D525" s="180">
        <f t="shared" si="35"/>
        <v>0</v>
      </c>
    </row>
    <row r="526" spans="1:4" x14ac:dyDescent="0.25">
      <c r="A526" t="str">
        <f t="shared" si="32"/>
        <v>Chigoziem Okonkwo</v>
      </c>
      <c r="B526" s="75">
        <f t="shared" si="33"/>
        <v>0</v>
      </c>
      <c r="C526" s="75">
        <f t="shared" si="34"/>
        <v>0</v>
      </c>
      <c r="D526" s="180">
        <f t="shared" si="35"/>
        <v>0</v>
      </c>
    </row>
    <row r="527" spans="1:4" x14ac:dyDescent="0.25">
      <c r="A527" t="str">
        <f t="shared" si="32"/>
        <v>MyCole Pruitt</v>
      </c>
      <c r="B527" s="75">
        <f t="shared" si="33"/>
        <v>0</v>
      </c>
      <c r="C527" s="75">
        <f t="shared" si="34"/>
        <v>0</v>
      </c>
      <c r="D527" s="180">
        <f t="shared" si="35"/>
        <v>0</v>
      </c>
    </row>
    <row r="528" spans="1:4" x14ac:dyDescent="0.25">
      <c r="A528" t="str">
        <f t="shared" si="32"/>
        <v>Mike Strachan</v>
      </c>
      <c r="B528" s="75">
        <f t="shared" si="33"/>
        <v>0</v>
      </c>
      <c r="C528" s="75">
        <f t="shared" si="34"/>
        <v>0</v>
      </c>
      <c r="D528" s="180">
        <f t="shared" si="35"/>
        <v>0</v>
      </c>
    </row>
    <row r="529" spans="1:4" x14ac:dyDescent="0.25">
      <c r="A529" t="str">
        <f t="shared" si="32"/>
        <v>Tyler Badie</v>
      </c>
      <c r="B529" s="75">
        <f t="shared" si="33"/>
        <v>0</v>
      </c>
      <c r="C529" s="75">
        <f t="shared" si="34"/>
        <v>0</v>
      </c>
      <c r="D529" s="180">
        <f t="shared" si="35"/>
        <v>0</v>
      </c>
    </row>
    <row r="530" spans="1:4" x14ac:dyDescent="0.25">
      <c r="A530" t="str">
        <f t="shared" si="32"/>
        <v>Brian Hoyer</v>
      </c>
      <c r="B530" s="75">
        <f t="shared" si="33"/>
        <v>0</v>
      </c>
      <c r="C530" s="75">
        <f t="shared" si="34"/>
        <v>0</v>
      </c>
      <c r="D530" s="180">
        <f t="shared" si="35"/>
        <v>0</v>
      </c>
    </row>
    <row r="531" spans="1:4" x14ac:dyDescent="0.25">
      <c r="A531" t="str">
        <f t="shared" si="32"/>
        <v>Cam Sims</v>
      </c>
      <c r="B531" s="75">
        <f t="shared" si="33"/>
        <v>0</v>
      </c>
      <c r="C531" s="75">
        <f t="shared" si="34"/>
        <v>0</v>
      </c>
      <c r="D531" s="180">
        <f t="shared" si="35"/>
        <v>0</v>
      </c>
    </row>
    <row r="532" spans="1:4" x14ac:dyDescent="0.25">
      <c r="A532" t="str">
        <f t="shared" si="32"/>
        <v>Tim Boyle</v>
      </c>
      <c r="B532" s="75">
        <f t="shared" si="33"/>
        <v>0</v>
      </c>
      <c r="C532" s="75">
        <f t="shared" si="34"/>
        <v>0</v>
      </c>
      <c r="D532" s="180">
        <f t="shared" si="35"/>
        <v>0</v>
      </c>
    </row>
    <row r="533" spans="1:4" x14ac:dyDescent="0.25">
      <c r="A533" t="str">
        <f t="shared" si="32"/>
        <v>Jaret Patterson</v>
      </c>
      <c r="B533" s="75">
        <f t="shared" si="33"/>
        <v>0</v>
      </c>
      <c r="C533" s="75">
        <f t="shared" si="34"/>
        <v>0</v>
      </c>
      <c r="D533" s="180">
        <f t="shared" si="35"/>
        <v>0</v>
      </c>
    </row>
    <row r="534" spans="1:4" x14ac:dyDescent="0.25">
      <c r="A534" t="str">
        <f t="shared" si="32"/>
        <v>Joshua Dobbs</v>
      </c>
      <c r="B534" s="75">
        <f t="shared" si="33"/>
        <v>0</v>
      </c>
      <c r="C534" s="75">
        <f t="shared" si="34"/>
        <v>0</v>
      </c>
      <c r="D534" s="180">
        <f t="shared" si="35"/>
        <v>0</v>
      </c>
    </row>
    <row r="535" spans="1:4" x14ac:dyDescent="0.25">
      <c r="A535" t="str">
        <f t="shared" si="32"/>
        <v>Tylan Wallace</v>
      </c>
      <c r="B535" s="75">
        <f t="shared" si="33"/>
        <v>0</v>
      </c>
      <c r="C535" s="75">
        <f t="shared" si="34"/>
        <v>0</v>
      </c>
      <c r="D535" s="180">
        <f t="shared" si="35"/>
        <v>0</v>
      </c>
    </row>
    <row r="536" spans="1:4" x14ac:dyDescent="0.25">
      <c r="A536" t="str">
        <f t="shared" si="32"/>
        <v>Brandon Powell</v>
      </c>
      <c r="B536" s="75">
        <f t="shared" si="33"/>
        <v>0</v>
      </c>
      <c r="C536" s="75">
        <f t="shared" si="34"/>
        <v>0</v>
      </c>
      <c r="D536" s="180">
        <f t="shared" si="35"/>
        <v>0</v>
      </c>
    </row>
    <row r="537" spans="1:4" x14ac:dyDescent="0.25">
      <c r="A537" t="str">
        <f t="shared" si="32"/>
        <v>Jason Huntley</v>
      </c>
      <c r="B537" s="75">
        <f t="shared" si="33"/>
        <v>0</v>
      </c>
      <c r="C537" s="75">
        <f t="shared" si="34"/>
        <v>0</v>
      </c>
      <c r="D537" s="180">
        <f t="shared" si="35"/>
        <v>0</v>
      </c>
    </row>
    <row r="538" spans="1:4" x14ac:dyDescent="0.25">
      <c r="A538" t="str">
        <f t="shared" si="32"/>
        <v>Trey Sermon</v>
      </c>
      <c r="B538" s="75">
        <f t="shared" si="33"/>
        <v>0</v>
      </c>
      <c r="C538" s="75">
        <f t="shared" si="34"/>
        <v>0</v>
      </c>
      <c r="D538" s="180">
        <f t="shared" si="35"/>
        <v>0</v>
      </c>
    </row>
    <row r="539" spans="1:4" x14ac:dyDescent="0.25">
      <c r="A539" t="str">
        <f t="shared" si="32"/>
        <v>Demetric Felton Jr.</v>
      </c>
      <c r="B539" s="75">
        <f t="shared" si="33"/>
        <v>0</v>
      </c>
      <c r="C539" s="75">
        <f t="shared" si="34"/>
        <v>0</v>
      </c>
      <c r="D539" s="180">
        <f t="shared" si="35"/>
        <v>0</v>
      </c>
    </row>
    <row r="540" spans="1:4" x14ac:dyDescent="0.25">
      <c r="A540" t="str">
        <f t="shared" si="32"/>
        <v>Khalil Shakir</v>
      </c>
      <c r="B540" s="75">
        <f t="shared" si="33"/>
        <v>0</v>
      </c>
      <c r="C540" s="75">
        <f t="shared" si="34"/>
        <v>0</v>
      </c>
      <c r="D540" s="180">
        <f t="shared" si="35"/>
        <v>0</v>
      </c>
    </row>
    <row r="541" spans="1:4" x14ac:dyDescent="0.25">
      <c r="A541" t="str">
        <f t="shared" si="32"/>
        <v>Ty Johnson</v>
      </c>
      <c r="B541" s="75">
        <f t="shared" si="33"/>
        <v>0</v>
      </c>
      <c r="C541" s="75">
        <f t="shared" si="34"/>
        <v>0</v>
      </c>
      <c r="D541" s="180">
        <f t="shared" si="35"/>
        <v>0</v>
      </c>
    </row>
    <row r="542" spans="1:4" x14ac:dyDescent="0.25">
      <c r="A542" t="str">
        <f t="shared" si="32"/>
        <v>Michael Woods II</v>
      </c>
      <c r="B542" s="75">
        <f t="shared" si="33"/>
        <v>0</v>
      </c>
      <c r="C542" s="75">
        <f t="shared" si="34"/>
        <v>0</v>
      </c>
      <c r="D542" s="180">
        <f t="shared" si="35"/>
        <v>0</v>
      </c>
    </row>
    <row r="543" spans="1:4" x14ac:dyDescent="0.25">
      <c r="A543" t="str">
        <f t="shared" si="32"/>
        <v>Alec Ingold</v>
      </c>
      <c r="B543" s="75">
        <f t="shared" si="33"/>
        <v>0</v>
      </c>
      <c r="C543" s="75">
        <f t="shared" si="34"/>
        <v>0</v>
      </c>
      <c r="D543" s="180">
        <f t="shared" si="35"/>
        <v>0</v>
      </c>
    </row>
    <row r="544" spans="1:4" x14ac:dyDescent="0.25">
      <c r="A544" t="str">
        <f t="shared" si="32"/>
        <v>Marquise Goodwin</v>
      </c>
      <c r="B544" s="75">
        <f t="shared" si="33"/>
        <v>0</v>
      </c>
      <c r="C544" s="75">
        <f t="shared" si="34"/>
        <v>0</v>
      </c>
      <c r="D544" s="180">
        <f t="shared" si="35"/>
        <v>0</v>
      </c>
    </row>
    <row r="545" spans="1:4" x14ac:dyDescent="0.25">
      <c r="A545" t="str">
        <f t="shared" si="32"/>
        <v>Ray-Ray McCloud III</v>
      </c>
      <c r="B545" s="75">
        <f t="shared" si="33"/>
        <v>0</v>
      </c>
      <c r="C545" s="75">
        <f t="shared" si="34"/>
        <v>0</v>
      </c>
      <c r="D545" s="180">
        <f t="shared" si="35"/>
        <v>0</v>
      </c>
    </row>
    <row r="546" spans="1:4" x14ac:dyDescent="0.25">
      <c r="A546" t="str">
        <f t="shared" si="32"/>
        <v>Jakob Johnson</v>
      </c>
      <c r="B546" s="75">
        <f t="shared" si="33"/>
        <v>0</v>
      </c>
      <c r="C546" s="75">
        <f t="shared" si="34"/>
        <v>0</v>
      </c>
      <c r="D546" s="180">
        <f t="shared" si="35"/>
        <v>0</v>
      </c>
    </row>
    <row r="547" spans="1:4" x14ac:dyDescent="0.25">
      <c r="A547" t="str">
        <f t="shared" si="32"/>
        <v>Jeff Smith</v>
      </c>
      <c r="B547" s="75">
        <f t="shared" si="33"/>
        <v>0</v>
      </c>
      <c r="C547" s="75">
        <f t="shared" si="34"/>
        <v>0</v>
      </c>
      <c r="D547" s="180">
        <f t="shared" si="35"/>
        <v>0</v>
      </c>
    </row>
    <row r="548" spans="1:4" x14ac:dyDescent="0.25">
      <c r="A548" t="str">
        <f t="shared" si="32"/>
        <v>Keaontay Ingram</v>
      </c>
      <c r="B548" s="75">
        <f t="shared" si="33"/>
        <v>0</v>
      </c>
      <c r="C548" s="75">
        <f t="shared" si="34"/>
        <v>0</v>
      </c>
      <c r="D548" s="180">
        <f t="shared" si="35"/>
        <v>0</v>
      </c>
    </row>
    <row r="549" spans="1:4" x14ac:dyDescent="0.25">
      <c r="A549" t="str">
        <f t="shared" si="32"/>
        <v>Ko Kieft</v>
      </c>
      <c r="B549" s="75">
        <f t="shared" si="33"/>
        <v>0</v>
      </c>
      <c r="C549" s="75">
        <f t="shared" si="34"/>
        <v>0</v>
      </c>
      <c r="D549" s="180">
        <f t="shared" si="35"/>
        <v>0</v>
      </c>
    </row>
    <row r="550" spans="1:4" x14ac:dyDescent="0.25">
      <c r="A550" t="str">
        <f t="shared" si="32"/>
        <v>Darrynton Evans</v>
      </c>
      <c r="B550" s="75">
        <f t="shared" si="33"/>
        <v>0</v>
      </c>
      <c r="C550" s="75">
        <f t="shared" si="34"/>
        <v>0</v>
      </c>
      <c r="D550" s="180">
        <f t="shared" si="35"/>
        <v>0</v>
      </c>
    </row>
    <row r="551" spans="1:4" x14ac:dyDescent="0.25">
      <c r="A551" t="str">
        <f t="shared" si="32"/>
        <v>Marquez Stevenson</v>
      </c>
      <c r="B551" s="75">
        <f t="shared" si="33"/>
        <v>0</v>
      </c>
      <c r="C551" s="75">
        <f t="shared" si="34"/>
        <v>0</v>
      </c>
      <c r="D551" s="180">
        <f t="shared" si="35"/>
        <v>0</v>
      </c>
    </row>
    <row r="552" spans="1:4" x14ac:dyDescent="0.25">
      <c r="A552" t="str">
        <f t="shared" si="32"/>
        <v>Patrick Taylor</v>
      </c>
      <c r="B552" s="75">
        <f t="shared" si="33"/>
        <v>0</v>
      </c>
      <c r="C552" s="75">
        <f t="shared" si="34"/>
        <v>0</v>
      </c>
      <c r="D552" s="180">
        <f t="shared" si="35"/>
        <v>0</v>
      </c>
    </row>
    <row r="553" spans="1:4" x14ac:dyDescent="0.25">
      <c r="A553" t="str">
        <f t="shared" si="32"/>
        <v>Myles Gaskin</v>
      </c>
      <c r="B553" s="75">
        <f t="shared" si="33"/>
        <v>0</v>
      </c>
      <c r="C553" s="75">
        <f t="shared" si="34"/>
        <v>0</v>
      </c>
      <c r="D553" s="180">
        <f t="shared" si="35"/>
        <v>0</v>
      </c>
    </row>
    <row r="554" spans="1:4" x14ac:dyDescent="0.25">
      <c r="A554" t="str">
        <f t="shared" si="32"/>
        <v>Anthony McFarland Jr.</v>
      </c>
      <c r="B554" s="75">
        <f t="shared" si="33"/>
        <v>0</v>
      </c>
      <c r="C554" s="75">
        <f t="shared" si="34"/>
        <v>0</v>
      </c>
      <c r="D554" s="180">
        <f t="shared" si="35"/>
        <v>0</v>
      </c>
    </row>
    <row r="555" spans="1:4" x14ac:dyDescent="0.25">
      <c r="A555" t="str">
        <f t="shared" si="32"/>
        <v>Nick Bowers</v>
      </c>
      <c r="B555" s="75">
        <f t="shared" si="33"/>
        <v>0</v>
      </c>
      <c r="C555" s="75">
        <f t="shared" si="34"/>
        <v>0</v>
      </c>
      <c r="D555" s="180">
        <f t="shared" si="35"/>
        <v>0</v>
      </c>
    </row>
    <row r="556" spans="1:4" x14ac:dyDescent="0.25">
      <c r="A556" t="str">
        <f t="shared" si="32"/>
        <v>Grant Calcaterra</v>
      </c>
      <c r="B556" s="75">
        <f t="shared" si="33"/>
        <v>0</v>
      </c>
      <c r="C556" s="75">
        <f t="shared" si="34"/>
        <v>0</v>
      </c>
      <c r="D556" s="180">
        <f t="shared" si="35"/>
        <v>0</v>
      </c>
    </row>
    <row r="557" spans="1:4" x14ac:dyDescent="0.25">
      <c r="A557" t="str">
        <f t="shared" si="32"/>
        <v>Jack Stoll</v>
      </c>
      <c r="B557" s="75">
        <f t="shared" si="33"/>
        <v>0</v>
      </c>
      <c r="C557" s="75">
        <f t="shared" si="34"/>
        <v>0</v>
      </c>
      <c r="D557" s="180">
        <f t="shared" si="35"/>
        <v>0</v>
      </c>
    </row>
    <row r="558" spans="1:4" x14ac:dyDescent="0.25">
      <c r="A558" t="str">
        <f t="shared" si="32"/>
        <v>Julius Chestnut</v>
      </c>
      <c r="B558" s="75">
        <f t="shared" si="33"/>
        <v>0</v>
      </c>
      <c r="C558" s="75">
        <f t="shared" si="34"/>
        <v>0</v>
      </c>
      <c r="D558" s="180">
        <f t="shared" si="35"/>
        <v>0</v>
      </c>
    </row>
    <row r="559" spans="1:4" x14ac:dyDescent="0.25">
      <c r="A559" t="str">
        <f t="shared" si="32"/>
        <v>Hunter Kampmoyer</v>
      </c>
      <c r="B559" s="75">
        <f t="shared" si="33"/>
        <v>0</v>
      </c>
      <c r="C559" s="75">
        <f t="shared" si="34"/>
        <v>0</v>
      </c>
      <c r="D559" s="180">
        <f t="shared" si="35"/>
        <v>0</v>
      </c>
    </row>
    <row r="560" spans="1:4" x14ac:dyDescent="0.25">
      <c r="A560" t="str">
        <f t="shared" si="32"/>
        <v>Tyler Davis</v>
      </c>
      <c r="B560" s="75">
        <f t="shared" si="33"/>
        <v>0</v>
      </c>
      <c r="C560" s="75">
        <f t="shared" si="34"/>
        <v>0</v>
      </c>
      <c r="D560" s="180">
        <f t="shared" si="35"/>
        <v>0</v>
      </c>
    </row>
    <row r="561" spans="1:4" x14ac:dyDescent="0.25">
      <c r="A561" t="str">
        <f t="shared" si="32"/>
        <v>Antony Auclair</v>
      </c>
      <c r="B561" s="75">
        <f t="shared" si="33"/>
        <v>0</v>
      </c>
      <c r="C561" s="75">
        <f t="shared" si="34"/>
        <v>0</v>
      </c>
      <c r="D561" s="180">
        <f t="shared" si="35"/>
        <v>0</v>
      </c>
    </row>
    <row r="562" spans="1:4" x14ac:dyDescent="0.25">
      <c r="A562" t="str">
        <f t="shared" si="32"/>
        <v>Zach Gentry</v>
      </c>
      <c r="B562" s="75">
        <f t="shared" si="33"/>
        <v>0</v>
      </c>
      <c r="C562" s="75">
        <f t="shared" si="34"/>
        <v>0</v>
      </c>
      <c r="D562" s="180">
        <f t="shared" si="35"/>
        <v>0</v>
      </c>
    </row>
    <row r="563" spans="1:4" x14ac:dyDescent="0.25">
      <c r="A563" t="str">
        <f t="shared" si="32"/>
        <v>Tre Nixon</v>
      </c>
      <c r="B563" s="75">
        <f t="shared" si="33"/>
        <v>0</v>
      </c>
      <c r="C563" s="75">
        <f t="shared" si="34"/>
        <v>0</v>
      </c>
      <c r="D563" s="180">
        <f t="shared" si="35"/>
        <v>0</v>
      </c>
    </row>
    <row r="564" spans="1:4" x14ac:dyDescent="0.25">
      <c r="A564" t="str">
        <f t="shared" si="32"/>
        <v>Eric Tomlinson</v>
      </c>
      <c r="B564" s="75">
        <f t="shared" si="33"/>
        <v>0</v>
      </c>
      <c r="C564" s="75">
        <f t="shared" si="34"/>
        <v>0</v>
      </c>
      <c r="D564" s="180">
        <f t="shared" si="35"/>
        <v>0</v>
      </c>
    </row>
    <row r="565" spans="1:4" x14ac:dyDescent="0.25">
      <c r="A565" t="str">
        <f t="shared" si="32"/>
        <v>Jalen Nailor</v>
      </c>
      <c r="B565" s="75">
        <f t="shared" si="33"/>
        <v>0</v>
      </c>
      <c r="C565" s="75">
        <f t="shared" si="34"/>
        <v>0</v>
      </c>
      <c r="D565" s="180">
        <f t="shared" si="35"/>
        <v>0</v>
      </c>
    </row>
    <row r="566" spans="1:4" x14ac:dyDescent="0.25">
      <c r="A566" t="str">
        <f t="shared" si="32"/>
        <v>Giovanni Ricci</v>
      </c>
      <c r="B566" s="75">
        <f t="shared" si="33"/>
        <v>0</v>
      </c>
      <c r="C566" s="75">
        <f t="shared" si="34"/>
        <v>0</v>
      </c>
      <c r="D566" s="180">
        <f t="shared" si="35"/>
        <v>0</v>
      </c>
    </row>
    <row r="567" spans="1:4" x14ac:dyDescent="0.25">
      <c r="A567" t="str">
        <f t="shared" si="32"/>
        <v>Mitchell Wilcox</v>
      </c>
      <c r="B567" s="75">
        <f t="shared" si="33"/>
        <v>0</v>
      </c>
      <c r="C567" s="75">
        <f t="shared" si="34"/>
        <v>0</v>
      </c>
      <c r="D567" s="180">
        <f t="shared" si="35"/>
        <v>0</v>
      </c>
    </row>
    <row r="568" spans="1:4" x14ac:dyDescent="0.25">
      <c r="A568" t="str">
        <f t="shared" si="32"/>
        <v>Johnny Stanton IV</v>
      </c>
      <c r="B568" s="75">
        <f t="shared" si="33"/>
        <v>0</v>
      </c>
      <c r="C568" s="75">
        <f t="shared" si="34"/>
        <v>0</v>
      </c>
      <c r="D568" s="180">
        <f t="shared" si="35"/>
        <v>0</v>
      </c>
    </row>
    <row r="569" spans="1:4" x14ac:dyDescent="0.25">
      <c r="A569" t="str">
        <f t="shared" si="32"/>
        <v>Reggie Gilliam</v>
      </c>
      <c r="B569" s="75">
        <f t="shared" si="33"/>
        <v>0</v>
      </c>
      <c r="C569" s="75">
        <f t="shared" si="34"/>
        <v>0</v>
      </c>
      <c r="D569" s="180">
        <f t="shared" si="35"/>
        <v>0</v>
      </c>
    </row>
    <row r="570" spans="1:4" x14ac:dyDescent="0.25">
      <c r="A570" t="str">
        <f t="shared" si="32"/>
        <v>Jeremy Ruckert</v>
      </c>
      <c r="B570" s="75">
        <f t="shared" si="33"/>
        <v>0</v>
      </c>
      <c r="C570" s="75">
        <f t="shared" si="34"/>
        <v>0</v>
      </c>
      <c r="D570" s="180">
        <f t="shared" si="35"/>
        <v>0</v>
      </c>
    </row>
    <row r="571" spans="1:4" x14ac:dyDescent="0.25">
      <c r="A571" t="str">
        <f t="shared" si="32"/>
        <v>Stephen Sullivan</v>
      </c>
      <c r="B571" s="75">
        <f t="shared" si="33"/>
        <v>0</v>
      </c>
      <c r="C571" s="75">
        <f t="shared" si="34"/>
        <v>0</v>
      </c>
      <c r="D571" s="180">
        <f t="shared" si="35"/>
        <v>0</v>
      </c>
    </row>
    <row r="572" spans="1:4" x14ac:dyDescent="0.25">
      <c r="A572" t="str">
        <f t="shared" si="32"/>
        <v>Nick Bawden</v>
      </c>
      <c r="B572" s="75">
        <f t="shared" si="33"/>
        <v>0</v>
      </c>
      <c r="C572" s="75">
        <f t="shared" si="34"/>
        <v>0</v>
      </c>
      <c r="D572" s="180">
        <f t="shared" si="35"/>
        <v>0</v>
      </c>
    </row>
    <row r="573" spans="1:4" x14ac:dyDescent="0.25">
      <c r="A573" t="str">
        <f t="shared" si="32"/>
        <v>Charlie Kolar</v>
      </c>
      <c r="B573" s="75">
        <f t="shared" si="33"/>
        <v>0</v>
      </c>
      <c r="C573" s="75">
        <f t="shared" si="34"/>
        <v>0</v>
      </c>
      <c r="D573" s="180">
        <f t="shared" si="35"/>
        <v>0</v>
      </c>
    </row>
    <row r="574" spans="1:4" x14ac:dyDescent="0.25">
      <c r="A574" t="str">
        <f t="shared" si="32"/>
        <v>Tyler Mabry</v>
      </c>
      <c r="B574" s="75">
        <f t="shared" si="33"/>
        <v>0</v>
      </c>
      <c r="C574" s="75">
        <f t="shared" si="34"/>
        <v>0</v>
      </c>
      <c r="D574" s="180">
        <f t="shared" si="35"/>
        <v>0</v>
      </c>
    </row>
    <row r="575" spans="1:4" x14ac:dyDescent="0.25">
      <c r="A575" t="str">
        <f t="shared" si="32"/>
        <v>Shi Smith</v>
      </c>
      <c r="B575" s="75">
        <f t="shared" si="33"/>
        <v>0</v>
      </c>
      <c r="C575" s="75">
        <f t="shared" si="34"/>
        <v>0</v>
      </c>
      <c r="D575" s="180">
        <f t="shared" si="35"/>
        <v>0</v>
      </c>
    </row>
    <row r="576" spans="1:4" x14ac:dyDescent="0.25">
      <c r="A576" t="str">
        <f t="shared" si="32"/>
        <v>Ryquell Armstead</v>
      </c>
      <c r="B576" s="75">
        <f t="shared" si="33"/>
        <v>0</v>
      </c>
      <c r="C576" s="75">
        <f t="shared" si="34"/>
        <v>0</v>
      </c>
      <c r="D576" s="180">
        <f t="shared" si="35"/>
        <v>0</v>
      </c>
    </row>
    <row r="577" spans="1:4" x14ac:dyDescent="0.25">
      <c r="A577" t="str">
        <f t="shared" si="32"/>
        <v>Derek Watt</v>
      </c>
      <c r="B577" s="75">
        <f t="shared" si="33"/>
        <v>0</v>
      </c>
      <c r="C577" s="75">
        <f t="shared" si="34"/>
        <v>0</v>
      </c>
      <c r="D577" s="180">
        <f t="shared" si="35"/>
        <v>0</v>
      </c>
    </row>
    <row r="578" spans="1:4" x14ac:dyDescent="0.25">
      <c r="A578" t="str">
        <f t="shared" ref="A578:A641" si="36">_xlfn.CONCAT(TRIM(H1692)," ",TRIM(I1692),IF(ISNUMBER(J1692),"",_xlfn.CONCAT(" ",TRIM(J1692))))</f>
        <v>Mike Thomas</v>
      </c>
      <c r="B578" s="75">
        <f t="shared" ref="B578:B641" si="37">IF(ISNUMBER(J1692),J1692,K1692)</f>
        <v>0</v>
      </c>
      <c r="C578" s="75">
        <f t="shared" ref="C578:C641" si="38">IF(ISNUMBER(J1692),K1692,L1692)</f>
        <v>0</v>
      </c>
      <c r="D578" s="180">
        <f t="shared" ref="D578:D641" si="39">IF(ISNUMBER(J1692),L1692,M1692)</f>
        <v>0</v>
      </c>
    </row>
    <row r="579" spans="1:4" x14ac:dyDescent="0.25">
      <c r="A579" t="str">
        <f t="shared" si="36"/>
        <v>Dez Fitzpatrick</v>
      </c>
      <c r="B579" s="75">
        <f t="shared" si="37"/>
        <v>0</v>
      </c>
      <c r="C579" s="75">
        <f t="shared" si="38"/>
        <v>0</v>
      </c>
      <c r="D579" s="180">
        <f t="shared" si="39"/>
        <v>0</v>
      </c>
    </row>
    <row r="580" spans="1:4" x14ac:dyDescent="0.25">
      <c r="A580" t="str">
        <f t="shared" si="36"/>
        <v>Mohamed Sanu</v>
      </c>
      <c r="B580" s="75">
        <f t="shared" si="37"/>
        <v>0</v>
      </c>
      <c r="C580" s="75">
        <f t="shared" si="38"/>
        <v>0</v>
      </c>
      <c r="D580" s="180">
        <f t="shared" si="39"/>
        <v>0</v>
      </c>
    </row>
    <row r="581" spans="1:4" x14ac:dyDescent="0.25">
      <c r="A581" t="str">
        <f t="shared" si="36"/>
        <v>Khari Blasingame</v>
      </c>
      <c r="B581" s="75">
        <f t="shared" si="37"/>
        <v>0</v>
      </c>
      <c r="C581" s="75">
        <f t="shared" si="38"/>
        <v>0</v>
      </c>
      <c r="D581" s="180">
        <f t="shared" si="39"/>
        <v>0</v>
      </c>
    </row>
    <row r="582" spans="1:4" x14ac:dyDescent="0.25">
      <c r="A582" t="str">
        <f t="shared" si="36"/>
        <v>Nakia Griffin-Stewart</v>
      </c>
      <c r="B582" s="75">
        <f t="shared" si="37"/>
        <v>0</v>
      </c>
      <c r="C582" s="75">
        <f t="shared" si="38"/>
        <v>0</v>
      </c>
      <c r="D582" s="180">
        <f t="shared" si="39"/>
        <v>0</v>
      </c>
    </row>
    <row r="583" spans="1:4" x14ac:dyDescent="0.25">
      <c r="A583" t="str">
        <f t="shared" si="36"/>
        <v>Miles Boykin</v>
      </c>
      <c r="B583" s="75">
        <f t="shared" si="37"/>
        <v>0</v>
      </c>
      <c r="C583" s="75">
        <f t="shared" si="38"/>
        <v>0</v>
      </c>
      <c r="D583" s="180">
        <f t="shared" si="39"/>
        <v>0</v>
      </c>
    </row>
    <row r="584" spans="1:4" x14ac:dyDescent="0.25">
      <c r="A584" t="str">
        <f t="shared" si="36"/>
        <v>Frank Darby</v>
      </c>
      <c r="B584" s="75">
        <f t="shared" si="37"/>
        <v>0</v>
      </c>
      <c r="C584" s="75">
        <f t="shared" si="38"/>
        <v>0</v>
      </c>
      <c r="D584" s="180">
        <f t="shared" si="39"/>
        <v>0</v>
      </c>
    </row>
    <row r="585" spans="1:4" x14ac:dyDescent="0.25">
      <c r="A585" t="str">
        <f t="shared" si="36"/>
        <v>Trayveon Williams</v>
      </c>
      <c r="B585" s="75">
        <f t="shared" si="37"/>
        <v>0</v>
      </c>
      <c r="C585" s="75">
        <f t="shared" si="38"/>
        <v>0</v>
      </c>
      <c r="D585" s="180">
        <f t="shared" si="39"/>
        <v>0</v>
      </c>
    </row>
    <row r="586" spans="1:4" x14ac:dyDescent="0.25">
      <c r="A586" t="str">
        <f t="shared" si="36"/>
        <v>Sam Howell</v>
      </c>
      <c r="B586" s="75">
        <f t="shared" si="37"/>
        <v>0</v>
      </c>
      <c r="C586" s="75">
        <f t="shared" si="38"/>
        <v>0</v>
      </c>
      <c r="D586" s="180">
        <f t="shared" si="39"/>
        <v>0</v>
      </c>
    </row>
    <row r="587" spans="1:4" x14ac:dyDescent="0.25">
      <c r="A587" t="str">
        <f t="shared" si="36"/>
        <v>Jason Cabinda</v>
      </c>
      <c r="B587" s="75">
        <f t="shared" si="37"/>
        <v>0</v>
      </c>
      <c r="C587" s="75">
        <f t="shared" si="38"/>
        <v>0</v>
      </c>
      <c r="D587" s="180">
        <f t="shared" si="39"/>
        <v>0</v>
      </c>
    </row>
    <row r="588" spans="1:4" x14ac:dyDescent="0.25">
      <c r="A588" t="str">
        <f t="shared" si="36"/>
        <v>Avery Williams</v>
      </c>
      <c r="B588" s="75">
        <f t="shared" si="37"/>
        <v>0</v>
      </c>
      <c r="C588" s="75">
        <f t="shared" si="38"/>
        <v>0</v>
      </c>
      <c r="D588" s="180">
        <f t="shared" si="39"/>
        <v>0</v>
      </c>
    </row>
    <row r="589" spans="1:4" x14ac:dyDescent="0.25">
      <c r="A589" t="str">
        <f t="shared" si="36"/>
        <v>Ross Dwelley</v>
      </c>
      <c r="B589" s="75">
        <f t="shared" si="37"/>
        <v>0</v>
      </c>
      <c r="C589" s="75">
        <f t="shared" si="38"/>
        <v>0</v>
      </c>
      <c r="D589" s="180">
        <f t="shared" si="39"/>
        <v>0</v>
      </c>
    </row>
    <row r="590" spans="1:4" x14ac:dyDescent="0.25">
      <c r="A590" t="str">
        <f t="shared" si="36"/>
        <v>Adam Prentice</v>
      </c>
      <c r="B590" s="75">
        <f t="shared" si="37"/>
        <v>0</v>
      </c>
      <c r="C590" s="75">
        <f t="shared" si="38"/>
        <v>0</v>
      </c>
      <c r="D590" s="180">
        <f t="shared" si="39"/>
        <v>0</v>
      </c>
    </row>
    <row r="591" spans="1:4" x14ac:dyDescent="0.25">
      <c r="A591" t="str">
        <f t="shared" si="36"/>
        <v>Gunner Olszewski</v>
      </c>
      <c r="B591" s="75">
        <f t="shared" si="37"/>
        <v>0</v>
      </c>
      <c r="C591" s="75">
        <f t="shared" si="38"/>
        <v>0</v>
      </c>
      <c r="D591" s="180">
        <f t="shared" si="39"/>
        <v>0</v>
      </c>
    </row>
    <row r="592" spans="1:4" x14ac:dyDescent="0.25">
      <c r="A592" t="str">
        <f t="shared" si="36"/>
        <v>Andy Isabella</v>
      </c>
      <c r="B592" s="75">
        <f t="shared" si="37"/>
        <v>0</v>
      </c>
      <c r="C592" s="75">
        <f t="shared" si="38"/>
        <v>0</v>
      </c>
      <c r="D592" s="180">
        <f t="shared" si="39"/>
        <v>0</v>
      </c>
    </row>
    <row r="593" spans="1:4" x14ac:dyDescent="0.25">
      <c r="A593" t="str">
        <f t="shared" si="36"/>
        <v>KaVontae Turpin</v>
      </c>
      <c r="B593" s="75">
        <f t="shared" si="37"/>
        <v>0</v>
      </c>
      <c r="C593" s="75">
        <f t="shared" si="38"/>
        <v>0</v>
      </c>
      <c r="D593" s="180">
        <f t="shared" si="39"/>
        <v>0</v>
      </c>
    </row>
    <row r="594" spans="1:4" x14ac:dyDescent="0.25">
      <c r="A594" t="str">
        <f t="shared" si="36"/>
        <v>Kevin Harris</v>
      </c>
      <c r="B594" s="75">
        <f t="shared" si="37"/>
        <v>0</v>
      </c>
      <c r="C594" s="75">
        <f t="shared" si="38"/>
        <v>0</v>
      </c>
      <c r="D594" s="180">
        <f t="shared" si="39"/>
        <v>0</v>
      </c>
    </row>
    <row r="595" spans="1:4" x14ac:dyDescent="0.25">
      <c r="A595" t="str">
        <f t="shared" si="36"/>
        <v>Daurice Fountain</v>
      </c>
      <c r="B595" s="75">
        <f t="shared" si="37"/>
        <v>0</v>
      </c>
      <c r="C595" s="75">
        <f t="shared" si="38"/>
        <v>0</v>
      </c>
      <c r="D595" s="180">
        <f t="shared" si="39"/>
        <v>0</v>
      </c>
    </row>
    <row r="596" spans="1:4" x14ac:dyDescent="0.25">
      <c r="A596" t="str">
        <f t="shared" si="36"/>
        <v>Scotty Miller</v>
      </c>
      <c r="B596" s="75">
        <f t="shared" si="37"/>
        <v>0</v>
      </c>
      <c r="C596" s="75">
        <f t="shared" si="38"/>
        <v>0</v>
      </c>
      <c r="D596" s="180">
        <f t="shared" si="39"/>
        <v>0</v>
      </c>
    </row>
    <row r="597" spans="1:4" x14ac:dyDescent="0.25">
      <c r="A597" t="str">
        <f t="shared" si="36"/>
        <v>Michael Burton</v>
      </c>
      <c r="B597" s="75">
        <f t="shared" si="37"/>
        <v>0</v>
      </c>
      <c r="C597" s="75">
        <f t="shared" si="38"/>
        <v>0</v>
      </c>
      <c r="D597" s="180">
        <f t="shared" si="39"/>
        <v>0</v>
      </c>
    </row>
    <row r="598" spans="1:4" x14ac:dyDescent="0.25">
      <c r="A598" t="str">
        <f t="shared" si="36"/>
        <v>Duke Johnson</v>
      </c>
      <c r="B598" s="75">
        <f t="shared" si="37"/>
        <v>0</v>
      </c>
      <c r="C598" s="75">
        <f t="shared" si="38"/>
        <v>0</v>
      </c>
      <c r="D598" s="180">
        <f t="shared" si="39"/>
        <v>0</v>
      </c>
    </row>
    <row r="599" spans="1:4" x14ac:dyDescent="0.25">
      <c r="A599" t="str">
        <f t="shared" si="36"/>
        <v>Nick Muse</v>
      </c>
      <c r="B599" s="75">
        <f t="shared" si="37"/>
        <v>0</v>
      </c>
      <c r="C599" s="75">
        <f t="shared" si="38"/>
        <v>0</v>
      </c>
      <c r="D599" s="180">
        <f t="shared" si="39"/>
        <v>0</v>
      </c>
    </row>
    <row r="600" spans="1:4" x14ac:dyDescent="0.25">
      <c r="A600" t="str">
        <f t="shared" si="36"/>
        <v>Jason Moore Jr.</v>
      </c>
      <c r="B600" s="75">
        <f t="shared" si="37"/>
        <v>0</v>
      </c>
      <c r="C600" s="75">
        <f t="shared" si="38"/>
        <v>0</v>
      </c>
      <c r="D600" s="180">
        <f t="shared" si="39"/>
        <v>0</v>
      </c>
    </row>
    <row r="601" spans="1:4" x14ac:dyDescent="0.25">
      <c r="A601" t="str">
        <f t="shared" si="36"/>
        <v>Cethan Carter</v>
      </c>
      <c r="B601" s="75">
        <f t="shared" si="37"/>
        <v>0</v>
      </c>
      <c r="C601" s="75">
        <f t="shared" si="38"/>
        <v>0</v>
      </c>
      <c r="D601" s="180">
        <f t="shared" si="39"/>
        <v>0</v>
      </c>
    </row>
    <row r="602" spans="1:4" x14ac:dyDescent="0.25">
      <c r="A602" t="str">
        <f t="shared" si="36"/>
        <v>Devin Asiasi</v>
      </c>
      <c r="B602" s="75">
        <f t="shared" si="37"/>
        <v>0</v>
      </c>
      <c r="C602" s="75">
        <f t="shared" si="38"/>
        <v>0</v>
      </c>
      <c r="D602" s="180">
        <f t="shared" si="39"/>
        <v>0</v>
      </c>
    </row>
    <row r="603" spans="1:4" x14ac:dyDescent="0.25">
      <c r="A603" t="str">
        <f t="shared" si="36"/>
        <v>Matt Sokol</v>
      </c>
      <c r="B603" s="75">
        <f t="shared" si="37"/>
        <v>0</v>
      </c>
      <c r="C603" s="75">
        <f t="shared" si="38"/>
        <v>0</v>
      </c>
      <c r="D603" s="180">
        <f t="shared" si="39"/>
        <v>0</v>
      </c>
    </row>
    <row r="604" spans="1:4" x14ac:dyDescent="0.25">
      <c r="A604" t="str">
        <f t="shared" si="36"/>
        <v>James Mitchell</v>
      </c>
      <c r="B604" s="75">
        <f t="shared" si="37"/>
        <v>0</v>
      </c>
      <c r="C604" s="75">
        <f t="shared" si="38"/>
        <v>0</v>
      </c>
      <c r="D604" s="180">
        <f t="shared" si="39"/>
        <v>0</v>
      </c>
    </row>
    <row r="605" spans="1:4" x14ac:dyDescent="0.25">
      <c r="A605" t="str">
        <f t="shared" si="36"/>
        <v>Juwan Johnson</v>
      </c>
      <c r="B605" s="75">
        <f t="shared" si="37"/>
        <v>0</v>
      </c>
      <c r="C605" s="75">
        <f t="shared" si="38"/>
        <v>0</v>
      </c>
      <c r="D605" s="180">
        <f t="shared" si="39"/>
        <v>0</v>
      </c>
    </row>
    <row r="606" spans="1:4" x14ac:dyDescent="0.25">
      <c r="A606" t="str">
        <f t="shared" si="36"/>
        <v>Stanley Morgan</v>
      </c>
      <c r="B606" s="75">
        <f t="shared" si="37"/>
        <v>0</v>
      </c>
      <c r="C606" s="75">
        <f t="shared" si="38"/>
        <v>0</v>
      </c>
      <c r="D606" s="180">
        <f t="shared" si="39"/>
        <v>0</v>
      </c>
    </row>
    <row r="607" spans="1:4" x14ac:dyDescent="0.25">
      <c r="A607" t="str">
        <f t="shared" si="36"/>
        <v>Tommy Hudson</v>
      </c>
      <c r="B607" s="75">
        <f t="shared" si="37"/>
        <v>0</v>
      </c>
      <c r="C607" s="75">
        <f t="shared" si="38"/>
        <v>0</v>
      </c>
      <c r="D607" s="180">
        <f t="shared" si="39"/>
        <v>0</v>
      </c>
    </row>
    <row r="608" spans="1:4" x14ac:dyDescent="0.25">
      <c r="A608" t="str">
        <f t="shared" si="36"/>
        <v>Dezmon Patmon</v>
      </c>
      <c r="B608" s="75">
        <f t="shared" si="37"/>
        <v>0</v>
      </c>
      <c r="C608" s="75">
        <f t="shared" si="38"/>
        <v>0</v>
      </c>
      <c r="D608" s="180">
        <f t="shared" si="39"/>
        <v>0</v>
      </c>
    </row>
    <row r="609" spans="1:4" x14ac:dyDescent="0.25">
      <c r="A609" t="str">
        <f t="shared" si="36"/>
        <v>Bo Melton</v>
      </c>
      <c r="B609" s="75">
        <f t="shared" si="37"/>
        <v>0</v>
      </c>
      <c r="C609" s="75">
        <f t="shared" si="38"/>
        <v>0</v>
      </c>
      <c r="D609" s="180">
        <f t="shared" si="39"/>
        <v>0</v>
      </c>
    </row>
    <row r="610" spans="1:4" x14ac:dyDescent="0.25">
      <c r="A610" t="str">
        <f t="shared" si="36"/>
        <v>Dax Milne</v>
      </c>
      <c r="B610" s="75">
        <f t="shared" si="37"/>
        <v>0</v>
      </c>
      <c r="C610" s="75">
        <f t="shared" si="38"/>
        <v>0</v>
      </c>
      <c r="D610" s="180">
        <f t="shared" si="39"/>
        <v>0</v>
      </c>
    </row>
    <row r="611" spans="1:4" x14ac:dyDescent="0.25">
      <c r="A611" t="str">
        <f t="shared" si="36"/>
        <v>Denzel Mims</v>
      </c>
      <c r="B611" s="75">
        <f t="shared" si="37"/>
        <v>0</v>
      </c>
      <c r="C611" s="75">
        <f t="shared" si="38"/>
        <v>0</v>
      </c>
      <c r="D611" s="180">
        <f t="shared" si="39"/>
        <v>0</v>
      </c>
    </row>
    <row r="612" spans="1:4" x14ac:dyDescent="0.25">
      <c r="A612" t="str">
        <f t="shared" si="36"/>
        <v>John FitzPatrick</v>
      </c>
      <c r="B612" s="75">
        <f t="shared" si="37"/>
        <v>0</v>
      </c>
      <c r="C612" s="75">
        <f t="shared" si="38"/>
        <v>0</v>
      </c>
      <c r="D612" s="180">
        <f t="shared" si="39"/>
        <v>0</v>
      </c>
    </row>
    <row r="613" spans="1:4" x14ac:dyDescent="0.25">
      <c r="A613" t="str">
        <f t="shared" si="36"/>
        <v>Justice Hill</v>
      </c>
      <c r="B613" s="75">
        <f t="shared" si="37"/>
        <v>0</v>
      </c>
      <c r="C613" s="75">
        <f t="shared" si="38"/>
        <v>0</v>
      </c>
      <c r="D613" s="180">
        <f t="shared" si="39"/>
        <v>0</v>
      </c>
    </row>
    <row r="614" spans="1:4" x14ac:dyDescent="0.25">
      <c r="A614" t="str">
        <f t="shared" si="36"/>
        <v>Ja'Marcus Bradley</v>
      </c>
      <c r="B614" s="75">
        <f t="shared" si="37"/>
        <v>0</v>
      </c>
      <c r="C614" s="75">
        <f t="shared" si="38"/>
        <v>0</v>
      </c>
      <c r="D614" s="180">
        <f t="shared" si="39"/>
        <v>0</v>
      </c>
    </row>
    <row r="615" spans="1:4" x14ac:dyDescent="0.25">
      <c r="A615" t="str">
        <f t="shared" si="36"/>
        <v>Greg Ward</v>
      </c>
      <c r="B615" s="75">
        <f t="shared" si="37"/>
        <v>0</v>
      </c>
      <c r="C615" s="75">
        <f t="shared" si="38"/>
        <v>0</v>
      </c>
      <c r="D615" s="180">
        <f t="shared" si="39"/>
        <v>0</v>
      </c>
    </row>
    <row r="616" spans="1:4" x14ac:dyDescent="0.25">
      <c r="A616" t="str">
        <f t="shared" si="36"/>
        <v>Willie Snead IV</v>
      </c>
      <c r="B616" s="75">
        <f t="shared" si="37"/>
        <v>0</v>
      </c>
      <c r="C616" s="75">
        <f t="shared" si="38"/>
        <v>0</v>
      </c>
      <c r="D616" s="180">
        <f t="shared" si="39"/>
        <v>0</v>
      </c>
    </row>
    <row r="617" spans="1:4" x14ac:dyDescent="0.25">
      <c r="A617" t="str">
        <f t="shared" si="36"/>
        <v>Andre Roberts</v>
      </c>
      <c r="B617" s="75">
        <f t="shared" si="37"/>
        <v>0</v>
      </c>
      <c r="C617" s="75">
        <f t="shared" si="38"/>
        <v>0</v>
      </c>
      <c r="D617" s="180">
        <f t="shared" si="39"/>
        <v>0</v>
      </c>
    </row>
    <row r="618" spans="1:4" x14ac:dyDescent="0.25">
      <c r="A618" t="str">
        <f t="shared" si="36"/>
        <v>Gabe Nabers</v>
      </c>
      <c r="B618" s="75">
        <f t="shared" si="37"/>
        <v>0</v>
      </c>
      <c r="C618" s="75">
        <f t="shared" si="38"/>
        <v>0</v>
      </c>
      <c r="D618" s="180">
        <f t="shared" si="39"/>
        <v>0</v>
      </c>
    </row>
    <row r="619" spans="1:4" x14ac:dyDescent="0.25">
      <c r="A619" t="str">
        <f t="shared" si="36"/>
        <v>Ty Chandler</v>
      </c>
      <c r="B619" s="75">
        <f t="shared" si="37"/>
        <v>0</v>
      </c>
      <c r="C619" s="75">
        <f t="shared" si="38"/>
        <v>0</v>
      </c>
      <c r="D619" s="180">
        <f t="shared" si="39"/>
        <v>0</v>
      </c>
    </row>
    <row r="620" spans="1:4" x14ac:dyDescent="0.25">
      <c r="A620" t="str">
        <f t="shared" si="36"/>
        <v>Jaelon Darden</v>
      </c>
      <c r="B620" s="75">
        <f t="shared" si="37"/>
        <v>0</v>
      </c>
      <c r="C620" s="75">
        <f t="shared" si="38"/>
        <v>0</v>
      </c>
      <c r="D620" s="180">
        <f t="shared" si="39"/>
        <v>0</v>
      </c>
    </row>
    <row r="621" spans="1:4" x14ac:dyDescent="0.25">
      <c r="A621" t="str">
        <f t="shared" si="36"/>
        <v>Richard Rodgers</v>
      </c>
      <c r="B621" s="75">
        <f t="shared" si="37"/>
        <v>0</v>
      </c>
      <c r="C621" s="75">
        <f t="shared" si="38"/>
        <v>0</v>
      </c>
      <c r="D621" s="180">
        <f t="shared" si="39"/>
        <v>0</v>
      </c>
    </row>
    <row r="622" spans="1:4" x14ac:dyDescent="0.25">
      <c r="A622" t="str">
        <f t="shared" si="36"/>
        <v>Trenton Cannon</v>
      </c>
      <c r="B622" s="75">
        <f t="shared" si="37"/>
        <v>0</v>
      </c>
      <c r="C622" s="75">
        <f t="shared" si="38"/>
        <v>0</v>
      </c>
      <c r="D622" s="180">
        <f t="shared" si="39"/>
        <v>0</v>
      </c>
    </row>
    <row r="623" spans="1:4" x14ac:dyDescent="0.25">
      <c r="A623" t="str">
        <f t="shared" si="36"/>
        <v>Jerome Ford</v>
      </c>
      <c r="B623" s="75">
        <f t="shared" si="37"/>
        <v>0</v>
      </c>
      <c r="C623" s="75">
        <f t="shared" si="38"/>
        <v>0</v>
      </c>
      <c r="D623" s="180">
        <f t="shared" si="39"/>
        <v>0</v>
      </c>
    </row>
    <row r="624" spans="1:4" x14ac:dyDescent="0.25">
      <c r="A624" t="str">
        <f t="shared" si="36"/>
        <v>Alex Erickson</v>
      </c>
      <c r="B624" s="75">
        <f t="shared" si="37"/>
        <v>0</v>
      </c>
      <c r="C624" s="75">
        <f t="shared" si="38"/>
        <v>0</v>
      </c>
      <c r="D624" s="180">
        <f t="shared" si="39"/>
        <v>0</v>
      </c>
    </row>
    <row r="625" spans="1:4" x14ac:dyDescent="0.25">
      <c r="A625" t="str">
        <f t="shared" si="36"/>
        <v>Godwin Igwebuike</v>
      </c>
      <c r="B625" s="75">
        <f t="shared" si="37"/>
        <v>0</v>
      </c>
      <c r="C625" s="75">
        <f t="shared" si="38"/>
        <v>0</v>
      </c>
      <c r="D625" s="180">
        <f t="shared" si="39"/>
        <v>0</v>
      </c>
    </row>
    <row r="626" spans="1:4" x14ac:dyDescent="0.25">
      <c r="A626" t="str">
        <f t="shared" si="36"/>
        <v>Matthew Slater</v>
      </c>
      <c r="B626" s="75">
        <f t="shared" si="37"/>
        <v>0</v>
      </c>
      <c r="C626" s="75">
        <f t="shared" si="38"/>
        <v>0</v>
      </c>
      <c r="D626" s="180">
        <f t="shared" si="39"/>
        <v>0</v>
      </c>
    </row>
    <row r="627" spans="1:4" x14ac:dyDescent="0.25">
      <c r="A627" t="str">
        <f t="shared" si="36"/>
        <v>Matt Barkley</v>
      </c>
      <c r="B627" s="75">
        <f t="shared" si="37"/>
        <v>0</v>
      </c>
      <c r="C627" s="75">
        <f t="shared" si="38"/>
        <v>0</v>
      </c>
      <c r="D627" s="180">
        <f t="shared" si="39"/>
        <v>0</v>
      </c>
    </row>
    <row r="628" spans="1:4" x14ac:dyDescent="0.25">
      <c r="A628" t="str">
        <f t="shared" si="36"/>
        <v>Josh Gordon</v>
      </c>
      <c r="B628" s="75">
        <f t="shared" si="37"/>
        <v>0</v>
      </c>
      <c r="C628" s="75">
        <f t="shared" si="38"/>
        <v>0</v>
      </c>
      <c r="D628" s="180">
        <f t="shared" si="39"/>
        <v>0</v>
      </c>
    </row>
    <row r="629" spans="1:4" x14ac:dyDescent="0.25">
      <c r="A629" t="str">
        <f t="shared" si="36"/>
        <v>Chester Rogers</v>
      </c>
      <c r="B629" s="75">
        <f t="shared" si="37"/>
        <v>0</v>
      </c>
      <c r="C629" s="75">
        <f t="shared" si="38"/>
        <v>0</v>
      </c>
      <c r="D629" s="180">
        <f t="shared" si="39"/>
        <v>0</v>
      </c>
    </row>
    <row r="630" spans="1:4" x14ac:dyDescent="0.25">
      <c r="A630" t="str">
        <f t="shared" si="36"/>
        <v>Mason Schreck</v>
      </c>
      <c r="B630" s="75">
        <f t="shared" si="37"/>
        <v>0</v>
      </c>
      <c r="C630" s="75">
        <f t="shared" si="38"/>
        <v>0</v>
      </c>
      <c r="D630" s="180">
        <f t="shared" si="39"/>
        <v>0</v>
      </c>
    </row>
    <row r="631" spans="1:4" x14ac:dyDescent="0.25">
      <c r="A631" t="str">
        <f t="shared" si="36"/>
        <v>Jake Kumerow</v>
      </c>
      <c r="B631" s="75">
        <f t="shared" si="37"/>
        <v>0</v>
      </c>
      <c r="C631" s="75">
        <f t="shared" si="38"/>
        <v>0</v>
      </c>
      <c r="D631" s="180">
        <f t="shared" si="39"/>
        <v>0</v>
      </c>
    </row>
    <row r="632" spans="1:4" x14ac:dyDescent="0.25">
      <c r="A632" t="str">
        <f t="shared" si="36"/>
        <v>Troy Fumagalli</v>
      </c>
      <c r="B632" s="75">
        <f t="shared" si="37"/>
        <v>0</v>
      </c>
      <c r="C632" s="75">
        <f t="shared" si="38"/>
        <v>0</v>
      </c>
      <c r="D632" s="180">
        <f t="shared" si="39"/>
        <v>0</v>
      </c>
    </row>
    <row r="633" spans="1:4" x14ac:dyDescent="0.25">
      <c r="A633" t="str">
        <f t="shared" si="36"/>
        <v>Eric Saubert</v>
      </c>
      <c r="B633" s="75">
        <f t="shared" si="37"/>
        <v>0</v>
      </c>
      <c r="C633" s="75">
        <f t="shared" si="38"/>
        <v>0</v>
      </c>
      <c r="D633" s="180">
        <f t="shared" si="39"/>
        <v>0</v>
      </c>
    </row>
    <row r="634" spans="1:4" x14ac:dyDescent="0.25">
      <c r="A634" t="str">
        <f t="shared" si="36"/>
        <v>Jacob Hollister</v>
      </c>
      <c r="B634" s="75">
        <f t="shared" si="37"/>
        <v>0</v>
      </c>
      <c r="C634" s="75">
        <f t="shared" si="38"/>
        <v>0</v>
      </c>
      <c r="D634" s="180">
        <f t="shared" si="39"/>
        <v>0</v>
      </c>
    </row>
    <row r="635" spans="1:4" x14ac:dyDescent="0.25">
      <c r="A635" t="str">
        <f t="shared" si="36"/>
        <v>River Cracraft</v>
      </c>
      <c r="B635" s="75">
        <f t="shared" si="37"/>
        <v>0</v>
      </c>
      <c r="C635" s="75">
        <f t="shared" si="38"/>
        <v>0</v>
      </c>
      <c r="D635" s="180">
        <f t="shared" si="39"/>
        <v>0</v>
      </c>
    </row>
    <row r="636" spans="1:4" x14ac:dyDescent="0.25">
      <c r="A636" t="str">
        <f t="shared" si="36"/>
        <v>Cameron Batson</v>
      </c>
      <c r="B636" s="75">
        <f t="shared" si="37"/>
        <v>0</v>
      </c>
      <c r="C636" s="75">
        <f t="shared" si="38"/>
        <v>0</v>
      </c>
      <c r="D636" s="180">
        <f t="shared" si="39"/>
        <v>0</v>
      </c>
    </row>
    <row r="637" spans="1:4" x14ac:dyDescent="0.25">
      <c r="A637" t="str">
        <f t="shared" si="36"/>
        <v>Keith Kirkwood</v>
      </c>
      <c r="B637" s="75">
        <f t="shared" si="37"/>
        <v>0</v>
      </c>
      <c r="C637" s="75">
        <f t="shared" si="38"/>
        <v>0</v>
      </c>
      <c r="D637" s="180">
        <f t="shared" si="39"/>
        <v>0</v>
      </c>
    </row>
    <row r="638" spans="1:4" x14ac:dyDescent="0.25">
      <c r="A638" t="str">
        <f t="shared" si="36"/>
        <v>Marcus Kemp</v>
      </c>
      <c r="B638" s="75">
        <f t="shared" si="37"/>
        <v>0</v>
      </c>
      <c r="C638" s="75">
        <f t="shared" si="38"/>
        <v>0</v>
      </c>
      <c r="D638" s="180">
        <f t="shared" si="39"/>
        <v>0</v>
      </c>
    </row>
    <row r="639" spans="1:4" x14ac:dyDescent="0.25">
      <c r="A639" t="str">
        <f t="shared" si="36"/>
        <v>Jeremy Sprinkle</v>
      </c>
      <c r="B639" s="75">
        <f t="shared" si="37"/>
        <v>0</v>
      </c>
      <c r="C639" s="75">
        <f t="shared" si="38"/>
        <v>0</v>
      </c>
      <c r="D639" s="180">
        <f t="shared" si="39"/>
        <v>0</v>
      </c>
    </row>
    <row r="640" spans="1:4" x14ac:dyDescent="0.25">
      <c r="A640" t="str">
        <f t="shared" si="36"/>
        <v>Jordan Franks</v>
      </c>
      <c r="B640" s="75">
        <f t="shared" si="37"/>
        <v>0</v>
      </c>
      <c r="C640" s="75">
        <f t="shared" si="38"/>
        <v>0</v>
      </c>
      <c r="D640" s="180">
        <f t="shared" si="39"/>
        <v>0</v>
      </c>
    </row>
    <row r="641" spans="1:4" x14ac:dyDescent="0.25">
      <c r="A641" t="str">
        <f t="shared" si="36"/>
        <v>Javon Wims</v>
      </c>
      <c r="B641" s="75">
        <f t="shared" si="37"/>
        <v>0</v>
      </c>
      <c r="C641" s="75">
        <f t="shared" si="38"/>
        <v>0</v>
      </c>
      <c r="D641" s="180">
        <f t="shared" si="39"/>
        <v>0</v>
      </c>
    </row>
    <row r="642" spans="1:4" x14ac:dyDescent="0.25">
      <c r="A642" t="str">
        <f t="shared" ref="A642:A705" si="40">_xlfn.CONCAT(TRIM(H1756)," ",TRIM(I1756),IF(ISNUMBER(J1756),"",_xlfn.CONCAT(" ",TRIM(J1756))))</f>
        <v>Marcus Johnson</v>
      </c>
      <c r="B642" s="75">
        <f t="shared" ref="B642:B705" si="41">IF(ISNUMBER(J1756),J1756,K1756)</f>
        <v>0</v>
      </c>
      <c r="C642" s="75">
        <f t="shared" ref="C642:C705" si="42">IF(ISNUMBER(J1756),K1756,L1756)</f>
        <v>0</v>
      </c>
      <c r="D642" s="180">
        <f t="shared" ref="D642:D705" si="43">IF(ISNUMBER(J1756),L1756,M1756)</f>
        <v>0</v>
      </c>
    </row>
    <row r="643" spans="1:4" x14ac:dyDescent="0.25">
      <c r="A643" t="str">
        <f t="shared" si="40"/>
        <v>Malik Turner</v>
      </c>
      <c r="B643" s="75">
        <f t="shared" si="41"/>
        <v>0</v>
      </c>
      <c r="C643" s="75">
        <f t="shared" si="42"/>
        <v>0</v>
      </c>
      <c r="D643" s="180">
        <f t="shared" si="43"/>
        <v>0</v>
      </c>
    </row>
    <row r="644" spans="1:4" x14ac:dyDescent="0.25">
      <c r="A644" t="str">
        <f t="shared" si="40"/>
        <v>Jeff Driskel</v>
      </c>
      <c r="B644" s="75">
        <f t="shared" si="41"/>
        <v>0</v>
      </c>
      <c r="C644" s="75">
        <f t="shared" si="42"/>
        <v>0</v>
      </c>
      <c r="D644" s="180">
        <f t="shared" si="43"/>
        <v>0</v>
      </c>
    </row>
    <row r="645" spans="1:4" x14ac:dyDescent="0.25">
      <c r="A645" t="str">
        <f t="shared" si="40"/>
        <v>Davis Webb</v>
      </c>
      <c r="B645" s="75">
        <f t="shared" si="41"/>
        <v>0</v>
      </c>
      <c r="C645" s="75">
        <f t="shared" si="42"/>
        <v>0</v>
      </c>
      <c r="D645" s="180">
        <f t="shared" si="43"/>
        <v>0</v>
      </c>
    </row>
    <row r="646" spans="1:4" x14ac:dyDescent="0.25">
      <c r="A646" t="str">
        <f t="shared" si="40"/>
        <v>Nathan Peterman</v>
      </c>
      <c r="B646" s="75">
        <f t="shared" si="41"/>
        <v>0</v>
      </c>
      <c r="C646" s="75">
        <f t="shared" si="42"/>
        <v>0</v>
      </c>
      <c r="D646" s="180">
        <f t="shared" si="43"/>
        <v>0</v>
      </c>
    </row>
    <row r="647" spans="1:4" x14ac:dyDescent="0.25">
      <c r="A647" t="str">
        <f t="shared" si="40"/>
        <v>Mason Rudolph</v>
      </c>
      <c r="B647" s="75">
        <f t="shared" si="41"/>
        <v>0</v>
      </c>
      <c r="C647" s="75">
        <f t="shared" si="42"/>
        <v>0</v>
      </c>
      <c r="D647" s="180">
        <f t="shared" si="43"/>
        <v>0</v>
      </c>
    </row>
    <row r="648" spans="1:4" x14ac:dyDescent="0.25">
      <c r="A648" t="str">
        <f t="shared" si="40"/>
        <v>Jeremy McNichols</v>
      </c>
      <c r="B648" s="75">
        <f t="shared" si="41"/>
        <v>0</v>
      </c>
      <c r="C648" s="75">
        <f t="shared" si="42"/>
        <v>0</v>
      </c>
      <c r="D648" s="180">
        <f t="shared" si="43"/>
        <v>0</v>
      </c>
    </row>
    <row r="649" spans="1:4" x14ac:dyDescent="0.25">
      <c r="A649" t="str">
        <f t="shared" si="40"/>
        <v>Mike White</v>
      </c>
      <c r="B649" s="75">
        <f t="shared" si="41"/>
        <v>0</v>
      </c>
      <c r="C649" s="75">
        <f t="shared" si="42"/>
        <v>0</v>
      </c>
      <c r="D649" s="180">
        <f t="shared" si="43"/>
        <v>0</v>
      </c>
    </row>
    <row r="650" spans="1:4" x14ac:dyDescent="0.25">
      <c r="A650" t="str">
        <f t="shared" si="40"/>
        <v>Jonathan Williams</v>
      </c>
      <c r="B650" s="75">
        <f t="shared" si="41"/>
        <v>0</v>
      </c>
      <c r="C650" s="75">
        <f t="shared" si="42"/>
        <v>0</v>
      </c>
      <c r="D650" s="180">
        <f t="shared" si="43"/>
        <v>0</v>
      </c>
    </row>
    <row r="651" spans="1:4" x14ac:dyDescent="0.25">
      <c r="A651" t="str">
        <f t="shared" si="40"/>
        <v>Danny Etling</v>
      </c>
      <c r="B651" s="75">
        <f t="shared" si="41"/>
        <v>0</v>
      </c>
      <c r="C651" s="75">
        <f t="shared" si="42"/>
        <v>0</v>
      </c>
      <c r="D651" s="180">
        <f t="shared" si="43"/>
        <v>0</v>
      </c>
    </row>
    <row r="652" spans="1:4" x14ac:dyDescent="0.25">
      <c r="A652" t="str">
        <f t="shared" si="40"/>
        <v>Stephen Anderson</v>
      </c>
      <c r="B652" s="75">
        <f t="shared" si="41"/>
        <v>0</v>
      </c>
      <c r="C652" s="75">
        <f t="shared" si="42"/>
        <v>0</v>
      </c>
      <c r="D652" s="180">
        <f t="shared" si="43"/>
        <v>0</v>
      </c>
    </row>
    <row r="653" spans="1:4" x14ac:dyDescent="0.25">
      <c r="A653" t="str">
        <f t="shared" si="40"/>
        <v>Josh Oliver</v>
      </c>
      <c r="B653" s="75">
        <f t="shared" si="41"/>
        <v>0</v>
      </c>
      <c r="C653" s="75">
        <f t="shared" si="42"/>
        <v>0</v>
      </c>
      <c r="D653" s="180">
        <f t="shared" si="43"/>
        <v>0</v>
      </c>
    </row>
    <row r="654" spans="1:4" x14ac:dyDescent="0.25">
      <c r="A654" t="str">
        <f t="shared" si="40"/>
        <v>Adam Shaheen</v>
      </c>
      <c r="B654" s="75">
        <f t="shared" si="41"/>
        <v>0</v>
      </c>
      <c r="C654" s="75">
        <f t="shared" si="42"/>
        <v>0</v>
      </c>
      <c r="D654" s="180">
        <f t="shared" si="43"/>
        <v>0</v>
      </c>
    </row>
    <row r="655" spans="1:4" x14ac:dyDescent="0.25">
      <c r="A655" t="str">
        <f t="shared" si="40"/>
        <v>Deon Cain</v>
      </c>
      <c r="B655" s="75">
        <f t="shared" si="41"/>
        <v>0</v>
      </c>
      <c r="C655" s="75">
        <f t="shared" si="42"/>
        <v>0</v>
      </c>
      <c r="D655" s="180">
        <f t="shared" si="43"/>
        <v>0</v>
      </c>
    </row>
    <row r="656" spans="1:4" x14ac:dyDescent="0.25">
      <c r="A656" t="str">
        <f t="shared" si="40"/>
        <v>KeeSean Johnson</v>
      </c>
      <c r="B656" s="75">
        <f t="shared" si="41"/>
        <v>0</v>
      </c>
      <c r="C656" s="75">
        <f t="shared" si="42"/>
        <v>0</v>
      </c>
      <c r="D656" s="180">
        <f t="shared" si="43"/>
        <v>0</v>
      </c>
    </row>
    <row r="657" spans="1:4" x14ac:dyDescent="0.25">
      <c r="A657" t="str">
        <f t="shared" si="40"/>
        <v>Travis Fulgham</v>
      </c>
      <c r="B657" s="75">
        <f t="shared" si="41"/>
        <v>0</v>
      </c>
      <c r="C657" s="75">
        <f t="shared" si="42"/>
        <v>0</v>
      </c>
      <c r="D657" s="180">
        <f t="shared" si="43"/>
        <v>0</v>
      </c>
    </row>
    <row r="658" spans="1:4" x14ac:dyDescent="0.25">
      <c r="A658" t="str">
        <f t="shared" si="40"/>
        <v>Ricky Seals-Jones</v>
      </c>
      <c r="B658" s="75">
        <f t="shared" si="41"/>
        <v>0</v>
      </c>
      <c r="C658" s="75">
        <f t="shared" si="42"/>
        <v>0</v>
      </c>
      <c r="D658" s="180">
        <f t="shared" si="43"/>
        <v>0</v>
      </c>
    </row>
    <row r="659" spans="1:4" x14ac:dyDescent="0.25">
      <c r="A659" t="str">
        <f t="shared" si="40"/>
        <v>Darius Slayton</v>
      </c>
      <c r="B659" s="75">
        <f t="shared" si="41"/>
        <v>0</v>
      </c>
      <c r="C659" s="75">
        <f t="shared" si="42"/>
        <v>0</v>
      </c>
      <c r="D659" s="180">
        <f t="shared" si="43"/>
        <v>0</v>
      </c>
    </row>
    <row r="660" spans="1:4" x14ac:dyDescent="0.25">
      <c r="A660" t="str">
        <f t="shared" si="40"/>
        <v>Preston Williams</v>
      </c>
      <c r="B660" s="75">
        <f t="shared" si="41"/>
        <v>0</v>
      </c>
      <c r="C660" s="75">
        <f t="shared" si="42"/>
        <v>0</v>
      </c>
      <c r="D660" s="180">
        <f t="shared" si="43"/>
        <v>0</v>
      </c>
    </row>
    <row r="661" spans="1:4" x14ac:dyDescent="0.25">
      <c r="A661" t="str">
        <f t="shared" si="40"/>
        <v>Trevon Wesco</v>
      </c>
      <c r="B661" s="75">
        <f t="shared" si="41"/>
        <v>0</v>
      </c>
      <c r="C661" s="75">
        <f t="shared" si="42"/>
        <v>0</v>
      </c>
      <c r="D661" s="180">
        <f t="shared" si="43"/>
        <v>0</v>
      </c>
    </row>
    <row r="662" spans="1:4" x14ac:dyDescent="0.25">
      <c r="A662" t="str">
        <f t="shared" si="40"/>
        <v>Nick Mullens</v>
      </c>
      <c r="B662" s="75">
        <f t="shared" si="41"/>
        <v>0</v>
      </c>
      <c r="C662" s="75">
        <f t="shared" si="42"/>
        <v>0</v>
      </c>
      <c r="D662" s="180">
        <f t="shared" si="43"/>
        <v>0</v>
      </c>
    </row>
    <row r="663" spans="1:4" x14ac:dyDescent="0.25">
      <c r="A663" t="str">
        <f t="shared" si="40"/>
        <v>Devine Ozigbo</v>
      </c>
      <c r="B663" s="75">
        <f t="shared" si="41"/>
        <v>0</v>
      </c>
      <c r="C663" s="75">
        <f t="shared" si="42"/>
        <v>0</v>
      </c>
      <c r="D663" s="180">
        <f t="shared" si="43"/>
        <v>0</v>
      </c>
    </row>
    <row r="664" spans="1:4" x14ac:dyDescent="0.25">
      <c r="A664" t="str">
        <f t="shared" si="40"/>
        <v>Kenjon Barner</v>
      </c>
      <c r="B664" s="75">
        <f t="shared" si="41"/>
        <v>0</v>
      </c>
      <c r="C664" s="75">
        <f t="shared" si="42"/>
        <v>0</v>
      </c>
      <c r="D664" s="180">
        <f t="shared" si="43"/>
        <v>0</v>
      </c>
    </row>
    <row r="665" spans="1:4" x14ac:dyDescent="0.25">
      <c r="A665" t="str">
        <f t="shared" si="40"/>
        <v>Juwann Winfree</v>
      </c>
      <c r="B665" s="75">
        <f t="shared" si="41"/>
        <v>0</v>
      </c>
      <c r="C665" s="75">
        <f t="shared" si="42"/>
        <v>0</v>
      </c>
      <c r="D665" s="180">
        <f t="shared" si="43"/>
        <v>0</v>
      </c>
    </row>
    <row r="666" spans="1:4" x14ac:dyDescent="0.25">
      <c r="A666" t="str">
        <f t="shared" si="40"/>
        <v>Alize Mack</v>
      </c>
      <c r="B666" s="75">
        <f t="shared" si="41"/>
        <v>0</v>
      </c>
      <c r="C666" s="75">
        <f t="shared" si="42"/>
        <v>0</v>
      </c>
      <c r="D666" s="180">
        <f t="shared" si="43"/>
        <v>0</v>
      </c>
    </row>
    <row r="667" spans="1:4" x14ac:dyDescent="0.25">
      <c r="A667" t="str">
        <f t="shared" si="40"/>
        <v>Brett Rypien</v>
      </c>
      <c r="B667" s="75">
        <f t="shared" si="41"/>
        <v>0</v>
      </c>
      <c r="C667" s="75">
        <f t="shared" si="42"/>
        <v>0</v>
      </c>
      <c r="D667" s="180">
        <f t="shared" si="43"/>
        <v>0</v>
      </c>
    </row>
    <row r="668" spans="1:4" x14ac:dyDescent="0.25">
      <c r="A668" t="str">
        <f t="shared" si="40"/>
        <v>John Kelly Jr.</v>
      </c>
      <c r="B668" s="75">
        <f t="shared" si="41"/>
        <v>0</v>
      </c>
      <c r="C668" s="75">
        <f t="shared" si="42"/>
        <v>0</v>
      </c>
      <c r="D668" s="180">
        <f t="shared" si="43"/>
        <v>0</v>
      </c>
    </row>
    <row r="669" spans="1:4" x14ac:dyDescent="0.25">
      <c r="A669" t="str">
        <f t="shared" si="40"/>
        <v>Easton Stick</v>
      </c>
      <c r="B669" s="75">
        <f t="shared" si="41"/>
        <v>0</v>
      </c>
      <c r="C669" s="75">
        <f t="shared" si="42"/>
        <v>0</v>
      </c>
      <c r="D669" s="180">
        <f t="shared" si="43"/>
        <v>0</v>
      </c>
    </row>
    <row r="670" spans="1:4" x14ac:dyDescent="0.25">
      <c r="A670" t="str">
        <f t="shared" si="40"/>
        <v>Elijah Holyfield</v>
      </c>
      <c r="B670" s="75">
        <f t="shared" si="41"/>
        <v>0</v>
      </c>
      <c r="C670" s="75">
        <f t="shared" si="42"/>
        <v>0</v>
      </c>
      <c r="D670" s="180">
        <f t="shared" si="43"/>
        <v>0</v>
      </c>
    </row>
    <row r="671" spans="1:4" x14ac:dyDescent="0.25">
      <c r="A671" t="str">
        <f t="shared" si="40"/>
        <v>Trace McSorley</v>
      </c>
      <c r="B671" s="75">
        <f t="shared" si="41"/>
        <v>0</v>
      </c>
      <c r="C671" s="75">
        <f t="shared" si="42"/>
        <v>0</v>
      </c>
      <c r="D671" s="180">
        <f t="shared" si="43"/>
        <v>0</v>
      </c>
    </row>
    <row r="672" spans="1:4" x14ac:dyDescent="0.25">
      <c r="A672" t="str">
        <f t="shared" si="40"/>
        <v>Greg Dortch</v>
      </c>
      <c r="B672" s="75">
        <f t="shared" si="41"/>
        <v>0</v>
      </c>
      <c r="C672" s="75">
        <f t="shared" si="42"/>
        <v>0</v>
      </c>
      <c r="D672" s="180">
        <f t="shared" si="43"/>
        <v>0</v>
      </c>
    </row>
    <row r="673" spans="1:4" x14ac:dyDescent="0.25">
      <c r="A673" t="str">
        <f t="shared" si="40"/>
        <v>Kevin White</v>
      </c>
      <c r="B673" s="75">
        <f t="shared" si="41"/>
        <v>0</v>
      </c>
      <c r="C673" s="75">
        <f t="shared" si="42"/>
        <v>0</v>
      </c>
      <c r="D673" s="180">
        <f t="shared" si="43"/>
        <v>0</v>
      </c>
    </row>
    <row r="674" spans="1:4" x14ac:dyDescent="0.25">
      <c r="A674" t="str">
        <f t="shared" si="40"/>
        <v>Logan Woodside</v>
      </c>
      <c r="B674" s="75">
        <f t="shared" si="41"/>
        <v>0</v>
      </c>
      <c r="C674" s="75">
        <f t="shared" si="42"/>
        <v>0</v>
      </c>
      <c r="D674" s="180">
        <f t="shared" si="43"/>
        <v>0</v>
      </c>
    </row>
    <row r="675" spans="1:4" x14ac:dyDescent="0.25">
      <c r="A675" t="str">
        <f t="shared" si="40"/>
        <v>Jordan Matthews</v>
      </c>
      <c r="B675" s="75">
        <f t="shared" si="41"/>
        <v>0</v>
      </c>
      <c r="C675" s="75">
        <f t="shared" si="42"/>
        <v>0</v>
      </c>
      <c r="D675" s="180">
        <f t="shared" si="43"/>
        <v>0</v>
      </c>
    </row>
    <row r="676" spans="1:4" x14ac:dyDescent="0.25">
      <c r="A676" t="str">
        <f t="shared" si="40"/>
        <v>Marken Michel</v>
      </c>
      <c r="B676" s="75">
        <f t="shared" si="41"/>
        <v>0</v>
      </c>
      <c r="C676" s="75">
        <f t="shared" si="42"/>
        <v>0</v>
      </c>
      <c r="D676" s="180">
        <f t="shared" si="43"/>
        <v>0</v>
      </c>
    </row>
    <row r="677" spans="1:4" x14ac:dyDescent="0.25">
      <c r="A677" t="str">
        <f t="shared" si="40"/>
        <v>Nick Bellore</v>
      </c>
      <c r="B677" s="75">
        <f t="shared" si="41"/>
        <v>0</v>
      </c>
      <c r="C677" s="75">
        <f t="shared" si="42"/>
        <v>0</v>
      </c>
      <c r="D677" s="180">
        <f t="shared" si="43"/>
        <v>0</v>
      </c>
    </row>
    <row r="678" spans="1:4" x14ac:dyDescent="0.25">
      <c r="A678" t="str">
        <f t="shared" si="40"/>
        <v>David Moore</v>
      </c>
      <c r="B678" s="75">
        <f t="shared" si="41"/>
        <v>0</v>
      </c>
      <c r="C678" s="75">
        <f t="shared" si="42"/>
        <v>0</v>
      </c>
      <c r="D678" s="180">
        <f t="shared" si="43"/>
        <v>0</v>
      </c>
    </row>
    <row r="679" spans="1:4" x14ac:dyDescent="0.25">
      <c r="A679" t="str">
        <f t="shared" si="40"/>
        <v>N'Keal Harry</v>
      </c>
      <c r="B679" s="75">
        <f t="shared" si="41"/>
        <v>0</v>
      </c>
      <c r="C679" s="75">
        <f t="shared" si="42"/>
        <v>0</v>
      </c>
      <c r="D679" s="180">
        <f t="shared" si="43"/>
        <v>0</v>
      </c>
    </row>
    <row r="680" spans="1:4" x14ac:dyDescent="0.25">
      <c r="A680" t="str">
        <f t="shared" si="40"/>
        <v>Calvin Ridley</v>
      </c>
      <c r="B680" s="75">
        <f t="shared" si="41"/>
        <v>0</v>
      </c>
      <c r="C680" s="75">
        <f t="shared" si="42"/>
        <v>0</v>
      </c>
      <c r="D680" s="180">
        <f t="shared" si="43"/>
        <v>0</v>
      </c>
    </row>
    <row r="681" spans="1:4" x14ac:dyDescent="0.25">
      <c r="A681" t="str">
        <f t="shared" si="40"/>
        <v>J.J. Arcega-Whiteside</v>
      </c>
      <c r="B681" s="75">
        <f t="shared" si="41"/>
        <v>0</v>
      </c>
      <c r="C681" s="75">
        <f t="shared" si="42"/>
        <v>0</v>
      </c>
      <c r="D681" s="180">
        <f t="shared" si="43"/>
        <v>0</v>
      </c>
    </row>
    <row r="682" spans="1:4" x14ac:dyDescent="0.25">
      <c r="A682" t="str">
        <f t="shared" si="40"/>
        <v>Dexter Williams</v>
      </c>
      <c r="B682" s="75">
        <f t="shared" si="41"/>
        <v>0</v>
      </c>
      <c r="C682" s="75">
        <f t="shared" si="42"/>
        <v>0</v>
      </c>
      <c r="D682" s="180">
        <f t="shared" si="43"/>
        <v>0</v>
      </c>
    </row>
    <row r="683" spans="1:4" x14ac:dyDescent="0.25">
      <c r="A683" t="str">
        <f t="shared" si="40"/>
        <v>Will Grier</v>
      </c>
      <c r="B683" s="75">
        <f t="shared" si="41"/>
        <v>0</v>
      </c>
      <c r="C683" s="75">
        <f t="shared" si="42"/>
        <v>0</v>
      </c>
      <c r="D683" s="180">
        <f t="shared" si="43"/>
        <v>0</v>
      </c>
    </row>
    <row r="684" spans="1:4" x14ac:dyDescent="0.25">
      <c r="A684" t="str">
        <f t="shared" si="40"/>
        <v>Jace Sternberger</v>
      </c>
      <c r="B684" s="75">
        <f t="shared" si="41"/>
        <v>0</v>
      </c>
      <c r="C684" s="75">
        <f t="shared" si="42"/>
        <v>0</v>
      </c>
      <c r="D684" s="180">
        <f t="shared" si="43"/>
        <v>0</v>
      </c>
    </row>
    <row r="685" spans="1:4" x14ac:dyDescent="0.25">
      <c r="A685" t="str">
        <f t="shared" si="40"/>
        <v>Darwin Thompson</v>
      </c>
      <c r="B685" s="75">
        <f t="shared" si="41"/>
        <v>0</v>
      </c>
      <c r="C685" s="75">
        <f t="shared" si="42"/>
        <v>0</v>
      </c>
      <c r="D685" s="180">
        <f t="shared" si="43"/>
        <v>0</v>
      </c>
    </row>
    <row r="686" spans="1:4" x14ac:dyDescent="0.25">
      <c r="A686" t="str">
        <f t="shared" si="40"/>
        <v>Keke Coutee</v>
      </c>
      <c r="B686" s="75">
        <f t="shared" si="41"/>
        <v>0</v>
      </c>
      <c r="C686" s="75">
        <f t="shared" si="42"/>
        <v>0</v>
      </c>
      <c r="D686" s="180">
        <f t="shared" si="43"/>
        <v>0</v>
      </c>
    </row>
    <row r="687" spans="1:4" x14ac:dyDescent="0.25">
      <c r="A687" t="str">
        <f t="shared" si="40"/>
        <v>Josh Rosen</v>
      </c>
      <c r="B687" s="75">
        <f t="shared" si="41"/>
        <v>0</v>
      </c>
      <c r="C687" s="75">
        <f t="shared" si="42"/>
        <v>0</v>
      </c>
      <c r="D687" s="180">
        <f t="shared" si="43"/>
        <v>0</v>
      </c>
    </row>
    <row r="688" spans="1:4" x14ac:dyDescent="0.25">
      <c r="A688" t="str">
        <f t="shared" si="40"/>
        <v>Tim Patrick</v>
      </c>
      <c r="B688" s="75">
        <f t="shared" si="41"/>
        <v>0</v>
      </c>
      <c r="C688" s="75">
        <f t="shared" si="42"/>
        <v>0</v>
      </c>
      <c r="D688" s="180">
        <f t="shared" si="43"/>
        <v>0</v>
      </c>
    </row>
    <row r="689" spans="1:4" x14ac:dyDescent="0.25">
      <c r="A689" t="str">
        <f t="shared" si="40"/>
        <v>Rodney Adams</v>
      </c>
      <c r="B689" s="75">
        <f t="shared" si="41"/>
        <v>0</v>
      </c>
      <c r="C689" s="75">
        <f t="shared" si="42"/>
        <v>0</v>
      </c>
      <c r="D689" s="180">
        <f t="shared" si="43"/>
        <v>0</v>
      </c>
    </row>
    <row r="690" spans="1:4" x14ac:dyDescent="0.25">
      <c r="A690" t="str">
        <f t="shared" si="40"/>
        <v>Royce Freeman</v>
      </c>
      <c r="B690" s="75">
        <f t="shared" si="41"/>
        <v>0</v>
      </c>
      <c r="C690" s="75">
        <f t="shared" si="42"/>
        <v>0</v>
      </c>
      <c r="D690" s="180">
        <f t="shared" si="43"/>
        <v>0</v>
      </c>
    </row>
    <row r="691" spans="1:4" x14ac:dyDescent="0.25">
      <c r="A691" t="str">
        <f t="shared" si="40"/>
        <v>Anthony Miller</v>
      </c>
      <c r="B691" s="75">
        <f t="shared" si="41"/>
        <v>0</v>
      </c>
      <c r="C691" s="75">
        <f t="shared" si="42"/>
        <v>0</v>
      </c>
      <c r="D691" s="180">
        <f t="shared" si="43"/>
        <v>0</v>
      </c>
    </row>
    <row r="692" spans="1:4" x14ac:dyDescent="0.25">
      <c r="A692" t="str">
        <f t="shared" si="40"/>
        <v>Jakeem Grant Sr.</v>
      </c>
      <c r="B692" s="75">
        <f t="shared" si="41"/>
        <v>0</v>
      </c>
      <c r="C692" s="75">
        <f t="shared" si="42"/>
        <v>0</v>
      </c>
      <c r="D692" s="180">
        <f t="shared" si="43"/>
        <v>0</v>
      </c>
    </row>
    <row r="693" spans="1:4" x14ac:dyDescent="0.25">
      <c r="A693" t="str">
        <f t="shared" si="40"/>
        <v>Taiwan Jones</v>
      </c>
      <c r="B693" s="75">
        <f t="shared" si="41"/>
        <v>0</v>
      </c>
      <c r="C693" s="75">
        <f t="shared" si="42"/>
        <v>0</v>
      </c>
      <c r="D693" s="180">
        <f t="shared" si="43"/>
        <v>0</v>
      </c>
    </row>
    <row r="694" spans="1:4" x14ac:dyDescent="0.25">
      <c r="A694" t="str">
        <f t="shared" si="40"/>
        <v>Penny Hart</v>
      </c>
      <c r="B694" s="75">
        <f t="shared" si="41"/>
        <v>0</v>
      </c>
      <c r="C694" s="75">
        <f t="shared" si="42"/>
        <v>0</v>
      </c>
      <c r="D694" s="180">
        <f t="shared" si="43"/>
        <v>0</v>
      </c>
    </row>
    <row r="695" spans="1:4" x14ac:dyDescent="0.25">
      <c r="A695" t="str">
        <f t="shared" si="40"/>
        <v>Lil'Jordan Humphrey</v>
      </c>
      <c r="B695" s="75">
        <f t="shared" si="41"/>
        <v>0</v>
      </c>
      <c r="C695" s="75">
        <f t="shared" si="42"/>
        <v>0</v>
      </c>
      <c r="D695" s="180">
        <f t="shared" si="43"/>
        <v>0</v>
      </c>
    </row>
    <row r="696" spans="1:4" x14ac:dyDescent="0.25">
      <c r="A696" t="str">
        <f t="shared" si="40"/>
        <v>Damarea Crockett</v>
      </c>
      <c r="B696" s="75">
        <f t="shared" si="41"/>
        <v>0</v>
      </c>
      <c r="C696" s="75">
        <f t="shared" si="42"/>
        <v>0</v>
      </c>
      <c r="D696" s="180">
        <f t="shared" si="43"/>
        <v>0</v>
      </c>
    </row>
    <row r="697" spans="1:4" x14ac:dyDescent="0.25">
      <c r="A697" t="str">
        <f t="shared" si="40"/>
        <v>Reggie Bonnafon</v>
      </c>
      <c r="B697" s="75">
        <f t="shared" si="41"/>
        <v>0</v>
      </c>
      <c r="C697" s="75">
        <f t="shared" si="42"/>
        <v>0</v>
      </c>
      <c r="D697" s="180">
        <f t="shared" si="43"/>
        <v>0</v>
      </c>
    </row>
    <row r="698" spans="1:4" x14ac:dyDescent="0.25">
      <c r="A698" t="str">
        <f t="shared" si="40"/>
        <v>Keelan Doss</v>
      </c>
      <c r="B698" s="75">
        <f t="shared" si="41"/>
        <v>0</v>
      </c>
      <c r="C698" s="75">
        <f t="shared" si="42"/>
        <v>0</v>
      </c>
      <c r="D698" s="180">
        <f t="shared" si="43"/>
        <v>0</v>
      </c>
    </row>
    <row r="699" spans="1:4" x14ac:dyDescent="0.25">
      <c r="A699" t="str">
        <f t="shared" si="40"/>
        <v>Patrick Laird</v>
      </c>
      <c r="B699" s="75">
        <f t="shared" si="41"/>
        <v>0</v>
      </c>
      <c r="C699" s="75">
        <f t="shared" si="42"/>
        <v>0</v>
      </c>
      <c r="D699" s="180">
        <f t="shared" si="43"/>
        <v>0</v>
      </c>
    </row>
    <row r="700" spans="1:4" x14ac:dyDescent="0.25">
      <c r="A700" t="str">
        <f t="shared" si="40"/>
        <v>Jaeden Graham</v>
      </c>
      <c r="B700" s="75">
        <f t="shared" si="41"/>
        <v>0</v>
      </c>
      <c r="C700" s="75">
        <f t="shared" si="42"/>
        <v>0</v>
      </c>
      <c r="D700" s="180">
        <f t="shared" si="43"/>
        <v>0</v>
      </c>
    </row>
    <row r="701" spans="1:4" x14ac:dyDescent="0.25">
      <c r="A701" t="str">
        <f t="shared" si="40"/>
        <v>Steven Sims</v>
      </c>
      <c r="B701" s="75">
        <f t="shared" si="41"/>
        <v>0</v>
      </c>
      <c r="C701" s="75">
        <f t="shared" si="42"/>
        <v>0</v>
      </c>
      <c r="D701" s="180">
        <f t="shared" si="43"/>
        <v>0</v>
      </c>
    </row>
    <row r="702" spans="1:4" x14ac:dyDescent="0.25">
      <c r="A702" t="str">
        <f t="shared" si="40"/>
        <v>Darrius Shepherd</v>
      </c>
      <c r="B702" s="75">
        <f t="shared" si="41"/>
        <v>0</v>
      </c>
      <c r="C702" s="75">
        <f t="shared" si="42"/>
        <v>0</v>
      </c>
      <c r="D702" s="180">
        <f t="shared" si="43"/>
        <v>0</v>
      </c>
    </row>
    <row r="703" spans="1:4" x14ac:dyDescent="0.25">
      <c r="A703" t="str">
        <f t="shared" si="40"/>
        <v>C.J. Board</v>
      </c>
      <c r="B703" s="75">
        <f t="shared" si="41"/>
        <v>0</v>
      </c>
      <c r="C703" s="75">
        <f t="shared" si="42"/>
        <v>0</v>
      </c>
      <c r="D703" s="180">
        <f t="shared" si="43"/>
        <v>0</v>
      </c>
    </row>
    <row r="704" spans="1:4" x14ac:dyDescent="0.25">
      <c r="A704" t="str">
        <f t="shared" si="40"/>
        <v>Nsimba Webster</v>
      </c>
      <c r="B704" s="75">
        <f t="shared" si="41"/>
        <v>0</v>
      </c>
      <c r="C704" s="75">
        <f t="shared" si="42"/>
        <v>0</v>
      </c>
      <c r="D704" s="180">
        <f t="shared" si="43"/>
        <v>0</v>
      </c>
    </row>
    <row r="705" spans="1:4" x14ac:dyDescent="0.25">
      <c r="A705" t="str">
        <f t="shared" si="40"/>
        <v>David Blough</v>
      </c>
      <c r="B705" s="75">
        <f t="shared" si="41"/>
        <v>0</v>
      </c>
      <c r="C705" s="75">
        <f t="shared" si="42"/>
        <v>0</v>
      </c>
      <c r="D705" s="180">
        <f t="shared" si="43"/>
        <v>0</v>
      </c>
    </row>
    <row r="706" spans="1:4" x14ac:dyDescent="0.25">
      <c r="A706" t="str">
        <f t="shared" ref="A706:A769" si="44">_xlfn.CONCAT(TRIM(H1820)," ",TRIM(I1820),IF(ISNUMBER(J1820),"",_xlfn.CONCAT(" ",TRIM(J1820))))</f>
        <v>Jesper Horsted</v>
      </c>
      <c r="B706" s="75">
        <f t="shared" ref="B706:B769" si="45">IF(ISNUMBER(J1820),J1820,K1820)</f>
        <v>0</v>
      </c>
      <c r="C706" s="75">
        <f t="shared" ref="C706:C769" si="46">IF(ISNUMBER(J1820),K1820,L1820)</f>
        <v>0</v>
      </c>
      <c r="D706" s="180">
        <f t="shared" ref="D706:D769" si="47">IF(ISNUMBER(J1820),L1820,M1820)</f>
        <v>0</v>
      </c>
    </row>
    <row r="707" spans="1:4" x14ac:dyDescent="0.25">
      <c r="A707" t="str">
        <f t="shared" si="44"/>
        <v>Ishmael Hyman</v>
      </c>
      <c r="B707" s="75">
        <f t="shared" si="45"/>
        <v>0</v>
      </c>
      <c r="C707" s="75">
        <f t="shared" si="46"/>
        <v>0</v>
      </c>
      <c r="D707" s="180">
        <f t="shared" si="47"/>
        <v>0</v>
      </c>
    </row>
    <row r="708" spans="1:4" x14ac:dyDescent="0.25">
      <c r="A708" t="str">
        <f t="shared" si="44"/>
        <v>Andrew Beck</v>
      </c>
      <c r="B708" s="75">
        <f t="shared" si="45"/>
        <v>0</v>
      </c>
      <c r="C708" s="75">
        <f t="shared" si="46"/>
        <v>0</v>
      </c>
      <c r="D708" s="180">
        <f t="shared" si="47"/>
        <v>0</v>
      </c>
    </row>
    <row r="709" spans="1:4" x14ac:dyDescent="0.25">
      <c r="A709" t="str">
        <f t="shared" si="44"/>
        <v>J.P. Holtz</v>
      </c>
      <c r="B709" s="75">
        <f t="shared" si="45"/>
        <v>0</v>
      </c>
      <c r="C709" s="75">
        <f t="shared" si="46"/>
        <v>0</v>
      </c>
      <c r="D709" s="180">
        <f t="shared" si="47"/>
        <v>0</v>
      </c>
    </row>
    <row r="710" spans="1:4" x14ac:dyDescent="0.25">
      <c r="A710" t="str">
        <f t="shared" si="44"/>
        <v>Tanner Hudson</v>
      </c>
      <c r="B710" s="75">
        <f t="shared" si="45"/>
        <v>0</v>
      </c>
      <c r="C710" s="75">
        <f t="shared" si="46"/>
        <v>0</v>
      </c>
      <c r="D710" s="180">
        <f t="shared" si="47"/>
        <v>0</v>
      </c>
    </row>
    <row r="711" spans="1:4" x14ac:dyDescent="0.25">
      <c r="A711" t="str">
        <f t="shared" si="44"/>
        <v>Rico Gafford</v>
      </c>
      <c r="B711" s="75">
        <f t="shared" si="45"/>
        <v>0</v>
      </c>
      <c r="C711" s="75">
        <f t="shared" si="46"/>
        <v>0</v>
      </c>
      <c r="D711" s="180">
        <f t="shared" si="47"/>
        <v>0</v>
      </c>
    </row>
    <row r="712" spans="1:4" x14ac:dyDescent="0.25">
      <c r="A712" t="str">
        <f t="shared" si="44"/>
        <v>Kendall Blanton</v>
      </c>
      <c r="B712" s="75">
        <f t="shared" si="45"/>
        <v>0</v>
      </c>
      <c r="C712" s="75">
        <f t="shared" si="46"/>
        <v>0</v>
      </c>
      <c r="D712" s="180">
        <f t="shared" si="47"/>
        <v>0</v>
      </c>
    </row>
    <row r="713" spans="1:4" x14ac:dyDescent="0.25">
      <c r="A713" t="str">
        <f t="shared" si="44"/>
        <v>Cyril Grayson Jr.</v>
      </c>
      <c r="B713" s="75">
        <f t="shared" si="45"/>
        <v>0</v>
      </c>
      <c r="C713" s="75">
        <f t="shared" si="46"/>
        <v>0</v>
      </c>
      <c r="D713" s="180">
        <f t="shared" si="47"/>
        <v>0</v>
      </c>
    </row>
    <row r="714" spans="1:4" x14ac:dyDescent="0.25">
      <c r="A714" t="str">
        <f t="shared" si="44"/>
        <v>Cody Hollister</v>
      </c>
      <c r="B714" s="75">
        <f t="shared" si="45"/>
        <v>0</v>
      </c>
      <c r="C714" s="75">
        <f t="shared" si="46"/>
        <v>0</v>
      </c>
      <c r="D714" s="180">
        <f t="shared" si="47"/>
        <v>0</v>
      </c>
    </row>
    <row r="715" spans="1:4" x14ac:dyDescent="0.25">
      <c r="A715" t="str">
        <f t="shared" si="44"/>
        <v>Austin Walter</v>
      </c>
      <c r="B715" s="75">
        <f t="shared" si="45"/>
        <v>0</v>
      </c>
      <c r="C715" s="75">
        <f t="shared" si="46"/>
        <v>0</v>
      </c>
      <c r="D715" s="180">
        <f t="shared" si="47"/>
        <v>0</v>
      </c>
    </row>
    <row r="716" spans="1:4" x14ac:dyDescent="0.25">
      <c r="A716" t="str">
        <f t="shared" si="44"/>
        <v>Tom Kennedy</v>
      </c>
      <c r="B716" s="75">
        <f t="shared" si="45"/>
        <v>0</v>
      </c>
      <c r="C716" s="75">
        <f t="shared" si="46"/>
        <v>0</v>
      </c>
      <c r="D716" s="180">
        <f t="shared" si="47"/>
        <v>0</v>
      </c>
    </row>
    <row r="717" spans="1:4" x14ac:dyDescent="0.25">
      <c r="A717" t="str">
        <f t="shared" si="44"/>
        <v>Trenton Irwin</v>
      </c>
      <c r="B717" s="75">
        <f t="shared" si="45"/>
        <v>0</v>
      </c>
      <c r="C717" s="75">
        <f t="shared" si="46"/>
        <v>0</v>
      </c>
      <c r="D717" s="180">
        <f t="shared" si="47"/>
        <v>0</v>
      </c>
    </row>
    <row r="718" spans="1:4" x14ac:dyDescent="0.25">
      <c r="A718" t="str">
        <f t="shared" si="44"/>
        <v>PJ Walker</v>
      </c>
      <c r="B718" s="75">
        <f t="shared" si="45"/>
        <v>0</v>
      </c>
      <c r="C718" s="75">
        <f t="shared" si="46"/>
        <v>0</v>
      </c>
      <c r="D718" s="180">
        <f t="shared" si="47"/>
        <v>0</v>
      </c>
    </row>
    <row r="719" spans="1:4" x14ac:dyDescent="0.25">
      <c r="A719" t="str">
        <f t="shared" si="44"/>
        <v>Lynn Bowden Jr.</v>
      </c>
      <c r="B719" s="75">
        <f t="shared" si="45"/>
        <v>0</v>
      </c>
      <c r="C719" s="75">
        <f t="shared" si="46"/>
        <v>0</v>
      </c>
      <c r="D719" s="180">
        <f t="shared" si="47"/>
        <v>0</v>
      </c>
    </row>
    <row r="720" spans="1:4" x14ac:dyDescent="0.25">
      <c r="A720" t="str">
        <f t="shared" si="44"/>
        <v>Joe Reed</v>
      </c>
      <c r="B720" s="75">
        <f t="shared" si="45"/>
        <v>0</v>
      </c>
      <c r="C720" s="75">
        <f t="shared" si="46"/>
        <v>0</v>
      </c>
      <c r="D720" s="180">
        <f t="shared" si="47"/>
        <v>0</v>
      </c>
    </row>
    <row r="721" spans="1:4" x14ac:dyDescent="0.25">
      <c r="A721" t="str">
        <f t="shared" si="44"/>
        <v>John Hightower</v>
      </c>
      <c r="B721" s="75">
        <f t="shared" si="45"/>
        <v>0</v>
      </c>
      <c r="C721" s="75">
        <f t="shared" si="46"/>
        <v>0</v>
      </c>
      <c r="D721" s="180">
        <f t="shared" si="47"/>
        <v>0</v>
      </c>
    </row>
    <row r="722" spans="1:4" x14ac:dyDescent="0.25">
      <c r="A722" t="str">
        <f t="shared" si="44"/>
        <v>Charlie Woerner</v>
      </c>
      <c r="B722" s="75">
        <f t="shared" si="45"/>
        <v>0</v>
      </c>
      <c r="C722" s="75">
        <f t="shared" si="46"/>
        <v>0</v>
      </c>
      <c r="D722" s="180">
        <f t="shared" si="47"/>
        <v>0</v>
      </c>
    </row>
    <row r="723" spans="1:4" x14ac:dyDescent="0.25">
      <c r="A723" t="str">
        <f t="shared" si="44"/>
        <v>Collin Johnson</v>
      </c>
      <c r="B723" s="75">
        <f t="shared" si="45"/>
        <v>0</v>
      </c>
      <c r="C723" s="75">
        <f t="shared" si="46"/>
        <v>0</v>
      </c>
      <c r="D723" s="180">
        <f t="shared" si="47"/>
        <v>0</v>
      </c>
    </row>
    <row r="724" spans="1:4" x14ac:dyDescent="0.25">
      <c r="A724" t="str">
        <f t="shared" si="44"/>
        <v>Jacob Eason</v>
      </c>
      <c r="B724" s="75">
        <f t="shared" si="45"/>
        <v>0</v>
      </c>
      <c r="C724" s="75">
        <f t="shared" si="46"/>
        <v>0</v>
      </c>
      <c r="D724" s="180">
        <f t="shared" si="47"/>
        <v>0</v>
      </c>
    </row>
    <row r="725" spans="1:4" x14ac:dyDescent="0.25">
      <c r="A725" t="str">
        <f t="shared" si="44"/>
        <v>Jake Luton</v>
      </c>
      <c r="B725" s="75">
        <f t="shared" si="45"/>
        <v>0</v>
      </c>
      <c r="C725" s="75">
        <f t="shared" si="46"/>
        <v>0</v>
      </c>
      <c r="D725" s="180">
        <f t="shared" si="47"/>
        <v>0</v>
      </c>
    </row>
    <row r="726" spans="1:4" x14ac:dyDescent="0.25">
      <c r="A726" t="str">
        <f t="shared" si="44"/>
        <v>Isaiah Coulter</v>
      </c>
      <c r="B726" s="75">
        <f t="shared" si="45"/>
        <v>0</v>
      </c>
      <c r="C726" s="75">
        <f t="shared" si="46"/>
        <v>0</v>
      </c>
      <c r="D726" s="180">
        <f t="shared" si="47"/>
        <v>0</v>
      </c>
    </row>
    <row r="727" spans="1:4" x14ac:dyDescent="0.25">
      <c r="A727" t="str">
        <f t="shared" si="44"/>
        <v>Ben DiNucci</v>
      </c>
      <c r="B727" s="75">
        <f t="shared" si="45"/>
        <v>0</v>
      </c>
      <c r="C727" s="75">
        <f t="shared" si="46"/>
        <v>0</v>
      </c>
      <c r="D727" s="180">
        <f t="shared" si="47"/>
        <v>0</v>
      </c>
    </row>
    <row r="728" spans="1:4" x14ac:dyDescent="0.25">
      <c r="A728" t="str">
        <f t="shared" si="44"/>
        <v>Isaiah Hodgins</v>
      </c>
      <c r="B728" s="75">
        <f t="shared" si="45"/>
        <v>0</v>
      </c>
      <c r="C728" s="75">
        <f t="shared" si="46"/>
        <v>0</v>
      </c>
      <c r="D728" s="180">
        <f t="shared" si="47"/>
        <v>0</v>
      </c>
    </row>
    <row r="729" spans="1:4" x14ac:dyDescent="0.25">
      <c r="A729" t="str">
        <f t="shared" si="44"/>
        <v>La'Mical Perine</v>
      </c>
      <c r="B729" s="75">
        <f t="shared" si="45"/>
        <v>0</v>
      </c>
      <c r="C729" s="75">
        <f t="shared" si="46"/>
        <v>0</v>
      </c>
      <c r="D729" s="180">
        <f t="shared" si="47"/>
        <v>0</v>
      </c>
    </row>
    <row r="730" spans="1:4" x14ac:dyDescent="0.25">
      <c r="A730" t="str">
        <f t="shared" si="44"/>
        <v>JaMycal Hasty</v>
      </c>
      <c r="B730" s="75">
        <f t="shared" si="45"/>
        <v>0</v>
      </c>
      <c r="C730" s="75">
        <f t="shared" si="46"/>
        <v>0</v>
      </c>
      <c r="D730" s="180">
        <f t="shared" si="47"/>
        <v>0</v>
      </c>
    </row>
    <row r="731" spans="1:4" x14ac:dyDescent="0.25">
      <c r="A731" t="str">
        <f t="shared" si="44"/>
        <v>J.J. Taylor</v>
      </c>
      <c r="B731" s="75">
        <f t="shared" si="45"/>
        <v>0</v>
      </c>
      <c r="C731" s="75">
        <f t="shared" si="46"/>
        <v>0</v>
      </c>
      <c r="D731" s="180">
        <f t="shared" si="47"/>
        <v>0</v>
      </c>
    </row>
    <row r="732" spans="1:4" x14ac:dyDescent="0.25">
      <c r="A732" t="str">
        <f t="shared" si="44"/>
        <v>Thaddeus Moss</v>
      </c>
      <c r="B732" s="75">
        <f t="shared" si="45"/>
        <v>0</v>
      </c>
      <c r="C732" s="75">
        <f t="shared" si="46"/>
        <v>0</v>
      </c>
      <c r="D732" s="180">
        <f t="shared" si="47"/>
        <v>0</v>
      </c>
    </row>
    <row r="733" spans="1:4" x14ac:dyDescent="0.25">
      <c r="A733" t="str">
        <f t="shared" si="44"/>
        <v>Kirk Merritt</v>
      </c>
      <c r="B733" s="75">
        <f t="shared" si="45"/>
        <v>0</v>
      </c>
      <c r="C733" s="75">
        <f t="shared" si="46"/>
        <v>0</v>
      </c>
      <c r="D733" s="180">
        <f t="shared" si="47"/>
        <v>0</v>
      </c>
    </row>
    <row r="734" spans="1:4" x14ac:dyDescent="0.25">
      <c r="A734" t="str">
        <f t="shared" si="44"/>
        <v>Salvon Ahmed</v>
      </c>
      <c r="B734" s="75">
        <f t="shared" si="45"/>
        <v>0</v>
      </c>
      <c r="C734" s="75">
        <f t="shared" si="46"/>
        <v>0</v>
      </c>
      <c r="D734" s="180">
        <f t="shared" si="47"/>
        <v>0</v>
      </c>
    </row>
    <row r="735" spans="1:4" x14ac:dyDescent="0.25">
      <c r="A735" t="str">
        <f t="shared" si="44"/>
        <v>Darius Anderson</v>
      </c>
      <c r="B735" s="75">
        <f t="shared" si="45"/>
        <v>0</v>
      </c>
      <c r="C735" s="75">
        <f t="shared" si="46"/>
        <v>0</v>
      </c>
      <c r="D735" s="180">
        <f t="shared" si="47"/>
        <v>0</v>
      </c>
    </row>
    <row r="736" spans="1:4" x14ac:dyDescent="0.25">
      <c r="A736" t="str">
        <f t="shared" si="44"/>
        <v>Malik Taylor</v>
      </c>
      <c r="B736" s="75">
        <f t="shared" si="45"/>
        <v>0</v>
      </c>
      <c r="C736" s="75">
        <f t="shared" si="46"/>
        <v>0</v>
      </c>
      <c r="D736" s="180">
        <f t="shared" si="47"/>
        <v>0</v>
      </c>
    </row>
    <row r="737" spans="1:4" x14ac:dyDescent="0.25">
      <c r="A737" t="str">
        <f t="shared" si="44"/>
        <v>Xavier Jones</v>
      </c>
      <c r="B737" s="75">
        <f t="shared" si="45"/>
        <v>0</v>
      </c>
      <c r="C737" s="75">
        <f t="shared" si="46"/>
        <v>0</v>
      </c>
      <c r="D737" s="180">
        <f t="shared" si="47"/>
        <v>0</v>
      </c>
    </row>
    <row r="738" spans="1:4" x14ac:dyDescent="0.25">
      <c r="A738" t="str">
        <f t="shared" si="44"/>
        <v>Noah Togiai</v>
      </c>
      <c r="B738" s="75">
        <f t="shared" si="45"/>
        <v>0</v>
      </c>
      <c r="C738" s="75">
        <f t="shared" si="46"/>
        <v>0</v>
      </c>
      <c r="D738" s="180">
        <f t="shared" si="47"/>
        <v>0</v>
      </c>
    </row>
    <row r="739" spans="1:4" x14ac:dyDescent="0.25">
      <c r="A739" t="str">
        <f t="shared" si="44"/>
        <v>Trishton Jackson</v>
      </c>
      <c r="B739" s="75">
        <f t="shared" si="45"/>
        <v>0</v>
      </c>
      <c r="C739" s="75">
        <f t="shared" si="46"/>
        <v>0</v>
      </c>
      <c r="D739" s="180">
        <f t="shared" si="47"/>
        <v>0</v>
      </c>
    </row>
    <row r="740" spans="1:4" x14ac:dyDescent="0.25">
      <c r="A740" t="str">
        <f t="shared" si="44"/>
        <v>Dan Chisena</v>
      </c>
      <c r="B740" s="75">
        <f t="shared" si="45"/>
        <v>0</v>
      </c>
      <c r="C740" s="75">
        <f t="shared" si="46"/>
        <v>0</v>
      </c>
      <c r="D740" s="180">
        <f t="shared" si="47"/>
        <v>0</v>
      </c>
    </row>
    <row r="741" spans="1:4" x14ac:dyDescent="0.25">
      <c r="A741" t="str">
        <f t="shared" si="44"/>
        <v>Jonathan Ward</v>
      </c>
      <c r="B741" s="75">
        <f t="shared" si="45"/>
        <v>0</v>
      </c>
      <c r="C741" s="75">
        <f t="shared" si="46"/>
        <v>0</v>
      </c>
      <c r="D741" s="180">
        <f t="shared" si="47"/>
        <v>0</v>
      </c>
    </row>
    <row r="742" spans="1:4" x14ac:dyDescent="0.25">
      <c r="A742" t="str">
        <f t="shared" si="44"/>
        <v>Colin Thompson</v>
      </c>
      <c r="B742" s="75">
        <f t="shared" si="45"/>
        <v>0</v>
      </c>
      <c r="C742" s="75">
        <f t="shared" si="46"/>
        <v>0</v>
      </c>
      <c r="D742" s="180">
        <f t="shared" si="47"/>
        <v>0</v>
      </c>
    </row>
    <row r="743" spans="1:4" x14ac:dyDescent="0.25">
      <c r="A743" t="str">
        <f t="shared" si="44"/>
        <v>Austin Mack</v>
      </c>
      <c r="B743" s="75">
        <f t="shared" si="45"/>
        <v>0</v>
      </c>
      <c r="C743" s="75">
        <f t="shared" si="46"/>
        <v>0</v>
      </c>
      <c r="D743" s="180">
        <f t="shared" si="47"/>
        <v>0</v>
      </c>
    </row>
    <row r="744" spans="1:4" x14ac:dyDescent="0.25">
      <c r="A744" t="str">
        <f t="shared" si="44"/>
        <v>Lawrence Cager</v>
      </c>
      <c r="B744" s="75">
        <f t="shared" si="45"/>
        <v>0</v>
      </c>
      <c r="C744" s="75">
        <f t="shared" si="46"/>
        <v>0</v>
      </c>
      <c r="D744" s="180">
        <f t="shared" si="47"/>
        <v>0</v>
      </c>
    </row>
    <row r="745" spans="1:4" x14ac:dyDescent="0.25">
      <c r="A745" t="str">
        <f t="shared" si="44"/>
        <v>Kevin Rader</v>
      </c>
      <c r="B745" s="75">
        <f t="shared" si="45"/>
        <v>0</v>
      </c>
      <c r="C745" s="75">
        <f t="shared" si="46"/>
        <v>0</v>
      </c>
      <c r="D745" s="180">
        <f t="shared" si="47"/>
        <v>0</v>
      </c>
    </row>
    <row r="746" spans="1:4" x14ac:dyDescent="0.25">
      <c r="A746" t="str">
        <f t="shared" si="44"/>
        <v>Chris Streveler</v>
      </c>
      <c r="B746" s="75">
        <f t="shared" si="45"/>
        <v>0</v>
      </c>
      <c r="C746" s="75">
        <f t="shared" si="46"/>
        <v>0</v>
      </c>
      <c r="D746" s="180">
        <f t="shared" si="47"/>
        <v>0</v>
      </c>
    </row>
    <row r="747" spans="1:4" x14ac:dyDescent="0.25">
      <c r="A747" t="str">
        <f t="shared" si="44"/>
        <v>Tony Jones Jr.</v>
      </c>
      <c r="B747" s="75">
        <f t="shared" si="45"/>
        <v>0</v>
      </c>
      <c r="C747" s="75">
        <f t="shared" si="46"/>
        <v>0</v>
      </c>
      <c r="D747" s="180">
        <f t="shared" si="47"/>
        <v>0</v>
      </c>
    </row>
    <row r="748" spans="1:4" x14ac:dyDescent="0.25">
      <c r="A748" t="str">
        <f t="shared" si="44"/>
        <v>John Lovett</v>
      </c>
      <c r="B748" s="75">
        <f t="shared" si="45"/>
        <v>0</v>
      </c>
      <c r="C748" s="75">
        <f t="shared" si="46"/>
        <v>0</v>
      </c>
      <c r="D748" s="180">
        <f t="shared" si="47"/>
        <v>0</v>
      </c>
    </row>
    <row r="749" spans="1:4" x14ac:dyDescent="0.25">
      <c r="A749" t="str">
        <f t="shared" si="44"/>
        <v>Kendall Hinton</v>
      </c>
      <c r="B749" s="75">
        <f t="shared" si="45"/>
        <v>0</v>
      </c>
      <c r="C749" s="75">
        <f t="shared" si="46"/>
        <v>0</v>
      </c>
      <c r="D749" s="180">
        <f t="shared" si="47"/>
        <v>0</v>
      </c>
    </row>
    <row r="750" spans="1:4" x14ac:dyDescent="0.25">
      <c r="A750" t="str">
        <f t="shared" si="44"/>
        <v>Kristian Wilkerson</v>
      </c>
      <c r="B750" s="75">
        <f t="shared" si="45"/>
        <v>0</v>
      </c>
      <c r="C750" s="75">
        <f t="shared" si="46"/>
        <v>0</v>
      </c>
      <c r="D750" s="180">
        <f t="shared" si="47"/>
        <v>0</v>
      </c>
    </row>
    <row r="751" spans="1:4" x14ac:dyDescent="0.25">
      <c r="A751" t="str">
        <f t="shared" si="44"/>
        <v>Nate Becker</v>
      </c>
      <c r="B751" s="75">
        <f t="shared" si="45"/>
        <v>0</v>
      </c>
      <c r="C751" s="75">
        <f t="shared" si="46"/>
        <v>0</v>
      </c>
      <c r="D751" s="180">
        <f t="shared" si="47"/>
        <v>0</v>
      </c>
    </row>
    <row r="752" spans="1:4" x14ac:dyDescent="0.25">
      <c r="A752" t="str">
        <f t="shared" si="44"/>
        <v>Alex Bachman</v>
      </c>
      <c r="B752" s="75">
        <f t="shared" si="45"/>
        <v>0</v>
      </c>
      <c r="C752" s="75">
        <f t="shared" si="46"/>
        <v>0</v>
      </c>
      <c r="D752" s="180">
        <f t="shared" si="47"/>
        <v>0</v>
      </c>
    </row>
    <row r="753" spans="1:4" x14ac:dyDescent="0.25">
      <c r="A753" t="str">
        <f t="shared" si="44"/>
        <v>Matt Cole</v>
      </c>
      <c r="B753" s="75">
        <f t="shared" si="45"/>
        <v>0</v>
      </c>
      <c r="C753" s="75">
        <f t="shared" si="46"/>
        <v>0</v>
      </c>
      <c r="D753" s="180">
        <f t="shared" si="47"/>
        <v>0</v>
      </c>
    </row>
    <row r="754" spans="1:4" x14ac:dyDescent="0.25">
      <c r="A754" t="str">
        <f t="shared" si="44"/>
        <v>DeMichael Harris</v>
      </c>
      <c r="B754" s="75">
        <f t="shared" si="45"/>
        <v>0</v>
      </c>
      <c r="C754" s="75">
        <f t="shared" si="46"/>
        <v>0</v>
      </c>
      <c r="D754" s="180">
        <f t="shared" si="47"/>
        <v>0</v>
      </c>
    </row>
    <row r="755" spans="1:4" x14ac:dyDescent="0.25">
      <c r="A755" t="str">
        <f t="shared" si="44"/>
        <v>Isaiah Zuber</v>
      </c>
      <c r="B755" s="75">
        <f t="shared" si="45"/>
        <v>0</v>
      </c>
      <c r="C755" s="75">
        <f t="shared" si="46"/>
        <v>0</v>
      </c>
      <c r="D755" s="180">
        <f t="shared" si="47"/>
        <v>0</v>
      </c>
    </row>
    <row r="756" spans="1:4" x14ac:dyDescent="0.25">
      <c r="A756" t="str">
        <f t="shared" si="44"/>
        <v>Kyle Trask</v>
      </c>
      <c r="B756" s="75">
        <f t="shared" si="45"/>
        <v>0</v>
      </c>
      <c r="C756" s="75">
        <f t="shared" si="46"/>
        <v>0</v>
      </c>
      <c r="D756" s="180">
        <f t="shared" si="47"/>
        <v>0</v>
      </c>
    </row>
    <row r="757" spans="1:4" x14ac:dyDescent="0.25">
      <c r="A757" t="str">
        <f t="shared" si="44"/>
        <v>Jermar Jefferson</v>
      </c>
      <c r="B757" s="75">
        <f t="shared" si="45"/>
        <v>0</v>
      </c>
      <c r="C757" s="75">
        <f t="shared" si="46"/>
        <v>0</v>
      </c>
      <c r="D757" s="180">
        <f t="shared" si="47"/>
        <v>0</v>
      </c>
    </row>
    <row r="758" spans="1:4" x14ac:dyDescent="0.25">
      <c r="A758" t="str">
        <f t="shared" si="44"/>
        <v>Kellen Mond</v>
      </c>
      <c r="B758" s="75">
        <f t="shared" si="45"/>
        <v>0</v>
      </c>
      <c r="C758" s="75">
        <f t="shared" si="46"/>
        <v>0</v>
      </c>
      <c r="D758" s="180">
        <f t="shared" si="47"/>
        <v>0</v>
      </c>
    </row>
    <row r="759" spans="1:4" x14ac:dyDescent="0.25">
      <c r="A759" t="str">
        <f t="shared" si="44"/>
        <v>Cornell Powell</v>
      </c>
      <c r="B759" s="75">
        <f t="shared" si="45"/>
        <v>0</v>
      </c>
      <c r="C759" s="75">
        <f t="shared" si="46"/>
        <v>0</v>
      </c>
      <c r="D759" s="180">
        <f t="shared" si="47"/>
        <v>0</v>
      </c>
    </row>
    <row r="760" spans="1:4" x14ac:dyDescent="0.25">
      <c r="A760" t="str">
        <f t="shared" si="44"/>
        <v>Jacob Harris</v>
      </c>
      <c r="B760" s="75">
        <f t="shared" si="45"/>
        <v>0</v>
      </c>
      <c r="C760" s="75">
        <f t="shared" si="46"/>
        <v>0</v>
      </c>
      <c r="D760" s="180">
        <f t="shared" si="47"/>
        <v>0</v>
      </c>
    </row>
    <row r="761" spans="1:4" x14ac:dyDescent="0.25">
      <c r="A761" t="str">
        <f t="shared" si="44"/>
        <v>Ben Mason</v>
      </c>
      <c r="B761" s="75">
        <f t="shared" si="45"/>
        <v>0</v>
      </c>
      <c r="C761" s="75">
        <f t="shared" si="46"/>
        <v>0</v>
      </c>
      <c r="D761" s="180">
        <f t="shared" si="47"/>
        <v>0</v>
      </c>
    </row>
    <row r="762" spans="1:4" x14ac:dyDescent="0.25">
      <c r="A762" t="str">
        <f t="shared" si="44"/>
        <v>Kylin Hill</v>
      </c>
      <c r="B762" s="75">
        <f t="shared" si="45"/>
        <v>0</v>
      </c>
      <c r="C762" s="75">
        <f t="shared" si="46"/>
        <v>0</v>
      </c>
      <c r="D762" s="180">
        <f t="shared" si="47"/>
        <v>0</v>
      </c>
    </row>
    <row r="763" spans="1:4" x14ac:dyDescent="0.25">
      <c r="A763" t="str">
        <f t="shared" si="44"/>
        <v>Kawaan Baker</v>
      </c>
      <c r="B763" s="75">
        <f t="shared" si="45"/>
        <v>0</v>
      </c>
      <c r="C763" s="75">
        <f t="shared" si="46"/>
        <v>0</v>
      </c>
      <c r="D763" s="180">
        <f t="shared" si="47"/>
        <v>0</v>
      </c>
    </row>
    <row r="764" spans="1:4" x14ac:dyDescent="0.25">
      <c r="A764" t="str">
        <f t="shared" si="44"/>
        <v>Ian Book</v>
      </c>
      <c r="B764" s="75">
        <f t="shared" si="45"/>
        <v>0</v>
      </c>
      <c r="C764" s="75">
        <f t="shared" si="46"/>
        <v>0</v>
      </c>
      <c r="D764" s="180">
        <f t="shared" si="47"/>
        <v>0</v>
      </c>
    </row>
    <row r="765" spans="1:4" x14ac:dyDescent="0.25">
      <c r="A765" t="str">
        <f t="shared" si="44"/>
        <v>Sage Surratt</v>
      </c>
      <c r="B765" s="75">
        <f t="shared" si="45"/>
        <v>0</v>
      </c>
      <c r="C765" s="75">
        <f t="shared" si="46"/>
        <v>0</v>
      </c>
      <c r="D765" s="180">
        <f t="shared" si="47"/>
        <v>0</v>
      </c>
    </row>
    <row r="766" spans="1:4" x14ac:dyDescent="0.25">
      <c r="A766" t="str">
        <f t="shared" si="44"/>
        <v>Zach Davidson</v>
      </c>
      <c r="B766" s="75">
        <f t="shared" si="45"/>
        <v>0</v>
      </c>
      <c r="C766" s="75">
        <f t="shared" si="46"/>
        <v>0</v>
      </c>
      <c r="D766" s="180">
        <f t="shared" si="47"/>
        <v>0</v>
      </c>
    </row>
    <row r="767" spans="1:4" x14ac:dyDescent="0.25">
      <c r="A767" t="str">
        <f t="shared" si="44"/>
        <v>Sam Ehlinger</v>
      </c>
      <c r="B767" s="75">
        <f t="shared" si="45"/>
        <v>0</v>
      </c>
      <c r="C767" s="75">
        <f t="shared" si="46"/>
        <v>0</v>
      </c>
      <c r="D767" s="180">
        <f t="shared" si="47"/>
        <v>0</v>
      </c>
    </row>
    <row r="768" spans="1:4" x14ac:dyDescent="0.25">
      <c r="A768" t="str">
        <f t="shared" si="44"/>
        <v>Gerrid Doaks</v>
      </c>
      <c r="B768" s="75">
        <f t="shared" si="45"/>
        <v>0</v>
      </c>
      <c r="C768" s="75">
        <f t="shared" si="46"/>
        <v>0</v>
      </c>
      <c r="D768" s="180">
        <f t="shared" si="47"/>
        <v>0</v>
      </c>
    </row>
    <row r="769" spans="1:4" x14ac:dyDescent="0.25">
      <c r="A769" t="str">
        <f t="shared" si="44"/>
        <v>Feleipe Franks</v>
      </c>
      <c r="B769" s="75">
        <f t="shared" si="45"/>
        <v>0</v>
      </c>
      <c r="C769" s="75">
        <f t="shared" si="46"/>
        <v>0</v>
      </c>
      <c r="D769" s="180">
        <f t="shared" si="47"/>
        <v>0</v>
      </c>
    </row>
    <row r="770" spans="1:4" x14ac:dyDescent="0.25">
      <c r="A770" t="str">
        <f t="shared" ref="A770:A833" si="48">_xlfn.CONCAT(TRIM(H1884)," ",TRIM(I1884),IF(ISNUMBER(J1884),"",_xlfn.CONCAT(" ",TRIM(J1884))))</f>
        <v>Ty'Son Williams</v>
      </c>
      <c r="B770" s="75">
        <f t="shared" ref="B770:B833" si="49">IF(ISNUMBER(J1884),J1884,K1884)</f>
        <v>0</v>
      </c>
      <c r="C770" s="75">
        <f t="shared" ref="C770:C833" si="50">IF(ISNUMBER(J1884),K1884,L1884)</f>
        <v>0</v>
      </c>
      <c r="D770" s="180">
        <f t="shared" ref="D770:D833" si="51">IF(ISNUMBER(J1884),L1884,M1884)</f>
        <v>0</v>
      </c>
    </row>
    <row r="771" spans="1:4" x14ac:dyDescent="0.25">
      <c r="A771" t="str">
        <f t="shared" si="48"/>
        <v>Cade Johnson</v>
      </c>
      <c r="B771" s="75">
        <f t="shared" si="49"/>
        <v>0</v>
      </c>
      <c r="C771" s="75">
        <f t="shared" si="50"/>
        <v>0</v>
      </c>
      <c r="D771" s="180">
        <f t="shared" si="51"/>
        <v>0</v>
      </c>
    </row>
    <row r="772" spans="1:4" x14ac:dyDescent="0.25">
      <c r="A772" t="str">
        <f t="shared" si="48"/>
        <v>Kenny Yeboah</v>
      </c>
      <c r="B772" s="75">
        <f t="shared" si="49"/>
        <v>0</v>
      </c>
      <c r="C772" s="75">
        <f t="shared" si="50"/>
        <v>0</v>
      </c>
      <c r="D772" s="180">
        <f t="shared" si="51"/>
        <v>0</v>
      </c>
    </row>
    <row r="773" spans="1:4" x14ac:dyDescent="0.25">
      <c r="A773" t="str">
        <f t="shared" si="48"/>
        <v>Trinity Benson</v>
      </c>
      <c r="B773" s="75">
        <f t="shared" si="49"/>
        <v>0</v>
      </c>
      <c r="C773" s="75">
        <f t="shared" si="50"/>
        <v>0</v>
      </c>
      <c r="D773" s="180">
        <f t="shared" si="51"/>
        <v>0</v>
      </c>
    </row>
    <row r="774" spans="1:4" x14ac:dyDescent="0.25">
      <c r="A774" t="str">
        <f t="shared" si="48"/>
        <v>Nate McCrary</v>
      </c>
      <c r="B774" s="75">
        <f t="shared" si="49"/>
        <v>0</v>
      </c>
      <c r="C774" s="75">
        <f t="shared" si="50"/>
        <v>0</v>
      </c>
      <c r="D774" s="180">
        <f t="shared" si="51"/>
        <v>0</v>
      </c>
    </row>
    <row r="775" spans="1:4" x14ac:dyDescent="0.25">
      <c r="A775" t="str">
        <f t="shared" si="48"/>
        <v>Mekhi Sargent</v>
      </c>
      <c r="B775" s="75">
        <f t="shared" si="49"/>
        <v>0</v>
      </c>
      <c r="C775" s="75">
        <f t="shared" si="50"/>
        <v>0</v>
      </c>
      <c r="D775" s="180">
        <f t="shared" si="51"/>
        <v>0</v>
      </c>
    </row>
    <row r="776" spans="1:4" x14ac:dyDescent="0.25">
      <c r="A776" t="str">
        <f t="shared" si="48"/>
        <v>Tory Carter</v>
      </c>
      <c r="B776" s="75">
        <f t="shared" si="49"/>
        <v>0</v>
      </c>
      <c r="C776" s="75">
        <f t="shared" si="50"/>
        <v>0</v>
      </c>
      <c r="D776" s="180">
        <f t="shared" si="51"/>
        <v>0</v>
      </c>
    </row>
    <row r="777" spans="1:4" x14ac:dyDescent="0.25">
      <c r="A777" t="str">
        <f t="shared" si="48"/>
        <v>Cody White</v>
      </c>
      <c r="B777" s="75">
        <f t="shared" si="49"/>
        <v>0</v>
      </c>
      <c r="C777" s="75">
        <f t="shared" si="50"/>
        <v>0</v>
      </c>
      <c r="D777" s="180">
        <f t="shared" si="51"/>
        <v>0</v>
      </c>
    </row>
    <row r="778" spans="1:4" x14ac:dyDescent="0.25">
      <c r="A778" t="str">
        <f t="shared" si="48"/>
        <v>Parker Hesse</v>
      </c>
      <c r="B778" s="75">
        <f t="shared" si="49"/>
        <v>0</v>
      </c>
      <c r="C778" s="75">
        <f t="shared" si="50"/>
        <v>0</v>
      </c>
      <c r="D778" s="180">
        <f t="shared" si="51"/>
        <v>0</v>
      </c>
    </row>
    <row r="779" spans="1:4" x14ac:dyDescent="0.25">
      <c r="A779" t="str">
        <f t="shared" si="48"/>
        <v>David Wells</v>
      </c>
      <c r="B779" s="75">
        <f t="shared" si="49"/>
        <v>0</v>
      </c>
      <c r="C779" s="75">
        <f t="shared" si="50"/>
        <v>0</v>
      </c>
      <c r="D779" s="180">
        <f t="shared" si="51"/>
        <v>0</v>
      </c>
    </row>
    <row r="780" spans="1:4" x14ac:dyDescent="0.25">
      <c r="A780" t="str">
        <f t="shared" si="48"/>
        <v>Ian Bunting</v>
      </c>
      <c r="B780" s="75">
        <f t="shared" si="49"/>
        <v>0</v>
      </c>
      <c r="C780" s="75">
        <f t="shared" si="50"/>
        <v>0</v>
      </c>
      <c r="D780" s="180">
        <f t="shared" si="51"/>
        <v>0</v>
      </c>
    </row>
    <row r="781" spans="1:4" x14ac:dyDescent="0.25">
      <c r="A781" t="str">
        <f t="shared" si="48"/>
        <v>Tony Poljan</v>
      </c>
      <c r="B781" s="75">
        <f t="shared" si="49"/>
        <v>0</v>
      </c>
      <c r="C781" s="75">
        <f t="shared" si="50"/>
        <v>0</v>
      </c>
      <c r="D781" s="180">
        <f t="shared" si="51"/>
        <v>0</v>
      </c>
    </row>
    <row r="782" spans="1:4" x14ac:dyDescent="0.25">
      <c r="A782" t="str">
        <f t="shared" si="48"/>
        <v>Shane Zylstra</v>
      </c>
      <c r="B782" s="75">
        <f t="shared" si="49"/>
        <v>0</v>
      </c>
      <c r="C782" s="75">
        <f t="shared" si="50"/>
        <v>0</v>
      </c>
      <c r="D782" s="180">
        <f t="shared" si="51"/>
        <v>0</v>
      </c>
    </row>
    <row r="783" spans="1:4" x14ac:dyDescent="0.25">
      <c r="A783" t="str">
        <f t="shared" si="48"/>
        <v>JaQuan Hardy</v>
      </c>
      <c r="B783" s="75">
        <f t="shared" si="49"/>
        <v>0</v>
      </c>
      <c r="C783" s="75">
        <f t="shared" si="50"/>
        <v>0</v>
      </c>
      <c r="D783" s="180">
        <f t="shared" si="51"/>
        <v>0</v>
      </c>
    </row>
    <row r="784" spans="1:4" x14ac:dyDescent="0.25">
      <c r="A784" t="str">
        <f t="shared" si="48"/>
        <v>Michael Bandy</v>
      </c>
      <c r="B784" s="75">
        <f t="shared" si="49"/>
        <v>0</v>
      </c>
      <c r="C784" s="75">
        <f t="shared" si="50"/>
        <v>0</v>
      </c>
      <c r="D784" s="180">
        <f t="shared" si="51"/>
        <v>0</v>
      </c>
    </row>
    <row r="785" spans="1:4" x14ac:dyDescent="0.25">
      <c r="A785" t="str">
        <f t="shared" si="48"/>
        <v>Easop Winston</v>
      </c>
      <c r="B785" s="75">
        <f t="shared" si="49"/>
        <v>0</v>
      </c>
      <c r="C785" s="75">
        <f t="shared" si="50"/>
        <v>0</v>
      </c>
      <c r="D785" s="180">
        <f t="shared" si="51"/>
        <v>0</v>
      </c>
    </row>
    <row r="786" spans="1:4" x14ac:dyDescent="0.25">
      <c r="A786" t="str">
        <f t="shared" si="48"/>
        <v>Aaron Fuller</v>
      </c>
      <c r="B786" s="75">
        <f t="shared" si="49"/>
        <v>0</v>
      </c>
      <c r="C786" s="75">
        <f t="shared" si="50"/>
        <v>0</v>
      </c>
      <c r="D786" s="180">
        <f t="shared" si="51"/>
        <v>0</v>
      </c>
    </row>
    <row r="787" spans="1:4" x14ac:dyDescent="0.25">
      <c r="A787" t="str">
        <f t="shared" si="48"/>
        <v>Jeff Cotton Jr.</v>
      </c>
      <c r="B787" s="75">
        <f t="shared" si="49"/>
        <v>0</v>
      </c>
      <c r="C787" s="75">
        <f t="shared" si="50"/>
        <v>0</v>
      </c>
      <c r="D787" s="180">
        <f t="shared" si="51"/>
        <v>0</v>
      </c>
    </row>
    <row r="788" spans="1:4" x14ac:dyDescent="0.25">
      <c r="A788" t="str">
        <f t="shared" si="48"/>
        <v>Paul Quessenberry</v>
      </c>
      <c r="B788" s="75">
        <f t="shared" si="49"/>
        <v>0</v>
      </c>
      <c r="C788" s="75">
        <f t="shared" si="50"/>
        <v>0</v>
      </c>
      <c r="D788" s="180">
        <f t="shared" si="51"/>
        <v>0</v>
      </c>
    </row>
    <row r="789" spans="1:4" x14ac:dyDescent="0.25">
      <c r="A789" t="str">
        <f t="shared" si="48"/>
        <v>C.J. Saunders</v>
      </c>
      <c r="B789" s="75">
        <f t="shared" si="49"/>
        <v>0</v>
      </c>
      <c r="C789" s="75">
        <f t="shared" si="50"/>
        <v>0</v>
      </c>
      <c r="D789" s="180">
        <f t="shared" si="51"/>
        <v>0</v>
      </c>
    </row>
    <row r="790" spans="1:4" x14ac:dyDescent="0.25">
      <c r="A790" t="str">
        <f t="shared" si="48"/>
        <v>Myron Mitchell</v>
      </c>
      <c r="B790" s="75">
        <f t="shared" si="49"/>
        <v>0</v>
      </c>
      <c r="C790" s="75">
        <f t="shared" si="50"/>
        <v>0</v>
      </c>
      <c r="D790" s="180">
        <f t="shared" si="51"/>
        <v>0</v>
      </c>
    </row>
    <row r="791" spans="1:4" x14ac:dyDescent="0.25">
      <c r="A791" t="str">
        <f t="shared" si="48"/>
        <v>Trey Ragas</v>
      </c>
      <c r="B791" s="75">
        <f t="shared" si="49"/>
        <v>0</v>
      </c>
      <c r="C791" s="75">
        <f t="shared" si="50"/>
        <v>0</v>
      </c>
      <c r="D791" s="180">
        <f t="shared" si="51"/>
        <v>0</v>
      </c>
    </row>
    <row r="792" spans="1:4" x14ac:dyDescent="0.25">
      <c r="A792" t="str">
        <f t="shared" si="48"/>
        <v>Matt Bushman</v>
      </c>
      <c r="B792" s="75">
        <f t="shared" si="49"/>
        <v>0</v>
      </c>
      <c r="C792" s="75">
        <f t="shared" si="50"/>
        <v>0</v>
      </c>
      <c r="D792" s="180">
        <f t="shared" si="51"/>
        <v>0</v>
      </c>
    </row>
    <row r="793" spans="1:4" x14ac:dyDescent="0.25">
      <c r="A793" t="str">
        <f t="shared" si="48"/>
        <v>Landen Akers</v>
      </c>
      <c r="B793" s="75">
        <f t="shared" si="49"/>
        <v>0</v>
      </c>
      <c r="C793" s="75">
        <f t="shared" si="50"/>
        <v>0</v>
      </c>
      <c r="D793" s="180">
        <f t="shared" si="51"/>
        <v>0</v>
      </c>
    </row>
    <row r="794" spans="1:4" x14ac:dyDescent="0.25">
      <c r="A794" t="str">
        <f t="shared" si="48"/>
        <v>Josh Hammond</v>
      </c>
      <c r="B794" s="75">
        <f t="shared" si="49"/>
        <v>0</v>
      </c>
      <c r="C794" s="75">
        <f t="shared" si="50"/>
        <v>0</v>
      </c>
      <c r="D794" s="180">
        <f t="shared" si="51"/>
        <v>0</v>
      </c>
    </row>
    <row r="795" spans="1:4" x14ac:dyDescent="0.25">
      <c r="A795" t="str">
        <f t="shared" si="48"/>
        <v>Mason Kinsey</v>
      </c>
      <c r="B795" s="75">
        <f t="shared" si="49"/>
        <v>0</v>
      </c>
      <c r="C795" s="75">
        <f t="shared" si="50"/>
        <v>0</v>
      </c>
      <c r="D795" s="180">
        <f t="shared" si="51"/>
        <v>0</v>
      </c>
    </row>
    <row r="796" spans="1:4" x14ac:dyDescent="0.25">
      <c r="A796" t="str">
        <f t="shared" si="48"/>
        <v>Tarik Black</v>
      </c>
      <c r="B796" s="75">
        <f t="shared" si="49"/>
        <v>0</v>
      </c>
      <c r="C796" s="75">
        <f t="shared" si="50"/>
        <v>0</v>
      </c>
      <c r="D796" s="180">
        <f t="shared" si="51"/>
        <v>0</v>
      </c>
    </row>
    <row r="797" spans="1:4" x14ac:dyDescent="0.25">
      <c r="A797" t="str">
        <f t="shared" si="48"/>
        <v>J.J. Koski</v>
      </c>
      <c r="B797" s="75">
        <f t="shared" si="49"/>
        <v>0</v>
      </c>
      <c r="C797" s="75">
        <f t="shared" si="50"/>
        <v>0</v>
      </c>
      <c r="D797" s="180">
        <f t="shared" si="51"/>
        <v>0</v>
      </c>
    </row>
    <row r="798" spans="1:4" x14ac:dyDescent="0.25">
      <c r="A798" t="str">
        <f t="shared" si="48"/>
        <v>Reid Sinnett</v>
      </c>
      <c r="B798" s="75">
        <f t="shared" si="49"/>
        <v>0</v>
      </c>
      <c r="C798" s="75">
        <f t="shared" si="50"/>
        <v>0</v>
      </c>
      <c r="D798" s="180">
        <f t="shared" si="51"/>
        <v>0</v>
      </c>
    </row>
    <row r="799" spans="1:4" x14ac:dyDescent="0.25">
      <c r="A799" t="str">
        <f t="shared" si="48"/>
        <v>Cody Thompson</v>
      </c>
      <c r="B799" s="75">
        <f t="shared" si="49"/>
        <v>0</v>
      </c>
      <c r="C799" s="75">
        <f t="shared" si="50"/>
        <v>0</v>
      </c>
      <c r="D799" s="180">
        <f t="shared" si="51"/>
        <v>0</v>
      </c>
    </row>
    <row r="800" spans="1:4" x14ac:dyDescent="0.25">
      <c r="A800" t="str">
        <f t="shared" si="48"/>
        <v>Jacques Patrick</v>
      </c>
      <c r="B800" s="75">
        <f t="shared" si="49"/>
        <v>0</v>
      </c>
      <c r="C800" s="75">
        <f t="shared" si="50"/>
        <v>0</v>
      </c>
      <c r="D800" s="180">
        <f t="shared" si="51"/>
        <v>0</v>
      </c>
    </row>
    <row r="801" spans="1:4" x14ac:dyDescent="0.25">
      <c r="A801" t="str">
        <f t="shared" si="48"/>
        <v>John Metchie III</v>
      </c>
      <c r="B801" s="75">
        <f t="shared" si="49"/>
        <v>0</v>
      </c>
      <c r="C801" s="75">
        <f t="shared" si="50"/>
        <v>0</v>
      </c>
      <c r="D801" s="180">
        <f t="shared" si="51"/>
        <v>0</v>
      </c>
    </row>
    <row r="802" spans="1:4" x14ac:dyDescent="0.25">
      <c r="A802" t="str">
        <f t="shared" si="48"/>
        <v>Matt Corral</v>
      </c>
      <c r="B802" s="75">
        <f t="shared" si="49"/>
        <v>0</v>
      </c>
      <c r="C802" s="75">
        <f t="shared" si="50"/>
        <v>0</v>
      </c>
      <c r="D802" s="180">
        <f t="shared" si="51"/>
        <v>0</v>
      </c>
    </row>
    <row r="803" spans="1:4" x14ac:dyDescent="0.25">
      <c r="A803" t="str">
        <f t="shared" si="48"/>
        <v>Andrew Ogletree</v>
      </c>
      <c r="B803" s="75">
        <f t="shared" si="49"/>
        <v>0</v>
      </c>
      <c r="C803" s="75">
        <f t="shared" si="50"/>
        <v>0</v>
      </c>
      <c r="D803" s="180">
        <f t="shared" si="51"/>
        <v>0</v>
      </c>
    </row>
    <row r="804" spans="1:4" x14ac:dyDescent="0.25">
      <c r="A804" t="str">
        <f t="shared" si="48"/>
        <v>Bailey Zappe</v>
      </c>
      <c r="B804" s="75">
        <f t="shared" si="49"/>
        <v>0</v>
      </c>
      <c r="C804" s="75">
        <f t="shared" si="50"/>
        <v>0</v>
      </c>
      <c r="D804" s="180">
        <f t="shared" si="51"/>
        <v>0</v>
      </c>
    </row>
    <row r="805" spans="1:4" x14ac:dyDescent="0.25">
      <c r="A805" t="str">
        <f t="shared" si="48"/>
        <v>Zonovan Knight</v>
      </c>
      <c r="B805" s="75">
        <f t="shared" si="49"/>
        <v>0</v>
      </c>
      <c r="C805" s="75">
        <f t="shared" si="50"/>
        <v>0</v>
      </c>
      <c r="D805" s="180">
        <f t="shared" si="51"/>
        <v>0</v>
      </c>
    </row>
    <row r="806" spans="1:4" x14ac:dyDescent="0.25">
      <c r="A806" t="str">
        <f t="shared" si="48"/>
        <v>Zander Horvath</v>
      </c>
      <c r="B806" s="75">
        <f t="shared" si="49"/>
        <v>0</v>
      </c>
      <c r="C806" s="75">
        <f t="shared" si="50"/>
        <v>0</v>
      </c>
      <c r="D806" s="180">
        <f t="shared" si="51"/>
        <v>0</v>
      </c>
    </row>
    <row r="807" spans="1:4" x14ac:dyDescent="0.25">
      <c r="A807" t="str">
        <f t="shared" si="48"/>
        <v>Carson Strong</v>
      </c>
      <c r="B807" s="75">
        <f t="shared" si="49"/>
        <v>0</v>
      </c>
      <c r="C807" s="75">
        <f t="shared" si="50"/>
        <v>0</v>
      </c>
      <c r="D807" s="180">
        <f t="shared" si="51"/>
        <v>0</v>
      </c>
    </row>
    <row r="808" spans="1:4" x14ac:dyDescent="0.25">
      <c r="A808" t="str">
        <f t="shared" si="48"/>
        <v>Brock Purdy</v>
      </c>
      <c r="B808" s="75">
        <f t="shared" si="49"/>
        <v>0</v>
      </c>
      <c r="C808" s="75">
        <f t="shared" si="50"/>
        <v>0</v>
      </c>
      <c r="D808" s="180">
        <f t="shared" si="51"/>
        <v>0</v>
      </c>
    </row>
    <row r="809" spans="1:4" x14ac:dyDescent="0.25">
      <c r="A809" t="str">
        <f t="shared" si="48"/>
        <v>Skylar Thompson</v>
      </c>
      <c r="B809" s="75">
        <f t="shared" si="49"/>
        <v>0</v>
      </c>
      <c r="C809" s="75">
        <f t="shared" si="50"/>
        <v>0</v>
      </c>
      <c r="D809" s="180">
        <f t="shared" si="51"/>
        <v>0</v>
      </c>
    </row>
    <row r="810" spans="1:4" x14ac:dyDescent="0.25">
      <c r="A810" t="str">
        <f t="shared" si="48"/>
        <v>Dareke Young</v>
      </c>
      <c r="B810" s="75">
        <f t="shared" si="49"/>
        <v>0</v>
      </c>
      <c r="C810" s="75">
        <f t="shared" si="50"/>
        <v>0</v>
      </c>
      <c r="D810" s="180">
        <f t="shared" si="51"/>
        <v>0</v>
      </c>
    </row>
    <row r="811" spans="1:4" x14ac:dyDescent="0.25">
      <c r="A811" t="str">
        <f t="shared" si="48"/>
        <v>Brittain Brown</v>
      </c>
      <c r="B811" s="75">
        <f t="shared" si="49"/>
        <v>0</v>
      </c>
      <c r="C811" s="75">
        <f t="shared" si="50"/>
        <v>0</v>
      </c>
      <c r="D811" s="180">
        <f t="shared" si="51"/>
        <v>0</v>
      </c>
    </row>
    <row r="812" spans="1:4" x14ac:dyDescent="0.25">
      <c r="A812" t="str">
        <f t="shared" si="48"/>
        <v>Brandon Smith</v>
      </c>
      <c r="B812" s="75">
        <f t="shared" si="49"/>
        <v>0</v>
      </c>
      <c r="C812" s="75">
        <f t="shared" si="50"/>
        <v>0</v>
      </c>
      <c r="D812" s="180">
        <f t="shared" si="51"/>
        <v>0</v>
      </c>
    </row>
    <row r="813" spans="1:4" x14ac:dyDescent="0.25">
      <c r="A813" t="str">
        <f t="shared" si="48"/>
        <v>Justyn Ross</v>
      </c>
      <c r="B813" s="75">
        <f t="shared" si="49"/>
        <v>0</v>
      </c>
      <c r="C813" s="75">
        <f t="shared" si="50"/>
        <v>0</v>
      </c>
      <c r="D813" s="180">
        <f t="shared" si="51"/>
        <v>0</v>
      </c>
    </row>
    <row r="814" spans="1:4" x14ac:dyDescent="0.25">
      <c r="A814" t="str">
        <f t="shared" si="48"/>
        <v>Jalen Wydermyer</v>
      </c>
      <c r="B814" s="75">
        <f t="shared" si="49"/>
        <v>0</v>
      </c>
      <c r="C814" s="75">
        <f t="shared" si="50"/>
        <v>0</v>
      </c>
      <c r="D814" s="180">
        <f t="shared" si="51"/>
        <v>0</v>
      </c>
    </row>
    <row r="815" spans="1:4" x14ac:dyDescent="0.25">
      <c r="A815" t="str">
        <f t="shared" si="48"/>
        <v>T.J. Vasher</v>
      </c>
      <c r="B815" s="75">
        <f t="shared" si="49"/>
        <v>0</v>
      </c>
      <c r="C815" s="75">
        <f t="shared" si="50"/>
        <v>0</v>
      </c>
      <c r="D815" s="180">
        <f t="shared" si="51"/>
        <v>0</v>
      </c>
    </row>
    <row r="816" spans="1:4" x14ac:dyDescent="0.25">
      <c r="A816" t="str">
        <f t="shared" si="48"/>
        <v>Deven Thompkins</v>
      </c>
      <c r="B816" s="75">
        <f t="shared" si="49"/>
        <v>0</v>
      </c>
      <c r="C816" s="75">
        <f t="shared" si="50"/>
        <v>0</v>
      </c>
      <c r="D816" s="180">
        <f t="shared" si="51"/>
        <v>0</v>
      </c>
    </row>
    <row r="817" spans="1:4" x14ac:dyDescent="0.25">
      <c r="A817" t="str">
        <f t="shared" si="48"/>
        <v>Jordan Mason</v>
      </c>
      <c r="B817" s="75">
        <f t="shared" si="49"/>
        <v>0</v>
      </c>
      <c r="C817" s="75">
        <f t="shared" si="50"/>
        <v>0</v>
      </c>
      <c r="D817" s="180">
        <f t="shared" si="51"/>
        <v>0</v>
      </c>
    </row>
    <row r="818" spans="1:4" x14ac:dyDescent="0.25">
      <c r="A818" t="str">
        <f t="shared" si="48"/>
        <v>Lance McCutcheon</v>
      </c>
      <c r="B818" s="75">
        <f t="shared" si="49"/>
        <v>0</v>
      </c>
      <c r="C818" s="75">
        <f t="shared" si="50"/>
        <v>0</v>
      </c>
      <c r="D818" s="180">
        <f t="shared" si="51"/>
        <v>0</v>
      </c>
    </row>
    <row r="819" spans="1:4" x14ac:dyDescent="0.25">
      <c r="A819" t="str">
        <f t="shared" si="48"/>
        <v>Devon Allen</v>
      </c>
      <c r="B819" s="75">
        <f t="shared" si="49"/>
        <v>0</v>
      </c>
      <c r="C819" s="75">
        <f t="shared" si="50"/>
        <v>0</v>
      </c>
      <c r="D819" s="180">
        <f t="shared" si="51"/>
        <v>0</v>
      </c>
    </row>
    <row r="820" spans="1:4" x14ac:dyDescent="0.25">
      <c r="A820" t="str">
        <f t="shared" si="48"/>
        <v>Josh Hill</v>
      </c>
      <c r="B820" s="75">
        <f t="shared" si="49"/>
        <v>0</v>
      </c>
      <c r="C820" s="75">
        <f t="shared" si="50"/>
        <v>0</v>
      </c>
      <c r="D820" s="180">
        <f t="shared" si="51"/>
        <v>0</v>
      </c>
    </row>
    <row r="821" spans="1:4" x14ac:dyDescent="0.25">
      <c r="A821" t="str">
        <f t="shared" si="48"/>
        <v>Virgil Green</v>
      </c>
      <c r="B821" s="75">
        <f t="shared" si="49"/>
        <v>0</v>
      </c>
      <c r="C821" s="75">
        <f t="shared" si="50"/>
        <v>0</v>
      </c>
      <c r="D821" s="180">
        <f t="shared" si="51"/>
        <v>0</v>
      </c>
    </row>
    <row r="822" spans="1:4" x14ac:dyDescent="0.25">
      <c r="A822" t="str">
        <f t="shared" si="48"/>
        <v>Lee Smith</v>
      </c>
      <c r="B822" s="75">
        <f t="shared" si="49"/>
        <v>0</v>
      </c>
      <c r="C822" s="75">
        <f t="shared" si="50"/>
        <v>0</v>
      </c>
      <c r="D822" s="180">
        <f t="shared" si="51"/>
        <v>0</v>
      </c>
    </row>
    <row r="823" spans="1:4" x14ac:dyDescent="0.25">
      <c r="A823" t="str">
        <f t="shared" si="48"/>
        <v>Derek Carrier</v>
      </c>
      <c r="B823" s="75">
        <f t="shared" si="49"/>
        <v>0</v>
      </c>
      <c r="C823" s="75">
        <f t="shared" si="50"/>
        <v>0</v>
      </c>
      <c r="D823" s="180">
        <f t="shared" si="51"/>
        <v>0</v>
      </c>
    </row>
    <row r="824" spans="1:4" x14ac:dyDescent="0.25">
      <c r="A824" t="str">
        <f t="shared" si="48"/>
        <v>Matt Schaub</v>
      </c>
      <c r="B824" s="75">
        <f t="shared" si="49"/>
        <v>0</v>
      </c>
      <c r="C824" s="75">
        <f t="shared" si="50"/>
        <v>0</v>
      </c>
      <c r="D824" s="180">
        <f t="shared" si="51"/>
        <v>0</v>
      </c>
    </row>
    <row r="825" spans="1:4" x14ac:dyDescent="0.25">
      <c r="A825" t="str">
        <f t="shared" si="48"/>
        <v>AJ McCarron</v>
      </c>
      <c r="B825" s="75">
        <f t="shared" si="49"/>
        <v>0</v>
      </c>
      <c r="C825" s="75">
        <f t="shared" si="50"/>
        <v>0</v>
      </c>
      <c r="D825" s="180">
        <f t="shared" si="51"/>
        <v>0</v>
      </c>
    </row>
    <row r="826" spans="1:4" x14ac:dyDescent="0.25">
      <c r="A826" t="str">
        <f t="shared" si="48"/>
        <v>Allen Hurns</v>
      </c>
      <c r="B826" s="75">
        <f t="shared" si="49"/>
        <v>0</v>
      </c>
      <c r="C826" s="75">
        <f t="shared" si="50"/>
        <v>0</v>
      </c>
      <c r="D826" s="180">
        <f t="shared" si="51"/>
        <v>0</v>
      </c>
    </row>
    <row r="827" spans="1:4" x14ac:dyDescent="0.25">
      <c r="A827" t="str">
        <f t="shared" si="48"/>
        <v>Mike Glennon</v>
      </c>
      <c r="B827" s="75">
        <f t="shared" si="49"/>
        <v>0</v>
      </c>
      <c r="C827" s="75">
        <f t="shared" si="50"/>
        <v>0</v>
      </c>
      <c r="D827" s="180">
        <f t="shared" si="51"/>
        <v>0</v>
      </c>
    </row>
    <row r="828" spans="1:4" x14ac:dyDescent="0.25">
      <c r="A828" t="str">
        <f t="shared" si="48"/>
        <v>Jason Witten</v>
      </c>
      <c r="B828" s="75">
        <f t="shared" si="49"/>
        <v>0</v>
      </c>
      <c r="C828" s="75">
        <f t="shared" si="50"/>
        <v>0</v>
      </c>
      <c r="D828" s="180">
        <f t="shared" si="51"/>
        <v>0</v>
      </c>
    </row>
    <row r="829" spans="1:4" x14ac:dyDescent="0.25">
      <c r="A829" t="str">
        <f t="shared" si="48"/>
        <v>Seth Roberts</v>
      </c>
      <c r="B829" s="75">
        <f t="shared" si="49"/>
        <v>0</v>
      </c>
      <c r="C829" s="75">
        <f t="shared" si="50"/>
        <v>0</v>
      </c>
      <c r="D829" s="180">
        <f t="shared" si="51"/>
        <v>0</v>
      </c>
    </row>
    <row r="830" spans="1:4" x14ac:dyDescent="0.25">
      <c r="A830" t="str">
        <f t="shared" si="48"/>
        <v>Chad Beebe</v>
      </c>
      <c r="B830" s="75">
        <f t="shared" si="49"/>
        <v>0</v>
      </c>
      <c r="C830" s="75">
        <f t="shared" si="50"/>
        <v>0</v>
      </c>
      <c r="D830" s="180">
        <f t="shared" si="51"/>
        <v>0</v>
      </c>
    </row>
    <row r="831" spans="1:4" x14ac:dyDescent="0.25">
      <c r="A831" t="str">
        <f t="shared" si="48"/>
        <v>Deontay Burnett</v>
      </c>
      <c r="B831" s="75">
        <f t="shared" si="49"/>
        <v>0</v>
      </c>
      <c r="C831" s="75">
        <f t="shared" si="50"/>
        <v>0</v>
      </c>
      <c r="D831" s="180">
        <f t="shared" si="51"/>
        <v>0</v>
      </c>
    </row>
    <row r="832" spans="1:4" x14ac:dyDescent="0.25">
      <c r="A832" t="str">
        <f t="shared" si="48"/>
        <v>Jaleel Scott</v>
      </c>
      <c r="B832" s="75">
        <f t="shared" si="49"/>
        <v>0</v>
      </c>
      <c r="C832" s="75">
        <f t="shared" si="50"/>
        <v>0</v>
      </c>
      <c r="D832" s="180">
        <f t="shared" si="51"/>
        <v>0</v>
      </c>
    </row>
    <row r="833" spans="1:4" x14ac:dyDescent="0.25">
      <c r="A833" t="str">
        <f t="shared" si="48"/>
        <v>Wayne Gallman</v>
      </c>
      <c r="B833" s="75">
        <f t="shared" si="49"/>
        <v>0</v>
      </c>
      <c r="C833" s="75">
        <f t="shared" si="50"/>
        <v>0</v>
      </c>
      <c r="D833" s="180">
        <f t="shared" si="51"/>
        <v>0</v>
      </c>
    </row>
    <row r="834" spans="1:4" x14ac:dyDescent="0.25">
      <c r="A834" t="str">
        <f t="shared" ref="A834:A897" si="52">_xlfn.CONCAT(TRIM(H1948)," ",TRIM(I1948),IF(ISNUMBER(J1948),"",_xlfn.CONCAT(" ",TRIM(J1948))))</f>
        <v>Ryan Switzer</v>
      </c>
      <c r="B834" s="75">
        <f t="shared" ref="B834:B897" si="53">IF(ISNUMBER(J1948),J1948,K1948)</f>
        <v>0</v>
      </c>
      <c r="C834" s="75">
        <f t="shared" ref="C834:C897" si="54">IF(ISNUMBER(J1948),K1948,L1948)</f>
        <v>0</v>
      </c>
      <c r="D834" s="180">
        <f t="shared" ref="D834:D897" si="55">IF(ISNUMBER(J1948),L1948,M1948)</f>
        <v>0</v>
      </c>
    </row>
    <row r="835" spans="1:4" x14ac:dyDescent="0.25">
      <c r="A835" t="str">
        <f t="shared" si="52"/>
        <v>Jordan Thomas</v>
      </c>
      <c r="B835" s="75">
        <f t="shared" si="53"/>
        <v>0</v>
      </c>
      <c r="C835" s="75">
        <f t="shared" si="54"/>
        <v>0</v>
      </c>
      <c r="D835" s="180">
        <f t="shared" si="55"/>
        <v>0</v>
      </c>
    </row>
    <row r="836" spans="1:4" x14ac:dyDescent="0.25">
      <c r="A836" t="str">
        <f t="shared" si="52"/>
        <v>Malcolm Brown</v>
      </c>
      <c r="B836" s="75">
        <f t="shared" si="53"/>
        <v>0</v>
      </c>
      <c r="C836" s="75">
        <f t="shared" si="54"/>
        <v>0</v>
      </c>
      <c r="D836" s="180">
        <f t="shared" si="55"/>
        <v>0</v>
      </c>
    </row>
    <row r="837" spans="1:4" x14ac:dyDescent="0.25">
      <c r="A837" t="str">
        <f t="shared" si="52"/>
        <v>Blake Jarwin</v>
      </c>
      <c r="B837" s="75">
        <f t="shared" si="53"/>
        <v>0</v>
      </c>
      <c r="C837" s="75">
        <f t="shared" si="54"/>
        <v>0</v>
      </c>
      <c r="D837" s="180">
        <f t="shared" si="55"/>
        <v>0</v>
      </c>
    </row>
    <row r="838" spans="1:4" x14ac:dyDescent="0.25">
      <c r="A838" t="str">
        <f t="shared" si="52"/>
        <v>Tyler Ervin</v>
      </c>
      <c r="B838" s="75">
        <f t="shared" si="53"/>
        <v>0</v>
      </c>
      <c r="C838" s="75">
        <f t="shared" si="54"/>
        <v>0</v>
      </c>
      <c r="D838" s="180">
        <f t="shared" si="55"/>
        <v>0</v>
      </c>
    </row>
    <row r="839" spans="1:4" x14ac:dyDescent="0.25">
      <c r="A839" t="str">
        <f t="shared" si="52"/>
        <v>Jordan Akins</v>
      </c>
      <c r="B839" s="75">
        <f t="shared" si="53"/>
        <v>0</v>
      </c>
      <c r="C839" s="75">
        <f t="shared" si="54"/>
        <v>0</v>
      </c>
      <c r="D839" s="180">
        <f t="shared" si="55"/>
        <v>0</v>
      </c>
    </row>
    <row r="840" spans="1:4" x14ac:dyDescent="0.25">
      <c r="A840" t="str">
        <f t="shared" si="52"/>
        <v>Marvin Hall</v>
      </c>
      <c r="B840" s="75">
        <f t="shared" si="53"/>
        <v>0</v>
      </c>
      <c r="C840" s="75">
        <f t="shared" si="54"/>
        <v>0</v>
      </c>
      <c r="D840" s="180">
        <f t="shared" si="55"/>
        <v>0</v>
      </c>
    </row>
    <row r="841" spans="1:4" x14ac:dyDescent="0.25">
      <c r="A841" t="str">
        <f t="shared" si="52"/>
        <v>Damion Ratley</v>
      </c>
      <c r="B841" s="75">
        <f t="shared" si="53"/>
        <v>0</v>
      </c>
      <c r="C841" s="75">
        <f t="shared" si="54"/>
        <v>0</v>
      </c>
      <c r="D841" s="180">
        <f t="shared" si="55"/>
        <v>0</v>
      </c>
    </row>
    <row r="842" spans="1:4" x14ac:dyDescent="0.25">
      <c r="A842" t="str">
        <f t="shared" si="52"/>
        <v>Gehrig Dieter</v>
      </c>
      <c r="B842" s="75">
        <f t="shared" si="53"/>
        <v>0</v>
      </c>
      <c r="C842" s="75">
        <f t="shared" si="54"/>
        <v>0</v>
      </c>
      <c r="D842" s="180">
        <f t="shared" si="55"/>
        <v>0</v>
      </c>
    </row>
    <row r="843" spans="1:4" x14ac:dyDescent="0.25">
      <c r="A843" t="str">
        <f t="shared" si="52"/>
        <v>Cody Core</v>
      </c>
      <c r="B843" s="75">
        <f t="shared" si="53"/>
        <v>0</v>
      </c>
      <c r="C843" s="75">
        <f t="shared" si="54"/>
        <v>0</v>
      </c>
      <c r="D843" s="180">
        <f t="shared" si="55"/>
        <v>0</v>
      </c>
    </row>
    <row r="844" spans="1:4" x14ac:dyDescent="0.25">
      <c r="A844" t="str">
        <f t="shared" si="52"/>
        <v>Darren Fells</v>
      </c>
      <c r="B844" s="75">
        <f t="shared" si="53"/>
        <v>0</v>
      </c>
      <c r="C844" s="75">
        <f t="shared" si="54"/>
        <v>0</v>
      </c>
      <c r="D844" s="180">
        <f t="shared" si="55"/>
        <v>0</v>
      </c>
    </row>
    <row r="845" spans="1:4" x14ac:dyDescent="0.25">
      <c r="A845" t="str">
        <f t="shared" si="52"/>
        <v>Andy Janovich</v>
      </c>
      <c r="B845" s="75">
        <f t="shared" si="53"/>
        <v>0</v>
      </c>
      <c r="C845" s="75">
        <f t="shared" si="54"/>
        <v>0</v>
      </c>
      <c r="D845" s="180">
        <f t="shared" si="55"/>
        <v>0</v>
      </c>
    </row>
    <row r="846" spans="1:4" x14ac:dyDescent="0.25">
      <c r="A846" t="str">
        <f t="shared" si="52"/>
        <v>Garrett Griffin</v>
      </c>
      <c r="B846" s="75">
        <f t="shared" si="53"/>
        <v>0</v>
      </c>
      <c r="C846" s="75">
        <f t="shared" si="54"/>
        <v>0</v>
      </c>
      <c r="D846" s="180">
        <f t="shared" si="55"/>
        <v>0</v>
      </c>
    </row>
    <row r="847" spans="1:4" x14ac:dyDescent="0.25">
      <c r="A847" t="str">
        <f t="shared" si="52"/>
        <v>Dylan Cantrell</v>
      </c>
      <c r="B847" s="75">
        <f t="shared" si="53"/>
        <v>0</v>
      </c>
      <c r="C847" s="75">
        <f t="shared" si="54"/>
        <v>0</v>
      </c>
      <c r="D847" s="180">
        <f t="shared" si="55"/>
        <v>0</v>
      </c>
    </row>
    <row r="848" spans="1:4" x14ac:dyDescent="0.25">
      <c r="A848" t="str">
        <f t="shared" si="52"/>
        <v>Brian Hill</v>
      </c>
      <c r="B848" s="75">
        <f t="shared" si="53"/>
        <v>0</v>
      </c>
      <c r="C848" s="75">
        <f t="shared" si="54"/>
        <v>0</v>
      </c>
      <c r="D848" s="180">
        <f t="shared" si="55"/>
        <v>0</v>
      </c>
    </row>
    <row r="849" spans="1:4" x14ac:dyDescent="0.25">
      <c r="A849" t="str">
        <f t="shared" si="52"/>
        <v>Tommylee Lewis</v>
      </c>
      <c r="B849" s="75">
        <f t="shared" si="53"/>
        <v>0</v>
      </c>
      <c r="C849" s="75">
        <f t="shared" si="54"/>
        <v>0</v>
      </c>
      <c r="D849" s="180">
        <f t="shared" si="55"/>
        <v>0</v>
      </c>
    </row>
    <row r="850" spans="1:4" x14ac:dyDescent="0.25">
      <c r="A850" t="str">
        <f t="shared" si="52"/>
        <v>Seth DeValve</v>
      </c>
      <c r="B850" s="75">
        <f t="shared" si="53"/>
        <v>0</v>
      </c>
      <c r="C850" s="75">
        <f t="shared" si="54"/>
        <v>0</v>
      </c>
      <c r="D850" s="180">
        <f t="shared" si="55"/>
        <v>0</v>
      </c>
    </row>
    <row r="851" spans="1:4" x14ac:dyDescent="0.25">
      <c r="A851" t="str">
        <f t="shared" si="52"/>
        <v>Ryan Izzo</v>
      </c>
      <c r="B851" s="75">
        <f t="shared" si="53"/>
        <v>0</v>
      </c>
      <c r="C851" s="75">
        <f t="shared" si="54"/>
        <v>0</v>
      </c>
      <c r="D851" s="180">
        <f t="shared" si="55"/>
        <v>0</v>
      </c>
    </row>
    <row r="852" spans="1:4" x14ac:dyDescent="0.25">
      <c r="A852" t="str">
        <f t="shared" si="52"/>
        <v>Alex Armah</v>
      </c>
      <c r="B852" s="75">
        <f t="shared" si="53"/>
        <v>0</v>
      </c>
      <c r="C852" s="75">
        <f t="shared" si="54"/>
        <v>0</v>
      </c>
      <c r="D852" s="180">
        <f t="shared" si="55"/>
        <v>0</v>
      </c>
    </row>
    <row r="853" spans="1:4" x14ac:dyDescent="0.25">
      <c r="A853" t="str">
        <f t="shared" si="52"/>
        <v>Buddy Howell</v>
      </c>
      <c r="B853" s="75">
        <f t="shared" si="53"/>
        <v>0</v>
      </c>
      <c r="C853" s="75">
        <f t="shared" si="54"/>
        <v>0</v>
      </c>
      <c r="D853" s="180">
        <f t="shared" si="55"/>
        <v>0</v>
      </c>
    </row>
    <row r="854" spans="1:4" x14ac:dyDescent="0.25">
      <c r="A854" t="str">
        <f t="shared" si="52"/>
        <v>Elijhaa Penny</v>
      </c>
      <c r="B854" s="75">
        <f t="shared" si="53"/>
        <v>0</v>
      </c>
      <c r="C854" s="75">
        <f t="shared" si="54"/>
        <v>0</v>
      </c>
      <c r="D854" s="180">
        <f t="shared" si="55"/>
        <v>0</v>
      </c>
    </row>
    <row r="855" spans="1:4" x14ac:dyDescent="0.25">
      <c r="A855" t="str">
        <f t="shared" si="52"/>
        <v>JoJo Natson</v>
      </c>
      <c r="B855" s="75">
        <f t="shared" si="53"/>
        <v>0</v>
      </c>
      <c r="C855" s="75">
        <f t="shared" si="54"/>
        <v>0</v>
      </c>
      <c r="D855" s="180">
        <f t="shared" si="55"/>
        <v>0</v>
      </c>
    </row>
    <row r="856" spans="1:4" x14ac:dyDescent="0.25">
      <c r="A856" t="str">
        <f t="shared" si="52"/>
        <v>Pharoh Cooper</v>
      </c>
      <c r="B856" s="75">
        <f t="shared" si="53"/>
        <v>0</v>
      </c>
      <c r="C856" s="75">
        <f t="shared" si="54"/>
        <v>0</v>
      </c>
      <c r="D856" s="180">
        <f t="shared" si="55"/>
        <v>0</v>
      </c>
    </row>
    <row r="857" spans="1:4" x14ac:dyDescent="0.25">
      <c r="A857" t="str">
        <f t="shared" si="52"/>
        <v>Temarrick Hemingway</v>
      </c>
      <c r="B857" s="75">
        <f t="shared" si="53"/>
        <v>0</v>
      </c>
      <c r="C857" s="75">
        <f t="shared" si="54"/>
        <v>0</v>
      </c>
      <c r="D857" s="180">
        <f t="shared" si="55"/>
        <v>0</v>
      </c>
    </row>
    <row r="858" spans="1:4" x14ac:dyDescent="0.25">
      <c r="A858" t="str">
        <f t="shared" si="52"/>
        <v>Devin Smith</v>
      </c>
      <c r="B858" s="75">
        <f t="shared" si="53"/>
        <v>0</v>
      </c>
      <c r="C858" s="75">
        <f t="shared" si="54"/>
        <v>0</v>
      </c>
      <c r="D858" s="180">
        <f t="shared" si="55"/>
        <v>0</v>
      </c>
    </row>
    <row r="859" spans="1:4" x14ac:dyDescent="0.25">
      <c r="A859" t="str">
        <f t="shared" si="52"/>
        <v>Troymaine Pope</v>
      </c>
      <c r="B859" s="75">
        <f t="shared" si="53"/>
        <v>0</v>
      </c>
      <c r="C859" s="75">
        <f t="shared" si="54"/>
        <v>0</v>
      </c>
      <c r="D859" s="180">
        <f t="shared" si="55"/>
        <v>0</v>
      </c>
    </row>
    <row r="860" spans="1:4" x14ac:dyDescent="0.25">
      <c r="A860" t="str">
        <f t="shared" si="52"/>
        <v>Jaydon Mickens</v>
      </c>
      <c r="B860" s="75">
        <f t="shared" si="53"/>
        <v>0</v>
      </c>
      <c r="C860" s="75">
        <f t="shared" si="54"/>
        <v>0</v>
      </c>
      <c r="D860" s="180">
        <f t="shared" si="55"/>
        <v>0</v>
      </c>
    </row>
    <row r="861" spans="1:4" x14ac:dyDescent="0.25">
      <c r="A861" t="str">
        <f t="shared" si="52"/>
        <v>Derrick Willies</v>
      </c>
      <c r="B861" s="75">
        <f t="shared" si="53"/>
        <v>0</v>
      </c>
      <c r="C861" s="75">
        <f t="shared" si="54"/>
        <v>0</v>
      </c>
      <c r="D861" s="180">
        <f t="shared" si="55"/>
        <v>0</v>
      </c>
    </row>
    <row r="862" spans="1:4" x14ac:dyDescent="0.25">
      <c r="A862" t="str">
        <f t="shared" si="52"/>
        <v>D.J. Foster</v>
      </c>
      <c r="B862" s="75">
        <f t="shared" si="53"/>
        <v>0</v>
      </c>
      <c r="C862" s="75">
        <f t="shared" si="54"/>
        <v>0</v>
      </c>
      <c r="D862" s="180">
        <f t="shared" si="55"/>
        <v>0</v>
      </c>
    </row>
    <row r="863" spans="1:4" x14ac:dyDescent="0.25">
      <c r="A863" t="str">
        <f t="shared" si="52"/>
        <v>Isaiah Ford</v>
      </c>
      <c r="B863" s="75">
        <f t="shared" si="53"/>
        <v>0</v>
      </c>
      <c r="C863" s="75">
        <f t="shared" si="54"/>
        <v>0</v>
      </c>
      <c r="D863" s="180">
        <f t="shared" si="55"/>
        <v>0</v>
      </c>
    </row>
    <row r="864" spans="1:4" x14ac:dyDescent="0.25">
      <c r="A864" t="str">
        <f t="shared" si="52"/>
        <v>Auden Tate</v>
      </c>
      <c r="B864" s="75">
        <f t="shared" si="53"/>
        <v>0</v>
      </c>
      <c r="C864" s="75">
        <f t="shared" si="54"/>
        <v>0</v>
      </c>
      <c r="D864" s="180">
        <f t="shared" si="55"/>
        <v>0</v>
      </c>
    </row>
    <row r="865" spans="1:4" x14ac:dyDescent="0.25">
      <c r="A865" t="str">
        <f t="shared" si="52"/>
        <v>Austin Carr</v>
      </c>
      <c r="B865" s="75">
        <f t="shared" si="53"/>
        <v>0</v>
      </c>
      <c r="C865" s="75">
        <f t="shared" si="54"/>
        <v>0</v>
      </c>
      <c r="D865" s="180">
        <f t="shared" si="55"/>
        <v>0</v>
      </c>
    </row>
    <row r="866" spans="1:4" x14ac:dyDescent="0.25">
      <c r="A866" t="str">
        <f t="shared" si="52"/>
        <v>Sean Culkin</v>
      </c>
      <c r="B866" s="75">
        <f t="shared" si="53"/>
        <v>0</v>
      </c>
      <c r="C866" s="75">
        <f t="shared" si="54"/>
        <v>0</v>
      </c>
      <c r="D866" s="180">
        <f t="shared" si="55"/>
        <v>0</v>
      </c>
    </row>
    <row r="867" spans="1:4" x14ac:dyDescent="0.25">
      <c r="A867" t="str">
        <f t="shared" si="52"/>
        <v>Kevin Hogan</v>
      </c>
      <c r="B867" s="75">
        <f t="shared" si="53"/>
        <v>0</v>
      </c>
      <c r="C867" s="75">
        <f t="shared" si="54"/>
        <v>0</v>
      </c>
      <c r="D867" s="180">
        <f t="shared" si="55"/>
        <v>0</v>
      </c>
    </row>
    <row r="868" spans="1:4" x14ac:dyDescent="0.25">
      <c r="A868" t="str">
        <f t="shared" si="52"/>
        <v>Chad Hansen</v>
      </c>
      <c r="B868" s="75">
        <f t="shared" si="53"/>
        <v>0</v>
      </c>
      <c r="C868" s="75">
        <f t="shared" si="54"/>
        <v>0</v>
      </c>
      <c r="D868" s="180">
        <f t="shared" si="55"/>
        <v>0</v>
      </c>
    </row>
    <row r="869" spans="1:4" x14ac:dyDescent="0.25">
      <c r="A869" t="str">
        <f t="shared" si="52"/>
        <v>Josh Malone</v>
      </c>
      <c r="B869" s="75">
        <f t="shared" si="53"/>
        <v>0</v>
      </c>
      <c r="C869" s="75">
        <f t="shared" si="54"/>
        <v>0</v>
      </c>
      <c r="D869" s="180">
        <f t="shared" si="55"/>
        <v>0</v>
      </c>
    </row>
    <row r="870" spans="1:4" x14ac:dyDescent="0.25">
      <c r="A870" t="str">
        <f t="shared" si="52"/>
        <v>Tyrone Swoopes</v>
      </c>
      <c r="B870" s="75">
        <f t="shared" si="53"/>
        <v>0</v>
      </c>
      <c r="C870" s="75">
        <f t="shared" si="54"/>
        <v>0</v>
      </c>
      <c r="D870" s="180">
        <f t="shared" si="55"/>
        <v>0</v>
      </c>
    </row>
    <row r="871" spans="1:4" x14ac:dyDescent="0.25">
      <c r="A871" t="str">
        <f t="shared" si="52"/>
        <v>Austin Proehl</v>
      </c>
      <c r="B871" s="75">
        <f t="shared" si="53"/>
        <v>0</v>
      </c>
      <c r="C871" s="75">
        <f t="shared" si="54"/>
        <v>0</v>
      </c>
      <c r="D871" s="180">
        <f t="shared" si="55"/>
        <v>0</v>
      </c>
    </row>
    <row r="872" spans="1:4" x14ac:dyDescent="0.25">
      <c r="A872" t="str">
        <f t="shared" si="52"/>
        <v>Alex Ellis</v>
      </c>
      <c r="B872" s="75">
        <f t="shared" si="53"/>
        <v>0</v>
      </c>
      <c r="C872" s="75">
        <f t="shared" si="54"/>
        <v>0</v>
      </c>
      <c r="D872" s="180">
        <f t="shared" si="55"/>
        <v>0</v>
      </c>
    </row>
    <row r="873" spans="1:4" x14ac:dyDescent="0.25">
      <c r="A873" t="str">
        <f t="shared" si="52"/>
        <v>Bo Scarbrough</v>
      </c>
      <c r="B873" s="75">
        <f t="shared" si="53"/>
        <v>0</v>
      </c>
      <c r="C873" s="75">
        <f t="shared" si="54"/>
        <v>0</v>
      </c>
      <c r="D873" s="180">
        <f t="shared" si="55"/>
        <v>0</v>
      </c>
    </row>
    <row r="874" spans="1:4" x14ac:dyDescent="0.25">
      <c r="A874" t="str">
        <f t="shared" si="52"/>
        <v>Evan Baylis</v>
      </c>
      <c r="B874" s="75">
        <f t="shared" si="53"/>
        <v>0</v>
      </c>
      <c r="C874" s="75">
        <f t="shared" si="54"/>
        <v>0</v>
      </c>
      <c r="D874" s="180">
        <f t="shared" si="55"/>
        <v>0</v>
      </c>
    </row>
    <row r="875" spans="1:4" x14ac:dyDescent="0.25">
      <c r="A875" t="str">
        <f t="shared" si="52"/>
        <v>Vyncint Smith</v>
      </c>
      <c r="B875" s="75">
        <f t="shared" si="53"/>
        <v>0</v>
      </c>
      <c r="C875" s="75">
        <f t="shared" si="54"/>
        <v>0</v>
      </c>
      <c r="D875" s="180">
        <f t="shared" si="55"/>
        <v>0</v>
      </c>
    </row>
    <row r="876" spans="1:4" x14ac:dyDescent="0.25">
      <c r="A876" t="str">
        <f t="shared" si="52"/>
        <v>C.J. Prosise</v>
      </c>
      <c r="B876" s="75">
        <f t="shared" si="53"/>
        <v>0</v>
      </c>
      <c r="C876" s="75">
        <f t="shared" si="54"/>
        <v>0</v>
      </c>
      <c r="D876" s="180">
        <f t="shared" si="55"/>
        <v>0</v>
      </c>
    </row>
    <row r="877" spans="1:4" x14ac:dyDescent="0.25">
      <c r="A877" t="str">
        <f t="shared" si="52"/>
        <v>Darrell Daniels</v>
      </c>
      <c r="B877" s="75">
        <f t="shared" si="53"/>
        <v>0</v>
      </c>
      <c r="C877" s="75">
        <f t="shared" si="54"/>
        <v>0</v>
      </c>
      <c r="D877" s="180">
        <f t="shared" si="55"/>
        <v>0</v>
      </c>
    </row>
    <row r="878" spans="1:4" x14ac:dyDescent="0.25">
      <c r="A878" t="str">
        <f t="shared" si="52"/>
        <v>Ross Travis</v>
      </c>
      <c r="B878" s="75">
        <f t="shared" si="53"/>
        <v>0</v>
      </c>
      <c r="C878" s="75">
        <f t="shared" si="54"/>
        <v>0</v>
      </c>
      <c r="D878" s="180">
        <f t="shared" si="55"/>
        <v>0</v>
      </c>
    </row>
    <row r="879" spans="1:4" x14ac:dyDescent="0.25">
      <c r="A879" t="str">
        <f t="shared" si="52"/>
        <v>Trey Edmunds</v>
      </c>
      <c r="B879" s="75">
        <f t="shared" si="53"/>
        <v>0</v>
      </c>
      <c r="C879" s="75">
        <f t="shared" si="54"/>
        <v>0</v>
      </c>
      <c r="D879" s="180">
        <f t="shared" si="55"/>
        <v>0</v>
      </c>
    </row>
    <row r="880" spans="1:4" x14ac:dyDescent="0.25">
      <c r="A880" t="str">
        <f t="shared" si="52"/>
        <v>Chris Hogan</v>
      </c>
      <c r="B880" s="75">
        <f t="shared" si="53"/>
        <v>0</v>
      </c>
      <c r="C880" s="75">
        <f t="shared" si="54"/>
        <v>0</v>
      </c>
      <c r="D880" s="180">
        <f t="shared" si="55"/>
        <v>0</v>
      </c>
    </row>
    <row r="881" spans="1:4" x14ac:dyDescent="0.25">
      <c r="A881" t="str">
        <f t="shared" si="52"/>
        <v>Kelvin Harmon</v>
      </c>
      <c r="B881" s="75">
        <f t="shared" si="53"/>
        <v>0</v>
      </c>
      <c r="C881" s="75">
        <f t="shared" si="54"/>
        <v>0</v>
      </c>
      <c r="D881" s="180">
        <f t="shared" si="55"/>
        <v>0</v>
      </c>
    </row>
    <row r="882" spans="1:4" x14ac:dyDescent="0.25">
      <c r="A882" t="str">
        <f t="shared" si="52"/>
        <v>Luke Willson</v>
      </c>
      <c r="B882" s="75">
        <f t="shared" si="53"/>
        <v>0</v>
      </c>
      <c r="C882" s="75">
        <f t="shared" si="54"/>
        <v>0</v>
      </c>
      <c r="D882" s="180">
        <f t="shared" si="55"/>
        <v>0</v>
      </c>
    </row>
    <row r="883" spans="1:4" x14ac:dyDescent="0.25">
      <c r="A883" t="str">
        <f t="shared" si="52"/>
        <v>Demetrius Harris</v>
      </c>
      <c r="B883" s="75">
        <f t="shared" si="53"/>
        <v>0</v>
      </c>
      <c r="C883" s="75">
        <f t="shared" si="54"/>
        <v>0</v>
      </c>
      <c r="D883" s="180">
        <f t="shared" si="55"/>
        <v>0</v>
      </c>
    </row>
    <row r="884" spans="1:4" x14ac:dyDescent="0.25">
      <c r="A884" t="str">
        <f t="shared" si="52"/>
        <v>Jesse James</v>
      </c>
      <c r="B884" s="75">
        <f t="shared" si="53"/>
        <v>0</v>
      </c>
      <c r="C884" s="75">
        <f t="shared" si="54"/>
        <v>0</v>
      </c>
      <c r="D884" s="180">
        <f t="shared" si="55"/>
        <v>0</v>
      </c>
    </row>
    <row r="885" spans="1:4" x14ac:dyDescent="0.25">
      <c r="A885" t="str">
        <f t="shared" si="52"/>
        <v>Jake Butt</v>
      </c>
      <c r="B885" s="75">
        <f t="shared" si="53"/>
        <v>0</v>
      </c>
      <c r="C885" s="75">
        <f t="shared" si="54"/>
        <v>0</v>
      </c>
      <c r="D885" s="180">
        <f t="shared" si="55"/>
        <v>0</v>
      </c>
    </row>
    <row r="886" spans="1:4" x14ac:dyDescent="0.25">
      <c r="A886" t="str">
        <f t="shared" si="52"/>
        <v>Tavon Austin</v>
      </c>
      <c r="B886" s="75">
        <f t="shared" si="53"/>
        <v>0</v>
      </c>
      <c r="C886" s="75">
        <f t="shared" si="54"/>
        <v>0</v>
      </c>
      <c r="D886" s="180">
        <f t="shared" si="55"/>
        <v>0</v>
      </c>
    </row>
    <row r="887" spans="1:4" x14ac:dyDescent="0.25">
      <c r="A887" t="str">
        <f t="shared" si="52"/>
        <v>Matt LaCosse</v>
      </c>
      <c r="B887" s="75">
        <f t="shared" si="53"/>
        <v>0</v>
      </c>
      <c r="C887" s="75">
        <f t="shared" si="54"/>
        <v>0</v>
      </c>
      <c r="D887" s="180">
        <f t="shared" si="55"/>
        <v>0</v>
      </c>
    </row>
    <row r="888" spans="1:4" x14ac:dyDescent="0.25">
      <c r="A888" t="str">
        <f t="shared" si="52"/>
        <v>Kahale Warring</v>
      </c>
      <c r="B888" s="75">
        <f t="shared" si="53"/>
        <v>0</v>
      </c>
      <c r="C888" s="75">
        <f t="shared" si="54"/>
        <v>0</v>
      </c>
      <c r="D888" s="180">
        <f t="shared" si="55"/>
        <v>0</v>
      </c>
    </row>
    <row r="889" spans="1:4" x14ac:dyDescent="0.25">
      <c r="A889" t="str">
        <f t="shared" si="52"/>
        <v>Taywan Taylor</v>
      </c>
      <c r="B889" s="75">
        <f t="shared" si="53"/>
        <v>0</v>
      </c>
      <c r="C889" s="75">
        <f t="shared" si="54"/>
        <v>0</v>
      </c>
      <c r="D889" s="180">
        <f t="shared" si="55"/>
        <v>0</v>
      </c>
    </row>
    <row r="890" spans="1:4" x14ac:dyDescent="0.25">
      <c r="A890" t="str">
        <f t="shared" si="52"/>
        <v>Mike Weber</v>
      </c>
      <c r="B890" s="75">
        <f t="shared" si="53"/>
        <v>0</v>
      </c>
      <c r="C890" s="75">
        <f t="shared" si="54"/>
        <v>0</v>
      </c>
      <c r="D890" s="180">
        <f t="shared" si="55"/>
        <v>0</v>
      </c>
    </row>
    <row r="891" spans="1:4" x14ac:dyDescent="0.25">
      <c r="A891" t="str">
        <f t="shared" si="52"/>
        <v>James Williams</v>
      </c>
      <c r="B891" s="75">
        <f t="shared" si="53"/>
        <v>0</v>
      </c>
      <c r="C891" s="75">
        <f t="shared" si="54"/>
        <v>0</v>
      </c>
      <c r="D891" s="180">
        <f t="shared" si="55"/>
        <v>0</v>
      </c>
    </row>
    <row r="892" spans="1:4" x14ac:dyDescent="0.25">
      <c r="A892" t="str">
        <f t="shared" si="52"/>
        <v>Luke Stocker</v>
      </c>
      <c r="B892" s="75">
        <f t="shared" si="53"/>
        <v>0</v>
      </c>
      <c r="C892" s="75">
        <f t="shared" si="54"/>
        <v>0</v>
      </c>
      <c r="D892" s="180">
        <f t="shared" si="55"/>
        <v>0</v>
      </c>
    </row>
    <row r="893" spans="1:4" x14ac:dyDescent="0.25">
      <c r="A893" t="str">
        <f t="shared" si="52"/>
        <v>Deon Yelder</v>
      </c>
      <c r="B893" s="75">
        <f t="shared" si="53"/>
        <v>0</v>
      </c>
      <c r="C893" s="75">
        <f t="shared" si="54"/>
        <v>0</v>
      </c>
      <c r="D893" s="180">
        <f t="shared" si="55"/>
        <v>0</v>
      </c>
    </row>
    <row r="894" spans="1:4" x14ac:dyDescent="0.25">
      <c r="A894" t="str">
        <f t="shared" si="52"/>
        <v>Kaden Smith</v>
      </c>
      <c r="B894" s="75">
        <f t="shared" si="53"/>
        <v>0</v>
      </c>
      <c r="C894" s="75">
        <f t="shared" si="54"/>
        <v>0</v>
      </c>
      <c r="D894" s="180">
        <f t="shared" si="55"/>
        <v>0</v>
      </c>
    </row>
    <row r="895" spans="1:4" x14ac:dyDescent="0.25">
      <c r="A895" t="str">
        <f t="shared" si="52"/>
        <v>Anthony Sherman</v>
      </c>
      <c r="B895" s="75">
        <f t="shared" si="53"/>
        <v>0</v>
      </c>
      <c r="C895" s="75">
        <f t="shared" si="54"/>
        <v>0</v>
      </c>
      <c r="D895" s="180">
        <f t="shared" si="55"/>
        <v>0</v>
      </c>
    </row>
    <row r="896" spans="1:4" x14ac:dyDescent="0.25">
      <c r="A896" t="str">
        <f t="shared" si="52"/>
        <v>Bennie Fowler</v>
      </c>
      <c r="B896" s="75">
        <f t="shared" si="53"/>
        <v>0</v>
      </c>
      <c r="C896" s="75">
        <f t="shared" si="54"/>
        <v>0</v>
      </c>
      <c r="D896" s="180">
        <f t="shared" si="55"/>
        <v>0</v>
      </c>
    </row>
    <row r="897" spans="1:4" x14ac:dyDescent="0.25">
      <c r="A897" t="str">
        <f t="shared" si="52"/>
        <v>Jason Croom</v>
      </c>
      <c r="B897" s="75">
        <f t="shared" si="53"/>
        <v>0</v>
      </c>
      <c r="C897" s="75">
        <f t="shared" si="54"/>
        <v>0</v>
      </c>
      <c r="D897" s="180">
        <f t="shared" si="55"/>
        <v>0</v>
      </c>
    </row>
    <row r="898" spans="1:4" x14ac:dyDescent="0.25">
      <c r="A898" t="str">
        <f t="shared" ref="A898:A961" si="56">_xlfn.CONCAT(TRIM(H2012)," ",TRIM(I2012),IF(ISNUMBER(J2012),"",_xlfn.CONCAT(" ",TRIM(J2012))))</f>
        <v>Blake Bortles</v>
      </c>
      <c r="B898" s="75">
        <f t="shared" ref="B898:B961" si="57">IF(ISNUMBER(J2012),J2012,K2012)</f>
        <v>0</v>
      </c>
      <c r="C898" s="75">
        <f t="shared" ref="C898:C961" si="58">IF(ISNUMBER(J2012),K2012,L2012)</f>
        <v>0</v>
      </c>
      <c r="D898" s="180">
        <f t="shared" ref="D898:D961" si="59">IF(ISNUMBER(J2012),L2012,M2012)</f>
        <v>0</v>
      </c>
    </row>
    <row r="899" spans="1:4" x14ac:dyDescent="0.25">
      <c r="A899" t="str">
        <f t="shared" si="56"/>
        <v>Karan Higdon</v>
      </c>
      <c r="B899" s="75">
        <f t="shared" si="57"/>
        <v>0</v>
      </c>
      <c r="C899" s="75">
        <f t="shared" si="58"/>
        <v>0</v>
      </c>
      <c r="D899" s="180">
        <f t="shared" si="59"/>
        <v>0</v>
      </c>
    </row>
    <row r="900" spans="1:4" x14ac:dyDescent="0.25">
      <c r="A900" t="str">
        <f t="shared" si="56"/>
        <v>Ryan Finley</v>
      </c>
      <c r="B900" s="75">
        <f t="shared" si="57"/>
        <v>0</v>
      </c>
      <c r="C900" s="75">
        <f t="shared" si="58"/>
        <v>0</v>
      </c>
      <c r="D900" s="180">
        <f t="shared" si="59"/>
        <v>0</v>
      </c>
    </row>
    <row r="901" spans="1:4" x14ac:dyDescent="0.25">
      <c r="A901" t="str">
        <f t="shared" si="56"/>
        <v>Terry Godwin</v>
      </c>
      <c r="B901" s="75">
        <f t="shared" si="57"/>
        <v>0</v>
      </c>
      <c r="C901" s="75">
        <f t="shared" si="58"/>
        <v>0</v>
      </c>
      <c r="D901" s="180">
        <f t="shared" si="59"/>
        <v>0</v>
      </c>
    </row>
    <row r="902" spans="1:4" x14ac:dyDescent="0.25">
      <c r="A902" t="str">
        <f t="shared" si="56"/>
        <v>Kerrith Whyte</v>
      </c>
      <c r="B902" s="75">
        <f t="shared" si="57"/>
        <v>0</v>
      </c>
      <c r="C902" s="75">
        <f t="shared" si="58"/>
        <v>0</v>
      </c>
      <c r="D902" s="180">
        <f t="shared" si="59"/>
        <v>0</v>
      </c>
    </row>
    <row r="903" spans="1:4" x14ac:dyDescent="0.25">
      <c r="A903" t="str">
        <f t="shared" si="56"/>
        <v>Emanuel Hall</v>
      </c>
      <c r="B903" s="75">
        <f t="shared" si="57"/>
        <v>0</v>
      </c>
      <c r="C903" s="75">
        <f t="shared" si="58"/>
        <v>0</v>
      </c>
      <c r="D903" s="180">
        <f t="shared" si="59"/>
        <v>0</v>
      </c>
    </row>
    <row r="904" spans="1:4" x14ac:dyDescent="0.25">
      <c r="A904" t="str">
        <f t="shared" si="56"/>
        <v>Isaac Nauta</v>
      </c>
      <c r="B904" s="75">
        <f t="shared" si="57"/>
        <v>0</v>
      </c>
      <c r="C904" s="75">
        <f t="shared" si="58"/>
        <v>0</v>
      </c>
      <c r="D904" s="180">
        <f t="shared" si="59"/>
        <v>0</v>
      </c>
    </row>
    <row r="905" spans="1:4" x14ac:dyDescent="0.25">
      <c r="A905" t="str">
        <f t="shared" si="56"/>
        <v>Sutton Smith</v>
      </c>
      <c r="B905" s="75">
        <f t="shared" si="57"/>
        <v>0</v>
      </c>
      <c r="C905" s="75">
        <f t="shared" si="58"/>
        <v>0</v>
      </c>
      <c r="D905" s="180">
        <f t="shared" si="59"/>
        <v>0</v>
      </c>
    </row>
    <row r="906" spans="1:4" x14ac:dyDescent="0.25">
      <c r="A906" t="str">
        <f t="shared" si="56"/>
        <v>John Ursua</v>
      </c>
      <c r="B906" s="75">
        <f t="shared" si="57"/>
        <v>0</v>
      </c>
      <c r="C906" s="75">
        <f t="shared" si="58"/>
        <v>0</v>
      </c>
      <c r="D906" s="180">
        <f t="shared" si="59"/>
        <v>0</v>
      </c>
    </row>
    <row r="907" spans="1:4" x14ac:dyDescent="0.25">
      <c r="A907" t="str">
        <f t="shared" si="56"/>
        <v>Dillon Mitchell</v>
      </c>
      <c r="B907" s="75">
        <f t="shared" si="57"/>
        <v>0</v>
      </c>
      <c r="C907" s="75">
        <f t="shared" si="58"/>
        <v>0</v>
      </c>
      <c r="D907" s="180">
        <f t="shared" si="59"/>
        <v>0</v>
      </c>
    </row>
    <row r="908" spans="1:4" x14ac:dyDescent="0.25">
      <c r="A908" t="str">
        <f t="shared" si="56"/>
        <v>Cullen Gillaspia</v>
      </c>
      <c r="B908" s="75">
        <f t="shared" si="57"/>
        <v>0</v>
      </c>
      <c r="C908" s="75">
        <f t="shared" si="58"/>
        <v>0</v>
      </c>
      <c r="D908" s="180">
        <f t="shared" si="59"/>
        <v>0</v>
      </c>
    </row>
    <row r="909" spans="1:4" x14ac:dyDescent="0.25">
      <c r="A909" t="str">
        <f t="shared" si="56"/>
        <v>Marcus Green</v>
      </c>
      <c r="B909" s="75">
        <f t="shared" si="57"/>
        <v>0</v>
      </c>
      <c r="C909" s="75">
        <f t="shared" si="58"/>
        <v>0</v>
      </c>
      <c r="D909" s="180">
        <f t="shared" si="59"/>
        <v>0</v>
      </c>
    </row>
    <row r="910" spans="1:4" x14ac:dyDescent="0.25">
      <c r="A910" t="str">
        <f t="shared" si="56"/>
        <v>Josh Adams</v>
      </c>
      <c r="B910" s="75">
        <f t="shared" si="57"/>
        <v>0</v>
      </c>
      <c r="C910" s="75">
        <f t="shared" si="58"/>
        <v>0</v>
      </c>
      <c r="D910" s="180">
        <f t="shared" si="59"/>
        <v>0</v>
      </c>
    </row>
    <row r="911" spans="1:4" x14ac:dyDescent="0.25">
      <c r="A911" t="str">
        <f t="shared" si="56"/>
        <v>Rodney Anderson</v>
      </c>
      <c r="B911" s="75">
        <f t="shared" si="57"/>
        <v>0</v>
      </c>
      <c r="C911" s="75">
        <f t="shared" si="58"/>
        <v>0</v>
      </c>
      <c r="D911" s="180">
        <f t="shared" si="59"/>
        <v>0</v>
      </c>
    </row>
    <row r="912" spans="1:4" x14ac:dyDescent="0.25">
      <c r="A912" t="str">
        <f t="shared" si="56"/>
        <v>Caleb Wilson</v>
      </c>
      <c r="B912" s="75">
        <f t="shared" si="57"/>
        <v>0</v>
      </c>
      <c r="C912" s="75">
        <f t="shared" si="58"/>
        <v>0</v>
      </c>
      <c r="D912" s="180">
        <f t="shared" si="59"/>
        <v>0</v>
      </c>
    </row>
    <row r="913" spans="1:4" x14ac:dyDescent="0.25">
      <c r="A913" t="str">
        <f t="shared" si="56"/>
        <v>Duke Williams</v>
      </c>
      <c r="B913" s="75">
        <f t="shared" si="57"/>
        <v>0</v>
      </c>
      <c r="C913" s="75">
        <f t="shared" si="58"/>
        <v>0</v>
      </c>
      <c r="D913" s="180">
        <f t="shared" si="59"/>
        <v>0</v>
      </c>
    </row>
    <row r="914" spans="1:4" x14ac:dyDescent="0.25">
      <c r="A914" t="str">
        <f t="shared" si="56"/>
        <v>Clayton Thorson</v>
      </c>
      <c r="B914" s="75">
        <f t="shared" si="57"/>
        <v>0</v>
      </c>
      <c r="C914" s="75">
        <f t="shared" si="58"/>
        <v>0</v>
      </c>
      <c r="D914" s="180">
        <f t="shared" si="59"/>
        <v>0</v>
      </c>
    </row>
    <row r="915" spans="1:4" x14ac:dyDescent="0.25">
      <c r="A915" t="str">
        <f t="shared" si="56"/>
        <v>Senorise Perry</v>
      </c>
      <c r="B915" s="75">
        <f t="shared" si="57"/>
        <v>0</v>
      </c>
      <c r="C915" s="75">
        <f t="shared" si="58"/>
        <v>0</v>
      </c>
      <c r="D915" s="180">
        <f t="shared" si="59"/>
        <v>0</v>
      </c>
    </row>
    <row r="916" spans="1:4" x14ac:dyDescent="0.25">
      <c r="A916" t="str">
        <f t="shared" si="56"/>
        <v>Garrett Gilbert</v>
      </c>
      <c r="B916" s="75">
        <f t="shared" si="57"/>
        <v>0</v>
      </c>
      <c r="C916" s="75">
        <f t="shared" si="58"/>
        <v>0</v>
      </c>
      <c r="D916" s="180">
        <f t="shared" si="59"/>
        <v>0</v>
      </c>
    </row>
    <row r="917" spans="1:4" x14ac:dyDescent="0.25">
      <c r="A917" t="str">
        <f t="shared" si="56"/>
        <v>Alex Smith</v>
      </c>
      <c r="B917" s="75">
        <f t="shared" si="57"/>
        <v>0</v>
      </c>
      <c r="C917" s="75">
        <f t="shared" si="58"/>
        <v>0</v>
      </c>
      <c r="D917" s="180">
        <f t="shared" si="59"/>
        <v>0</v>
      </c>
    </row>
    <row r="918" spans="1:4" x14ac:dyDescent="0.25">
      <c r="A918" t="str">
        <f t="shared" si="56"/>
        <v>Daniel Brown</v>
      </c>
      <c r="B918" s="75">
        <f t="shared" si="57"/>
        <v>0</v>
      </c>
      <c r="C918" s="75">
        <f t="shared" si="58"/>
        <v>0</v>
      </c>
      <c r="D918" s="180">
        <f t="shared" si="59"/>
        <v>0</v>
      </c>
    </row>
    <row r="919" spans="1:4" x14ac:dyDescent="0.25">
      <c r="A919" t="str">
        <f t="shared" si="56"/>
        <v>Tyler Bray</v>
      </c>
      <c r="B919" s="75">
        <f t="shared" si="57"/>
        <v>0</v>
      </c>
      <c r="C919" s="75">
        <f t="shared" si="58"/>
        <v>0</v>
      </c>
      <c r="D919" s="180">
        <f t="shared" si="59"/>
        <v>0</v>
      </c>
    </row>
    <row r="920" spans="1:4" x14ac:dyDescent="0.25">
      <c r="A920" t="str">
        <f t="shared" si="56"/>
        <v>Chandler Cox</v>
      </c>
      <c r="B920" s="75">
        <f t="shared" si="57"/>
        <v>0</v>
      </c>
      <c r="C920" s="75">
        <f t="shared" si="58"/>
        <v>0</v>
      </c>
      <c r="D920" s="180">
        <f t="shared" si="59"/>
        <v>0</v>
      </c>
    </row>
    <row r="921" spans="1:4" x14ac:dyDescent="0.25">
      <c r="A921" t="str">
        <f t="shared" si="56"/>
        <v>Bruce Anderson</v>
      </c>
      <c r="B921" s="75">
        <f t="shared" si="57"/>
        <v>0</v>
      </c>
      <c r="C921" s="75">
        <f t="shared" si="58"/>
        <v>0</v>
      </c>
      <c r="D921" s="180">
        <f t="shared" si="59"/>
        <v>0</v>
      </c>
    </row>
    <row r="922" spans="1:4" x14ac:dyDescent="0.25">
      <c r="A922" t="str">
        <f t="shared" si="56"/>
        <v>Kerryon Johnson</v>
      </c>
      <c r="B922" s="75">
        <f t="shared" si="57"/>
        <v>0</v>
      </c>
      <c r="C922" s="75">
        <f t="shared" si="58"/>
        <v>0</v>
      </c>
      <c r="D922" s="180">
        <f t="shared" si="59"/>
        <v>0</v>
      </c>
    </row>
    <row r="923" spans="1:4" x14ac:dyDescent="0.25">
      <c r="A923" t="str">
        <f t="shared" si="56"/>
        <v>Eddy Pineiro</v>
      </c>
      <c r="B923" s="75">
        <f t="shared" si="57"/>
        <v>0</v>
      </c>
      <c r="C923" s="75">
        <f t="shared" si="58"/>
        <v>0</v>
      </c>
      <c r="D923" s="180">
        <f t="shared" si="59"/>
        <v>0</v>
      </c>
    </row>
    <row r="924" spans="1:4" x14ac:dyDescent="0.25">
      <c r="A924" t="str">
        <f t="shared" si="56"/>
        <v>Bryce Love</v>
      </c>
      <c r="B924" s="75">
        <f t="shared" si="57"/>
        <v>0</v>
      </c>
      <c r="C924" s="75">
        <f t="shared" si="58"/>
        <v>0</v>
      </c>
      <c r="D924" s="180">
        <f t="shared" si="59"/>
        <v>0</v>
      </c>
    </row>
    <row r="925" spans="1:4" x14ac:dyDescent="0.25">
      <c r="A925" t="str">
        <f t="shared" si="56"/>
        <v>Chris Carson</v>
      </c>
      <c r="B925" s="75">
        <f t="shared" si="57"/>
        <v>0</v>
      </c>
      <c r="C925" s="75">
        <f t="shared" si="58"/>
        <v>0</v>
      </c>
      <c r="D925" s="180">
        <f t="shared" si="59"/>
        <v>0</v>
      </c>
    </row>
    <row r="926" spans="1:4" x14ac:dyDescent="0.25">
      <c r="A926" t="str">
        <f t="shared" si="56"/>
        <v>Jordan Scarlett</v>
      </c>
      <c r="B926" s="75">
        <f t="shared" si="57"/>
        <v>0</v>
      </c>
      <c r="C926" s="75">
        <f t="shared" si="58"/>
        <v>0</v>
      </c>
      <c r="D926" s="180">
        <f t="shared" si="59"/>
        <v>0</v>
      </c>
    </row>
    <row r="927" spans="1:4" x14ac:dyDescent="0.25">
      <c r="A927" t="str">
        <f t="shared" si="56"/>
        <v>Riley Ridley</v>
      </c>
      <c r="B927" s="75">
        <f t="shared" si="57"/>
        <v>0</v>
      </c>
      <c r="C927" s="75">
        <f t="shared" si="58"/>
        <v>0</v>
      </c>
      <c r="D927" s="180">
        <f t="shared" si="59"/>
        <v>0</v>
      </c>
    </row>
    <row r="928" spans="1:4" x14ac:dyDescent="0.25">
      <c r="A928" t="str">
        <f t="shared" si="56"/>
        <v>Gary Jennings</v>
      </c>
      <c r="B928" s="75">
        <f t="shared" si="57"/>
        <v>0</v>
      </c>
      <c r="C928" s="75">
        <f t="shared" si="58"/>
        <v>0</v>
      </c>
      <c r="D928" s="180">
        <f t="shared" si="59"/>
        <v>0</v>
      </c>
    </row>
    <row r="929" spans="1:4" x14ac:dyDescent="0.25">
      <c r="A929" t="str">
        <f t="shared" si="56"/>
        <v>Chris Blewitt</v>
      </c>
      <c r="B929" s="75">
        <f t="shared" si="57"/>
        <v>0</v>
      </c>
      <c r="C929" s="75">
        <f t="shared" si="58"/>
        <v>0</v>
      </c>
      <c r="D929" s="180">
        <f t="shared" si="59"/>
        <v>0</v>
      </c>
    </row>
    <row r="930" spans="1:4" x14ac:dyDescent="0.25">
      <c r="A930" t="str">
        <f t="shared" si="56"/>
        <v>Antonio Callaway</v>
      </c>
      <c r="B930" s="75">
        <f t="shared" si="57"/>
        <v>0</v>
      </c>
      <c r="C930" s="75">
        <f t="shared" si="58"/>
        <v>0</v>
      </c>
      <c r="D930" s="180">
        <f t="shared" si="59"/>
        <v>0</v>
      </c>
    </row>
    <row r="931" spans="1:4" x14ac:dyDescent="0.25">
      <c r="A931" t="str">
        <f t="shared" si="56"/>
        <v>Jalen Hurd</v>
      </c>
      <c r="B931" s="75">
        <f t="shared" si="57"/>
        <v>0</v>
      </c>
      <c r="C931" s="75">
        <f t="shared" si="58"/>
        <v>0</v>
      </c>
      <c r="D931" s="180">
        <f t="shared" si="59"/>
        <v>0</v>
      </c>
    </row>
    <row r="932" spans="1:4" x14ac:dyDescent="0.25">
      <c r="A932" t="str">
        <f t="shared" si="56"/>
        <v>Hakeem Butler</v>
      </c>
      <c r="B932" s="75">
        <f t="shared" si="57"/>
        <v>0</v>
      </c>
      <c r="C932" s="75">
        <f t="shared" si="58"/>
        <v>0</v>
      </c>
      <c r="D932" s="180">
        <f t="shared" si="59"/>
        <v>0</v>
      </c>
    </row>
    <row r="933" spans="1:4" x14ac:dyDescent="0.25">
      <c r="A933" t="str">
        <f t="shared" si="56"/>
        <v>Kalen Ballage</v>
      </c>
      <c r="B933" s="75">
        <f t="shared" si="57"/>
        <v>0</v>
      </c>
      <c r="C933" s="75">
        <f t="shared" si="58"/>
        <v>0</v>
      </c>
      <c r="D933" s="180">
        <f t="shared" si="59"/>
        <v>0</v>
      </c>
    </row>
    <row r="934" spans="1:4" x14ac:dyDescent="0.25">
      <c r="A934" t="str">
        <f t="shared" si="56"/>
        <v>Geronimo Allison</v>
      </c>
      <c r="B934" s="75">
        <f t="shared" si="57"/>
        <v>0</v>
      </c>
      <c r="C934" s="75">
        <f t="shared" si="58"/>
        <v>0</v>
      </c>
      <c r="D934" s="180">
        <f t="shared" si="59"/>
        <v>0</v>
      </c>
    </row>
    <row r="935" spans="1:4" x14ac:dyDescent="0.25">
      <c r="A935" t="str">
        <f t="shared" si="56"/>
        <v>Jaylen Samuels</v>
      </c>
      <c r="B935" s="75">
        <f t="shared" si="57"/>
        <v>0</v>
      </c>
      <c r="C935" s="75">
        <f t="shared" si="58"/>
        <v>0</v>
      </c>
      <c r="D935" s="180">
        <f t="shared" si="59"/>
        <v>0</v>
      </c>
    </row>
    <row r="936" spans="1:4" x14ac:dyDescent="0.25">
      <c r="A936" t="str">
        <f t="shared" si="56"/>
        <v>William Fuller V</v>
      </c>
      <c r="B936" s="75">
        <f t="shared" si="57"/>
        <v>0</v>
      </c>
      <c r="C936" s="75">
        <f t="shared" si="58"/>
        <v>0</v>
      </c>
      <c r="D936" s="180">
        <f t="shared" si="59"/>
        <v>0</v>
      </c>
    </row>
    <row r="937" spans="1:4" x14ac:dyDescent="0.25">
      <c r="A937" t="str">
        <f t="shared" si="56"/>
        <v>John Ross</v>
      </c>
      <c r="B937" s="75">
        <f t="shared" si="57"/>
        <v>0</v>
      </c>
      <c r="C937" s="75">
        <f t="shared" si="58"/>
        <v>0</v>
      </c>
      <c r="D937" s="180">
        <f t="shared" si="59"/>
        <v>0</v>
      </c>
    </row>
    <row r="938" spans="1:4" x14ac:dyDescent="0.25">
      <c r="A938" t="str">
        <f t="shared" si="56"/>
        <v>DaeSean Hamilton</v>
      </c>
      <c r="B938" s="75">
        <f t="shared" si="57"/>
        <v>0</v>
      </c>
      <c r="C938" s="75">
        <f t="shared" si="58"/>
        <v>0</v>
      </c>
      <c r="D938" s="180">
        <f t="shared" si="59"/>
        <v>0</v>
      </c>
    </row>
    <row r="939" spans="1:4" x14ac:dyDescent="0.25">
      <c r="A939" t="str">
        <f t="shared" si="56"/>
        <v>Dede Westbrook</v>
      </c>
      <c r="B939" s="75">
        <f t="shared" si="57"/>
        <v>0</v>
      </c>
      <c r="C939" s="75">
        <f t="shared" si="58"/>
        <v>0</v>
      </c>
      <c r="D939" s="180">
        <f t="shared" si="59"/>
        <v>0</v>
      </c>
    </row>
    <row r="940" spans="1:4" x14ac:dyDescent="0.25">
      <c r="A940" t="str">
        <f t="shared" si="56"/>
        <v>Robert Foster</v>
      </c>
      <c r="B940" s="75">
        <f t="shared" si="57"/>
        <v>0</v>
      </c>
      <c r="C940" s="75">
        <f t="shared" si="58"/>
        <v>0</v>
      </c>
      <c r="D940" s="180">
        <f t="shared" si="59"/>
        <v>0</v>
      </c>
    </row>
    <row r="941" spans="1:4" x14ac:dyDescent="0.25">
      <c r="A941" t="str">
        <f t="shared" si="56"/>
        <v>Jordan Howard</v>
      </c>
      <c r="B941" s="75">
        <f t="shared" si="57"/>
        <v>0</v>
      </c>
      <c r="C941" s="75">
        <f t="shared" si="58"/>
        <v>0</v>
      </c>
      <c r="D941" s="180">
        <f t="shared" si="59"/>
        <v>0</v>
      </c>
    </row>
    <row r="942" spans="1:4" x14ac:dyDescent="0.25">
      <c r="A942" t="str">
        <f t="shared" si="56"/>
        <v>Devontae Booker</v>
      </c>
      <c r="B942" s="75">
        <f t="shared" si="57"/>
        <v>0</v>
      </c>
      <c r="C942" s="75">
        <f t="shared" si="58"/>
        <v>0</v>
      </c>
      <c r="D942" s="180">
        <f t="shared" si="59"/>
        <v>0</v>
      </c>
    </row>
    <row r="943" spans="1:4" x14ac:dyDescent="0.25">
      <c r="A943" t="str">
        <f t="shared" si="56"/>
        <v>Trey Quinn</v>
      </c>
      <c r="B943" s="75">
        <f t="shared" si="57"/>
        <v>0</v>
      </c>
      <c r="C943" s="75">
        <f t="shared" si="58"/>
        <v>0</v>
      </c>
      <c r="D943" s="180">
        <f t="shared" si="59"/>
        <v>0</v>
      </c>
    </row>
    <row r="944" spans="1:4" x14ac:dyDescent="0.25">
      <c r="A944" t="str">
        <f t="shared" si="56"/>
        <v>Chris Herndon IV</v>
      </c>
      <c r="B944" s="75">
        <f t="shared" si="57"/>
        <v>0</v>
      </c>
      <c r="C944" s="75">
        <f t="shared" si="58"/>
        <v>0</v>
      </c>
      <c r="D944" s="180">
        <f t="shared" si="59"/>
        <v>0</v>
      </c>
    </row>
    <row r="945" spans="1:4" x14ac:dyDescent="0.25">
      <c r="A945" t="str">
        <f t="shared" si="56"/>
        <v>Ito Smith</v>
      </c>
      <c r="B945" s="75">
        <f t="shared" si="57"/>
        <v>0</v>
      </c>
      <c r="C945" s="75">
        <f t="shared" si="58"/>
        <v>0</v>
      </c>
      <c r="D945" s="180">
        <f t="shared" si="59"/>
        <v>0</v>
      </c>
    </row>
    <row r="946" spans="1:4" x14ac:dyDescent="0.25">
      <c r="A946" t="str">
        <f t="shared" si="56"/>
        <v>Tarik Cohen</v>
      </c>
      <c r="B946" s="75">
        <f t="shared" si="57"/>
        <v>0</v>
      </c>
      <c r="C946" s="75">
        <f t="shared" si="58"/>
        <v>0</v>
      </c>
      <c r="D946" s="180">
        <f t="shared" si="59"/>
        <v>0</v>
      </c>
    </row>
    <row r="947" spans="1:4" x14ac:dyDescent="0.25">
      <c r="A947" t="str">
        <f t="shared" si="56"/>
        <v>Aldrick Rosas</v>
      </c>
      <c r="B947" s="75">
        <f t="shared" si="57"/>
        <v>0</v>
      </c>
      <c r="C947" s="75">
        <f t="shared" si="58"/>
        <v>0</v>
      </c>
      <c r="D947" s="180">
        <f t="shared" si="59"/>
        <v>0</v>
      </c>
    </row>
    <row r="948" spans="1:4" x14ac:dyDescent="0.25">
      <c r="A948" t="str">
        <f t="shared" si="56"/>
        <v>Wendell Smallwood</v>
      </c>
      <c r="B948" s="75">
        <f t="shared" si="57"/>
        <v>0</v>
      </c>
      <c r="C948" s="75">
        <f t="shared" si="58"/>
        <v>0</v>
      </c>
      <c r="D948" s="180">
        <f t="shared" si="59"/>
        <v>0</v>
      </c>
    </row>
    <row r="949" spans="1:4" x14ac:dyDescent="0.25">
      <c r="A949" t="str">
        <f t="shared" si="56"/>
        <v>Jordan Wilkins</v>
      </c>
      <c r="B949" s="75">
        <f t="shared" si="57"/>
        <v>0</v>
      </c>
      <c r="C949" s="75">
        <f t="shared" si="58"/>
        <v>0</v>
      </c>
      <c r="D949" s="180">
        <f t="shared" si="59"/>
        <v>0</v>
      </c>
    </row>
    <row r="950" spans="1:4" x14ac:dyDescent="0.25">
      <c r="A950" t="str">
        <f t="shared" si="56"/>
        <v>Elijah McGuire</v>
      </c>
      <c r="B950" s="75">
        <f t="shared" si="57"/>
        <v>0</v>
      </c>
      <c r="C950" s="75">
        <f t="shared" si="58"/>
        <v>0</v>
      </c>
      <c r="D950" s="180">
        <f t="shared" si="59"/>
        <v>0</v>
      </c>
    </row>
    <row r="951" spans="1:4" x14ac:dyDescent="0.25">
      <c r="A951" t="str">
        <f t="shared" si="56"/>
        <v>Josh Lambo</v>
      </c>
      <c r="B951" s="75">
        <f t="shared" si="57"/>
        <v>0</v>
      </c>
      <c r="C951" s="75">
        <f t="shared" si="58"/>
        <v>0</v>
      </c>
      <c r="D951" s="180">
        <f t="shared" si="59"/>
        <v>0</v>
      </c>
    </row>
    <row r="952" spans="1:4" x14ac:dyDescent="0.25">
      <c r="A952" t="str">
        <f t="shared" si="56"/>
        <v>Corey Clement</v>
      </c>
      <c r="B952" s="75">
        <f t="shared" si="57"/>
        <v>0</v>
      </c>
      <c r="C952" s="75">
        <f t="shared" si="58"/>
        <v>0</v>
      </c>
      <c r="D952" s="180">
        <f t="shared" si="59"/>
        <v>0</v>
      </c>
    </row>
    <row r="953" spans="1:4" x14ac:dyDescent="0.25">
      <c r="A953" t="str">
        <f t="shared" si="56"/>
        <v>Peyton Barber</v>
      </c>
      <c r="B953" s="75">
        <f t="shared" si="57"/>
        <v>0</v>
      </c>
      <c r="C953" s="75">
        <f t="shared" si="58"/>
        <v>0</v>
      </c>
      <c r="D953" s="180">
        <f t="shared" si="59"/>
        <v>0</v>
      </c>
    </row>
    <row r="954" spans="1:4" x14ac:dyDescent="0.25">
      <c r="A954" t="str">
        <f t="shared" si="56"/>
        <v>Alex Collins</v>
      </c>
      <c r="B954" s="75">
        <f t="shared" si="57"/>
        <v>0</v>
      </c>
      <c r="C954" s="75">
        <f t="shared" si="58"/>
        <v>0</v>
      </c>
      <c r="D954" s="180">
        <f t="shared" si="59"/>
        <v>0</v>
      </c>
    </row>
    <row r="955" spans="1:4" x14ac:dyDescent="0.25">
      <c r="A955" t="str">
        <f t="shared" si="56"/>
        <v>Sam Ficken</v>
      </c>
      <c r="B955" s="75">
        <f t="shared" si="57"/>
        <v>0</v>
      </c>
      <c r="C955" s="75">
        <f t="shared" si="58"/>
        <v>0</v>
      </c>
      <c r="D955" s="180">
        <f t="shared" si="59"/>
        <v>0</v>
      </c>
    </row>
    <row r="956" spans="1:4" x14ac:dyDescent="0.25">
      <c r="A956" t="str">
        <f t="shared" si="56"/>
        <v>Tyrell Williams</v>
      </c>
      <c r="B956" s="75">
        <f t="shared" si="57"/>
        <v>0</v>
      </c>
      <c r="C956" s="75">
        <f t="shared" si="58"/>
        <v>0</v>
      </c>
      <c r="D956" s="180">
        <f t="shared" si="59"/>
        <v>0</v>
      </c>
    </row>
    <row r="957" spans="1:4" x14ac:dyDescent="0.25">
      <c r="A957" t="str">
        <f t="shared" si="56"/>
        <v>Todd Gurley</v>
      </c>
      <c r="B957" s="75">
        <f t="shared" si="57"/>
        <v>0</v>
      </c>
      <c r="C957" s="75">
        <f t="shared" si="58"/>
        <v>0</v>
      </c>
      <c r="D957" s="180">
        <f t="shared" si="59"/>
        <v>0</v>
      </c>
    </row>
    <row r="958" spans="1:4" x14ac:dyDescent="0.25">
      <c r="A958" t="str">
        <f t="shared" si="56"/>
        <v>T.J. Yeldon</v>
      </c>
      <c r="B958" s="75">
        <f t="shared" si="57"/>
        <v>0</v>
      </c>
      <c r="C958" s="75">
        <f t="shared" si="58"/>
        <v>0</v>
      </c>
      <c r="D958" s="180">
        <f t="shared" si="59"/>
        <v>0</v>
      </c>
    </row>
    <row r="959" spans="1:4" x14ac:dyDescent="0.25">
      <c r="A959" t="str">
        <f t="shared" si="56"/>
        <v>Jalen Richard</v>
      </c>
      <c r="B959" s="75">
        <f t="shared" si="57"/>
        <v>0</v>
      </c>
      <c r="C959" s="75">
        <f t="shared" si="58"/>
        <v>0</v>
      </c>
      <c r="D959" s="180">
        <f t="shared" si="59"/>
        <v>0</v>
      </c>
    </row>
    <row r="960" spans="1:4" x14ac:dyDescent="0.25">
      <c r="A960" t="str">
        <f t="shared" si="56"/>
        <v>Adam Humphries</v>
      </c>
      <c r="B960" s="75">
        <f t="shared" si="57"/>
        <v>0</v>
      </c>
      <c r="C960" s="75">
        <f t="shared" si="58"/>
        <v>0</v>
      </c>
      <c r="D960" s="180">
        <f t="shared" si="59"/>
        <v>0</v>
      </c>
    </row>
    <row r="961" spans="1:4" x14ac:dyDescent="0.25">
      <c r="A961" t="str">
        <f t="shared" si="56"/>
        <v>Albert Wilson</v>
      </c>
      <c r="B961" s="75">
        <f t="shared" si="57"/>
        <v>0</v>
      </c>
      <c r="C961" s="75">
        <f t="shared" si="58"/>
        <v>0</v>
      </c>
      <c r="D961" s="180">
        <f t="shared" si="59"/>
        <v>0</v>
      </c>
    </row>
    <row r="962" spans="1:4" x14ac:dyDescent="0.25">
      <c r="A962" t="str">
        <f t="shared" ref="A962:A1025" si="60">_xlfn.CONCAT(TRIM(H2076)," ",TRIM(I2076),IF(ISNUMBER(J2076),"",_xlfn.CONCAT(" ",TRIM(J2076))))</f>
        <v>Cody Parkey</v>
      </c>
      <c r="B962" s="75">
        <f t="shared" ref="B962:B1025" si="61">IF(ISNUMBER(J2076),J2076,K2076)</f>
        <v>0</v>
      </c>
      <c r="C962" s="75">
        <f t="shared" ref="C962:C1025" si="62">IF(ISNUMBER(J2076),K2076,L2076)</f>
        <v>0</v>
      </c>
      <c r="D962" s="180">
        <f t="shared" ref="D962:D1025" si="63">IF(ISNUMBER(J2076),L2076,M2076)</f>
        <v>0</v>
      </c>
    </row>
    <row r="963" spans="1:4" x14ac:dyDescent="0.25">
      <c r="A963" t="str">
        <f t="shared" si="60"/>
        <v>David Johnson</v>
      </c>
      <c r="B963" s="75">
        <f t="shared" si="61"/>
        <v>0</v>
      </c>
      <c r="C963" s="75">
        <f t="shared" si="62"/>
        <v>0</v>
      </c>
      <c r="D963" s="180">
        <f t="shared" si="63"/>
        <v>0</v>
      </c>
    </row>
    <row r="964" spans="1:4" x14ac:dyDescent="0.25">
      <c r="A964" t="str">
        <f t="shared" si="60"/>
        <v>Devonta Freeman</v>
      </c>
      <c r="B964" s="75">
        <f t="shared" si="61"/>
        <v>0</v>
      </c>
      <c r="C964" s="75">
        <f t="shared" si="62"/>
        <v>0</v>
      </c>
      <c r="D964" s="180">
        <f t="shared" si="63"/>
        <v>0</v>
      </c>
    </row>
    <row r="965" spans="1:4" x14ac:dyDescent="0.25">
      <c r="A965" t="str">
        <f t="shared" si="60"/>
        <v>Trey Burton</v>
      </c>
      <c r="B965" s="75">
        <f t="shared" si="61"/>
        <v>0</v>
      </c>
      <c r="C965" s="75">
        <f t="shared" si="62"/>
        <v>0</v>
      </c>
      <c r="D965" s="180">
        <f t="shared" si="63"/>
        <v>0</v>
      </c>
    </row>
    <row r="966" spans="1:4" x14ac:dyDescent="0.25">
      <c r="A966" t="str">
        <f t="shared" si="60"/>
        <v>James White</v>
      </c>
      <c r="B966" s="75">
        <f t="shared" si="61"/>
        <v>0</v>
      </c>
      <c r="C966" s="75">
        <f t="shared" si="62"/>
        <v>0</v>
      </c>
      <c r="D966" s="180">
        <f t="shared" si="63"/>
        <v>0</v>
      </c>
    </row>
    <row r="967" spans="1:4" x14ac:dyDescent="0.25">
      <c r="A967" t="str">
        <f t="shared" si="60"/>
        <v>Le'Veon Bell</v>
      </c>
      <c r="B967" s="75">
        <f t="shared" si="61"/>
        <v>0</v>
      </c>
      <c r="C967" s="75">
        <f t="shared" si="62"/>
        <v>0</v>
      </c>
      <c r="D967" s="180">
        <f t="shared" si="63"/>
        <v>0</v>
      </c>
    </row>
    <row r="968" spans="1:4" x14ac:dyDescent="0.25">
      <c r="A968" t="str">
        <f t="shared" si="60"/>
        <v>John Brown</v>
      </c>
      <c r="B968" s="75">
        <f t="shared" si="61"/>
        <v>0</v>
      </c>
      <c r="C968" s="75">
        <f t="shared" si="62"/>
        <v>0</v>
      </c>
      <c r="D968" s="180">
        <f t="shared" si="63"/>
        <v>0</v>
      </c>
    </row>
    <row r="969" spans="1:4" x14ac:dyDescent="0.25">
      <c r="A969" t="str">
        <f t="shared" si="60"/>
        <v>Vance McDonald</v>
      </c>
      <c r="B969" s="75">
        <f t="shared" si="61"/>
        <v>0</v>
      </c>
      <c r="C969" s="75">
        <f t="shared" si="62"/>
        <v>0</v>
      </c>
      <c r="D969" s="180">
        <f t="shared" si="63"/>
        <v>0</v>
      </c>
    </row>
    <row r="970" spans="1:4" x14ac:dyDescent="0.25">
      <c r="A970" t="str">
        <f t="shared" si="60"/>
        <v>Jordan Reed</v>
      </c>
      <c r="B970" s="75">
        <f t="shared" si="61"/>
        <v>0</v>
      </c>
      <c r="C970" s="75">
        <f t="shared" si="62"/>
        <v>0</v>
      </c>
      <c r="D970" s="180">
        <f t="shared" si="63"/>
        <v>0</v>
      </c>
    </row>
    <row r="971" spans="1:4" x14ac:dyDescent="0.25">
      <c r="A971" t="str">
        <f t="shared" si="60"/>
        <v>Cole Beasley</v>
      </c>
      <c r="B971" s="75">
        <f t="shared" si="61"/>
        <v>0</v>
      </c>
      <c r="C971" s="75">
        <f t="shared" si="62"/>
        <v>0</v>
      </c>
      <c r="D971" s="180">
        <f t="shared" si="63"/>
        <v>0</v>
      </c>
    </row>
    <row r="972" spans="1:4" x14ac:dyDescent="0.25">
      <c r="A972" t="str">
        <f t="shared" si="60"/>
        <v>Latavius Murray</v>
      </c>
      <c r="B972" s="75">
        <f t="shared" si="61"/>
        <v>0</v>
      </c>
      <c r="C972" s="75">
        <f t="shared" si="62"/>
        <v>0</v>
      </c>
      <c r="D972" s="180">
        <f t="shared" si="63"/>
        <v>0</v>
      </c>
    </row>
    <row r="973" spans="1:4" x14ac:dyDescent="0.25">
      <c r="A973" t="str">
        <f t="shared" si="60"/>
        <v>Jack Doyle</v>
      </c>
      <c r="B973" s="75">
        <f t="shared" si="61"/>
        <v>0</v>
      </c>
      <c r="C973" s="75">
        <f t="shared" si="62"/>
        <v>0</v>
      </c>
      <c r="D973" s="180">
        <f t="shared" si="63"/>
        <v>0</v>
      </c>
    </row>
    <row r="974" spans="1:4" x14ac:dyDescent="0.25">
      <c r="A974" t="str">
        <f t="shared" si="60"/>
        <v>Eric Ebron</v>
      </c>
      <c r="B974" s="75">
        <f t="shared" si="61"/>
        <v>0</v>
      </c>
      <c r="C974" s="75">
        <f t="shared" si="62"/>
        <v>0</v>
      </c>
      <c r="D974" s="180">
        <f t="shared" si="63"/>
        <v>0</v>
      </c>
    </row>
    <row r="975" spans="1:4" x14ac:dyDescent="0.25">
      <c r="A975" t="str">
        <f t="shared" si="60"/>
        <v>Levine Toilolo</v>
      </c>
      <c r="B975" s="75">
        <f t="shared" si="61"/>
        <v>0</v>
      </c>
      <c r="C975" s="75">
        <f t="shared" si="62"/>
        <v>0</v>
      </c>
      <c r="D975" s="180">
        <f t="shared" si="63"/>
        <v>0</v>
      </c>
    </row>
    <row r="976" spans="1:4" x14ac:dyDescent="0.25">
      <c r="A976" t="str">
        <f t="shared" si="60"/>
        <v>Tyler Eifert</v>
      </c>
      <c r="B976" s="75">
        <f t="shared" si="61"/>
        <v>0</v>
      </c>
      <c r="C976" s="75">
        <f t="shared" si="62"/>
        <v>0</v>
      </c>
      <c r="D976" s="180">
        <f t="shared" si="63"/>
        <v>0</v>
      </c>
    </row>
    <row r="977" spans="1:4" x14ac:dyDescent="0.25">
      <c r="A977" t="str">
        <f t="shared" si="60"/>
        <v>Theo Riddick</v>
      </c>
      <c r="B977" s="75">
        <f t="shared" si="61"/>
        <v>0</v>
      </c>
      <c r="C977" s="75">
        <f t="shared" si="62"/>
        <v>0</v>
      </c>
      <c r="D977" s="180">
        <f t="shared" si="63"/>
        <v>0</v>
      </c>
    </row>
    <row r="978" spans="1:4" x14ac:dyDescent="0.25">
      <c r="A978" t="str">
        <f t="shared" si="60"/>
        <v>Carlos Hyde</v>
      </c>
      <c r="B978" s="75">
        <f t="shared" si="61"/>
        <v>0</v>
      </c>
      <c r="C978" s="75">
        <f t="shared" si="62"/>
        <v>0</v>
      </c>
      <c r="D978" s="180">
        <f t="shared" si="63"/>
        <v>0</v>
      </c>
    </row>
    <row r="979" spans="1:4" x14ac:dyDescent="0.25">
      <c r="A979" t="str">
        <f t="shared" si="60"/>
        <v>Donte Moncrief</v>
      </c>
      <c r="B979" s="75">
        <f t="shared" si="61"/>
        <v>0</v>
      </c>
      <c r="C979" s="75">
        <f t="shared" si="62"/>
        <v>0</v>
      </c>
      <c r="D979" s="180">
        <f t="shared" si="63"/>
        <v>0</v>
      </c>
    </row>
    <row r="980" spans="1:4" x14ac:dyDescent="0.25">
      <c r="A980" t="str">
        <f t="shared" si="60"/>
        <v>Kenny Stills</v>
      </c>
      <c r="B980" s="75">
        <f t="shared" si="61"/>
        <v>0</v>
      </c>
      <c r="C980" s="75">
        <f t="shared" si="62"/>
        <v>0</v>
      </c>
      <c r="D980" s="180">
        <f t="shared" si="63"/>
        <v>0</v>
      </c>
    </row>
    <row r="981" spans="1:4" x14ac:dyDescent="0.25">
      <c r="A981" t="str">
        <f t="shared" si="60"/>
        <v>Chris Thompson</v>
      </c>
      <c r="B981" s="75">
        <f t="shared" si="61"/>
        <v>0</v>
      </c>
      <c r="C981" s="75">
        <f t="shared" si="62"/>
        <v>0</v>
      </c>
      <c r="D981" s="180">
        <f t="shared" si="63"/>
        <v>0</v>
      </c>
    </row>
    <row r="982" spans="1:4" x14ac:dyDescent="0.25">
      <c r="A982" t="str">
        <f t="shared" si="60"/>
        <v>Robert Griffin III</v>
      </c>
      <c r="B982" s="75">
        <f t="shared" si="61"/>
        <v>0</v>
      </c>
      <c r="C982" s="75">
        <f t="shared" si="62"/>
        <v>0</v>
      </c>
      <c r="D982" s="180">
        <f t="shared" si="63"/>
        <v>0</v>
      </c>
    </row>
    <row r="983" spans="1:4" x14ac:dyDescent="0.25">
      <c r="A983" t="str">
        <f t="shared" si="60"/>
        <v>Emmanuel Sanders</v>
      </c>
      <c r="B983" s="75">
        <f t="shared" si="61"/>
        <v>0</v>
      </c>
      <c r="C983" s="75">
        <f t="shared" si="62"/>
        <v>0</v>
      </c>
      <c r="D983" s="180">
        <f t="shared" si="63"/>
        <v>0</v>
      </c>
    </row>
    <row r="984" spans="1:4" x14ac:dyDescent="0.25">
      <c r="A984" t="str">
        <f t="shared" si="60"/>
        <v>Lamar Miller</v>
      </c>
      <c r="B984" s="75">
        <f t="shared" si="61"/>
        <v>0</v>
      </c>
      <c r="C984" s="75">
        <f t="shared" si="62"/>
        <v>0</v>
      </c>
      <c r="D984" s="180">
        <f t="shared" si="63"/>
        <v>0</v>
      </c>
    </row>
    <row r="985" spans="1:4" x14ac:dyDescent="0.25">
      <c r="A985" t="str">
        <f t="shared" si="60"/>
        <v>Dion Lewis</v>
      </c>
      <c r="B985" s="75">
        <f t="shared" si="61"/>
        <v>0</v>
      </c>
      <c r="C985" s="75">
        <f t="shared" si="62"/>
        <v>0</v>
      </c>
      <c r="D985" s="180">
        <f t="shared" si="63"/>
        <v>0</v>
      </c>
    </row>
    <row r="986" spans="1:4" x14ac:dyDescent="0.25">
      <c r="A986" t="str">
        <f t="shared" si="60"/>
        <v>Dan Bailey</v>
      </c>
      <c r="B986" s="75">
        <f t="shared" si="61"/>
        <v>0</v>
      </c>
      <c r="C986" s="75">
        <f t="shared" si="62"/>
        <v>0</v>
      </c>
      <c r="D986" s="180">
        <f t="shared" si="63"/>
        <v>0</v>
      </c>
    </row>
    <row r="987" spans="1:4" x14ac:dyDescent="0.25">
      <c r="A987" t="str">
        <f t="shared" si="60"/>
        <v>Antonio Brown</v>
      </c>
      <c r="B987" s="75">
        <f t="shared" si="61"/>
        <v>0</v>
      </c>
      <c r="C987" s="75">
        <f t="shared" si="62"/>
        <v>0</v>
      </c>
      <c r="D987" s="180">
        <f t="shared" si="63"/>
        <v>0</v>
      </c>
    </row>
    <row r="988" spans="1:4" x14ac:dyDescent="0.25">
      <c r="A988" t="str">
        <f t="shared" si="60"/>
        <v>Dontrelle Inman</v>
      </c>
      <c r="B988" s="75">
        <f t="shared" si="61"/>
        <v>0</v>
      </c>
      <c r="C988" s="75">
        <f t="shared" si="62"/>
        <v>0</v>
      </c>
      <c r="D988" s="180">
        <f t="shared" si="63"/>
        <v>0</v>
      </c>
    </row>
    <row r="989" spans="1:4" x14ac:dyDescent="0.25">
      <c r="A989" t="str">
        <f t="shared" si="60"/>
        <v>Cam Newton</v>
      </c>
      <c r="B989" s="75">
        <f t="shared" si="61"/>
        <v>0</v>
      </c>
      <c r="C989" s="75">
        <f t="shared" si="62"/>
        <v>0</v>
      </c>
      <c r="D989" s="180">
        <f t="shared" si="63"/>
        <v>0</v>
      </c>
    </row>
    <row r="990" spans="1:4" x14ac:dyDescent="0.25">
      <c r="A990" t="str">
        <f t="shared" si="60"/>
        <v>Kai Forbath</v>
      </c>
      <c r="B990" s="75">
        <f t="shared" si="61"/>
        <v>0</v>
      </c>
      <c r="C990" s="75">
        <f t="shared" si="62"/>
        <v>0</v>
      </c>
      <c r="D990" s="180">
        <f t="shared" si="63"/>
        <v>0</v>
      </c>
    </row>
    <row r="991" spans="1:4" x14ac:dyDescent="0.25">
      <c r="A991" t="str">
        <f t="shared" si="60"/>
        <v>Alshon Jeffery</v>
      </c>
      <c r="B991" s="75">
        <f t="shared" si="61"/>
        <v>0</v>
      </c>
      <c r="C991" s="75">
        <f t="shared" si="62"/>
        <v>0</v>
      </c>
      <c r="D991" s="180">
        <f t="shared" si="63"/>
        <v>0</v>
      </c>
    </row>
    <row r="992" spans="1:4" x14ac:dyDescent="0.25">
      <c r="A992" t="str">
        <f t="shared" si="60"/>
        <v>T.Y. Hilton</v>
      </c>
      <c r="B992" s="75">
        <f t="shared" si="61"/>
        <v>0</v>
      </c>
      <c r="C992" s="75">
        <f t="shared" si="62"/>
        <v>0</v>
      </c>
      <c r="D992" s="180">
        <f t="shared" si="63"/>
        <v>0</v>
      </c>
    </row>
    <row r="993" spans="1:4" x14ac:dyDescent="0.25">
      <c r="A993" t="str">
        <f t="shared" si="60"/>
        <v>Alfred Morris</v>
      </c>
      <c r="B993" s="75">
        <f t="shared" si="61"/>
        <v>0</v>
      </c>
      <c r="C993" s="75">
        <f t="shared" si="62"/>
        <v>0</v>
      </c>
      <c r="D993" s="180">
        <f t="shared" si="63"/>
        <v>0</v>
      </c>
    </row>
    <row r="994" spans="1:4" x14ac:dyDescent="0.25">
      <c r="A994" t="str">
        <f t="shared" si="60"/>
        <v>Travis Benjamin</v>
      </c>
      <c r="B994" s="75">
        <f t="shared" si="61"/>
        <v>0</v>
      </c>
      <c r="C994" s="75">
        <f t="shared" si="62"/>
        <v>0</v>
      </c>
      <c r="D994" s="180">
        <f t="shared" si="63"/>
        <v>0</v>
      </c>
    </row>
    <row r="995" spans="1:4" x14ac:dyDescent="0.25">
      <c r="A995" t="str">
        <f t="shared" si="60"/>
        <v>Golden Tate</v>
      </c>
      <c r="B995" s="75">
        <f t="shared" si="61"/>
        <v>0</v>
      </c>
      <c r="C995" s="75">
        <f t="shared" si="62"/>
        <v>0</v>
      </c>
      <c r="D995" s="180">
        <f t="shared" si="63"/>
        <v>0</v>
      </c>
    </row>
    <row r="996" spans="1:4" x14ac:dyDescent="0.25">
      <c r="A996" t="str">
        <f t="shared" si="60"/>
        <v>Dez Bryant</v>
      </c>
      <c r="B996" s="75">
        <f t="shared" si="61"/>
        <v>0</v>
      </c>
      <c r="C996" s="75">
        <f t="shared" si="62"/>
        <v>0</v>
      </c>
      <c r="D996" s="180">
        <f t="shared" si="63"/>
        <v>0</v>
      </c>
    </row>
    <row r="997" spans="1:4" x14ac:dyDescent="0.25">
      <c r="A997" t="str">
        <f t="shared" si="60"/>
        <v>Jimmy Graham</v>
      </c>
      <c r="B997" s="75">
        <f t="shared" si="61"/>
        <v>0</v>
      </c>
      <c r="C997" s="75">
        <f t="shared" si="62"/>
        <v>0</v>
      </c>
      <c r="D997" s="180">
        <f t="shared" si="63"/>
        <v>0</v>
      </c>
    </row>
    <row r="998" spans="1:4" x14ac:dyDescent="0.25">
      <c r="A998" t="str">
        <f t="shared" si="60"/>
        <v>Ted Ginn Jr.</v>
      </c>
      <c r="B998" s="75">
        <f t="shared" si="61"/>
        <v>0</v>
      </c>
      <c r="C998" s="75">
        <f t="shared" si="62"/>
        <v>0</v>
      </c>
      <c r="D998" s="180">
        <f t="shared" si="63"/>
        <v>0</v>
      </c>
    </row>
    <row r="999" spans="1:4" x14ac:dyDescent="0.25">
      <c r="A999" t="str">
        <f t="shared" si="60"/>
        <v>DeSean Jackson</v>
      </c>
      <c r="B999" s="75">
        <f t="shared" si="61"/>
        <v>0</v>
      </c>
      <c r="C999" s="75">
        <f t="shared" si="62"/>
        <v>0</v>
      </c>
      <c r="D999" s="180">
        <f t="shared" si="63"/>
        <v>0</v>
      </c>
    </row>
    <row r="1000" spans="1:4" x14ac:dyDescent="0.25">
      <c r="A1000" t="str">
        <f t="shared" si="60"/>
        <v>Adrian Peterson</v>
      </c>
      <c r="B1000" s="75">
        <f t="shared" si="61"/>
        <v>0</v>
      </c>
      <c r="C1000" s="75">
        <f t="shared" si="62"/>
        <v>0</v>
      </c>
      <c r="D1000" s="180">
        <f t="shared" si="63"/>
        <v>0</v>
      </c>
    </row>
    <row r="1001" spans="1:4" x14ac:dyDescent="0.25">
      <c r="A1001" t="str">
        <f t="shared" si="60"/>
        <v>Greg Olsen</v>
      </c>
      <c r="B1001" s="75">
        <f t="shared" si="61"/>
        <v>0</v>
      </c>
      <c r="C1001" s="75">
        <f t="shared" si="62"/>
        <v>0</v>
      </c>
      <c r="D1001" s="180">
        <f t="shared" si="63"/>
        <v>0</v>
      </c>
    </row>
    <row r="1002" spans="1:4" x14ac:dyDescent="0.25">
      <c r="A1002" t="str">
        <f t="shared" si="60"/>
        <v>Drew Brees</v>
      </c>
      <c r="B1002" s="75">
        <f t="shared" si="61"/>
        <v>0</v>
      </c>
      <c r="C1002" s="75">
        <f t="shared" si="62"/>
        <v>0</v>
      </c>
      <c r="D1002" s="180">
        <f t="shared" si="63"/>
        <v>0</v>
      </c>
    </row>
    <row r="1003" spans="1:4" x14ac:dyDescent="0.25">
      <c r="A1003" t="str">
        <f t="shared" si="60"/>
        <v>Larry Fitzgerald</v>
      </c>
      <c r="B1003" s="75">
        <f t="shared" si="61"/>
        <v>0</v>
      </c>
      <c r="C1003" s="75">
        <f t="shared" si="62"/>
        <v>0</v>
      </c>
      <c r="D1003" s="180">
        <f t="shared" si="63"/>
        <v>0</v>
      </c>
    </row>
    <row r="1004" spans="1:4" x14ac:dyDescent="0.25">
      <c r="A1004" t="str">
        <f t="shared" si="60"/>
        <v>Philip Rivers</v>
      </c>
      <c r="B1004" s="75">
        <f t="shared" si="61"/>
        <v>0</v>
      </c>
      <c r="C1004" s="75">
        <f t="shared" si="62"/>
        <v>0</v>
      </c>
      <c r="D1004" s="180">
        <f t="shared" si="63"/>
        <v>0</v>
      </c>
    </row>
    <row r="1005" spans="1:4" x14ac:dyDescent="0.25">
      <c r="A1005" t="str">
        <f t="shared" si="60"/>
        <v>Ben Roethlisberger</v>
      </c>
      <c r="B1005" s="75">
        <f t="shared" si="61"/>
        <v>0</v>
      </c>
      <c r="C1005" s="75">
        <f t="shared" si="62"/>
        <v>0</v>
      </c>
      <c r="D1005" s="180">
        <f t="shared" si="63"/>
        <v>0</v>
      </c>
    </row>
    <row r="1006" spans="1:4" x14ac:dyDescent="0.25">
      <c r="A1006" t="str">
        <f t="shared" si="60"/>
        <v>Danny Amendola</v>
      </c>
      <c r="B1006" s="75">
        <f t="shared" si="61"/>
        <v>0</v>
      </c>
      <c r="C1006" s="75">
        <f t="shared" si="62"/>
        <v>0</v>
      </c>
      <c r="D1006" s="180">
        <f t="shared" si="63"/>
        <v>0</v>
      </c>
    </row>
    <row r="1007" spans="1:4" x14ac:dyDescent="0.25">
      <c r="A1007" t="str">
        <f t="shared" si="60"/>
        <v>Mike Nugent</v>
      </c>
      <c r="B1007" s="75">
        <f t="shared" si="61"/>
        <v>0</v>
      </c>
      <c r="C1007" s="75">
        <f t="shared" si="62"/>
        <v>0</v>
      </c>
      <c r="D1007" s="180">
        <f t="shared" si="63"/>
        <v>0</v>
      </c>
    </row>
    <row r="1008" spans="1:4" x14ac:dyDescent="0.25">
      <c r="A1008" t="str">
        <f t="shared" si="60"/>
        <v>Stephen Hauschka</v>
      </c>
      <c r="B1008" s="75">
        <f t="shared" si="61"/>
        <v>0</v>
      </c>
      <c r="C1008" s="75">
        <f t="shared" si="62"/>
        <v>0</v>
      </c>
      <c r="D1008" s="180">
        <f t="shared" si="63"/>
        <v>0</v>
      </c>
    </row>
    <row r="1009" spans="1:4" x14ac:dyDescent="0.25">
      <c r="A1009" t="str">
        <f t="shared" si="60"/>
        <v>Frank Gore</v>
      </c>
      <c r="B1009" s="75">
        <f t="shared" si="61"/>
        <v>0</v>
      </c>
      <c r="C1009" s="75">
        <f t="shared" si="62"/>
        <v>0</v>
      </c>
      <c r="D1009" s="180">
        <f t="shared" si="63"/>
        <v>0</v>
      </c>
    </row>
    <row r="1010" spans="1:4" x14ac:dyDescent="0.25">
      <c r="A1010" t="str">
        <f t="shared" si="60"/>
        <v>Ryan Fitzpatrick</v>
      </c>
      <c r="B1010" s="75">
        <f t="shared" si="61"/>
        <v>0</v>
      </c>
      <c r="C1010" s="75">
        <f t="shared" si="62"/>
        <v>0</v>
      </c>
      <c r="D1010" s="180">
        <f t="shared" si="63"/>
        <v>0</v>
      </c>
    </row>
    <row r="1011" spans="1:4" x14ac:dyDescent="0.25">
      <c r="A1011" t="str">
        <f t="shared" si="60"/>
        <v>LeSean McCoy</v>
      </c>
      <c r="B1011" s="75">
        <f t="shared" si="61"/>
        <v>0</v>
      </c>
      <c r="C1011" s="75">
        <f t="shared" si="62"/>
        <v>0</v>
      </c>
      <c r="D1011" s="180">
        <f t="shared" si="63"/>
        <v>0</v>
      </c>
    </row>
    <row r="1012" spans="1:4" x14ac:dyDescent="0.25">
      <c r="A1012" t="str">
        <f t="shared" si="60"/>
        <v>Jared Cook</v>
      </c>
      <c r="B1012" s="75">
        <f t="shared" si="61"/>
        <v>0</v>
      </c>
      <c r="C1012" s="75">
        <f t="shared" si="62"/>
        <v>0</v>
      </c>
      <c r="D1012" s="180">
        <f t="shared" si="63"/>
        <v>0</v>
      </c>
    </row>
    <row r="1013" spans="1:4" x14ac:dyDescent="0.25">
      <c r="A1013" t="str">
        <f t="shared" si="60"/>
        <v>Julian Edelman</v>
      </c>
      <c r="B1013" s="75">
        <f t="shared" si="61"/>
        <v>0</v>
      </c>
      <c r="C1013" s="75">
        <f t="shared" si="62"/>
        <v>0</v>
      </c>
      <c r="D1013" s="180">
        <f t="shared" si="63"/>
        <v>0</v>
      </c>
    </row>
    <row r="1014" spans="1:4" x14ac:dyDescent="0.25">
      <c r="A1014" t="str">
        <f t="shared" si="60"/>
        <v>Stephen Gostkowski</v>
      </c>
      <c r="B1014" s="75">
        <f t="shared" si="61"/>
        <v>0</v>
      </c>
      <c r="C1014" s="75">
        <f t="shared" si="62"/>
        <v>0</v>
      </c>
      <c r="D1014" s="180">
        <f t="shared" si="63"/>
        <v>0</v>
      </c>
    </row>
    <row r="1015" spans="1:4" x14ac:dyDescent="0.25">
      <c r="A1015" t="str">
        <f t="shared" si="60"/>
        <v>Nick Fitzgerald</v>
      </c>
      <c r="B1015" s="75">
        <f t="shared" si="61"/>
        <v>0</v>
      </c>
      <c r="C1015" s="75">
        <f t="shared" si="62"/>
        <v>0</v>
      </c>
      <c r="D1015" s="180">
        <f t="shared" si="63"/>
        <v>0</v>
      </c>
    </row>
    <row r="1016" spans="1:4" x14ac:dyDescent="0.25">
      <c r="A1016" t="str">
        <f t="shared" si="60"/>
        <v>Tyre Brady</v>
      </c>
      <c r="B1016" s="75">
        <f t="shared" si="61"/>
        <v>0</v>
      </c>
      <c r="C1016" s="75">
        <f t="shared" si="62"/>
        <v>0</v>
      </c>
      <c r="D1016" s="180">
        <f t="shared" si="63"/>
        <v>0</v>
      </c>
    </row>
    <row r="1017" spans="1:4" x14ac:dyDescent="0.25">
      <c r="A1017" t="str">
        <f t="shared" si="60"/>
        <v>Kelvin McKnight</v>
      </c>
      <c r="B1017" s="75">
        <f t="shared" si="61"/>
        <v>0</v>
      </c>
      <c r="C1017" s="75">
        <f t="shared" si="62"/>
        <v>0</v>
      </c>
      <c r="D1017" s="180">
        <f t="shared" si="63"/>
        <v>0</v>
      </c>
    </row>
    <row r="1018" spans="1:4" x14ac:dyDescent="0.25">
      <c r="A1018" t="str">
        <f t="shared" si="60"/>
        <v>Alex Barnes</v>
      </c>
      <c r="B1018" s="75">
        <f t="shared" si="61"/>
        <v>0</v>
      </c>
      <c r="C1018" s="75">
        <f t="shared" si="62"/>
        <v>0</v>
      </c>
      <c r="D1018" s="180">
        <f t="shared" si="63"/>
        <v>0</v>
      </c>
    </row>
    <row r="1019" spans="1:4" x14ac:dyDescent="0.25">
      <c r="A1019" t="str">
        <f t="shared" si="60"/>
        <v>Anthony Johnson</v>
      </c>
      <c r="B1019" s="75">
        <f t="shared" si="61"/>
        <v>0</v>
      </c>
      <c r="C1019" s="75">
        <f t="shared" si="62"/>
        <v>0</v>
      </c>
      <c r="D1019" s="180">
        <f t="shared" si="63"/>
        <v>0</v>
      </c>
    </row>
    <row r="1020" spans="1:4" x14ac:dyDescent="0.25">
      <c r="A1020" t="str">
        <f t="shared" si="60"/>
        <v>C.J. Conrad</v>
      </c>
      <c r="B1020" s="75">
        <f t="shared" si="61"/>
        <v>0</v>
      </c>
      <c r="C1020" s="75">
        <f t="shared" si="62"/>
        <v>0</v>
      </c>
      <c r="D1020" s="180">
        <f t="shared" si="63"/>
        <v>0</v>
      </c>
    </row>
    <row r="1021" spans="1:4" x14ac:dyDescent="0.25">
      <c r="A1021" t="str">
        <f t="shared" si="60"/>
        <v>Emmanuel Butler</v>
      </c>
      <c r="B1021" s="75">
        <f t="shared" si="61"/>
        <v>0</v>
      </c>
      <c r="C1021" s="75">
        <f t="shared" si="62"/>
        <v>0</v>
      </c>
      <c r="D1021" s="180">
        <f t="shared" si="63"/>
        <v>0</v>
      </c>
    </row>
    <row r="1022" spans="1:4" x14ac:dyDescent="0.25">
      <c r="A1022" t="str">
        <f t="shared" si="60"/>
        <v>DeAndre Washington</v>
      </c>
      <c r="B1022" s="75">
        <f t="shared" si="61"/>
        <v>0</v>
      </c>
      <c r="C1022" s="75">
        <f t="shared" si="62"/>
        <v>0</v>
      </c>
      <c r="D1022" s="180">
        <f t="shared" si="63"/>
        <v>0</v>
      </c>
    </row>
    <row r="1023" spans="1:4" x14ac:dyDescent="0.25">
      <c r="A1023" t="str">
        <f t="shared" si="60"/>
        <v>Damion Willis</v>
      </c>
      <c r="B1023" s="75">
        <f t="shared" si="61"/>
        <v>0</v>
      </c>
      <c r="C1023" s="75">
        <f t="shared" si="62"/>
        <v>0</v>
      </c>
      <c r="D1023" s="180">
        <f t="shared" si="63"/>
        <v>0</v>
      </c>
    </row>
    <row r="1024" spans="1:4" x14ac:dyDescent="0.25">
      <c r="A1024" t="str">
        <f t="shared" si="60"/>
        <v>Christian Wade</v>
      </c>
      <c r="B1024" s="75">
        <f t="shared" si="61"/>
        <v>0</v>
      </c>
      <c r="C1024" s="75">
        <f t="shared" si="62"/>
        <v>0</v>
      </c>
      <c r="D1024" s="180">
        <f t="shared" si="63"/>
        <v>0</v>
      </c>
    </row>
    <row r="1025" spans="1:4" x14ac:dyDescent="0.25">
      <c r="A1025" t="str">
        <f t="shared" si="60"/>
        <v>Jazz Ferguson</v>
      </c>
      <c r="B1025" s="75">
        <f t="shared" si="61"/>
        <v>0</v>
      </c>
      <c r="C1025" s="75">
        <f t="shared" si="62"/>
        <v>0</v>
      </c>
      <c r="D1025" s="180">
        <f t="shared" si="63"/>
        <v>0</v>
      </c>
    </row>
    <row r="1026" spans="1:4" x14ac:dyDescent="0.25">
      <c r="A1026" t="str">
        <f t="shared" ref="A1026:A1089" si="64">_xlfn.CONCAT(TRIM(H2140)," ",TRIM(I2140),IF(ISNUMBER(J2140),"",_xlfn.CONCAT(" ",TRIM(J2140))))</f>
        <v>Chase McLaughlin</v>
      </c>
      <c r="B1026" s="75">
        <f t="shared" ref="B1026:B1089" si="65">IF(ISNUMBER(J2140),J2140,K2140)</f>
        <v>0</v>
      </c>
      <c r="C1026" s="75">
        <f t="shared" ref="C1026:C1089" si="66">IF(ISNUMBER(J2140),K2140,L2140)</f>
        <v>0</v>
      </c>
      <c r="D1026" s="180">
        <f t="shared" ref="D1026:D1089" si="67">IF(ISNUMBER(J2140),L2140,M2140)</f>
        <v>0</v>
      </c>
    </row>
    <row r="1027" spans="1:4" x14ac:dyDescent="0.25">
      <c r="A1027" t="str">
        <f t="shared" si="64"/>
        <v>Devlin Hodges</v>
      </c>
      <c r="B1027" s="75">
        <f t="shared" si="65"/>
        <v>0</v>
      </c>
      <c r="C1027" s="75">
        <f t="shared" si="66"/>
        <v>0</v>
      </c>
      <c r="D1027" s="180">
        <f t="shared" si="67"/>
        <v>0</v>
      </c>
    </row>
    <row r="1028" spans="1:4" x14ac:dyDescent="0.25">
      <c r="A1028" t="str">
        <f t="shared" si="64"/>
        <v>Christian Blake</v>
      </c>
      <c r="B1028" s="75">
        <f t="shared" si="65"/>
        <v>0</v>
      </c>
      <c r="C1028" s="75">
        <f t="shared" si="66"/>
        <v>0</v>
      </c>
      <c r="D1028" s="180">
        <f t="shared" si="67"/>
        <v>0</v>
      </c>
    </row>
    <row r="1029" spans="1:4" x14ac:dyDescent="0.25">
      <c r="A1029" t="str">
        <f t="shared" si="64"/>
        <v>Alexander Hollins</v>
      </c>
      <c r="B1029" s="75">
        <f t="shared" si="65"/>
        <v>0</v>
      </c>
      <c r="C1029" s="75">
        <f t="shared" si="66"/>
        <v>0</v>
      </c>
      <c r="D1029" s="180">
        <f t="shared" si="67"/>
        <v>0</v>
      </c>
    </row>
    <row r="1030" spans="1:4" x14ac:dyDescent="0.25">
      <c r="A1030" t="str">
        <f t="shared" si="64"/>
        <v>Hale Hentges</v>
      </c>
      <c r="B1030" s="75">
        <f t="shared" si="65"/>
        <v>0</v>
      </c>
      <c r="C1030" s="75">
        <f t="shared" si="66"/>
        <v>0</v>
      </c>
      <c r="D1030" s="180">
        <f t="shared" si="67"/>
        <v>0</v>
      </c>
    </row>
    <row r="1031" spans="1:4" x14ac:dyDescent="0.25">
      <c r="A1031" t="str">
        <f t="shared" si="64"/>
        <v>Stephen Carlson</v>
      </c>
      <c r="B1031" s="75">
        <f t="shared" si="65"/>
        <v>0</v>
      </c>
      <c r="C1031" s="75">
        <f t="shared" si="66"/>
        <v>0</v>
      </c>
      <c r="D1031" s="180">
        <f t="shared" si="67"/>
        <v>0</v>
      </c>
    </row>
    <row r="1032" spans="1:4" x14ac:dyDescent="0.25">
      <c r="A1032" t="str">
        <f t="shared" si="64"/>
        <v>Diontae Spencer</v>
      </c>
      <c r="B1032" s="75">
        <f t="shared" si="65"/>
        <v>0</v>
      </c>
      <c r="C1032" s="75">
        <f t="shared" si="66"/>
        <v>0</v>
      </c>
      <c r="D1032" s="180">
        <f t="shared" si="67"/>
        <v>0</v>
      </c>
    </row>
    <row r="1033" spans="1:4" x14ac:dyDescent="0.25">
      <c r="A1033" t="str">
        <f t="shared" si="64"/>
        <v>Michael Walker</v>
      </c>
      <c r="B1033" s="75">
        <f t="shared" si="65"/>
        <v>0</v>
      </c>
      <c r="C1033" s="75">
        <f t="shared" si="66"/>
        <v>0</v>
      </c>
      <c r="D1033" s="180">
        <f t="shared" si="67"/>
        <v>0</v>
      </c>
    </row>
    <row r="1034" spans="1:4" x14ac:dyDescent="0.25">
      <c r="A1034" t="str">
        <f t="shared" si="64"/>
        <v>Fred Brown</v>
      </c>
      <c r="B1034" s="75">
        <f t="shared" si="65"/>
        <v>0</v>
      </c>
      <c r="C1034" s="75">
        <f t="shared" si="66"/>
        <v>0</v>
      </c>
      <c r="D1034" s="180">
        <f t="shared" si="67"/>
        <v>0</v>
      </c>
    </row>
    <row r="1035" spans="1:4" x14ac:dyDescent="0.25">
      <c r="A1035" t="str">
        <f t="shared" si="64"/>
        <v>Spencer Schnell</v>
      </c>
      <c r="B1035" s="75">
        <f t="shared" si="65"/>
        <v>0</v>
      </c>
      <c r="C1035" s="75">
        <f t="shared" si="66"/>
        <v>0</v>
      </c>
      <c r="D1035" s="180">
        <f t="shared" si="67"/>
        <v>0</v>
      </c>
    </row>
    <row r="1036" spans="1:4" x14ac:dyDescent="0.25">
      <c r="A1036" t="str">
        <f t="shared" si="64"/>
        <v>Codey McElroy</v>
      </c>
      <c r="B1036" s="75">
        <f t="shared" si="65"/>
        <v>0</v>
      </c>
      <c r="C1036" s="75">
        <f t="shared" si="66"/>
        <v>0</v>
      </c>
      <c r="D1036" s="180">
        <f t="shared" si="67"/>
        <v>0</v>
      </c>
    </row>
    <row r="1037" spans="1:4" x14ac:dyDescent="0.25">
      <c r="A1037" t="str">
        <f t="shared" si="64"/>
        <v>Wes Hills</v>
      </c>
      <c r="B1037" s="75">
        <f t="shared" si="65"/>
        <v>0</v>
      </c>
      <c r="C1037" s="75">
        <f t="shared" si="66"/>
        <v>0</v>
      </c>
      <c r="D1037" s="180">
        <f t="shared" si="67"/>
        <v>0</v>
      </c>
    </row>
    <row r="1038" spans="1:4" x14ac:dyDescent="0.25">
      <c r="A1038" t="str">
        <f t="shared" si="64"/>
        <v>Charles Jones</v>
      </c>
      <c r="B1038" s="75">
        <f t="shared" si="65"/>
        <v>0</v>
      </c>
      <c r="C1038" s="75">
        <f t="shared" si="66"/>
        <v>0</v>
      </c>
      <c r="D1038" s="180">
        <f t="shared" si="67"/>
        <v>0</v>
      </c>
    </row>
    <row r="1039" spans="1:4" x14ac:dyDescent="0.25">
      <c r="A1039" t="str">
        <f t="shared" si="64"/>
        <v>Ventell Bryant</v>
      </c>
      <c r="B1039" s="75">
        <f t="shared" si="65"/>
        <v>0</v>
      </c>
      <c r="C1039" s="75">
        <f t="shared" si="66"/>
        <v>0</v>
      </c>
      <c r="D1039" s="180">
        <f t="shared" si="67"/>
        <v>0</v>
      </c>
    </row>
    <row r="1040" spans="1:4" x14ac:dyDescent="0.25">
      <c r="A1040" t="str">
        <f t="shared" si="64"/>
        <v>Ryan Nall</v>
      </c>
      <c r="B1040" s="75">
        <f t="shared" si="65"/>
        <v>0</v>
      </c>
      <c r="C1040" s="75">
        <f t="shared" si="66"/>
        <v>0</v>
      </c>
      <c r="D1040" s="180">
        <f t="shared" si="67"/>
        <v>0</v>
      </c>
    </row>
    <row r="1041" spans="1:4" x14ac:dyDescent="0.25">
      <c r="A1041" t="str">
        <f t="shared" si="64"/>
        <v>Steven Mitchell Jr.</v>
      </c>
      <c r="B1041" s="75">
        <f t="shared" si="65"/>
        <v>0</v>
      </c>
      <c r="C1041" s="75">
        <f t="shared" si="66"/>
        <v>0</v>
      </c>
      <c r="D1041" s="180">
        <f t="shared" si="67"/>
        <v>0</v>
      </c>
    </row>
    <row r="1042" spans="1:4" x14ac:dyDescent="0.25">
      <c r="A1042" t="str">
        <f t="shared" si="64"/>
        <v>Brandon Dillon</v>
      </c>
      <c r="B1042" s="75">
        <f t="shared" si="65"/>
        <v>0</v>
      </c>
      <c r="C1042" s="75">
        <f t="shared" si="66"/>
        <v>0</v>
      </c>
      <c r="D1042" s="180">
        <f t="shared" si="67"/>
        <v>0</v>
      </c>
    </row>
    <row r="1043" spans="1:4" x14ac:dyDescent="0.25">
      <c r="A1043" t="str">
        <f t="shared" si="64"/>
        <v>Carson Meier</v>
      </c>
      <c r="B1043" s="75">
        <f t="shared" si="65"/>
        <v>0</v>
      </c>
      <c r="C1043" s="75">
        <f t="shared" si="66"/>
        <v>0</v>
      </c>
      <c r="D1043" s="180">
        <f t="shared" si="67"/>
        <v>0</v>
      </c>
    </row>
    <row r="1044" spans="1:4" x14ac:dyDescent="0.25">
      <c r="A1044" t="str">
        <f t="shared" si="64"/>
        <v>Davion Davis</v>
      </c>
      <c r="B1044" s="75">
        <f t="shared" si="65"/>
        <v>0</v>
      </c>
      <c r="C1044" s="75">
        <f t="shared" si="66"/>
        <v>0</v>
      </c>
      <c r="D1044" s="180">
        <f t="shared" si="67"/>
        <v>0</v>
      </c>
    </row>
    <row r="1045" spans="1:4" x14ac:dyDescent="0.25">
      <c r="A1045" t="str">
        <f t="shared" si="64"/>
        <v>Tony Brooks-James</v>
      </c>
      <c r="B1045" s="75">
        <f t="shared" si="65"/>
        <v>0</v>
      </c>
      <c r="C1045" s="75">
        <f t="shared" si="66"/>
        <v>0</v>
      </c>
      <c r="D1045" s="180">
        <f t="shared" si="67"/>
        <v>0</v>
      </c>
    </row>
    <row r="1046" spans="1:4" x14ac:dyDescent="0.25">
      <c r="A1046" t="str">
        <f t="shared" si="64"/>
        <v>Jonathan Hilliman</v>
      </c>
      <c r="B1046" s="75">
        <f t="shared" si="65"/>
        <v>0</v>
      </c>
      <c r="C1046" s="75">
        <f t="shared" si="66"/>
        <v>0</v>
      </c>
      <c r="D1046" s="180">
        <f t="shared" si="67"/>
        <v>0</v>
      </c>
    </row>
    <row r="1047" spans="1:4" x14ac:dyDescent="0.25">
      <c r="A1047" t="str">
        <f t="shared" si="64"/>
        <v>Ryan Santoso</v>
      </c>
      <c r="B1047" s="75">
        <f t="shared" si="65"/>
        <v>0</v>
      </c>
      <c r="C1047" s="75">
        <f t="shared" si="66"/>
        <v>0</v>
      </c>
      <c r="D1047" s="180">
        <f t="shared" si="67"/>
        <v>0</v>
      </c>
    </row>
    <row r="1048" spans="1:4" x14ac:dyDescent="0.25">
      <c r="A1048" t="str">
        <f t="shared" si="64"/>
        <v>Colin Kaepernick</v>
      </c>
      <c r="B1048" s="75">
        <f t="shared" si="65"/>
        <v>0</v>
      </c>
      <c r="C1048" s="75">
        <f t="shared" si="66"/>
        <v>0</v>
      </c>
      <c r="D1048" s="180">
        <f t="shared" si="67"/>
        <v>0</v>
      </c>
    </row>
    <row r="1049" spans="1:4" x14ac:dyDescent="0.25">
      <c r="A1049" t="str">
        <f t="shared" si="64"/>
        <v>Michael Warren II</v>
      </c>
      <c r="B1049" s="75">
        <f t="shared" si="65"/>
        <v>0</v>
      </c>
      <c r="C1049" s="75">
        <f t="shared" si="66"/>
        <v>0</v>
      </c>
      <c r="D1049" s="180">
        <f t="shared" si="67"/>
        <v>0</v>
      </c>
    </row>
    <row r="1050" spans="1:4" x14ac:dyDescent="0.25">
      <c r="A1050" t="str">
        <f t="shared" si="64"/>
        <v>Sam Sloman</v>
      </c>
      <c r="B1050" s="75">
        <f t="shared" si="65"/>
        <v>0</v>
      </c>
      <c r="C1050" s="75">
        <f t="shared" si="66"/>
        <v>0</v>
      </c>
      <c r="D1050" s="180">
        <f t="shared" si="67"/>
        <v>0</v>
      </c>
    </row>
    <row r="1051" spans="1:4" x14ac:dyDescent="0.25">
      <c r="A1051" t="str">
        <f t="shared" si="64"/>
        <v>Justin Rohrwasser</v>
      </c>
      <c r="B1051" s="75">
        <f t="shared" si="65"/>
        <v>0</v>
      </c>
      <c r="C1051" s="75">
        <f t="shared" si="66"/>
        <v>0</v>
      </c>
      <c r="D1051" s="180">
        <f t="shared" si="67"/>
        <v>0</v>
      </c>
    </row>
    <row r="1052" spans="1:4" x14ac:dyDescent="0.25">
      <c r="A1052" t="str">
        <f t="shared" si="64"/>
        <v>James Morgan</v>
      </c>
      <c r="B1052" s="75">
        <f t="shared" si="65"/>
        <v>0</v>
      </c>
      <c r="C1052" s="75">
        <f t="shared" si="66"/>
        <v>0</v>
      </c>
      <c r="D1052" s="180">
        <f t="shared" si="67"/>
        <v>0</v>
      </c>
    </row>
    <row r="1053" spans="1:4" x14ac:dyDescent="0.25">
      <c r="A1053" t="str">
        <f t="shared" si="64"/>
        <v>Cole McDonald</v>
      </c>
      <c r="B1053" s="75">
        <f t="shared" si="65"/>
        <v>0</v>
      </c>
      <c r="C1053" s="75">
        <f t="shared" si="66"/>
        <v>0</v>
      </c>
      <c r="D1053" s="180">
        <f t="shared" si="67"/>
        <v>0</v>
      </c>
    </row>
    <row r="1054" spans="1:4" x14ac:dyDescent="0.25">
      <c r="A1054" t="str">
        <f t="shared" si="64"/>
        <v>Dalton Keene</v>
      </c>
      <c r="B1054" s="75">
        <f t="shared" si="65"/>
        <v>0</v>
      </c>
      <c r="C1054" s="75">
        <f t="shared" si="66"/>
        <v>0</v>
      </c>
      <c r="D1054" s="180">
        <f t="shared" si="67"/>
        <v>0</v>
      </c>
    </row>
    <row r="1055" spans="1:4" x14ac:dyDescent="0.25">
      <c r="A1055" t="str">
        <f t="shared" si="64"/>
        <v>KJ Hill Jr.</v>
      </c>
      <c r="B1055" s="75">
        <f t="shared" si="65"/>
        <v>0</v>
      </c>
      <c r="C1055" s="75">
        <f t="shared" si="66"/>
        <v>0</v>
      </c>
      <c r="D1055" s="180">
        <f t="shared" si="67"/>
        <v>0</v>
      </c>
    </row>
    <row r="1056" spans="1:4" x14ac:dyDescent="0.25">
      <c r="A1056" t="str">
        <f t="shared" si="64"/>
        <v>Raymond Calais</v>
      </c>
      <c r="B1056" s="75">
        <f t="shared" si="65"/>
        <v>0</v>
      </c>
      <c r="C1056" s="75">
        <f t="shared" si="66"/>
        <v>0</v>
      </c>
      <c r="D1056" s="180">
        <f t="shared" si="67"/>
        <v>0</v>
      </c>
    </row>
    <row r="1057" spans="1:4" x14ac:dyDescent="0.25">
      <c r="A1057" t="str">
        <f t="shared" si="64"/>
        <v>Nate Stanley</v>
      </c>
      <c r="B1057" s="75">
        <f t="shared" si="65"/>
        <v>0</v>
      </c>
      <c r="C1057" s="75">
        <f t="shared" si="66"/>
        <v>0</v>
      </c>
      <c r="D1057" s="180">
        <f t="shared" si="67"/>
        <v>0</v>
      </c>
    </row>
    <row r="1058" spans="1:4" x14ac:dyDescent="0.25">
      <c r="A1058" t="str">
        <f t="shared" si="64"/>
        <v>Malcolm Perry</v>
      </c>
      <c r="B1058" s="75">
        <f t="shared" si="65"/>
        <v>0</v>
      </c>
      <c r="C1058" s="75">
        <f t="shared" si="66"/>
        <v>0</v>
      </c>
      <c r="D1058" s="180">
        <f t="shared" si="67"/>
        <v>0</v>
      </c>
    </row>
    <row r="1059" spans="1:4" x14ac:dyDescent="0.25">
      <c r="A1059" t="str">
        <f t="shared" si="64"/>
        <v>Tommy Stevens</v>
      </c>
      <c r="B1059" s="75">
        <f t="shared" si="65"/>
        <v>0</v>
      </c>
      <c r="C1059" s="75">
        <f t="shared" si="66"/>
        <v>0</v>
      </c>
      <c r="D1059" s="180">
        <f t="shared" si="67"/>
        <v>0</v>
      </c>
    </row>
    <row r="1060" spans="1:4" x14ac:dyDescent="0.25">
      <c r="A1060" t="str">
        <f t="shared" si="64"/>
        <v>Jake Fromm</v>
      </c>
      <c r="B1060" s="75">
        <f t="shared" si="65"/>
        <v>0</v>
      </c>
      <c r="C1060" s="75">
        <f t="shared" si="66"/>
        <v>0</v>
      </c>
      <c r="D1060" s="180">
        <f t="shared" si="67"/>
        <v>0</v>
      </c>
    </row>
    <row r="1061" spans="1:4" x14ac:dyDescent="0.25">
      <c r="A1061" t="str">
        <f t="shared" si="64"/>
        <v>Antonio Gandy-Golden</v>
      </c>
      <c r="B1061" s="75">
        <f t="shared" si="65"/>
        <v>0</v>
      </c>
      <c r="C1061" s="75">
        <f t="shared" si="66"/>
        <v>0</v>
      </c>
      <c r="D1061" s="180">
        <f t="shared" si="67"/>
        <v>0</v>
      </c>
    </row>
    <row r="1062" spans="1:4" x14ac:dyDescent="0.25">
      <c r="A1062" t="str">
        <f t="shared" si="64"/>
        <v>LeVante Bellamy</v>
      </c>
      <c r="B1062" s="75">
        <f t="shared" si="65"/>
        <v>0</v>
      </c>
      <c r="C1062" s="75">
        <f t="shared" si="66"/>
        <v>0</v>
      </c>
      <c r="D1062" s="180">
        <f t="shared" si="67"/>
        <v>0</v>
      </c>
    </row>
    <row r="1063" spans="1:4" x14ac:dyDescent="0.25">
      <c r="A1063" t="str">
        <f t="shared" si="64"/>
        <v>Will Hastings</v>
      </c>
      <c r="B1063" s="75">
        <f t="shared" si="65"/>
        <v>0</v>
      </c>
      <c r="C1063" s="75">
        <f t="shared" si="66"/>
        <v>0</v>
      </c>
      <c r="D1063" s="180">
        <f t="shared" si="67"/>
        <v>0</v>
      </c>
    </row>
    <row r="1064" spans="1:4" x14ac:dyDescent="0.25">
      <c r="A1064" t="str">
        <f t="shared" si="64"/>
        <v>Reggie Begelton</v>
      </c>
      <c r="B1064" s="75">
        <f t="shared" si="65"/>
        <v>0</v>
      </c>
      <c r="C1064" s="75">
        <f t="shared" si="66"/>
        <v>0</v>
      </c>
      <c r="D1064" s="180">
        <f t="shared" si="67"/>
        <v>0</v>
      </c>
    </row>
    <row r="1065" spans="1:4" x14ac:dyDescent="0.25">
      <c r="A1065" t="str">
        <f t="shared" si="64"/>
        <v>Jeff Thomas</v>
      </c>
      <c r="B1065" s="75">
        <f t="shared" si="65"/>
        <v>0</v>
      </c>
      <c r="C1065" s="75">
        <f t="shared" si="66"/>
        <v>0</v>
      </c>
      <c r="D1065" s="180">
        <f t="shared" si="67"/>
        <v>0</v>
      </c>
    </row>
    <row r="1066" spans="1:4" x14ac:dyDescent="0.25">
      <c r="A1066" t="str">
        <f t="shared" si="64"/>
        <v>Adrian Killins</v>
      </c>
      <c r="B1066" s="75">
        <f t="shared" si="65"/>
        <v>0</v>
      </c>
      <c r="C1066" s="75">
        <f t="shared" si="66"/>
        <v>0</v>
      </c>
      <c r="D1066" s="180">
        <f t="shared" si="67"/>
        <v>0</v>
      </c>
    </row>
    <row r="1067" spans="1:4" x14ac:dyDescent="0.25">
      <c r="A1067" t="str">
        <f t="shared" si="64"/>
        <v>Anthony Gordon</v>
      </c>
      <c r="B1067" s="75">
        <f t="shared" si="65"/>
        <v>0</v>
      </c>
      <c r="C1067" s="75">
        <f t="shared" si="66"/>
        <v>0</v>
      </c>
      <c r="D1067" s="180">
        <f t="shared" si="67"/>
        <v>0</v>
      </c>
    </row>
    <row r="1068" spans="1:4" x14ac:dyDescent="0.25">
      <c r="A1068" t="str">
        <f t="shared" si="64"/>
        <v>Hunter Bryant</v>
      </c>
      <c r="B1068" s="75">
        <f t="shared" si="65"/>
        <v>0</v>
      </c>
      <c r="C1068" s="75">
        <f t="shared" si="66"/>
        <v>0</v>
      </c>
      <c r="D1068" s="180">
        <f t="shared" si="67"/>
        <v>0</v>
      </c>
    </row>
    <row r="1069" spans="1:4" x14ac:dyDescent="0.25">
      <c r="A1069" t="str">
        <f t="shared" si="64"/>
        <v>Omar Bayless</v>
      </c>
      <c r="B1069" s="75">
        <f t="shared" si="65"/>
        <v>0</v>
      </c>
      <c r="C1069" s="75">
        <f t="shared" si="66"/>
        <v>0</v>
      </c>
      <c r="D1069" s="180">
        <f t="shared" si="67"/>
        <v>0</v>
      </c>
    </row>
    <row r="1070" spans="1:4" x14ac:dyDescent="0.25">
      <c r="A1070" t="str">
        <f t="shared" si="64"/>
        <v>Javon Leake</v>
      </c>
      <c r="B1070" s="75">
        <f t="shared" si="65"/>
        <v>0</v>
      </c>
      <c r="C1070" s="75">
        <f t="shared" si="66"/>
        <v>0</v>
      </c>
      <c r="D1070" s="180">
        <f t="shared" si="67"/>
        <v>0</v>
      </c>
    </row>
    <row r="1071" spans="1:4" x14ac:dyDescent="0.25">
      <c r="A1071" t="str">
        <f t="shared" si="64"/>
        <v>Bruce Miller</v>
      </c>
      <c r="B1071" s="75">
        <f t="shared" si="65"/>
        <v>0</v>
      </c>
      <c r="C1071" s="75">
        <f t="shared" si="66"/>
        <v>0</v>
      </c>
      <c r="D1071" s="180">
        <f t="shared" si="67"/>
        <v>0</v>
      </c>
    </row>
    <row r="1072" spans="1:4" x14ac:dyDescent="0.25">
      <c r="A1072" t="str">
        <f t="shared" si="64"/>
        <v>Isaiah Wright</v>
      </c>
      <c r="B1072" s="75">
        <f t="shared" si="65"/>
        <v>0</v>
      </c>
      <c r="C1072" s="75">
        <f t="shared" si="66"/>
        <v>0</v>
      </c>
      <c r="D1072" s="180">
        <f t="shared" si="67"/>
        <v>0</v>
      </c>
    </row>
    <row r="1073" spans="1:4" x14ac:dyDescent="0.25">
      <c r="A1073" t="str">
        <f t="shared" si="64"/>
        <v>Rodney Smith</v>
      </c>
      <c r="B1073" s="75">
        <f t="shared" si="65"/>
        <v>0</v>
      </c>
      <c r="C1073" s="75">
        <f t="shared" si="66"/>
        <v>0</v>
      </c>
      <c r="D1073" s="180">
        <f t="shared" si="67"/>
        <v>0</v>
      </c>
    </row>
    <row r="1074" spans="1:4" x14ac:dyDescent="0.25">
      <c r="A1074" t="str">
        <f t="shared" si="64"/>
        <v>Nick Keizer</v>
      </c>
      <c r="B1074" s="75">
        <f t="shared" si="65"/>
        <v>0</v>
      </c>
      <c r="C1074" s="75">
        <f t="shared" si="66"/>
        <v>0</v>
      </c>
      <c r="D1074" s="180">
        <f t="shared" si="67"/>
        <v>0</v>
      </c>
    </row>
    <row r="1075" spans="1:4" x14ac:dyDescent="0.25">
      <c r="A1075" t="str">
        <f t="shared" si="64"/>
        <v>Dominique Dafney</v>
      </c>
      <c r="B1075" s="75">
        <f t="shared" si="65"/>
        <v>0</v>
      </c>
      <c r="C1075" s="75">
        <f t="shared" si="66"/>
        <v>0</v>
      </c>
      <c r="D1075" s="180">
        <f t="shared" si="67"/>
        <v>0</v>
      </c>
    </row>
    <row r="1076" spans="1:4" x14ac:dyDescent="0.25">
      <c r="A1076" t="str">
        <f t="shared" si="64"/>
        <v>Marcus Baugh</v>
      </c>
      <c r="B1076" s="75">
        <f t="shared" si="65"/>
        <v>0</v>
      </c>
      <c r="C1076" s="75">
        <f t="shared" si="66"/>
        <v>0</v>
      </c>
      <c r="D1076" s="180">
        <f t="shared" si="67"/>
        <v>0</v>
      </c>
    </row>
    <row r="1077" spans="1:4" x14ac:dyDescent="0.25">
      <c r="A1077" t="str">
        <f t="shared" si="64"/>
        <v>Chris Rowland</v>
      </c>
      <c r="B1077" s="75">
        <f t="shared" si="65"/>
        <v>0</v>
      </c>
      <c r="C1077" s="75">
        <f t="shared" si="66"/>
        <v>0</v>
      </c>
      <c r="D1077" s="180">
        <f t="shared" si="67"/>
        <v>0</v>
      </c>
    </row>
    <row r="1078" spans="1:4" x14ac:dyDescent="0.25">
      <c r="A1078" t="str">
        <f t="shared" si="64"/>
        <v>Darius Bradwell</v>
      </c>
      <c r="B1078" s="75">
        <f t="shared" si="65"/>
        <v>0</v>
      </c>
      <c r="C1078" s="75">
        <f t="shared" si="66"/>
        <v>0</v>
      </c>
      <c r="D1078" s="180">
        <f t="shared" si="67"/>
        <v>0</v>
      </c>
    </row>
    <row r="1079" spans="1:4" x14ac:dyDescent="0.25">
      <c r="A1079" t="str">
        <f t="shared" si="64"/>
        <v>Artavis Pierce</v>
      </c>
      <c r="B1079" s="75">
        <f t="shared" si="65"/>
        <v>0</v>
      </c>
      <c r="C1079" s="75">
        <f t="shared" si="66"/>
        <v>0</v>
      </c>
      <c r="D1079" s="180">
        <f t="shared" si="67"/>
        <v>0</v>
      </c>
    </row>
    <row r="1080" spans="1:4" x14ac:dyDescent="0.25">
      <c r="A1080" t="str">
        <f t="shared" si="64"/>
        <v>Scottie Phillips</v>
      </c>
      <c r="B1080" s="75">
        <f t="shared" si="65"/>
        <v>0</v>
      </c>
      <c r="C1080" s="75">
        <f t="shared" si="66"/>
        <v>0</v>
      </c>
      <c r="D1080" s="180">
        <f t="shared" si="67"/>
        <v>0</v>
      </c>
    </row>
    <row r="1081" spans="1:4" x14ac:dyDescent="0.25">
      <c r="A1081" t="str">
        <f t="shared" si="64"/>
        <v>Tony Brown</v>
      </c>
      <c r="B1081" s="75">
        <f t="shared" si="65"/>
        <v>0</v>
      </c>
      <c r="C1081" s="75">
        <f t="shared" si="66"/>
        <v>0</v>
      </c>
      <c r="D1081" s="180">
        <f t="shared" si="67"/>
        <v>0</v>
      </c>
    </row>
    <row r="1082" spans="1:4" x14ac:dyDescent="0.25">
      <c r="A1082" t="str">
        <f t="shared" si="64"/>
        <v>Sewo Olonilua</v>
      </c>
      <c r="B1082" s="75">
        <f t="shared" si="65"/>
        <v>0</v>
      </c>
      <c r="C1082" s="75">
        <f t="shared" si="66"/>
        <v>0</v>
      </c>
      <c r="D1082" s="180">
        <f t="shared" si="67"/>
        <v>0</v>
      </c>
    </row>
    <row r="1083" spans="1:4" x14ac:dyDescent="0.25">
      <c r="A1083" t="str">
        <f t="shared" si="64"/>
        <v>Nathan Cottrell</v>
      </c>
      <c r="B1083" s="75">
        <f t="shared" si="65"/>
        <v>0</v>
      </c>
      <c r="C1083" s="75">
        <f t="shared" si="66"/>
        <v>0</v>
      </c>
      <c r="D1083" s="180">
        <f t="shared" si="67"/>
        <v>0</v>
      </c>
    </row>
    <row r="1084" spans="1:4" x14ac:dyDescent="0.25">
      <c r="A1084" t="str">
        <f t="shared" si="64"/>
        <v>Jake Bargas</v>
      </c>
      <c r="B1084" s="75">
        <f t="shared" si="65"/>
        <v>0</v>
      </c>
      <c r="C1084" s="75">
        <f t="shared" si="66"/>
        <v>0</v>
      </c>
      <c r="D1084" s="180">
        <f t="shared" si="67"/>
        <v>0</v>
      </c>
    </row>
    <row r="1085" spans="1:4" x14ac:dyDescent="0.25">
      <c r="A1085" t="str">
        <f t="shared" si="64"/>
        <v>Farrod Green</v>
      </c>
      <c r="B1085" s="75">
        <f t="shared" si="65"/>
        <v>0</v>
      </c>
      <c r="C1085" s="75">
        <f t="shared" si="66"/>
        <v>0</v>
      </c>
      <c r="D1085" s="180">
        <f t="shared" si="67"/>
        <v>0</v>
      </c>
    </row>
    <row r="1086" spans="1:4" x14ac:dyDescent="0.25">
      <c r="A1086" t="str">
        <f t="shared" si="64"/>
        <v>Jeremy Cox</v>
      </c>
      <c r="B1086" s="75">
        <f t="shared" si="65"/>
        <v>0</v>
      </c>
      <c r="C1086" s="75">
        <f t="shared" si="66"/>
        <v>0</v>
      </c>
      <c r="D1086" s="180">
        <f t="shared" si="67"/>
        <v>0</v>
      </c>
    </row>
    <row r="1087" spans="1:4" x14ac:dyDescent="0.25">
      <c r="A1087" t="str">
        <f t="shared" si="64"/>
        <v>Jeff Badet</v>
      </c>
      <c r="B1087" s="75">
        <f t="shared" si="65"/>
        <v>0</v>
      </c>
      <c r="C1087" s="75">
        <f t="shared" si="66"/>
        <v>0</v>
      </c>
      <c r="D1087" s="180">
        <f t="shared" si="67"/>
        <v>0</v>
      </c>
    </row>
    <row r="1088" spans="1:4" x14ac:dyDescent="0.25">
      <c r="A1088" t="str">
        <f t="shared" si="64"/>
        <v>Tristan Vizcaino</v>
      </c>
      <c r="B1088" s="75">
        <f t="shared" si="65"/>
        <v>0</v>
      </c>
      <c r="C1088" s="75">
        <f t="shared" si="66"/>
        <v>0</v>
      </c>
      <c r="D1088" s="180">
        <f t="shared" si="67"/>
        <v>0</v>
      </c>
    </row>
    <row r="1089" spans="1:4" x14ac:dyDescent="0.25">
      <c r="A1089" t="str">
        <f t="shared" si="64"/>
        <v>Elliott Fry</v>
      </c>
      <c r="B1089" s="75">
        <f t="shared" si="65"/>
        <v>0</v>
      </c>
      <c r="C1089" s="75">
        <f t="shared" si="66"/>
        <v>0</v>
      </c>
      <c r="D1089" s="180">
        <f t="shared" si="67"/>
        <v>0</v>
      </c>
    </row>
    <row r="1090" spans="1:4" x14ac:dyDescent="0.25">
      <c r="A1090" t="str">
        <f t="shared" ref="A1090:A1111" si="68">_xlfn.CONCAT(TRIM(H2204)," ",TRIM(I2204),IF(ISNUMBER(J2204),"",_xlfn.CONCAT(" ",TRIM(J2204))))</f>
        <v>Brandon Wright</v>
      </c>
      <c r="B1090" s="75">
        <f t="shared" ref="B1090:B1111" si="69">IF(ISNUMBER(J2204),J2204,K2204)</f>
        <v>0</v>
      </c>
      <c r="C1090" s="75">
        <f t="shared" ref="C1090:C1111" si="70">IF(ISNUMBER(J2204),K2204,L2204)</f>
        <v>0</v>
      </c>
      <c r="D1090" s="180">
        <f t="shared" ref="D1090:D1111" si="71">IF(ISNUMBER(J2204),L2204,M2204)</f>
        <v>0</v>
      </c>
    </row>
    <row r="1091" spans="1:4" x14ac:dyDescent="0.25">
      <c r="A1091" t="str">
        <f t="shared" si="68"/>
        <v>Sergio Castillo</v>
      </c>
      <c r="B1091" s="75">
        <f t="shared" si="69"/>
        <v>0</v>
      </c>
      <c r="C1091" s="75">
        <f t="shared" si="70"/>
        <v>0</v>
      </c>
      <c r="D1091" s="180">
        <f t="shared" si="71"/>
        <v>0</v>
      </c>
    </row>
    <row r="1092" spans="1:4" x14ac:dyDescent="0.25">
      <c r="A1092" t="str">
        <f t="shared" si="68"/>
        <v>Taylor Russolino</v>
      </c>
      <c r="B1092" s="75">
        <f t="shared" si="69"/>
        <v>0</v>
      </c>
      <c r="C1092" s="75">
        <f t="shared" si="70"/>
        <v>0</v>
      </c>
      <c r="D1092" s="180">
        <f t="shared" si="71"/>
        <v>0</v>
      </c>
    </row>
    <row r="1093" spans="1:4" x14ac:dyDescent="0.25">
      <c r="A1093" t="str">
        <f t="shared" si="68"/>
        <v>Daniel Helm</v>
      </c>
      <c r="B1093" s="75">
        <f t="shared" si="69"/>
        <v>0</v>
      </c>
      <c r="C1093" s="75">
        <f t="shared" si="70"/>
        <v>0</v>
      </c>
      <c r="D1093" s="180">
        <f t="shared" si="71"/>
        <v>0</v>
      </c>
    </row>
    <row r="1094" spans="1:4" x14ac:dyDescent="0.25">
      <c r="A1094" t="str">
        <f t="shared" si="68"/>
        <v>Matthew Wright</v>
      </c>
      <c r="B1094" s="75">
        <f t="shared" si="69"/>
        <v>0</v>
      </c>
      <c r="C1094" s="75">
        <f t="shared" si="70"/>
        <v>0</v>
      </c>
      <c r="D1094" s="180">
        <f t="shared" si="71"/>
        <v>0</v>
      </c>
    </row>
    <row r="1095" spans="1:4" x14ac:dyDescent="0.25">
      <c r="A1095" t="str">
        <f t="shared" si="68"/>
        <v>Jon Brown</v>
      </c>
      <c r="B1095" s="75">
        <f t="shared" si="69"/>
        <v>0</v>
      </c>
      <c r="C1095" s="75">
        <f t="shared" si="70"/>
        <v>0</v>
      </c>
      <c r="D1095" s="180">
        <f t="shared" si="71"/>
        <v>0</v>
      </c>
    </row>
    <row r="1096" spans="1:4" x14ac:dyDescent="0.25">
      <c r="A1096" t="str">
        <f t="shared" si="68"/>
        <v>Tucker McCann</v>
      </c>
      <c r="B1096" s="75">
        <f t="shared" si="69"/>
        <v>0</v>
      </c>
      <c r="C1096" s="75">
        <f t="shared" si="70"/>
        <v>0</v>
      </c>
      <c r="D1096" s="180">
        <f t="shared" si="71"/>
        <v>0</v>
      </c>
    </row>
    <row r="1097" spans="1:4" x14ac:dyDescent="0.25">
      <c r="A1097" t="str">
        <f t="shared" si="68"/>
        <v>Javian Hawkins</v>
      </c>
      <c r="B1097" s="75">
        <f t="shared" si="69"/>
        <v>0</v>
      </c>
      <c r="C1097" s="75">
        <f t="shared" si="70"/>
        <v>0</v>
      </c>
      <c r="D1097" s="180">
        <f t="shared" si="71"/>
        <v>0</v>
      </c>
    </row>
    <row r="1098" spans="1:4" x14ac:dyDescent="0.25">
      <c r="A1098" t="str">
        <f t="shared" si="68"/>
        <v>Dazz Newsome</v>
      </c>
      <c r="B1098" s="75">
        <f t="shared" si="69"/>
        <v>0</v>
      </c>
      <c r="C1098" s="75">
        <f t="shared" si="70"/>
        <v>0</v>
      </c>
      <c r="D1098" s="180">
        <f t="shared" si="71"/>
        <v>0</v>
      </c>
    </row>
    <row r="1099" spans="1:4" x14ac:dyDescent="0.25">
      <c r="A1099" t="str">
        <f t="shared" si="68"/>
        <v>Matt Ammendola</v>
      </c>
      <c r="B1099" s="75">
        <f t="shared" si="69"/>
        <v>0</v>
      </c>
      <c r="C1099" s="75">
        <f t="shared" si="70"/>
        <v>0</v>
      </c>
      <c r="D1099" s="180">
        <f t="shared" si="71"/>
        <v>0</v>
      </c>
    </row>
    <row r="1100" spans="1:4" x14ac:dyDescent="0.25">
      <c r="A1100" t="str">
        <f t="shared" si="68"/>
        <v>Quinn Nordin</v>
      </c>
      <c r="B1100" s="75">
        <f t="shared" si="69"/>
        <v>0</v>
      </c>
      <c r="C1100" s="75">
        <f t="shared" si="70"/>
        <v>0</v>
      </c>
      <c r="D1100" s="180">
        <f t="shared" si="71"/>
        <v>0</v>
      </c>
    </row>
    <row r="1101" spans="1:4" x14ac:dyDescent="0.25">
      <c r="A1101" t="str">
        <f t="shared" si="68"/>
        <v>Sammis Reyes</v>
      </c>
      <c r="B1101" s="75">
        <f t="shared" si="69"/>
        <v>0</v>
      </c>
      <c r="C1101" s="75">
        <f t="shared" si="70"/>
        <v>0</v>
      </c>
      <c r="D1101" s="180">
        <f t="shared" si="71"/>
        <v>0</v>
      </c>
    </row>
    <row r="1102" spans="1:4" x14ac:dyDescent="0.25">
      <c r="A1102" t="str">
        <f t="shared" si="68"/>
        <v>Derrick Gore</v>
      </c>
      <c r="B1102" s="75">
        <f t="shared" si="69"/>
        <v>0</v>
      </c>
      <c r="C1102" s="75">
        <f t="shared" si="70"/>
        <v>0</v>
      </c>
      <c r="D1102" s="180">
        <f t="shared" si="71"/>
        <v>0</v>
      </c>
    </row>
    <row r="1103" spans="1:4" x14ac:dyDescent="0.25">
      <c r="A1103" t="str">
        <f t="shared" si="68"/>
        <v>Riley Patterson</v>
      </c>
      <c r="B1103" s="75">
        <f t="shared" si="69"/>
        <v>0</v>
      </c>
      <c r="C1103" s="75">
        <f t="shared" si="70"/>
        <v>0</v>
      </c>
      <c r="D1103" s="180">
        <f t="shared" si="71"/>
        <v>0</v>
      </c>
    </row>
    <row r="1104" spans="1:4" x14ac:dyDescent="0.25">
      <c r="A1104" t="str">
        <f t="shared" si="68"/>
        <v>Maurice Ffrench</v>
      </c>
      <c r="B1104" s="75">
        <f t="shared" si="69"/>
        <v>0</v>
      </c>
      <c r="C1104" s="75">
        <f t="shared" si="70"/>
        <v>0</v>
      </c>
      <c r="D1104" s="180">
        <f t="shared" si="71"/>
        <v>0</v>
      </c>
    </row>
    <row r="1105" spans="1:12" x14ac:dyDescent="0.25">
      <c r="A1105" t="str">
        <f t="shared" si="68"/>
        <v>Nick Ralston</v>
      </c>
      <c r="B1105" s="75">
        <f t="shared" si="69"/>
        <v>0</v>
      </c>
      <c r="C1105" s="75">
        <f t="shared" si="70"/>
        <v>0</v>
      </c>
      <c r="D1105" s="180">
        <f t="shared" si="71"/>
        <v>0</v>
      </c>
    </row>
    <row r="1106" spans="1:12" x14ac:dyDescent="0.25">
      <c r="A1106" t="str">
        <f t="shared" si="68"/>
        <v>Ethan Wolf</v>
      </c>
      <c r="B1106" s="75">
        <f t="shared" si="69"/>
        <v>0</v>
      </c>
      <c r="C1106" s="75">
        <f t="shared" si="70"/>
        <v>0</v>
      </c>
      <c r="D1106" s="180">
        <f t="shared" si="71"/>
        <v>0</v>
      </c>
    </row>
    <row r="1107" spans="1:12" x14ac:dyDescent="0.25">
      <c r="A1107" t="str">
        <f t="shared" si="68"/>
        <v>D.J. Montgomery</v>
      </c>
      <c r="B1107" s="75">
        <f t="shared" si="69"/>
        <v>0</v>
      </c>
      <c r="C1107" s="75">
        <f t="shared" si="70"/>
        <v>0</v>
      </c>
      <c r="D1107" s="180">
        <f t="shared" si="71"/>
        <v>0</v>
      </c>
    </row>
    <row r="1108" spans="1:12" x14ac:dyDescent="0.25">
      <c r="A1108" t="str">
        <f t="shared" si="68"/>
        <v>Kurt Benkert</v>
      </c>
      <c r="B1108" s="75">
        <f t="shared" si="69"/>
        <v>0</v>
      </c>
      <c r="C1108" s="75">
        <f t="shared" si="70"/>
        <v>0</v>
      </c>
      <c r="D1108" s="180">
        <f t="shared" si="71"/>
        <v>0</v>
      </c>
    </row>
    <row r="1109" spans="1:12" x14ac:dyDescent="0.25">
      <c r="A1109" t="str">
        <f t="shared" si="68"/>
        <v>Brian Johnson</v>
      </c>
      <c r="B1109" s="75">
        <f t="shared" si="69"/>
        <v>0</v>
      </c>
      <c r="C1109" s="75">
        <f t="shared" si="70"/>
        <v>0</v>
      </c>
      <c r="D1109" s="180">
        <f t="shared" si="71"/>
        <v>0</v>
      </c>
    </row>
    <row r="1110" spans="1:12" x14ac:dyDescent="0.25">
      <c r="A1110" t="str">
        <f t="shared" si="68"/>
        <v>Chris Naggar</v>
      </c>
      <c r="B1110" s="75">
        <f t="shared" si="69"/>
        <v>0</v>
      </c>
      <c r="C1110" s="75">
        <f t="shared" si="70"/>
        <v>0</v>
      </c>
      <c r="D1110" s="180">
        <f t="shared" si="71"/>
        <v>0</v>
      </c>
    </row>
    <row r="1111" spans="1:12" x14ac:dyDescent="0.25">
      <c r="A1111" t="str">
        <f t="shared" si="68"/>
        <v>Alex Kessman</v>
      </c>
      <c r="B1111" s="75">
        <f t="shared" si="69"/>
        <v>0</v>
      </c>
      <c r="C1111" s="75">
        <f t="shared" si="70"/>
        <v>0</v>
      </c>
      <c r="D1111" s="180">
        <f t="shared" si="71"/>
        <v>0</v>
      </c>
    </row>
    <row r="1116" spans="1:12" x14ac:dyDescent="0.25">
      <c r="H1116" t="s">
        <v>1038</v>
      </c>
      <c r="I1116" t="s">
        <v>1039</v>
      </c>
      <c r="J1116">
        <v>71</v>
      </c>
      <c r="K1116">
        <v>66</v>
      </c>
      <c r="L1116">
        <v>78</v>
      </c>
    </row>
    <row r="1117" spans="1:12" x14ac:dyDescent="0.25">
      <c r="H1117" t="s">
        <v>1040</v>
      </c>
      <c r="I1117" t="s">
        <v>1041</v>
      </c>
      <c r="J1117">
        <v>60</v>
      </c>
      <c r="K1117">
        <v>57</v>
      </c>
      <c r="L1117">
        <v>66</v>
      </c>
    </row>
    <row r="1118" spans="1:12" x14ac:dyDescent="0.25">
      <c r="H1118" t="s">
        <v>1042</v>
      </c>
      <c r="I1118" t="s">
        <v>1043</v>
      </c>
      <c r="J1118">
        <v>62</v>
      </c>
      <c r="K1118">
        <v>59</v>
      </c>
      <c r="L1118">
        <v>60</v>
      </c>
    </row>
    <row r="1119" spans="1:12" x14ac:dyDescent="0.25">
      <c r="H1119" t="s">
        <v>1044</v>
      </c>
      <c r="I1119" t="s">
        <v>1045</v>
      </c>
      <c r="J1119">
        <v>61</v>
      </c>
      <c r="K1119">
        <v>61</v>
      </c>
      <c r="L1119">
        <v>59</v>
      </c>
    </row>
    <row r="1120" spans="1:12" x14ac:dyDescent="0.25">
      <c r="H1120" t="s">
        <v>1046</v>
      </c>
      <c r="I1120" t="s">
        <v>1047</v>
      </c>
      <c r="J1120">
        <v>59</v>
      </c>
      <c r="K1120">
        <v>61</v>
      </c>
      <c r="L1120">
        <v>52</v>
      </c>
    </row>
    <row r="1121" spans="8:12" x14ac:dyDescent="0.25">
      <c r="H1121" t="s">
        <v>1050</v>
      </c>
      <c r="I1121" t="s">
        <v>1051</v>
      </c>
      <c r="J1121">
        <v>58</v>
      </c>
      <c r="K1121">
        <v>51</v>
      </c>
      <c r="L1121">
        <v>49</v>
      </c>
    </row>
    <row r="1122" spans="8:12" x14ac:dyDescent="0.25">
      <c r="H1122" t="s">
        <v>1048</v>
      </c>
      <c r="I1122" t="s">
        <v>1049</v>
      </c>
      <c r="J1122">
        <v>53</v>
      </c>
      <c r="K1122">
        <v>46</v>
      </c>
      <c r="L1122">
        <v>48</v>
      </c>
    </row>
    <row r="1123" spans="8:12" x14ac:dyDescent="0.25">
      <c r="H1123" t="s">
        <v>1052</v>
      </c>
      <c r="I1123" t="s">
        <v>1053</v>
      </c>
      <c r="J1123">
        <v>55</v>
      </c>
      <c r="K1123">
        <v>53</v>
      </c>
      <c r="L1123">
        <v>43</v>
      </c>
    </row>
    <row r="1124" spans="8:12" x14ac:dyDescent="0.25">
      <c r="H1124" t="s">
        <v>1072</v>
      </c>
      <c r="I1124" t="s">
        <v>1073</v>
      </c>
      <c r="J1124">
        <v>40</v>
      </c>
      <c r="K1124">
        <v>48</v>
      </c>
      <c r="L1124">
        <v>41</v>
      </c>
    </row>
    <row r="1125" spans="8:12" x14ac:dyDescent="0.25">
      <c r="H1125" t="s">
        <v>1054</v>
      </c>
      <c r="I1125" t="s">
        <v>1055</v>
      </c>
      <c r="J1125">
        <v>54</v>
      </c>
      <c r="K1125">
        <v>56</v>
      </c>
      <c r="L1125">
        <v>41</v>
      </c>
    </row>
    <row r="1126" spans="8:12" x14ac:dyDescent="0.25">
      <c r="H1126" t="s">
        <v>1056</v>
      </c>
      <c r="I1126" t="s">
        <v>1057</v>
      </c>
      <c r="J1126">
        <v>58</v>
      </c>
      <c r="K1126">
        <v>58</v>
      </c>
      <c r="L1126">
        <v>41</v>
      </c>
    </row>
    <row r="1127" spans="8:12" x14ac:dyDescent="0.25">
      <c r="H1127" t="s">
        <v>1058</v>
      </c>
      <c r="I1127" t="s">
        <v>1059</v>
      </c>
      <c r="J1127">
        <v>37</v>
      </c>
      <c r="K1127">
        <v>44</v>
      </c>
      <c r="L1127">
        <v>40</v>
      </c>
    </row>
    <row r="1128" spans="8:12" x14ac:dyDescent="0.25">
      <c r="H1128" t="s">
        <v>1060</v>
      </c>
      <c r="I1128" t="s">
        <v>1061</v>
      </c>
      <c r="J1128">
        <v>42</v>
      </c>
      <c r="K1128">
        <v>38</v>
      </c>
      <c r="L1128">
        <v>38</v>
      </c>
    </row>
    <row r="1129" spans="8:12" x14ac:dyDescent="0.25">
      <c r="H1129" t="s">
        <v>1068</v>
      </c>
      <c r="I1129" t="s">
        <v>1069</v>
      </c>
      <c r="J1129">
        <v>32</v>
      </c>
      <c r="K1129">
        <v>34</v>
      </c>
      <c r="L1129">
        <v>37</v>
      </c>
    </row>
    <row r="1130" spans="8:12" x14ac:dyDescent="0.25">
      <c r="H1130" t="s">
        <v>1062</v>
      </c>
      <c r="I1130" t="s">
        <v>1063</v>
      </c>
      <c r="J1130">
        <v>38</v>
      </c>
      <c r="K1130">
        <v>34</v>
      </c>
      <c r="L1130">
        <v>36</v>
      </c>
    </row>
    <row r="1131" spans="8:12" x14ac:dyDescent="0.25">
      <c r="H1131" t="s">
        <v>1078</v>
      </c>
      <c r="I1131" t="s">
        <v>1079</v>
      </c>
      <c r="J1131">
        <v>43</v>
      </c>
      <c r="K1131">
        <v>34</v>
      </c>
      <c r="L1131">
        <v>36</v>
      </c>
    </row>
    <row r="1132" spans="8:12" x14ac:dyDescent="0.25">
      <c r="H1132" t="s">
        <v>1070</v>
      </c>
      <c r="I1132" t="s">
        <v>1071</v>
      </c>
      <c r="J1132">
        <v>48</v>
      </c>
      <c r="K1132">
        <v>30</v>
      </c>
      <c r="L1132">
        <v>36</v>
      </c>
    </row>
    <row r="1133" spans="8:12" x14ac:dyDescent="0.25">
      <c r="H1133" t="s">
        <v>1066</v>
      </c>
      <c r="I1133" t="s">
        <v>1067</v>
      </c>
      <c r="J1133">
        <v>39</v>
      </c>
      <c r="K1133">
        <v>35</v>
      </c>
      <c r="L1133">
        <v>35</v>
      </c>
    </row>
    <row r="1134" spans="8:12" x14ac:dyDescent="0.25">
      <c r="H1134" t="s">
        <v>1084</v>
      </c>
      <c r="I1134" t="s">
        <v>1085</v>
      </c>
      <c r="J1134">
        <v>38</v>
      </c>
      <c r="K1134">
        <v>32</v>
      </c>
      <c r="L1134">
        <v>35</v>
      </c>
    </row>
    <row r="1135" spans="8:12" x14ac:dyDescent="0.25">
      <c r="H1135" t="s">
        <v>1064</v>
      </c>
      <c r="I1135" t="s">
        <v>1065</v>
      </c>
      <c r="J1135">
        <v>25</v>
      </c>
      <c r="K1135">
        <v>31</v>
      </c>
      <c r="L1135">
        <v>34</v>
      </c>
    </row>
    <row r="1136" spans="8:12" x14ac:dyDescent="0.25">
      <c r="H1136" t="s">
        <v>1080</v>
      </c>
      <c r="I1136" t="s">
        <v>1081</v>
      </c>
      <c r="J1136">
        <v>44</v>
      </c>
      <c r="K1136">
        <v>41</v>
      </c>
      <c r="L1136">
        <v>33</v>
      </c>
    </row>
    <row r="1137" spans="8:12" x14ac:dyDescent="0.25">
      <c r="H1137" t="s">
        <v>1082</v>
      </c>
      <c r="I1137" t="s">
        <v>1083</v>
      </c>
      <c r="J1137">
        <v>47</v>
      </c>
      <c r="K1137">
        <v>47</v>
      </c>
      <c r="L1137">
        <v>32</v>
      </c>
    </row>
    <row r="1138" spans="8:12" x14ac:dyDescent="0.25">
      <c r="H1138" t="s">
        <v>1076</v>
      </c>
      <c r="I1138" t="s">
        <v>1077</v>
      </c>
      <c r="J1138">
        <v>20</v>
      </c>
      <c r="K1138">
        <v>18</v>
      </c>
      <c r="L1138">
        <v>30</v>
      </c>
    </row>
    <row r="1139" spans="8:12" x14ac:dyDescent="0.25">
      <c r="H1139" t="s">
        <v>1074</v>
      </c>
      <c r="I1139" t="s">
        <v>1075</v>
      </c>
      <c r="J1139">
        <v>31</v>
      </c>
      <c r="K1139">
        <v>28</v>
      </c>
      <c r="L1139">
        <v>29</v>
      </c>
    </row>
    <row r="1140" spans="8:12" x14ac:dyDescent="0.25">
      <c r="H1140" t="s">
        <v>1094</v>
      </c>
      <c r="I1140" t="s">
        <v>1095</v>
      </c>
      <c r="J1140">
        <v>45</v>
      </c>
      <c r="K1140">
        <v>46</v>
      </c>
      <c r="L1140">
        <v>29</v>
      </c>
    </row>
    <row r="1141" spans="8:12" x14ac:dyDescent="0.25">
      <c r="H1141" t="s">
        <v>1090</v>
      </c>
      <c r="I1141" t="s">
        <v>1091</v>
      </c>
      <c r="J1141">
        <v>27</v>
      </c>
      <c r="K1141">
        <v>21</v>
      </c>
      <c r="L1141">
        <v>28</v>
      </c>
    </row>
    <row r="1142" spans="8:12" x14ac:dyDescent="0.25">
      <c r="H1142" t="s">
        <v>1096</v>
      </c>
      <c r="I1142" t="s">
        <v>1097</v>
      </c>
      <c r="J1142">
        <v>40</v>
      </c>
      <c r="K1142">
        <v>39</v>
      </c>
      <c r="L1142">
        <v>27</v>
      </c>
    </row>
    <row r="1143" spans="8:12" x14ac:dyDescent="0.25">
      <c r="H1143" t="s">
        <v>1100</v>
      </c>
      <c r="I1143" t="s">
        <v>1101</v>
      </c>
      <c r="J1143">
        <v>12</v>
      </c>
      <c r="K1143">
        <v>17</v>
      </c>
      <c r="L1143">
        <v>27</v>
      </c>
    </row>
    <row r="1144" spans="8:12" x14ac:dyDescent="0.25">
      <c r="H1144" t="s">
        <v>1092</v>
      </c>
      <c r="I1144" t="s">
        <v>1093</v>
      </c>
      <c r="J1144">
        <v>31</v>
      </c>
      <c r="K1144">
        <v>29</v>
      </c>
      <c r="L1144">
        <v>27</v>
      </c>
    </row>
    <row r="1145" spans="8:12" x14ac:dyDescent="0.25">
      <c r="H1145" t="s">
        <v>1102</v>
      </c>
      <c r="I1145" t="s">
        <v>1103</v>
      </c>
      <c r="J1145">
        <v>31</v>
      </c>
      <c r="K1145">
        <v>38</v>
      </c>
      <c r="L1145">
        <v>26</v>
      </c>
    </row>
    <row r="1146" spans="8:12" x14ac:dyDescent="0.25">
      <c r="H1146" t="s">
        <v>1108</v>
      </c>
      <c r="I1146" t="s">
        <v>1109</v>
      </c>
      <c r="J1146">
        <v>16</v>
      </c>
      <c r="K1146">
        <v>17</v>
      </c>
      <c r="L1146">
        <v>25</v>
      </c>
    </row>
    <row r="1147" spans="8:12" x14ac:dyDescent="0.25">
      <c r="H1147" t="s">
        <v>1088</v>
      </c>
      <c r="I1147" t="s">
        <v>1089</v>
      </c>
      <c r="J1147">
        <v>23</v>
      </c>
      <c r="K1147">
        <v>25</v>
      </c>
      <c r="L1147">
        <v>25</v>
      </c>
    </row>
    <row r="1148" spans="8:12" x14ac:dyDescent="0.25">
      <c r="H1148" t="s">
        <v>1036</v>
      </c>
      <c r="I1148" t="s">
        <v>1037</v>
      </c>
      <c r="J1148">
        <v>17</v>
      </c>
      <c r="K1148">
        <v>10</v>
      </c>
      <c r="L1148">
        <v>25</v>
      </c>
    </row>
    <row r="1149" spans="8:12" x14ac:dyDescent="0.25">
      <c r="H1149" t="s">
        <v>1110</v>
      </c>
      <c r="I1149" t="s">
        <v>1053</v>
      </c>
      <c r="J1149">
        <v>7</v>
      </c>
      <c r="K1149">
        <v>3</v>
      </c>
      <c r="L1149">
        <v>24</v>
      </c>
    </row>
    <row r="1150" spans="8:12" x14ac:dyDescent="0.25">
      <c r="H1150" t="s">
        <v>1074</v>
      </c>
      <c r="I1150" t="s">
        <v>1098</v>
      </c>
      <c r="J1150">
        <v>12</v>
      </c>
      <c r="K1150">
        <v>12</v>
      </c>
      <c r="L1150">
        <v>24</v>
      </c>
    </row>
    <row r="1151" spans="8:12" x14ac:dyDescent="0.25">
      <c r="H1151" t="s">
        <v>1104</v>
      </c>
      <c r="I1151" t="s">
        <v>1105</v>
      </c>
      <c r="J1151">
        <v>26</v>
      </c>
      <c r="K1151">
        <v>27</v>
      </c>
      <c r="L1151">
        <v>24</v>
      </c>
    </row>
    <row r="1152" spans="8:12" x14ac:dyDescent="0.25">
      <c r="H1152" t="s">
        <v>1106</v>
      </c>
      <c r="I1152" t="s">
        <v>1107</v>
      </c>
      <c r="J1152">
        <v>23</v>
      </c>
      <c r="K1152">
        <v>24</v>
      </c>
      <c r="L1152">
        <v>22</v>
      </c>
    </row>
    <row r="1153" spans="8:13" x14ac:dyDescent="0.25">
      <c r="H1153" t="s">
        <v>1099</v>
      </c>
      <c r="I1153" t="s">
        <v>2518</v>
      </c>
      <c r="J1153">
        <v>14</v>
      </c>
      <c r="K1153">
        <v>21</v>
      </c>
      <c r="L1153">
        <v>22</v>
      </c>
    </row>
    <row r="1154" spans="8:13" x14ac:dyDescent="0.25">
      <c r="H1154" t="s">
        <v>1111</v>
      </c>
      <c r="I1154" t="s">
        <v>1112</v>
      </c>
      <c r="J1154">
        <v>6</v>
      </c>
      <c r="K1154">
        <v>7</v>
      </c>
      <c r="L1154">
        <v>21</v>
      </c>
    </row>
    <row r="1155" spans="8:13" x14ac:dyDescent="0.25">
      <c r="H1155" t="s">
        <v>1060</v>
      </c>
      <c r="I1155" t="s">
        <v>2519</v>
      </c>
      <c r="J1155">
        <v>14</v>
      </c>
      <c r="K1155">
        <v>15</v>
      </c>
      <c r="L1155">
        <v>21</v>
      </c>
    </row>
    <row r="1156" spans="8:13" x14ac:dyDescent="0.25">
      <c r="H1156" t="s">
        <v>1120</v>
      </c>
      <c r="I1156" t="s">
        <v>1121</v>
      </c>
      <c r="J1156" t="s">
        <v>1122</v>
      </c>
      <c r="K1156">
        <v>23</v>
      </c>
      <c r="L1156">
        <v>25</v>
      </c>
      <c r="M1156">
        <v>20</v>
      </c>
    </row>
    <row r="1157" spans="8:13" x14ac:dyDescent="0.25">
      <c r="H1157" t="s">
        <v>1092</v>
      </c>
      <c r="I1157" t="s">
        <v>1079</v>
      </c>
      <c r="J1157">
        <v>10</v>
      </c>
      <c r="K1157">
        <v>19</v>
      </c>
      <c r="L1157">
        <v>20</v>
      </c>
    </row>
    <row r="1158" spans="8:13" x14ac:dyDescent="0.25">
      <c r="H1158" t="s">
        <v>1126</v>
      </c>
      <c r="I1158" t="s">
        <v>1127</v>
      </c>
      <c r="J1158">
        <v>18</v>
      </c>
      <c r="K1158">
        <v>22</v>
      </c>
      <c r="L1158">
        <v>19</v>
      </c>
    </row>
    <row r="1159" spans="8:13" x14ac:dyDescent="0.25">
      <c r="H1159" t="s">
        <v>1160</v>
      </c>
      <c r="I1159" t="s">
        <v>1161</v>
      </c>
      <c r="J1159">
        <v>5</v>
      </c>
      <c r="K1159">
        <v>8</v>
      </c>
      <c r="L1159">
        <v>18</v>
      </c>
    </row>
    <row r="1160" spans="8:13" x14ac:dyDescent="0.25">
      <c r="H1160" t="s">
        <v>2517</v>
      </c>
      <c r="I1160" t="s">
        <v>1123</v>
      </c>
      <c r="J1160">
        <v>16</v>
      </c>
      <c r="K1160">
        <v>25</v>
      </c>
      <c r="L1160">
        <v>18</v>
      </c>
    </row>
    <row r="1161" spans="8:13" x14ac:dyDescent="0.25">
      <c r="H1161" t="s">
        <v>1056</v>
      </c>
      <c r="I1161" t="s">
        <v>1113</v>
      </c>
      <c r="J1161">
        <v>14</v>
      </c>
      <c r="K1161">
        <v>17</v>
      </c>
      <c r="L1161">
        <v>18</v>
      </c>
    </row>
    <row r="1162" spans="8:13" x14ac:dyDescent="0.25">
      <c r="H1162" t="s">
        <v>1128</v>
      </c>
      <c r="I1162" t="s">
        <v>1129</v>
      </c>
      <c r="J1162">
        <v>5</v>
      </c>
      <c r="K1162">
        <v>3</v>
      </c>
      <c r="L1162">
        <v>18</v>
      </c>
    </row>
    <row r="1163" spans="8:13" x14ac:dyDescent="0.25">
      <c r="H1163" t="s">
        <v>1137</v>
      </c>
      <c r="I1163" t="s">
        <v>1138</v>
      </c>
      <c r="J1163">
        <v>10</v>
      </c>
      <c r="K1163">
        <v>5</v>
      </c>
      <c r="L1163">
        <v>17</v>
      </c>
    </row>
    <row r="1164" spans="8:13" x14ac:dyDescent="0.25">
      <c r="H1164" t="s">
        <v>1130</v>
      </c>
      <c r="I1164" t="s">
        <v>1131</v>
      </c>
      <c r="J1164">
        <v>4</v>
      </c>
      <c r="K1164">
        <v>15</v>
      </c>
      <c r="L1164">
        <v>17</v>
      </c>
    </row>
    <row r="1165" spans="8:13" x14ac:dyDescent="0.25">
      <c r="H1165" t="s">
        <v>1134</v>
      </c>
      <c r="I1165" t="s">
        <v>1135</v>
      </c>
      <c r="J1165">
        <v>11</v>
      </c>
      <c r="K1165">
        <v>12</v>
      </c>
      <c r="L1165">
        <v>17</v>
      </c>
    </row>
    <row r="1166" spans="8:13" x14ac:dyDescent="0.25">
      <c r="H1166" t="s">
        <v>1124</v>
      </c>
      <c r="I1166" t="s">
        <v>1125</v>
      </c>
      <c r="J1166">
        <v>6</v>
      </c>
      <c r="K1166">
        <v>7</v>
      </c>
      <c r="L1166">
        <v>17</v>
      </c>
    </row>
    <row r="1167" spans="8:13" x14ac:dyDescent="0.25">
      <c r="H1167" t="s">
        <v>1146</v>
      </c>
      <c r="I1167" t="s">
        <v>1147</v>
      </c>
      <c r="J1167">
        <v>5</v>
      </c>
      <c r="K1167">
        <v>10</v>
      </c>
      <c r="L1167">
        <v>17</v>
      </c>
    </row>
    <row r="1168" spans="8:13" x14ac:dyDescent="0.25">
      <c r="H1168" t="s">
        <v>1136</v>
      </c>
      <c r="I1168" t="s">
        <v>1075</v>
      </c>
      <c r="J1168">
        <v>26</v>
      </c>
      <c r="K1168">
        <v>30</v>
      </c>
      <c r="L1168">
        <v>17</v>
      </c>
    </row>
    <row r="1169" spans="8:12" x14ac:dyDescent="0.25">
      <c r="H1169" t="s">
        <v>1114</v>
      </c>
      <c r="I1169" t="s">
        <v>1115</v>
      </c>
      <c r="J1169">
        <v>6</v>
      </c>
      <c r="K1169">
        <v>11</v>
      </c>
      <c r="L1169">
        <v>17</v>
      </c>
    </row>
    <row r="1170" spans="8:12" x14ac:dyDescent="0.25">
      <c r="H1170" t="s">
        <v>1116</v>
      </c>
      <c r="I1170" t="s">
        <v>1117</v>
      </c>
      <c r="J1170">
        <v>13</v>
      </c>
      <c r="K1170">
        <v>13</v>
      </c>
      <c r="L1170">
        <v>17</v>
      </c>
    </row>
    <row r="1171" spans="8:12" x14ac:dyDescent="0.25">
      <c r="H1171" t="s">
        <v>2516</v>
      </c>
      <c r="I1171" t="s">
        <v>1139</v>
      </c>
      <c r="J1171">
        <v>8</v>
      </c>
      <c r="K1171">
        <v>15</v>
      </c>
      <c r="L1171">
        <v>16</v>
      </c>
    </row>
    <row r="1172" spans="8:12" x14ac:dyDescent="0.25">
      <c r="H1172" t="s">
        <v>1118</v>
      </c>
      <c r="I1172" t="s">
        <v>1119</v>
      </c>
      <c r="J1172">
        <v>6</v>
      </c>
      <c r="K1172">
        <v>9</v>
      </c>
      <c r="L1172">
        <v>16</v>
      </c>
    </row>
    <row r="1173" spans="8:12" x14ac:dyDescent="0.25">
      <c r="H1173" t="s">
        <v>1150</v>
      </c>
      <c r="I1173" t="s">
        <v>1151</v>
      </c>
      <c r="J1173">
        <v>3</v>
      </c>
      <c r="K1173">
        <v>4</v>
      </c>
      <c r="L1173">
        <v>16</v>
      </c>
    </row>
    <row r="1174" spans="8:12" x14ac:dyDescent="0.25">
      <c r="H1174" t="s">
        <v>1086</v>
      </c>
      <c r="I1174" t="s">
        <v>1087</v>
      </c>
      <c r="J1174">
        <v>19</v>
      </c>
      <c r="K1174">
        <v>6</v>
      </c>
      <c r="L1174">
        <v>15</v>
      </c>
    </row>
    <row r="1175" spans="8:12" x14ac:dyDescent="0.25">
      <c r="H1175" t="s">
        <v>1132</v>
      </c>
      <c r="I1175" t="s">
        <v>1133</v>
      </c>
      <c r="J1175">
        <v>2</v>
      </c>
      <c r="K1175">
        <v>4</v>
      </c>
      <c r="L1175">
        <v>15</v>
      </c>
    </row>
    <row r="1176" spans="8:12" x14ac:dyDescent="0.25">
      <c r="H1176" t="s">
        <v>1142</v>
      </c>
      <c r="I1176" t="s">
        <v>1143</v>
      </c>
      <c r="J1176">
        <v>12</v>
      </c>
      <c r="K1176">
        <v>18</v>
      </c>
      <c r="L1176">
        <v>15</v>
      </c>
    </row>
    <row r="1177" spans="8:12" x14ac:dyDescent="0.25">
      <c r="H1177" t="s">
        <v>1148</v>
      </c>
      <c r="I1177" t="s">
        <v>1149</v>
      </c>
      <c r="J1177">
        <v>12</v>
      </c>
      <c r="K1177">
        <v>13</v>
      </c>
      <c r="L1177">
        <v>15</v>
      </c>
    </row>
    <row r="1178" spans="8:12" x14ac:dyDescent="0.25">
      <c r="H1178" t="s">
        <v>1170</v>
      </c>
      <c r="I1178" t="s">
        <v>1171</v>
      </c>
      <c r="J1178">
        <v>10</v>
      </c>
      <c r="K1178">
        <v>14</v>
      </c>
      <c r="L1178">
        <v>14</v>
      </c>
    </row>
    <row r="1179" spans="8:12" x14ac:dyDescent="0.25">
      <c r="H1179" t="s">
        <v>1152</v>
      </c>
      <c r="I1179" t="s">
        <v>1153</v>
      </c>
      <c r="J1179">
        <v>7</v>
      </c>
      <c r="K1179">
        <v>7</v>
      </c>
      <c r="L1179">
        <v>14</v>
      </c>
    </row>
    <row r="1180" spans="8:12" x14ac:dyDescent="0.25">
      <c r="H1180" t="s">
        <v>1187</v>
      </c>
      <c r="I1180" t="s">
        <v>1188</v>
      </c>
      <c r="J1180">
        <v>4</v>
      </c>
      <c r="K1180">
        <v>4</v>
      </c>
      <c r="L1180">
        <v>14</v>
      </c>
    </row>
    <row r="1181" spans="8:12" x14ac:dyDescent="0.25">
      <c r="H1181" t="s">
        <v>1154</v>
      </c>
      <c r="I1181" t="s">
        <v>1155</v>
      </c>
      <c r="J1181">
        <v>12</v>
      </c>
      <c r="K1181">
        <v>21</v>
      </c>
      <c r="L1181">
        <v>14</v>
      </c>
    </row>
    <row r="1182" spans="8:12" x14ac:dyDescent="0.25">
      <c r="H1182" t="s">
        <v>1156</v>
      </c>
      <c r="I1182" t="s">
        <v>1157</v>
      </c>
      <c r="J1182">
        <v>13</v>
      </c>
      <c r="K1182">
        <v>17</v>
      </c>
      <c r="L1182">
        <v>13</v>
      </c>
    </row>
    <row r="1183" spans="8:12" x14ac:dyDescent="0.25">
      <c r="H1183" t="s">
        <v>1120</v>
      </c>
      <c r="I1183" t="s">
        <v>1181</v>
      </c>
      <c r="J1183">
        <v>6</v>
      </c>
      <c r="K1183">
        <v>7</v>
      </c>
      <c r="L1183">
        <v>13</v>
      </c>
    </row>
    <row r="1184" spans="8:12" x14ac:dyDescent="0.25">
      <c r="H1184" t="s">
        <v>1144</v>
      </c>
      <c r="I1184" t="s">
        <v>1145</v>
      </c>
      <c r="J1184">
        <v>4</v>
      </c>
      <c r="K1184">
        <v>7</v>
      </c>
      <c r="L1184">
        <v>13</v>
      </c>
    </row>
    <row r="1185" spans="8:13" x14ac:dyDescent="0.25">
      <c r="H1185" t="s">
        <v>1158</v>
      </c>
      <c r="I1185" t="s">
        <v>1159</v>
      </c>
      <c r="J1185" t="s">
        <v>1107</v>
      </c>
      <c r="K1185">
        <v>5</v>
      </c>
      <c r="L1185">
        <v>11</v>
      </c>
      <c r="M1185">
        <v>12</v>
      </c>
    </row>
    <row r="1186" spans="8:13" x14ac:dyDescent="0.25">
      <c r="H1186" t="s">
        <v>1140</v>
      </c>
      <c r="I1186" t="s">
        <v>1141</v>
      </c>
      <c r="J1186">
        <v>3</v>
      </c>
      <c r="K1186">
        <v>5</v>
      </c>
      <c r="L1186">
        <v>12</v>
      </c>
    </row>
    <row r="1187" spans="8:13" x14ac:dyDescent="0.25">
      <c r="H1187" t="s">
        <v>1174</v>
      </c>
      <c r="I1187" t="s">
        <v>1175</v>
      </c>
      <c r="J1187">
        <v>2</v>
      </c>
      <c r="K1187">
        <v>9</v>
      </c>
      <c r="L1187">
        <v>12</v>
      </c>
    </row>
    <row r="1188" spans="8:13" x14ac:dyDescent="0.25">
      <c r="H1188" t="s">
        <v>1162</v>
      </c>
      <c r="I1188" t="s">
        <v>1163</v>
      </c>
      <c r="J1188">
        <v>6</v>
      </c>
      <c r="K1188">
        <v>13</v>
      </c>
      <c r="L1188">
        <v>12</v>
      </c>
    </row>
    <row r="1189" spans="8:13" x14ac:dyDescent="0.25">
      <c r="H1189" t="s">
        <v>1055</v>
      </c>
      <c r="I1189" t="s">
        <v>1189</v>
      </c>
      <c r="J1189">
        <v>4</v>
      </c>
      <c r="K1189">
        <v>4</v>
      </c>
      <c r="L1189">
        <v>11</v>
      </c>
    </row>
    <row r="1190" spans="8:13" x14ac:dyDescent="0.25">
      <c r="H1190" t="s">
        <v>1172</v>
      </c>
      <c r="I1190" t="s">
        <v>1173</v>
      </c>
      <c r="J1190">
        <v>3</v>
      </c>
      <c r="K1190">
        <v>4</v>
      </c>
      <c r="L1190">
        <v>11</v>
      </c>
    </row>
    <row r="1191" spans="8:13" x14ac:dyDescent="0.25">
      <c r="H1191" t="s">
        <v>1036</v>
      </c>
      <c r="I1191" t="s">
        <v>1123</v>
      </c>
      <c r="J1191">
        <v>3</v>
      </c>
      <c r="K1191">
        <v>3</v>
      </c>
      <c r="L1191">
        <v>11</v>
      </c>
    </row>
    <row r="1192" spans="8:13" x14ac:dyDescent="0.25">
      <c r="H1192" t="s">
        <v>1179</v>
      </c>
      <c r="I1192" t="s">
        <v>2521</v>
      </c>
      <c r="J1192">
        <v>2</v>
      </c>
      <c r="K1192">
        <v>2</v>
      </c>
      <c r="L1192">
        <v>11</v>
      </c>
    </row>
    <row r="1193" spans="8:13" x14ac:dyDescent="0.25">
      <c r="H1193" t="s">
        <v>1165</v>
      </c>
      <c r="I1193" t="s">
        <v>1166</v>
      </c>
      <c r="J1193">
        <v>1</v>
      </c>
      <c r="K1193">
        <v>3</v>
      </c>
      <c r="L1193">
        <v>11</v>
      </c>
    </row>
    <row r="1194" spans="8:13" x14ac:dyDescent="0.25">
      <c r="H1194" t="s">
        <v>1183</v>
      </c>
      <c r="I1194" t="s">
        <v>1184</v>
      </c>
      <c r="J1194">
        <v>3</v>
      </c>
      <c r="K1194">
        <v>7</v>
      </c>
      <c r="L1194">
        <v>10</v>
      </c>
    </row>
    <row r="1195" spans="8:13" x14ac:dyDescent="0.25">
      <c r="H1195" t="s">
        <v>1168</v>
      </c>
      <c r="I1195" t="s">
        <v>1169</v>
      </c>
      <c r="J1195">
        <v>4</v>
      </c>
      <c r="K1195">
        <v>9</v>
      </c>
      <c r="L1195">
        <v>10</v>
      </c>
    </row>
    <row r="1196" spans="8:13" x14ac:dyDescent="0.25">
      <c r="H1196" t="s">
        <v>1048</v>
      </c>
      <c r="I1196" t="s">
        <v>1164</v>
      </c>
      <c r="J1196">
        <v>6</v>
      </c>
      <c r="K1196">
        <v>7</v>
      </c>
      <c r="L1196">
        <v>10</v>
      </c>
    </row>
    <row r="1197" spans="8:13" x14ac:dyDescent="0.25">
      <c r="H1197" t="s">
        <v>1176</v>
      </c>
      <c r="I1197" t="s">
        <v>1177</v>
      </c>
      <c r="J1197">
        <v>4</v>
      </c>
      <c r="K1197">
        <v>5</v>
      </c>
      <c r="L1197">
        <v>10</v>
      </c>
    </row>
    <row r="1198" spans="8:13" x14ac:dyDescent="0.25">
      <c r="H1198" t="s">
        <v>1178</v>
      </c>
      <c r="I1198" t="s">
        <v>1107</v>
      </c>
      <c r="J1198">
        <v>3</v>
      </c>
      <c r="K1198">
        <v>13</v>
      </c>
      <c r="L1198">
        <v>10</v>
      </c>
    </row>
    <row r="1199" spans="8:13" x14ac:dyDescent="0.25">
      <c r="H1199" t="s">
        <v>1062</v>
      </c>
      <c r="I1199" t="s">
        <v>1182</v>
      </c>
      <c r="J1199">
        <v>2</v>
      </c>
      <c r="K1199">
        <v>7</v>
      </c>
      <c r="L1199">
        <v>9</v>
      </c>
    </row>
    <row r="1200" spans="8:13" x14ac:dyDescent="0.25">
      <c r="H1200" t="s">
        <v>1167</v>
      </c>
      <c r="I1200" t="s">
        <v>1046</v>
      </c>
      <c r="J1200">
        <v>6</v>
      </c>
      <c r="K1200">
        <v>6</v>
      </c>
      <c r="L1200">
        <v>9</v>
      </c>
    </row>
    <row r="1201" spans="8:13" x14ac:dyDescent="0.25">
      <c r="H1201" t="s">
        <v>1228</v>
      </c>
      <c r="I1201" t="s">
        <v>1229</v>
      </c>
      <c r="J1201">
        <v>5</v>
      </c>
      <c r="K1201">
        <v>5</v>
      </c>
      <c r="L1201">
        <v>9</v>
      </c>
    </row>
    <row r="1202" spans="8:13" x14ac:dyDescent="0.25">
      <c r="H1202" t="s">
        <v>1195</v>
      </c>
      <c r="I1202" t="s">
        <v>1196</v>
      </c>
      <c r="J1202">
        <v>5</v>
      </c>
      <c r="K1202">
        <v>7</v>
      </c>
      <c r="L1202">
        <v>9</v>
      </c>
    </row>
    <row r="1203" spans="8:13" x14ac:dyDescent="0.25">
      <c r="H1203" t="s">
        <v>1204</v>
      </c>
      <c r="I1203" t="s">
        <v>1205</v>
      </c>
      <c r="J1203">
        <v>1</v>
      </c>
      <c r="K1203">
        <v>2</v>
      </c>
      <c r="L1203">
        <v>9</v>
      </c>
    </row>
    <row r="1204" spans="8:13" x14ac:dyDescent="0.25">
      <c r="H1204" t="s">
        <v>1075</v>
      </c>
      <c r="I1204" t="s">
        <v>2520</v>
      </c>
      <c r="J1204">
        <v>7</v>
      </c>
      <c r="K1204">
        <v>8</v>
      </c>
      <c r="L1204">
        <v>8</v>
      </c>
    </row>
    <row r="1205" spans="8:13" x14ac:dyDescent="0.25">
      <c r="H1205" t="s">
        <v>1369</v>
      </c>
      <c r="I1205" t="s">
        <v>1192</v>
      </c>
      <c r="J1205" t="s">
        <v>1122</v>
      </c>
      <c r="K1205">
        <v>3</v>
      </c>
      <c r="L1205">
        <v>0</v>
      </c>
      <c r="M1205">
        <v>8</v>
      </c>
    </row>
    <row r="1206" spans="8:13" x14ac:dyDescent="0.25">
      <c r="H1206" t="s">
        <v>1193</v>
      </c>
      <c r="I1206" t="s">
        <v>1194</v>
      </c>
      <c r="J1206">
        <v>2</v>
      </c>
      <c r="K1206">
        <v>6</v>
      </c>
      <c r="L1206">
        <v>8</v>
      </c>
    </row>
    <row r="1207" spans="8:13" x14ac:dyDescent="0.25">
      <c r="H1207" t="s">
        <v>1064</v>
      </c>
      <c r="I1207" t="s">
        <v>1192</v>
      </c>
      <c r="J1207">
        <v>1</v>
      </c>
      <c r="K1207">
        <v>2</v>
      </c>
      <c r="L1207">
        <v>8</v>
      </c>
    </row>
    <row r="1208" spans="8:13" x14ac:dyDescent="0.25">
      <c r="H1208" t="s">
        <v>1185</v>
      </c>
      <c r="I1208" t="s">
        <v>1186</v>
      </c>
      <c r="J1208">
        <v>2</v>
      </c>
      <c r="K1208">
        <v>4</v>
      </c>
      <c r="L1208">
        <v>8</v>
      </c>
    </row>
    <row r="1209" spans="8:13" x14ac:dyDescent="0.25">
      <c r="H1209" t="s">
        <v>1190</v>
      </c>
      <c r="I1209" t="s">
        <v>1191</v>
      </c>
      <c r="J1209">
        <v>2</v>
      </c>
      <c r="K1209">
        <v>4</v>
      </c>
      <c r="L1209">
        <v>8</v>
      </c>
    </row>
    <row r="1210" spans="8:13" x14ac:dyDescent="0.25">
      <c r="H1210" t="s">
        <v>1230</v>
      </c>
      <c r="I1210" t="s">
        <v>1231</v>
      </c>
      <c r="J1210" t="s">
        <v>1122</v>
      </c>
      <c r="K1210">
        <v>1</v>
      </c>
      <c r="L1210">
        <v>1</v>
      </c>
      <c r="M1210">
        <v>7</v>
      </c>
    </row>
    <row r="1211" spans="8:13" x14ac:dyDescent="0.25">
      <c r="H1211" t="s">
        <v>1193</v>
      </c>
      <c r="I1211" t="s">
        <v>1041</v>
      </c>
      <c r="J1211">
        <v>1</v>
      </c>
      <c r="K1211">
        <v>1</v>
      </c>
      <c r="L1211">
        <v>7</v>
      </c>
    </row>
    <row r="1212" spans="8:13" x14ac:dyDescent="0.25">
      <c r="H1212" t="s">
        <v>1064</v>
      </c>
      <c r="I1212" t="s">
        <v>1051</v>
      </c>
      <c r="J1212">
        <v>2</v>
      </c>
      <c r="K1212">
        <v>2</v>
      </c>
      <c r="L1212">
        <v>7</v>
      </c>
    </row>
    <row r="1213" spans="8:13" x14ac:dyDescent="0.25">
      <c r="H1213" t="s">
        <v>1197</v>
      </c>
      <c r="I1213" t="s">
        <v>1198</v>
      </c>
      <c r="J1213" t="s">
        <v>1199</v>
      </c>
      <c r="K1213">
        <v>2</v>
      </c>
      <c r="L1213">
        <v>2</v>
      </c>
      <c r="M1213">
        <v>7</v>
      </c>
    </row>
    <row r="1214" spans="8:13" x14ac:dyDescent="0.25">
      <c r="H1214" t="s">
        <v>1120</v>
      </c>
      <c r="I1214" t="s">
        <v>1220</v>
      </c>
      <c r="J1214">
        <v>1</v>
      </c>
      <c r="K1214">
        <v>1</v>
      </c>
      <c r="L1214">
        <v>7</v>
      </c>
    </row>
    <row r="1215" spans="8:13" x14ac:dyDescent="0.25">
      <c r="H1215" t="s">
        <v>1221</v>
      </c>
      <c r="I1215" t="s">
        <v>1222</v>
      </c>
      <c r="J1215">
        <v>3</v>
      </c>
      <c r="K1215">
        <v>5</v>
      </c>
      <c r="L1215">
        <v>7</v>
      </c>
    </row>
    <row r="1216" spans="8:13" x14ac:dyDescent="0.25">
      <c r="H1216" t="s">
        <v>1206</v>
      </c>
      <c r="I1216" t="s">
        <v>1207</v>
      </c>
      <c r="J1216">
        <v>4</v>
      </c>
      <c r="K1216">
        <v>5</v>
      </c>
      <c r="L1216">
        <v>7</v>
      </c>
    </row>
    <row r="1217" spans="8:13" x14ac:dyDescent="0.25">
      <c r="H1217" t="s">
        <v>1075</v>
      </c>
      <c r="I1217" t="s">
        <v>1225</v>
      </c>
      <c r="J1217">
        <v>2</v>
      </c>
      <c r="K1217">
        <v>4</v>
      </c>
      <c r="L1217">
        <v>6</v>
      </c>
    </row>
    <row r="1218" spans="8:13" x14ac:dyDescent="0.25">
      <c r="H1218" t="s">
        <v>1226</v>
      </c>
      <c r="I1218" t="s">
        <v>1227</v>
      </c>
      <c r="J1218">
        <v>2</v>
      </c>
      <c r="K1218">
        <v>3</v>
      </c>
      <c r="L1218">
        <v>6</v>
      </c>
    </row>
    <row r="1219" spans="8:13" x14ac:dyDescent="0.25">
      <c r="H1219" t="s">
        <v>1055</v>
      </c>
      <c r="I1219" t="s">
        <v>1210</v>
      </c>
      <c r="J1219">
        <v>1</v>
      </c>
      <c r="K1219">
        <v>2</v>
      </c>
      <c r="L1219">
        <v>6</v>
      </c>
    </row>
    <row r="1220" spans="8:13" x14ac:dyDescent="0.25">
      <c r="H1220" t="s">
        <v>1211</v>
      </c>
      <c r="I1220" t="s">
        <v>1212</v>
      </c>
      <c r="J1220">
        <v>2</v>
      </c>
      <c r="K1220">
        <v>2</v>
      </c>
      <c r="L1220">
        <v>6</v>
      </c>
    </row>
    <row r="1221" spans="8:13" x14ac:dyDescent="0.25">
      <c r="H1221" t="s">
        <v>1213</v>
      </c>
      <c r="I1221" t="s">
        <v>1214</v>
      </c>
      <c r="J1221">
        <v>1</v>
      </c>
      <c r="K1221">
        <v>4</v>
      </c>
      <c r="L1221">
        <v>6</v>
      </c>
    </row>
    <row r="1222" spans="8:13" x14ac:dyDescent="0.25">
      <c r="H1222" t="s">
        <v>1217</v>
      </c>
      <c r="I1222" t="s">
        <v>1079</v>
      </c>
      <c r="J1222">
        <v>1</v>
      </c>
      <c r="K1222">
        <v>1</v>
      </c>
      <c r="L1222">
        <v>6</v>
      </c>
    </row>
    <row r="1223" spans="8:13" x14ac:dyDescent="0.25">
      <c r="H1223" t="s">
        <v>1237</v>
      </c>
      <c r="I1223" t="s">
        <v>1238</v>
      </c>
      <c r="J1223">
        <v>1</v>
      </c>
      <c r="K1223">
        <v>1</v>
      </c>
      <c r="L1223">
        <v>6</v>
      </c>
    </row>
    <row r="1224" spans="8:13" x14ac:dyDescent="0.25">
      <c r="H1224" t="s">
        <v>1200</v>
      </c>
      <c r="I1224" t="s">
        <v>1201</v>
      </c>
      <c r="J1224">
        <v>4</v>
      </c>
      <c r="K1224">
        <v>6</v>
      </c>
      <c r="L1224">
        <v>6</v>
      </c>
    </row>
    <row r="1225" spans="8:13" x14ac:dyDescent="0.25">
      <c r="H1225" t="s">
        <v>1239</v>
      </c>
      <c r="I1225" t="s">
        <v>1240</v>
      </c>
      <c r="J1225">
        <v>1</v>
      </c>
      <c r="K1225">
        <v>1</v>
      </c>
      <c r="L1225">
        <v>5</v>
      </c>
    </row>
    <row r="1226" spans="8:13" x14ac:dyDescent="0.25">
      <c r="H1226" t="s">
        <v>1044</v>
      </c>
      <c r="I1226" t="s">
        <v>1218</v>
      </c>
      <c r="J1226">
        <v>1</v>
      </c>
      <c r="K1226">
        <v>3</v>
      </c>
      <c r="L1226">
        <v>5</v>
      </c>
    </row>
    <row r="1227" spans="8:13" x14ac:dyDescent="0.25">
      <c r="H1227" t="s">
        <v>1215</v>
      </c>
      <c r="I1227" t="s">
        <v>1216</v>
      </c>
      <c r="J1227">
        <v>1</v>
      </c>
      <c r="K1227">
        <v>3</v>
      </c>
      <c r="L1227">
        <v>5</v>
      </c>
    </row>
    <row r="1228" spans="8:13" x14ac:dyDescent="0.25">
      <c r="H1228" t="s">
        <v>1232</v>
      </c>
      <c r="I1228" t="s">
        <v>1233</v>
      </c>
      <c r="J1228">
        <v>1</v>
      </c>
      <c r="K1228">
        <v>4</v>
      </c>
      <c r="L1228">
        <v>5</v>
      </c>
    </row>
    <row r="1229" spans="8:13" x14ac:dyDescent="0.25">
      <c r="H1229" t="s">
        <v>1241</v>
      </c>
      <c r="I1229" t="s">
        <v>1242</v>
      </c>
      <c r="J1229">
        <v>1</v>
      </c>
      <c r="K1229">
        <v>0</v>
      </c>
      <c r="L1229">
        <v>5</v>
      </c>
    </row>
    <row r="1230" spans="8:13" x14ac:dyDescent="0.25">
      <c r="H1230" t="s">
        <v>1218</v>
      </c>
      <c r="I1230" t="s">
        <v>1219</v>
      </c>
      <c r="J1230">
        <v>1</v>
      </c>
      <c r="K1230">
        <v>2</v>
      </c>
      <c r="L1230">
        <v>5</v>
      </c>
    </row>
    <row r="1231" spans="8:13" x14ac:dyDescent="0.25">
      <c r="H1231" t="s">
        <v>1068</v>
      </c>
      <c r="I1231" t="s">
        <v>1236</v>
      </c>
      <c r="J1231" t="s">
        <v>1224</v>
      </c>
      <c r="K1231">
        <v>1</v>
      </c>
      <c r="L1231">
        <v>0</v>
      </c>
      <c r="M1231">
        <v>5</v>
      </c>
    </row>
    <row r="1232" spans="8:13" x14ac:dyDescent="0.25">
      <c r="H1232" t="s">
        <v>1246</v>
      </c>
      <c r="I1232" t="s">
        <v>1247</v>
      </c>
      <c r="J1232">
        <v>2</v>
      </c>
      <c r="K1232">
        <v>3</v>
      </c>
      <c r="L1232">
        <v>5</v>
      </c>
    </row>
    <row r="1233" spans="8:12" x14ac:dyDescent="0.25">
      <c r="H1233" t="s">
        <v>1250</v>
      </c>
      <c r="I1233" t="s">
        <v>1251</v>
      </c>
      <c r="J1233">
        <v>1</v>
      </c>
      <c r="K1233">
        <v>0</v>
      </c>
      <c r="L1233">
        <v>4</v>
      </c>
    </row>
    <row r="1234" spans="8:12" x14ac:dyDescent="0.25">
      <c r="H1234" t="s">
        <v>1202</v>
      </c>
      <c r="I1234" t="s">
        <v>1203</v>
      </c>
      <c r="J1234">
        <v>1</v>
      </c>
      <c r="K1234">
        <v>0</v>
      </c>
      <c r="L1234">
        <v>4</v>
      </c>
    </row>
    <row r="1235" spans="8:12" x14ac:dyDescent="0.25">
      <c r="H1235" t="s">
        <v>1259</v>
      </c>
      <c r="I1235" t="s">
        <v>1260</v>
      </c>
      <c r="J1235">
        <v>1</v>
      </c>
      <c r="K1235">
        <v>1</v>
      </c>
      <c r="L1235">
        <v>4</v>
      </c>
    </row>
    <row r="1236" spans="8:12" x14ac:dyDescent="0.25">
      <c r="H1236" t="s">
        <v>1244</v>
      </c>
      <c r="I1236" t="s">
        <v>1245</v>
      </c>
      <c r="J1236">
        <v>1</v>
      </c>
      <c r="K1236">
        <v>0</v>
      </c>
      <c r="L1236">
        <v>4</v>
      </c>
    </row>
    <row r="1237" spans="8:12" x14ac:dyDescent="0.25">
      <c r="H1237" t="s">
        <v>1165</v>
      </c>
      <c r="I1237" t="s">
        <v>1265</v>
      </c>
      <c r="J1237">
        <v>1</v>
      </c>
      <c r="K1237">
        <v>0</v>
      </c>
      <c r="L1237">
        <v>4</v>
      </c>
    </row>
    <row r="1238" spans="8:12" x14ac:dyDescent="0.25">
      <c r="H1238" t="s">
        <v>1248</v>
      </c>
      <c r="I1238" t="s">
        <v>1249</v>
      </c>
      <c r="J1238">
        <v>5</v>
      </c>
      <c r="K1238">
        <v>4</v>
      </c>
      <c r="L1238">
        <v>3</v>
      </c>
    </row>
    <row r="1239" spans="8:12" x14ac:dyDescent="0.25">
      <c r="H1239" t="s">
        <v>1234</v>
      </c>
      <c r="I1239" t="s">
        <v>1235</v>
      </c>
      <c r="J1239">
        <v>1</v>
      </c>
      <c r="K1239">
        <v>0</v>
      </c>
      <c r="L1239">
        <v>3</v>
      </c>
    </row>
    <row r="1240" spans="8:12" x14ac:dyDescent="0.25">
      <c r="H1240" t="s">
        <v>2527</v>
      </c>
      <c r="I1240" t="s">
        <v>1252</v>
      </c>
      <c r="J1240">
        <v>1</v>
      </c>
      <c r="K1240">
        <v>1</v>
      </c>
      <c r="L1240">
        <v>3</v>
      </c>
    </row>
    <row r="1241" spans="8:12" x14ac:dyDescent="0.25">
      <c r="H1241" t="s">
        <v>1314</v>
      </c>
      <c r="I1241" t="s">
        <v>1315</v>
      </c>
      <c r="J1241">
        <v>1</v>
      </c>
      <c r="K1241">
        <v>2</v>
      </c>
      <c r="L1241">
        <v>3</v>
      </c>
    </row>
    <row r="1242" spans="8:12" x14ac:dyDescent="0.25">
      <c r="H1242" t="s">
        <v>1276</v>
      </c>
      <c r="I1242" t="s">
        <v>1277</v>
      </c>
      <c r="J1242">
        <v>1</v>
      </c>
      <c r="K1242">
        <v>1</v>
      </c>
      <c r="L1242">
        <v>3</v>
      </c>
    </row>
    <row r="1243" spans="8:12" x14ac:dyDescent="0.25">
      <c r="H1243" t="s">
        <v>1256</v>
      </c>
      <c r="I1243" t="s">
        <v>1257</v>
      </c>
      <c r="J1243">
        <v>1</v>
      </c>
      <c r="K1243">
        <v>0</v>
      </c>
      <c r="L1243">
        <v>3</v>
      </c>
    </row>
    <row r="1244" spans="8:12" x14ac:dyDescent="0.25">
      <c r="H1244" t="s">
        <v>1092</v>
      </c>
      <c r="I1244" t="s">
        <v>1258</v>
      </c>
      <c r="J1244">
        <v>1</v>
      </c>
      <c r="K1244">
        <v>1</v>
      </c>
      <c r="L1244">
        <v>3</v>
      </c>
    </row>
    <row r="1245" spans="8:12" x14ac:dyDescent="0.25">
      <c r="H1245" t="s">
        <v>1261</v>
      </c>
      <c r="I1245" t="s">
        <v>1262</v>
      </c>
      <c r="J1245">
        <v>0</v>
      </c>
      <c r="K1245">
        <v>0</v>
      </c>
      <c r="L1245">
        <v>3</v>
      </c>
    </row>
    <row r="1246" spans="8:12" x14ac:dyDescent="0.25">
      <c r="H1246" t="s">
        <v>1208</v>
      </c>
      <c r="I1246" t="s">
        <v>1209</v>
      </c>
      <c r="J1246">
        <v>1</v>
      </c>
      <c r="K1246">
        <v>1</v>
      </c>
      <c r="L1246">
        <v>3</v>
      </c>
    </row>
    <row r="1247" spans="8:12" x14ac:dyDescent="0.25">
      <c r="H1247" t="s">
        <v>1263</v>
      </c>
      <c r="I1247" t="s">
        <v>1264</v>
      </c>
      <c r="J1247">
        <v>1</v>
      </c>
      <c r="K1247">
        <v>2</v>
      </c>
      <c r="L1247">
        <v>3</v>
      </c>
    </row>
    <row r="1248" spans="8:12" x14ac:dyDescent="0.25">
      <c r="H1248" t="s">
        <v>1267</v>
      </c>
      <c r="I1248" t="s">
        <v>1268</v>
      </c>
      <c r="J1248">
        <v>4</v>
      </c>
      <c r="K1248">
        <v>0</v>
      </c>
      <c r="L1248">
        <v>2</v>
      </c>
    </row>
    <row r="1249" spans="8:13" x14ac:dyDescent="0.25">
      <c r="H1249" t="s">
        <v>1269</v>
      </c>
      <c r="I1249" t="s">
        <v>1270</v>
      </c>
      <c r="J1249">
        <v>1</v>
      </c>
      <c r="K1249">
        <v>1</v>
      </c>
      <c r="L1249">
        <v>2</v>
      </c>
    </row>
    <row r="1250" spans="8:13" x14ac:dyDescent="0.25">
      <c r="H1250" t="s">
        <v>1271</v>
      </c>
      <c r="I1250" t="s">
        <v>1079</v>
      </c>
      <c r="J1250">
        <v>1</v>
      </c>
      <c r="K1250">
        <v>0</v>
      </c>
      <c r="L1250">
        <v>2</v>
      </c>
    </row>
    <row r="1251" spans="8:13" x14ac:dyDescent="0.25">
      <c r="H1251" t="s">
        <v>1076</v>
      </c>
      <c r="I1251" t="s">
        <v>1293</v>
      </c>
      <c r="J1251">
        <v>1</v>
      </c>
      <c r="K1251">
        <v>1</v>
      </c>
      <c r="L1251">
        <v>2</v>
      </c>
    </row>
    <row r="1252" spans="8:13" x14ac:dyDescent="0.25">
      <c r="H1252" t="s">
        <v>1272</v>
      </c>
      <c r="I1252" t="s">
        <v>1273</v>
      </c>
      <c r="J1252">
        <v>1</v>
      </c>
      <c r="K1252">
        <v>1</v>
      </c>
      <c r="L1252">
        <v>2</v>
      </c>
    </row>
    <row r="1253" spans="8:13" x14ac:dyDescent="0.25">
      <c r="H1253" t="s">
        <v>1307</v>
      </c>
      <c r="I1253" t="s">
        <v>1308</v>
      </c>
      <c r="J1253">
        <v>1</v>
      </c>
      <c r="K1253">
        <v>1</v>
      </c>
      <c r="L1253">
        <v>2</v>
      </c>
    </row>
    <row r="1254" spans="8:13" x14ac:dyDescent="0.25">
      <c r="H1254" t="s">
        <v>1253</v>
      </c>
      <c r="I1254" t="s">
        <v>1254</v>
      </c>
      <c r="J1254">
        <v>1</v>
      </c>
      <c r="K1254">
        <v>1</v>
      </c>
      <c r="L1254">
        <v>2</v>
      </c>
    </row>
    <row r="1255" spans="8:13" x14ac:dyDescent="0.25">
      <c r="H1255" t="s">
        <v>1469</v>
      </c>
      <c r="I1255" t="s">
        <v>1113</v>
      </c>
      <c r="J1255">
        <v>1</v>
      </c>
      <c r="K1255">
        <v>0</v>
      </c>
      <c r="L1255">
        <v>2</v>
      </c>
    </row>
    <row r="1256" spans="8:13" x14ac:dyDescent="0.25">
      <c r="H1256" t="s">
        <v>1278</v>
      </c>
      <c r="I1256" t="s">
        <v>1279</v>
      </c>
      <c r="J1256">
        <v>1</v>
      </c>
      <c r="K1256">
        <v>1</v>
      </c>
      <c r="L1256">
        <v>2</v>
      </c>
    </row>
    <row r="1257" spans="8:13" x14ac:dyDescent="0.25">
      <c r="H1257" t="s">
        <v>1280</v>
      </c>
      <c r="I1257" t="s">
        <v>1281</v>
      </c>
      <c r="J1257">
        <v>1</v>
      </c>
      <c r="K1257">
        <v>2</v>
      </c>
      <c r="L1257">
        <v>2</v>
      </c>
    </row>
    <row r="1258" spans="8:13" x14ac:dyDescent="0.25">
      <c r="H1258" t="s">
        <v>1282</v>
      </c>
      <c r="I1258" t="s">
        <v>1283</v>
      </c>
      <c r="J1258">
        <v>1</v>
      </c>
      <c r="K1258">
        <v>0</v>
      </c>
      <c r="L1258">
        <v>2</v>
      </c>
    </row>
    <row r="1259" spans="8:13" x14ac:dyDescent="0.25">
      <c r="H1259" t="s">
        <v>1200</v>
      </c>
      <c r="I1259" t="s">
        <v>1514</v>
      </c>
      <c r="J1259">
        <v>1</v>
      </c>
      <c r="K1259">
        <v>1</v>
      </c>
      <c r="L1259">
        <v>2</v>
      </c>
    </row>
    <row r="1260" spans="8:13" x14ac:dyDescent="0.25">
      <c r="H1260" t="s">
        <v>1284</v>
      </c>
      <c r="I1260" t="s">
        <v>1285</v>
      </c>
      <c r="J1260">
        <v>1</v>
      </c>
      <c r="K1260">
        <v>0</v>
      </c>
      <c r="L1260">
        <v>2</v>
      </c>
    </row>
    <row r="1261" spans="8:13" x14ac:dyDescent="0.25">
      <c r="H1261" t="s">
        <v>1286</v>
      </c>
      <c r="I1261" t="s">
        <v>1287</v>
      </c>
      <c r="J1261" t="s">
        <v>1288</v>
      </c>
      <c r="K1261">
        <v>1</v>
      </c>
      <c r="L1261">
        <v>0</v>
      </c>
      <c r="M1261">
        <v>2</v>
      </c>
    </row>
    <row r="1262" spans="8:13" x14ac:dyDescent="0.25">
      <c r="H1262" t="s">
        <v>1165</v>
      </c>
      <c r="I1262" t="s">
        <v>1266</v>
      </c>
      <c r="J1262">
        <v>1</v>
      </c>
      <c r="K1262">
        <v>1</v>
      </c>
      <c r="L1262">
        <v>2</v>
      </c>
    </row>
    <row r="1263" spans="8:13" x14ac:dyDescent="0.25">
      <c r="H1263" t="s">
        <v>1541</v>
      </c>
      <c r="I1263" t="s">
        <v>1245</v>
      </c>
      <c r="J1263">
        <v>1</v>
      </c>
      <c r="K1263">
        <v>0</v>
      </c>
      <c r="L1263">
        <v>2</v>
      </c>
    </row>
    <row r="1264" spans="8:13" x14ac:dyDescent="0.25">
      <c r="H1264" t="s">
        <v>1961</v>
      </c>
      <c r="I1264" t="s">
        <v>2284</v>
      </c>
      <c r="J1264">
        <v>0</v>
      </c>
      <c r="K1264">
        <v>0</v>
      </c>
      <c r="L1264">
        <v>1</v>
      </c>
    </row>
    <row r="1265" spans="8:13" x14ac:dyDescent="0.25">
      <c r="H1265" t="s">
        <v>1168</v>
      </c>
      <c r="I1265" t="s">
        <v>1389</v>
      </c>
      <c r="J1265">
        <v>1</v>
      </c>
      <c r="K1265">
        <v>2</v>
      </c>
      <c r="L1265">
        <v>1</v>
      </c>
    </row>
    <row r="1266" spans="8:13" x14ac:dyDescent="0.25">
      <c r="H1266" t="s">
        <v>1402</v>
      </c>
      <c r="I1266" t="s">
        <v>1403</v>
      </c>
      <c r="J1266">
        <v>1</v>
      </c>
      <c r="K1266">
        <v>0</v>
      </c>
      <c r="L1266">
        <v>1</v>
      </c>
    </row>
    <row r="1267" spans="8:13" x14ac:dyDescent="0.25">
      <c r="H1267" t="s">
        <v>1172</v>
      </c>
      <c r="I1267" t="s">
        <v>1290</v>
      </c>
      <c r="J1267">
        <v>1</v>
      </c>
      <c r="K1267">
        <v>0</v>
      </c>
      <c r="L1267">
        <v>1</v>
      </c>
    </row>
    <row r="1268" spans="8:13" x14ac:dyDescent="0.25">
      <c r="H1268" t="s">
        <v>1291</v>
      </c>
      <c r="I1268" t="s">
        <v>1292</v>
      </c>
      <c r="J1268">
        <v>1</v>
      </c>
      <c r="K1268">
        <v>1</v>
      </c>
      <c r="L1268">
        <v>1</v>
      </c>
    </row>
    <row r="1269" spans="8:13" x14ac:dyDescent="0.25">
      <c r="H1269" t="s">
        <v>1294</v>
      </c>
      <c r="I1269" t="s">
        <v>1295</v>
      </c>
      <c r="J1269">
        <v>2</v>
      </c>
      <c r="K1269">
        <v>2</v>
      </c>
      <c r="L1269">
        <v>1</v>
      </c>
    </row>
    <row r="1270" spans="8:13" x14ac:dyDescent="0.25">
      <c r="H1270" t="s">
        <v>1296</v>
      </c>
      <c r="I1270" t="s">
        <v>1297</v>
      </c>
      <c r="J1270">
        <v>1</v>
      </c>
      <c r="K1270">
        <v>0</v>
      </c>
      <c r="L1270">
        <v>1</v>
      </c>
    </row>
    <row r="1271" spans="8:13" x14ac:dyDescent="0.25">
      <c r="H1271" t="s">
        <v>1298</v>
      </c>
      <c r="I1271" t="s">
        <v>1287</v>
      </c>
      <c r="J1271" t="s">
        <v>1299</v>
      </c>
      <c r="K1271">
        <v>1</v>
      </c>
      <c r="L1271">
        <v>0</v>
      </c>
      <c r="M1271">
        <v>1</v>
      </c>
    </row>
    <row r="1272" spans="8:13" x14ac:dyDescent="0.25">
      <c r="H1272" t="s">
        <v>1300</v>
      </c>
      <c r="I1272" t="s">
        <v>1301</v>
      </c>
      <c r="J1272">
        <v>1</v>
      </c>
      <c r="K1272">
        <v>0</v>
      </c>
      <c r="L1272">
        <v>1</v>
      </c>
    </row>
    <row r="1273" spans="8:13" x14ac:dyDescent="0.25">
      <c r="H1273" t="s">
        <v>1302</v>
      </c>
      <c r="I1273" t="s">
        <v>1303</v>
      </c>
      <c r="J1273">
        <v>1</v>
      </c>
      <c r="K1273">
        <v>2</v>
      </c>
      <c r="L1273">
        <v>1</v>
      </c>
    </row>
    <row r="1274" spans="8:13" x14ac:dyDescent="0.25">
      <c r="H1274" t="s">
        <v>1304</v>
      </c>
      <c r="I1274" t="s">
        <v>1305</v>
      </c>
      <c r="J1274">
        <v>1</v>
      </c>
      <c r="K1274">
        <v>0</v>
      </c>
      <c r="L1274">
        <v>1</v>
      </c>
    </row>
    <row r="1275" spans="8:13" x14ac:dyDescent="0.25">
      <c r="H1275" t="s">
        <v>1306</v>
      </c>
      <c r="I1275" t="s">
        <v>1214</v>
      </c>
      <c r="J1275" t="s">
        <v>1122</v>
      </c>
      <c r="K1275">
        <v>1</v>
      </c>
      <c r="L1275">
        <v>1</v>
      </c>
      <c r="M1275">
        <v>1</v>
      </c>
    </row>
    <row r="1276" spans="8:13" x14ac:dyDescent="0.25">
      <c r="H1276" t="s">
        <v>1309</v>
      </c>
      <c r="I1276" t="s">
        <v>1310</v>
      </c>
      <c r="J1276">
        <v>1</v>
      </c>
      <c r="K1276">
        <v>1</v>
      </c>
      <c r="L1276">
        <v>1</v>
      </c>
    </row>
    <row r="1277" spans="8:13" x14ac:dyDescent="0.25">
      <c r="H1277" t="s">
        <v>1056</v>
      </c>
      <c r="I1277" t="s">
        <v>1312</v>
      </c>
      <c r="J1277">
        <v>1</v>
      </c>
      <c r="K1277">
        <v>1</v>
      </c>
      <c r="L1277">
        <v>1</v>
      </c>
    </row>
    <row r="1278" spans="8:13" x14ac:dyDescent="0.25">
      <c r="H1278" t="s">
        <v>1056</v>
      </c>
      <c r="I1278" t="s">
        <v>1313</v>
      </c>
      <c r="J1278">
        <v>3</v>
      </c>
      <c r="K1278">
        <v>4</v>
      </c>
      <c r="L1278">
        <v>1</v>
      </c>
    </row>
    <row r="1279" spans="8:13" x14ac:dyDescent="0.25">
      <c r="H1279" t="s">
        <v>1316</v>
      </c>
      <c r="I1279" t="s">
        <v>1317</v>
      </c>
      <c r="J1279" t="s">
        <v>1318</v>
      </c>
      <c r="K1279">
        <v>1</v>
      </c>
      <c r="L1279">
        <v>0</v>
      </c>
      <c r="M1279">
        <v>1</v>
      </c>
    </row>
    <row r="1280" spans="8:13" x14ac:dyDescent="0.25">
      <c r="H1280" t="s">
        <v>1316</v>
      </c>
      <c r="I1280" t="s">
        <v>1317</v>
      </c>
      <c r="J1280" t="s">
        <v>1319</v>
      </c>
      <c r="K1280">
        <v>0</v>
      </c>
      <c r="L1280">
        <v>0</v>
      </c>
      <c r="M1280">
        <v>1</v>
      </c>
    </row>
    <row r="1281" spans="8:13" x14ac:dyDescent="0.25">
      <c r="H1281" t="s">
        <v>1321</v>
      </c>
      <c r="I1281" t="s">
        <v>1322</v>
      </c>
      <c r="J1281">
        <v>0</v>
      </c>
      <c r="K1281">
        <v>0</v>
      </c>
      <c r="L1281">
        <v>1</v>
      </c>
    </row>
    <row r="1282" spans="8:13" x14ac:dyDescent="0.25">
      <c r="H1282" t="s">
        <v>1323</v>
      </c>
      <c r="I1282" t="s">
        <v>1324</v>
      </c>
      <c r="J1282">
        <v>1</v>
      </c>
      <c r="K1282">
        <v>2</v>
      </c>
      <c r="L1282">
        <v>1</v>
      </c>
    </row>
    <row r="1283" spans="8:13" x14ac:dyDescent="0.25">
      <c r="H1283" t="s">
        <v>1323</v>
      </c>
      <c r="I1283" t="s">
        <v>1325</v>
      </c>
      <c r="J1283">
        <v>1</v>
      </c>
      <c r="K1283">
        <v>1</v>
      </c>
      <c r="L1283">
        <v>1</v>
      </c>
    </row>
    <row r="1284" spans="8:13" x14ac:dyDescent="0.25">
      <c r="H1284" t="s">
        <v>1326</v>
      </c>
      <c r="I1284" t="s">
        <v>1327</v>
      </c>
      <c r="J1284">
        <v>1</v>
      </c>
      <c r="K1284">
        <v>0</v>
      </c>
      <c r="L1284">
        <v>1</v>
      </c>
    </row>
    <row r="1285" spans="8:13" x14ac:dyDescent="0.25">
      <c r="H1285" t="s">
        <v>1120</v>
      </c>
      <c r="I1285" t="s">
        <v>1243</v>
      </c>
      <c r="J1285">
        <v>1</v>
      </c>
      <c r="K1285">
        <v>0</v>
      </c>
      <c r="L1285">
        <v>1</v>
      </c>
    </row>
    <row r="1286" spans="8:13" x14ac:dyDescent="0.25">
      <c r="H1286" t="s">
        <v>1328</v>
      </c>
      <c r="I1286" t="s">
        <v>1329</v>
      </c>
      <c r="J1286">
        <v>1</v>
      </c>
      <c r="K1286">
        <v>0</v>
      </c>
      <c r="L1286">
        <v>1</v>
      </c>
    </row>
    <row r="1287" spans="8:13" x14ac:dyDescent="0.25">
      <c r="H1287" t="s">
        <v>1330</v>
      </c>
      <c r="I1287" t="s">
        <v>1331</v>
      </c>
      <c r="J1287" t="s">
        <v>1332</v>
      </c>
      <c r="K1287">
        <v>1</v>
      </c>
      <c r="L1287">
        <v>0</v>
      </c>
      <c r="M1287">
        <v>1</v>
      </c>
    </row>
    <row r="1288" spans="8:13" x14ac:dyDescent="0.25">
      <c r="H1288" t="s">
        <v>1070</v>
      </c>
      <c r="I1288" t="s">
        <v>1333</v>
      </c>
      <c r="J1288">
        <v>1</v>
      </c>
      <c r="K1288">
        <v>1</v>
      </c>
      <c r="L1288">
        <v>1</v>
      </c>
    </row>
    <row r="1289" spans="8:13" x14ac:dyDescent="0.25">
      <c r="H1289" t="s">
        <v>1334</v>
      </c>
      <c r="I1289" t="s">
        <v>1335</v>
      </c>
      <c r="J1289">
        <v>0</v>
      </c>
      <c r="K1289">
        <v>1</v>
      </c>
      <c r="L1289">
        <v>1</v>
      </c>
    </row>
    <row r="1290" spans="8:13" x14ac:dyDescent="0.25">
      <c r="H1290" t="s">
        <v>1284</v>
      </c>
      <c r="I1290" t="s">
        <v>1336</v>
      </c>
      <c r="J1290">
        <v>1</v>
      </c>
      <c r="K1290">
        <v>0</v>
      </c>
      <c r="L1290">
        <v>1</v>
      </c>
    </row>
    <row r="1291" spans="8:13" x14ac:dyDescent="0.25">
      <c r="H1291" t="s">
        <v>1337</v>
      </c>
      <c r="I1291" t="s">
        <v>1338</v>
      </c>
      <c r="J1291" t="s">
        <v>1339</v>
      </c>
      <c r="K1291">
        <v>2</v>
      </c>
      <c r="L1291">
        <v>0</v>
      </c>
      <c r="M1291">
        <v>1</v>
      </c>
    </row>
    <row r="1292" spans="8:13" x14ac:dyDescent="0.25">
      <c r="H1292" t="s">
        <v>1340</v>
      </c>
      <c r="I1292" t="s">
        <v>1341</v>
      </c>
      <c r="J1292">
        <v>1</v>
      </c>
      <c r="K1292">
        <v>2</v>
      </c>
      <c r="L1292">
        <v>1</v>
      </c>
    </row>
    <row r="1293" spans="8:13" x14ac:dyDescent="0.25">
      <c r="H1293" t="s">
        <v>1165</v>
      </c>
      <c r="I1293" t="s">
        <v>1342</v>
      </c>
      <c r="J1293">
        <v>1</v>
      </c>
      <c r="K1293">
        <v>1</v>
      </c>
      <c r="L1293">
        <v>1</v>
      </c>
    </row>
    <row r="1294" spans="8:13" x14ac:dyDescent="0.25">
      <c r="H1294" t="s">
        <v>1165</v>
      </c>
      <c r="I1294" t="s">
        <v>1343</v>
      </c>
      <c r="J1294">
        <v>1</v>
      </c>
      <c r="K1294">
        <v>1</v>
      </c>
      <c r="L1294">
        <v>1</v>
      </c>
    </row>
    <row r="1295" spans="8:13" x14ac:dyDescent="0.25">
      <c r="H1295" t="s">
        <v>1106</v>
      </c>
      <c r="I1295" t="s">
        <v>1298</v>
      </c>
      <c r="J1295">
        <v>0</v>
      </c>
      <c r="K1295">
        <v>0</v>
      </c>
      <c r="L1295">
        <v>0</v>
      </c>
    </row>
    <row r="1296" spans="8:13" x14ac:dyDescent="0.25">
      <c r="H1296" t="s">
        <v>1183</v>
      </c>
      <c r="I1296" t="s">
        <v>1344</v>
      </c>
      <c r="J1296">
        <v>0</v>
      </c>
      <c r="K1296">
        <v>0</v>
      </c>
      <c r="L1296">
        <v>0</v>
      </c>
    </row>
    <row r="1297" spans="8:12" x14ac:dyDescent="0.25">
      <c r="H1297" t="s">
        <v>1345</v>
      </c>
      <c r="I1297" t="s">
        <v>1346</v>
      </c>
      <c r="J1297">
        <v>1</v>
      </c>
      <c r="K1297">
        <v>0</v>
      </c>
      <c r="L1297">
        <v>0</v>
      </c>
    </row>
    <row r="1298" spans="8:12" x14ac:dyDescent="0.25">
      <c r="H1298" t="s">
        <v>1347</v>
      </c>
      <c r="I1298" t="s">
        <v>1229</v>
      </c>
      <c r="J1298">
        <v>0</v>
      </c>
      <c r="K1298">
        <v>0</v>
      </c>
      <c r="L1298">
        <v>0</v>
      </c>
    </row>
    <row r="1299" spans="8:12" x14ac:dyDescent="0.25">
      <c r="H1299" t="s">
        <v>1348</v>
      </c>
      <c r="I1299" t="s">
        <v>1349</v>
      </c>
      <c r="J1299">
        <v>0</v>
      </c>
      <c r="K1299">
        <v>0</v>
      </c>
      <c r="L1299">
        <v>0</v>
      </c>
    </row>
    <row r="1300" spans="8:12" x14ac:dyDescent="0.25">
      <c r="H1300" t="s">
        <v>1350</v>
      </c>
      <c r="I1300" t="s">
        <v>1351</v>
      </c>
      <c r="J1300">
        <v>0</v>
      </c>
      <c r="K1300">
        <v>0</v>
      </c>
      <c r="L1300">
        <v>0</v>
      </c>
    </row>
    <row r="1301" spans="8:12" x14ac:dyDescent="0.25">
      <c r="H1301" t="s">
        <v>1352</v>
      </c>
      <c r="I1301" t="s">
        <v>1353</v>
      </c>
      <c r="J1301">
        <v>0</v>
      </c>
      <c r="K1301">
        <v>0</v>
      </c>
      <c r="L1301">
        <v>0</v>
      </c>
    </row>
    <row r="1302" spans="8:12" x14ac:dyDescent="0.25">
      <c r="H1302" t="s">
        <v>1042</v>
      </c>
      <c r="I1302" t="s">
        <v>1354</v>
      </c>
      <c r="J1302">
        <v>1</v>
      </c>
      <c r="K1302">
        <v>0</v>
      </c>
      <c r="L1302">
        <v>0</v>
      </c>
    </row>
    <row r="1303" spans="8:12" x14ac:dyDescent="0.25">
      <c r="H1303" t="s">
        <v>1042</v>
      </c>
      <c r="I1303" t="s">
        <v>1632</v>
      </c>
      <c r="J1303">
        <v>0</v>
      </c>
      <c r="K1303">
        <v>0</v>
      </c>
      <c r="L1303">
        <v>0</v>
      </c>
    </row>
    <row r="1304" spans="8:12" x14ac:dyDescent="0.25">
      <c r="H1304" t="s">
        <v>1355</v>
      </c>
      <c r="I1304" t="s">
        <v>1356</v>
      </c>
      <c r="J1304">
        <v>1</v>
      </c>
      <c r="K1304">
        <v>1</v>
      </c>
      <c r="L1304">
        <v>0</v>
      </c>
    </row>
    <row r="1305" spans="8:12" x14ac:dyDescent="0.25">
      <c r="H1305" t="s">
        <v>1357</v>
      </c>
      <c r="I1305" t="s">
        <v>1358</v>
      </c>
      <c r="J1305">
        <v>1</v>
      </c>
      <c r="K1305">
        <v>0</v>
      </c>
      <c r="L1305">
        <v>0</v>
      </c>
    </row>
    <row r="1306" spans="8:12" x14ac:dyDescent="0.25">
      <c r="H1306" t="s">
        <v>1361</v>
      </c>
      <c r="I1306" t="s">
        <v>1362</v>
      </c>
      <c r="J1306">
        <v>0</v>
      </c>
      <c r="K1306">
        <v>0</v>
      </c>
      <c r="L1306">
        <v>0</v>
      </c>
    </row>
    <row r="1307" spans="8:12" x14ac:dyDescent="0.25">
      <c r="H1307" t="s">
        <v>1226</v>
      </c>
      <c r="I1307" t="s">
        <v>1363</v>
      </c>
      <c r="J1307">
        <v>0</v>
      </c>
      <c r="K1307">
        <v>0</v>
      </c>
      <c r="L1307">
        <v>0</v>
      </c>
    </row>
    <row r="1308" spans="8:12" x14ac:dyDescent="0.25">
      <c r="H1308" t="s">
        <v>1226</v>
      </c>
      <c r="I1308" t="s">
        <v>1364</v>
      </c>
      <c r="J1308">
        <v>1</v>
      </c>
      <c r="K1308">
        <v>1</v>
      </c>
      <c r="L1308">
        <v>0</v>
      </c>
    </row>
    <row r="1309" spans="8:12" x14ac:dyDescent="0.25">
      <c r="H1309" t="s">
        <v>1365</v>
      </c>
      <c r="I1309" t="s">
        <v>1366</v>
      </c>
      <c r="J1309">
        <v>0</v>
      </c>
      <c r="K1309">
        <v>0</v>
      </c>
      <c r="L1309">
        <v>0</v>
      </c>
    </row>
    <row r="1310" spans="8:12" x14ac:dyDescent="0.25">
      <c r="H1310" t="s">
        <v>1367</v>
      </c>
      <c r="I1310" t="s">
        <v>1368</v>
      </c>
      <c r="J1310">
        <v>0</v>
      </c>
      <c r="K1310">
        <v>0</v>
      </c>
      <c r="L1310">
        <v>0</v>
      </c>
    </row>
    <row r="1311" spans="8:12" x14ac:dyDescent="0.25">
      <c r="H1311" t="s">
        <v>1370</v>
      </c>
      <c r="I1311" t="s">
        <v>1235</v>
      </c>
      <c r="J1311">
        <v>0</v>
      </c>
      <c r="K1311">
        <v>0</v>
      </c>
      <c r="L1311">
        <v>0</v>
      </c>
    </row>
    <row r="1312" spans="8:12" x14ac:dyDescent="0.25">
      <c r="H1312" t="s">
        <v>1371</v>
      </c>
      <c r="I1312" t="s">
        <v>1372</v>
      </c>
      <c r="J1312">
        <v>0</v>
      </c>
      <c r="K1312">
        <v>0</v>
      </c>
      <c r="L1312">
        <v>0</v>
      </c>
    </row>
    <row r="1313" spans="8:13" x14ac:dyDescent="0.25">
      <c r="H1313" t="s">
        <v>2528</v>
      </c>
      <c r="I1313" t="s">
        <v>1373</v>
      </c>
      <c r="J1313">
        <v>0</v>
      </c>
      <c r="K1313">
        <v>0</v>
      </c>
      <c r="L1313">
        <v>0</v>
      </c>
    </row>
    <row r="1314" spans="8:13" x14ac:dyDescent="0.25">
      <c r="H1314" t="s">
        <v>1376</v>
      </c>
      <c r="I1314" t="s">
        <v>1377</v>
      </c>
      <c r="J1314">
        <v>0</v>
      </c>
      <c r="K1314">
        <v>0</v>
      </c>
      <c r="L1314">
        <v>0</v>
      </c>
    </row>
    <row r="1315" spans="8:13" x14ac:dyDescent="0.25">
      <c r="H1315" t="s">
        <v>1378</v>
      </c>
      <c r="I1315" t="s">
        <v>1379</v>
      </c>
      <c r="J1315">
        <v>1</v>
      </c>
      <c r="K1315">
        <v>0</v>
      </c>
      <c r="L1315">
        <v>0</v>
      </c>
    </row>
    <row r="1316" spans="8:13" x14ac:dyDescent="0.25">
      <c r="H1316" t="s">
        <v>1380</v>
      </c>
      <c r="I1316" t="s">
        <v>1381</v>
      </c>
      <c r="J1316">
        <v>0</v>
      </c>
      <c r="K1316">
        <v>0</v>
      </c>
      <c r="L1316">
        <v>0</v>
      </c>
    </row>
    <row r="1317" spans="8:13" x14ac:dyDescent="0.25">
      <c r="H1317" t="s">
        <v>1382</v>
      </c>
      <c r="I1317" t="s">
        <v>1383</v>
      </c>
      <c r="J1317">
        <v>1</v>
      </c>
      <c r="K1317">
        <v>0</v>
      </c>
      <c r="L1317">
        <v>0</v>
      </c>
    </row>
    <row r="1318" spans="8:13" x14ac:dyDescent="0.25">
      <c r="H1318" t="s">
        <v>1384</v>
      </c>
      <c r="I1318" t="s">
        <v>1201</v>
      </c>
      <c r="J1318" t="s">
        <v>1122</v>
      </c>
      <c r="K1318">
        <v>0</v>
      </c>
      <c r="L1318">
        <v>0</v>
      </c>
      <c r="M1318">
        <v>0</v>
      </c>
    </row>
    <row r="1319" spans="8:13" x14ac:dyDescent="0.25">
      <c r="H1319" t="s">
        <v>1385</v>
      </c>
      <c r="I1319" t="s">
        <v>1386</v>
      </c>
      <c r="J1319">
        <v>1</v>
      </c>
      <c r="K1319">
        <v>0</v>
      </c>
      <c r="L1319">
        <v>0</v>
      </c>
    </row>
    <row r="1320" spans="8:13" x14ac:dyDescent="0.25">
      <c r="H1320" t="s">
        <v>1168</v>
      </c>
      <c r="I1320" t="s">
        <v>1387</v>
      </c>
      <c r="J1320">
        <v>1</v>
      </c>
      <c r="K1320">
        <v>0</v>
      </c>
      <c r="L1320">
        <v>0</v>
      </c>
    </row>
    <row r="1321" spans="8:13" x14ac:dyDescent="0.25">
      <c r="H1321" t="s">
        <v>1168</v>
      </c>
      <c r="I1321" t="s">
        <v>1388</v>
      </c>
      <c r="J1321">
        <v>0</v>
      </c>
      <c r="K1321">
        <v>0</v>
      </c>
      <c r="L1321">
        <v>0</v>
      </c>
    </row>
    <row r="1322" spans="8:13" x14ac:dyDescent="0.25">
      <c r="H1322" t="s">
        <v>1168</v>
      </c>
      <c r="I1322" t="s">
        <v>1093</v>
      </c>
      <c r="J1322">
        <v>0</v>
      </c>
      <c r="K1322">
        <v>0</v>
      </c>
      <c r="L1322">
        <v>0</v>
      </c>
    </row>
    <row r="1323" spans="8:13" x14ac:dyDescent="0.25">
      <c r="H1323" t="s">
        <v>1044</v>
      </c>
      <c r="I1323" t="s">
        <v>1390</v>
      </c>
      <c r="J1323">
        <v>1</v>
      </c>
      <c r="K1323">
        <v>0</v>
      </c>
      <c r="L1323">
        <v>0</v>
      </c>
    </row>
    <row r="1324" spans="8:13" x14ac:dyDescent="0.25">
      <c r="H1324" t="s">
        <v>1391</v>
      </c>
      <c r="I1324" t="s">
        <v>1392</v>
      </c>
      <c r="J1324">
        <v>0</v>
      </c>
      <c r="K1324">
        <v>0</v>
      </c>
      <c r="L1324">
        <v>0</v>
      </c>
    </row>
    <row r="1325" spans="8:13" x14ac:dyDescent="0.25">
      <c r="H1325" t="s">
        <v>1393</v>
      </c>
      <c r="I1325" t="s">
        <v>1394</v>
      </c>
      <c r="J1325">
        <v>1</v>
      </c>
      <c r="K1325">
        <v>0</v>
      </c>
      <c r="L1325">
        <v>0</v>
      </c>
    </row>
    <row r="1326" spans="8:13" x14ac:dyDescent="0.25">
      <c r="H1326" t="s">
        <v>1395</v>
      </c>
      <c r="I1326" t="s">
        <v>1396</v>
      </c>
      <c r="J1326">
        <v>1</v>
      </c>
      <c r="K1326">
        <v>0</v>
      </c>
      <c r="L1326">
        <v>0</v>
      </c>
    </row>
    <row r="1327" spans="8:13" x14ac:dyDescent="0.25">
      <c r="H1327" t="s">
        <v>1397</v>
      </c>
      <c r="I1327" t="s">
        <v>1147</v>
      </c>
      <c r="J1327">
        <v>0</v>
      </c>
      <c r="K1327">
        <v>0</v>
      </c>
      <c r="L1327">
        <v>0</v>
      </c>
    </row>
    <row r="1328" spans="8:13" x14ac:dyDescent="0.25">
      <c r="H1328" t="s">
        <v>1398</v>
      </c>
      <c r="I1328" t="s">
        <v>1399</v>
      </c>
      <c r="J1328">
        <v>0</v>
      </c>
      <c r="K1328">
        <v>0</v>
      </c>
      <c r="L1328">
        <v>0</v>
      </c>
    </row>
    <row r="1329" spans="8:12" x14ac:dyDescent="0.25">
      <c r="H1329" t="s">
        <v>1400</v>
      </c>
      <c r="I1329" t="s">
        <v>1059</v>
      </c>
      <c r="J1329">
        <v>0</v>
      </c>
      <c r="K1329">
        <v>0</v>
      </c>
      <c r="L1329">
        <v>0</v>
      </c>
    </row>
    <row r="1330" spans="8:12" x14ac:dyDescent="0.25">
      <c r="H1330" t="s">
        <v>1401</v>
      </c>
      <c r="I1330" t="s">
        <v>1143</v>
      </c>
      <c r="J1330">
        <v>0</v>
      </c>
      <c r="K1330">
        <v>0</v>
      </c>
      <c r="L1330">
        <v>0</v>
      </c>
    </row>
    <row r="1331" spans="8:12" x14ac:dyDescent="0.25">
      <c r="H1331" t="s">
        <v>2526</v>
      </c>
      <c r="I1331" t="s">
        <v>1404</v>
      </c>
      <c r="J1331">
        <v>1</v>
      </c>
      <c r="K1331">
        <v>1</v>
      </c>
      <c r="L1331">
        <v>0</v>
      </c>
    </row>
    <row r="1332" spans="8:12" x14ac:dyDescent="0.25">
      <c r="H1332" t="s">
        <v>1110</v>
      </c>
      <c r="I1332" t="s">
        <v>1079</v>
      </c>
      <c r="J1332">
        <v>0</v>
      </c>
      <c r="K1332">
        <v>0</v>
      </c>
      <c r="L1332">
        <v>0</v>
      </c>
    </row>
    <row r="1333" spans="8:12" x14ac:dyDescent="0.25">
      <c r="H1333" t="s">
        <v>1291</v>
      </c>
      <c r="I1333" t="s">
        <v>1063</v>
      </c>
      <c r="J1333">
        <v>1</v>
      </c>
      <c r="K1333">
        <v>0</v>
      </c>
      <c r="L1333">
        <v>0</v>
      </c>
    </row>
    <row r="1334" spans="8:12" x14ac:dyDescent="0.25">
      <c r="H1334" t="s">
        <v>1076</v>
      </c>
      <c r="I1334" t="s">
        <v>1405</v>
      </c>
      <c r="J1334">
        <v>0</v>
      </c>
      <c r="K1334">
        <v>0</v>
      </c>
      <c r="L1334">
        <v>0</v>
      </c>
    </row>
    <row r="1335" spans="8:12" x14ac:dyDescent="0.25">
      <c r="H1335" t="s">
        <v>1147</v>
      </c>
      <c r="I1335" t="s">
        <v>1406</v>
      </c>
      <c r="J1335">
        <v>0</v>
      </c>
      <c r="K1335">
        <v>0</v>
      </c>
      <c r="L1335">
        <v>0</v>
      </c>
    </row>
    <row r="1336" spans="8:12" x14ac:dyDescent="0.25">
      <c r="H1336" t="s">
        <v>1407</v>
      </c>
      <c r="I1336" t="s">
        <v>1408</v>
      </c>
      <c r="J1336">
        <v>1</v>
      </c>
      <c r="K1336">
        <v>0</v>
      </c>
      <c r="L1336">
        <v>0</v>
      </c>
    </row>
    <row r="1337" spans="8:12" x14ac:dyDescent="0.25">
      <c r="H1337" t="s">
        <v>1409</v>
      </c>
      <c r="I1337" t="s">
        <v>1390</v>
      </c>
      <c r="J1337">
        <v>2</v>
      </c>
      <c r="K1337">
        <v>0</v>
      </c>
      <c r="L1337">
        <v>0</v>
      </c>
    </row>
    <row r="1338" spans="8:12" x14ac:dyDescent="0.25">
      <c r="H1338" t="s">
        <v>1410</v>
      </c>
      <c r="I1338" t="s">
        <v>1411</v>
      </c>
      <c r="J1338">
        <v>0</v>
      </c>
      <c r="K1338">
        <v>0</v>
      </c>
      <c r="L1338">
        <v>0</v>
      </c>
    </row>
    <row r="1339" spans="8:12" x14ac:dyDescent="0.25">
      <c r="H1339" t="s">
        <v>1124</v>
      </c>
      <c r="I1339" t="s">
        <v>1412</v>
      </c>
      <c r="J1339">
        <v>0</v>
      </c>
      <c r="K1339">
        <v>0</v>
      </c>
      <c r="L1339">
        <v>0</v>
      </c>
    </row>
    <row r="1340" spans="8:12" x14ac:dyDescent="0.25">
      <c r="H1340" t="s">
        <v>1413</v>
      </c>
      <c r="I1340" t="s">
        <v>1414</v>
      </c>
      <c r="J1340">
        <v>0</v>
      </c>
      <c r="K1340">
        <v>0</v>
      </c>
      <c r="L1340">
        <v>0</v>
      </c>
    </row>
    <row r="1341" spans="8:12" x14ac:dyDescent="0.25">
      <c r="H1341" t="s">
        <v>1415</v>
      </c>
      <c r="I1341" t="s">
        <v>1416</v>
      </c>
      <c r="J1341">
        <v>0</v>
      </c>
      <c r="K1341">
        <v>0</v>
      </c>
      <c r="L1341">
        <v>0</v>
      </c>
    </row>
    <row r="1342" spans="8:12" x14ac:dyDescent="0.25">
      <c r="H1342" t="s">
        <v>1420</v>
      </c>
      <c r="I1342" t="s">
        <v>1249</v>
      </c>
      <c r="J1342">
        <v>1</v>
      </c>
      <c r="K1342">
        <v>0</v>
      </c>
      <c r="L1342">
        <v>0</v>
      </c>
    </row>
    <row r="1343" spans="8:12" x14ac:dyDescent="0.25">
      <c r="H1343" t="s">
        <v>1421</v>
      </c>
      <c r="I1343" t="s">
        <v>1422</v>
      </c>
      <c r="J1343">
        <v>0</v>
      </c>
      <c r="K1343">
        <v>0</v>
      </c>
      <c r="L1343">
        <v>0</v>
      </c>
    </row>
    <row r="1344" spans="8:12" x14ac:dyDescent="0.25">
      <c r="H1344" t="s">
        <v>1294</v>
      </c>
      <c r="I1344" t="s">
        <v>1423</v>
      </c>
      <c r="J1344">
        <v>1</v>
      </c>
      <c r="K1344">
        <v>0</v>
      </c>
      <c r="L1344">
        <v>0</v>
      </c>
    </row>
    <row r="1345" spans="8:12" x14ac:dyDescent="0.25">
      <c r="H1345" t="s">
        <v>1424</v>
      </c>
      <c r="I1345" t="s">
        <v>1201</v>
      </c>
      <c r="J1345">
        <v>1</v>
      </c>
      <c r="K1345">
        <v>1</v>
      </c>
      <c r="L1345">
        <v>0</v>
      </c>
    </row>
    <row r="1346" spans="8:12" x14ac:dyDescent="0.25">
      <c r="H1346" t="s">
        <v>1425</v>
      </c>
      <c r="I1346" t="s">
        <v>1214</v>
      </c>
      <c r="J1346">
        <v>0</v>
      </c>
      <c r="K1346">
        <v>0</v>
      </c>
      <c r="L1346">
        <v>0</v>
      </c>
    </row>
    <row r="1347" spans="8:12" x14ac:dyDescent="0.25">
      <c r="H1347" t="s">
        <v>1148</v>
      </c>
      <c r="I1347" t="s">
        <v>1426</v>
      </c>
      <c r="J1347">
        <v>1</v>
      </c>
      <c r="K1347">
        <v>1</v>
      </c>
      <c r="L1347">
        <v>0</v>
      </c>
    </row>
    <row r="1348" spans="8:12" x14ac:dyDescent="0.25">
      <c r="H1348" t="s">
        <v>1429</v>
      </c>
      <c r="I1348" t="s">
        <v>1430</v>
      </c>
      <c r="J1348">
        <v>0</v>
      </c>
      <c r="K1348">
        <v>1</v>
      </c>
      <c r="L1348">
        <v>0</v>
      </c>
    </row>
    <row r="1349" spans="8:12" x14ac:dyDescent="0.25">
      <c r="H1349" t="s">
        <v>1431</v>
      </c>
      <c r="I1349" t="s">
        <v>1432</v>
      </c>
      <c r="J1349">
        <v>0</v>
      </c>
      <c r="K1349">
        <v>0</v>
      </c>
      <c r="L1349">
        <v>0</v>
      </c>
    </row>
    <row r="1350" spans="8:12" x14ac:dyDescent="0.25">
      <c r="H1350" t="s">
        <v>1433</v>
      </c>
      <c r="I1350" t="s">
        <v>1434</v>
      </c>
      <c r="J1350">
        <v>1</v>
      </c>
      <c r="K1350">
        <v>0</v>
      </c>
      <c r="L1350">
        <v>0</v>
      </c>
    </row>
    <row r="1351" spans="8:12" x14ac:dyDescent="0.25">
      <c r="H1351" t="s">
        <v>1435</v>
      </c>
      <c r="I1351" t="s">
        <v>1436</v>
      </c>
      <c r="J1351">
        <v>0</v>
      </c>
      <c r="K1351">
        <v>0</v>
      </c>
      <c r="L1351">
        <v>0</v>
      </c>
    </row>
    <row r="1352" spans="8:12" x14ac:dyDescent="0.25">
      <c r="H1352" t="s">
        <v>1250</v>
      </c>
      <c r="I1352" t="s">
        <v>1559</v>
      </c>
      <c r="J1352">
        <v>1</v>
      </c>
      <c r="K1352">
        <v>0</v>
      </c>
      <c r="L1352">
        <v>0</v>
      </c>
    </row>
    <row r="1353" spans="8:12" x14ac:dyDescent="0.25">
      <c r="H1353" t="s">
        <v>1800</v>
      </c>
      <c r="I1353" t="s">
        <v>1801</v>
      </c>
      <c r="J1353">
        <v>1</v>
      </c>
      <c r="K1353">
        <v>1</v>
      </c>
      <c r="L1353">
        <v>0</v>
      </c>
    </row>
    <row r="1354" spans="8:12" x14ac:dyDescent="0.25">
      <c r="H1354" t="s">
        <v>1437</v>
      </c>
      <c r="I1354" t="s">
        <v>1438</v>
      </c>
      <c r="J1354">
        <v>0</v>
      </c>
      <c r="K1354">
        <v>0</v>
      </c>
      <c r="L1354">
        <v>0</v>
      </c>
    </row>
    <row r="1355" spans="8:12" x14ac:dyDescent="0.25">
      <c r="H1355" t="s">
        <v>1439</v>
      </c>
      <c r="I1355" t="s">
        <v>1440</v>
      </c>
      <c r="J1355">
        <v>0</v>
      </c>
      <c r="K1355">
        <v>0</v>
      </c>
      <c r="L1355">
        <v>0</v>
      </c>
    </row>
    <row r="1356" spans="8:12" x14ac:dyDescent="0.25">
      <c r="H1356" t="s">
        <v>1441</v>
      </c>
      <c r="I1356" t="s">
        <v>1442</v>
      </c>
      <c r="J1356">
        <v>1</v>
      </c>
      <c r="K1356">
        <v>1</v>
      </c>
      <c r="L1356">
        <v>0</v>
      </c>
    </row>
    <row r="1357" spans="8:12" x14ac:dyDescent="0.25">
      <c r="H1357" t="s">
        <v>1443</v>
      </c>
      <c r="I1357" t="s">
        <v>1091</v>
      </c>
      <c r="J1357">
        <v>1</v>
      </c>
      <c r="K1357">
        <v>0</v>
      </c>
      <c r="L1357">
        <v>0</v>
      </c>
    </row>
    <row r="1358" spans="8:12" x14ac:dyDescent="0.25">
      <c r="H1358" t="s">
        <v>1118</v>
      </c>
      <c r="I1358" t="s">
        <v>1444</v>
      </c>
      <c r="J1358">
        <v>1</v>
      </c>
      <c r="K1358">
        <v>0</v>
      </c>
      <c r="L1358">
        <v>0</v>
      </c>
    </row>
    <row r="1359" spans="8:12" x14ac:dyDescent="0.25">
      <c r="H1359" t="s">
        <v>1445</v>
      </c>
      <c r="I1359" t="s">
        <v>1446</v>
      </c>
      <c r="J1359">
        <v>1</v>
      </c>
      <c r="K1359">
        <v>1</v>
      </c>
      <c r="L1359">
        <v>0</v>
      </c>
    </row>
    <row r="1360" spans="8:12" x14ac:dyDescent="0.25">
      <c r="H1360" t="s">
        <v>1064</v>
      </c>
      <c r="I1360" t="s">
        <v>1447</v>
      </c>
      <c r="J1360">
        <v>0</v>
      </c>
      <c r="K1360">
        <v>0</v>
      </c>
      <c r="L1360">
        <v>0</v>
      </c>
    </row>
    <row r="1361" spans="8:13" x14ac:dyDescent="0.25">
      <c r="H1361" t="s">
        <v>1448</v>
      </c>
      <c r="I1361" t="s">
        <v>1079</v>
      </c>
      <c r="J1361">
        <v>2</v>
      </c>
      <c r="K1361">
        <v>0</v>
      </c>
      <c r="L1361">
        <v>0</v>
      </c>
    </row>
    <row r="1362" spans="8:13" x14ac:dyDescent="0.25">
      <c r="H1362" t="s">
        <v>1449</v>
      </c>
      <c r="I1362" t="s">
        <v>1450</v>
      </c>
      <c r="J1362">
        <v>0</v>
      </c>
      <c r="K1362">
        <v>0</v>
      </c>
      <c r="L1362">
        <v>0</v>
      </c>
    </row>
    <row r="1363" spans="8:13" x14ac:dyDescent="0.25">
      <c r="H1363" t="s">
        <v>1451</v>
      </c>
      <c r="I1363" t="s">
        <v>1452</v>
      </c>
      <c r="J1363">
        <v>1</v>
      </c>
      <c r="K1363">
        <v>0</v>
      </c>
      <c r="L1363">
        <v>0</v>
      </c>
    </row>
    <row r="1364" spans="8:13" x14ac:dyDescent="0.25">
      <c r="H1364" t="s">
        <v>1454</v>
      </c>
      <c r="I1364" t="s">
        <v>1112</v>
      </c>
      <c r="J1364">
        <v>1</v>
      </c>
      <c r="K1364">
        <v>0</v>
      </c>
      <c r="L1364">
        <v>0</v>
      </c>
    </row>
    <row r="1365" spans="8:13" x14ac:dyDescent="0.25">
      <c r="H1365" t="s">
        <v>1455</v>
      </c>
      <c r="I1365" t="s">
        <v>1201</v>
      </c>
      <c r="J1365" t="s">
        <v>1122</v>
      </c>
      <c r="K1365">
        <v>0</v>
      </c>
      <c r="L1365">
        <v>0</v>
      </c>
      <c r="M1365">
        <v>0</v>
      </c>
    </row>
    <row r="1366" spans="8:13" x14ac:dyDescent="0.25">
      <c r="H1366" t="s">
        <v>1274</v>
      </c>
      <c r="I1366" t="s">
        <v>1275</v>
      </c>
      <c r="J1366">
        <v>0</v>
      </c>
      <c r="K1366">
        <v>0</v>
      </c>
      <c r="L1366">
        <v>0</v>
      </c>
    </row>
    <row r="1367" spans="8:13" x14ac:dyDescent="0.25">
      <c r="H1367" t="s">
        <v>1456</v>
      </c>
      <c r="I1367" t="s">
        <v>1457</v>
      </c>
      <c r="J1367">
        <v>0</v>
      </c>
      <c r="K1367">
        <v>0</v>
      </c>
      <c r="L1367">
        <v>0</v>
      </c>
    </row>
    <row r="1368" spans="8:13" x14ac:dyDescent="0.25">
      <c r="H1368" t="s">
        <v>1456</v>
      </c>
      <c r="I1368" t="s">
        <v>1458</v>
      </c>
      <c r="J1368">
        <v>0</v>
      </c>
      <c r="K1368">
        <v>1</v>
      </c>
      <c r="L1368">
        <v>0</v>
      </c>
    </row>
    <row r="1369" spans="8:13" x14ac:dyDescent="0.25">
      <c r="H1369" t="s">
        <v>1459</v>
      </c>
      <c r="I1369" t="s">
        <v>1063</v>
      </c>
      <c r="J1369">
        <v>1</v>
      </c>
      <c r="K1369">
        <v>1</v>
      </c>
      <c r="L1369">
        <v>0</v>
      </c>
    </row>
    <row r="1370" spans="8:13" x14ac:dyDescent="0.25">
      <c r="H1370" t="s">
        <v>1056</v>
      </c>
      <c r="I1370" t="s">
        <v>1117</v>
      </c>
      <c r="J1370">
        <v>0</v>
      </c>
      <c r="K1370">
        <v>0</v>
      </c>
      <c r="L1370">
        <v>0</v>
      </c>
    </row>
    <row r="1371" spans="8:13" x14ac:dyDescent="0.25">
      <c r="H1371" t="s">
        <v>2529</v>
      </c>
      <c r="I1371" t="s">
        <v>1460</v>
      </c>
      <c r="J1371">
        <v>0</v>
      </c>
      <c r="K1371">
        <v>0</v>
      </c>
      <c r="L1371">
        <v>0</v>
      </c>
    </row>
    <row r="1372" spans="8:13" x14ac:dyDescent="0.25">
      <c r="H1372" t="s">
        <v>1578</v>
      </c>
      <c r="I1372" t="s">
        <v>1579</v>
      </c>
      <c r="J1372">
        <v>0</v>
      </c>
      <c r="K1372">
        <v>0</v>
      </c>
      <c r="L1372">
        <v>0</v>
      </c>
    </row>
    <row r="1373" spans="8:13" x14ac:dyDescent="0.25">
      <c r="H1373" t="s">
        <v>1461</v>
      </c>
      <c r="I1373" t="s">
        <v>1462</v>
      </c>
      <c r="J1373" t="s">
        <v>1463</v>
      </c>
      <c r="K1373">
        <v>1</v>
      </c>
      <c r="L1373">
        <v>0</v>
      </c>
      <c r="M1373">
        <v>0</v>
      </c>
    </row>
    <row r="1374" spans="8:13" x14ac:dyDescent="0.25">
      <c r="H1374" t="s">
        <v>1464</v>
      </c>
      <c r="I1374" t="s">
        <v>1465</v>
      </c>
      <c r="J1374">
        <v>0</v>
      </c>
      <c r="K1374">
        <v>0</v>
      </c>
      <c r="L1374">
        <v>0</v>
      </c>
    </row>
    <row r="1375" spans="8:13" x14ac:dyDescent="0.25">
      <c r="H1375" t="s">
        <v>1466</v>
      </c>
      <c r="I1375" t="s">
        <v>1467</v>
      </c>
      <c r="J1375">
        <v>0</v>
      </c>
      <c r="K1375">
        <v>0</v>
      </c>
      <c r="L1375">
        <v>0</v>
      </c>
    </row>
    <row r="1376" spans="8:13" x14ac:dyDescent="0.25">
      <c r="H1376" t="s">
        <v>1255</v>
      </c>
      <c r="I1376" t="s">
        <v>1232</v>
      </c>
      <c r="J1376">
        <v>0</v>
      </c>
      <c r="K1376">
        <v>0</v>
      </c>
      <c r="L1376">
        <v>0</v>
      </c>
    </row>
    <row r="1377" spans="8:13" x14ac:dyDescent="0.25">
      <c r="H1377" t="s">
        <v>1126</v>
      </c>
      <c r="I1377" t="s">
        <v>1470</v>
      </c>
      <c r="J1377">
        <v>0</v>
      </c>
      <c r="K1377">
        <v>0</v>
      </c>
      <c r="L1377">
        <v>0</v>
      </c>
    </row>
    <row r="1378" spans="8:13" x14ac:dyDescent="0.25">
      <c r="H1378" t="s">
        <v>1126</v>
      </c>
      <c r="I1378" t="s">
        <v>1471</v>
      </c>
      <c r="J1378">
        <v>0</v>
      </c>
      <c r="K1378">
        <v>0</v>
      </c>
      <c r="L1378">
        <v>0</v>
      </c>
    </row>
    <row r="1379" spans="8:13" x14ac:dyDescent="0.25">
      <c r="H1379" t="s">
        <v>1472</v>
      </c>
      <c r="I1379" t="s">
        <v>1473</v>
      </c>
      <c r="J1379" t="s">
        <v>1474</v>
      </c>
      <c r="K1379">
        <v>1</v>
      </c>
      <c r="L1379">
        <v>0</v>
      </c>
      <c r="M1379">
        <v>0</v>
      </c>
    </row>
    <row r="1380" spans="8:13" x14ac:dyDescent="0.25">
      <c r="H1380" t="s">
        <v>1475</v>
      </c>
      <c r="I1380" t="s">
        <v>1476</v>
      </c>
      <c r="J1380" t="s">
        <v>1122</v>
      </c>
      <c r="K1380">
        <v>0</v>
      </c>
      <c r="L1380">
        <v>0</v>
      </c>
      <c r="M1380">
        <v>0</v>
      </c>
    </row>
    <row r="1381" spans="8:13" x14ac:dyDescent="0.25">
      <c r="H1381" t="s">
        <v>1479</v>
      </c>
      <c r="I1381" t="s">
        <v>1181</v>
      </c>
      <c r="J1381">
        <v>1</v>
      </c>
      <c r="K1381">
        <v>0</v>
      </c>
      <c r="L1381">
        <v>0</v>
      </c>
    </row>
    <row r="1382" spans="8:13" x14ac:dyDescent="0.25">
      <c r="H1382" t="s">
        <v>1480</v>
      </c>
      <c r="I1382" t="s">
        <v>1063</v>
      </c>
      <c r="J1382">
        <v>1</v>
      </c>
      <c r="K1382">
        <v>1</v>
      </c>
      <c r="L1382">
        <v>0</v>
      </c>
    </row>
    <row r="1383" spans="8:13" x14ac:dyDescent="0.25">
      <c r="H1383" t="s">
        <v>1481</v>
      </c>
      <c r="I1383" t="s">
        <v>1482</v>
      </c>
      <c r="J1383">
        <v>0</v>
      </c>
      <c r="K1383">
        <v>0</v>
      </c>
      <c r="L1383">
        <v>0</v>
      </c>
    </row>
    <row r="1384" spans="8:13" x14ac:dyDescent="0.25">
      <c r="H1384" t="s">
        <v>1320</v>
      </c>
      <c r="I1384" t="s">
        <v>1063</v>
      </c>
      <c r="J1384">
        <v>0</v>
      </c>
      <c r="K1384">
        <v>1</v>
      </c>
      <c r="L1384">
        <v>0</v>
      </c>
    </row>
    <row r="1385" spans="8:13" x14ac:dyDescent="0.25">
      <c r="H1385" t="s">
        <v>1323</v>
      </c>
      <c r="I1385" t="s">
        <v>1483</v>
      </c>
      <c r="J1385">
        <v>0</v>
      </c>
      <c r="K1385">
        <v>0</v>
      </c>
      <c r="L1385">
        <v>0</v>
      </c>
    </row>
    <row r="1386" spans="8:13" x14ac:dyDescent="0.25">
      <c r="H1386" t="s">
        <v>1323</v>
      </c>
      <c r="I1386" t="s">
        <v>1284</v>
      </c>
      <c r="J1386">
        <v>1</v>
      </c>
      <c r="K1386">
        <v>1</v>
      </c>
      <c r="L1386">
        <v>0</v>
      </c>
    </row>
    <row r="1387" spans="8:13" x14ac:dyDescent="0.25">
      <c r="H1387" t="s">
        <v>1092</v>
      </c>
      <c r="I1387" t="s">
        <v>1147</v>
      </c>
      <c r="J1387">
        <v>0</v>
      </c>
      <c r="K1387">
        <v>0</v>
      </c>
      <c r="L1387">
        <v>0</v>
      </c>
    </row>
    <row r="1388" spans="8:13" x14ac:dyDescent="0.25">
      <c r="H1388" t="s">
        <v>1484</v>
      </c>
      <c r="I1388" t="s">
        <v>1485</v>
      </c>
      <c r="J1388">
        <v>0</v>
      </c>
      <c r="K1388">
        <v>0</v>
      </c>
      <c r="L1388">
        <v>0</v>
      </c>
    </row>
    <row r="1389" spans="8:13" x14ac:dyDescent="0.25">
      <c r="H1389" t="s">
        <v>1486</v>
      </c>
      <c r="I1389" t="s">
        <v>1487</v>
      </c>
      <c r="J1389">
        <v>0</v>
      </c>
      <c r="K1389">
        <v>0</v>
      </c>
      <c r="L1389">
        <v>0</v>
      </c>
    </row>
    <row r="1390" spans="8:13" x14ac:dyDescent="0.25">
      <c r="H1390" t="s">
        <v>1488</v>
      </c>
      <c r="I1390" t="s">
        <v>1489</v>
      </c>
      <c r="J1390">
        <v>0</v>
      </c>
      <c r="K1390">
        <v>0</v>
      </c>
      <c r="L1390">
        <v>0</v>
      </c>
    </row>
    <row r="1391" spans="8:13" x14ac:dyDescent="0.25">
      <c r="H1391" t="s">
        <v>1330</v>
      </c>
      <c r="I1391" t="s">
        <v>1490</v>
      </c>
      <c r="J1391" t="s">
        <v>1491</v>
      </c>
      <c r="K1391">
        <v>1</v>
      </c>
      <c r="L1391">
        <v>0</v>
      </c>
      <c r="M1391">
        <v>0</v>
      </c>
    </row>
    <row r="1392" spans="8:13" x14ac:dyDescent="0.25">
      <c r="H1392" t="s">
        <v>1330</v>
      </c>
      <c r="I1392" t="s">
        <v>1375</v>
      </c>
      <c r="J1392" t="s">
        <v>1492</v>
      </c>
      <c r="K1392">
        <v>0</v>
      </c>
      <c r="L1392">
        <v>0</v>
      </c>
      <c r="M1392">
        <v>0</v>
      </c>
    </row>
    <row r="1393" spans="8:13" x14ac:dyDescent="0.25">
      <c r="H1393" t="s">
        <v>1330</v>
      </c>
      <c r="I1393" t="s">
        <v>1375</v>
      </c>
      <c r="J1393" t="s">
        <v>1493</v>
      </c>
      <c r="K1393">
        <v>0</v>
      </c>
      <c r="L1393">
        <v>0</v>
      </c>
      <c r="M1393">
        <v>0</v>
      </c>
    </row>
    <row r="1394" spans="8:13" x14ac:dyDescent="0.25">
      <c r="H1394" t="s">
        <v>1070</v>
      </c>
      <c r="I1394" t="s">
        <v>1494</v>
      </c>
      <c r="J1394">
        <v>0</v>
      </c>
      <c r="K1394">
        <v>0</v>
      </c>
      <c r="L1394">
        <v>0</v>
      </c>
    </row>
    <row r="1395" spans="8:13" x14ac:dyDescent="0.25">
      <c r="H1395" t="s">
        <v>1495</v>
      </c>
      <c r="I1395" t="s">
        <v>1496</v>
      </c>
      <c r="J1395">
        <v>1</v>
      </c>
      <c r="K1395">
        <v>0</v>
      </c>
      <c r="L1395">
        <v>0</v>
      </c>
    </row>
    <row r="1396" spans="8:13" x14ac:dyDescent="0.25">
      <c r="H1396" t="s">
        <v>1497</v>
      </c>
      <c r="I1396" t="s">
        <v>1498</v>
      </c>
      <c r="J1396">
        <v>0</v>
      </c>
      <c r="K1396">
        <v>0</v>
      </c>
      <c r="L1396">
        <v>0</v>
      </c>
    </row>
    <row r="1397" spans="8:13" x14ac:dyDescent="0.25">
      <c r="H1397" t="s">
        <v>1499</v>
      </c>
      <c r="I1397" t="s">
        <v>1500</v>
      </c>
      <c r="J1397">
        <v>0</v>
      </c>
      <c r="K1397">
        <v>0</v>
      </c>
      <c r="L1397">
        <v>0</v>
      </c>
    </row>
    <row r="1398" spans="8:13" x14ac:dyDescent="0.25">
      <c r="H1398" t="s">
        <v>1501</v>
      </c>
      <c r="I1398" t="s">
        <v>1502</v>
      </c>
      <c r="J1398">
        <v>1</v>
      </c>
      <c r="K1398">
        <v>0</v>
      </c>
      <c r="L1398">
        <v>0</v>
      </c>
    </row>
    <row r="1399" spans="8:13" x14ac:dyDescent="0.25">
      <c r="H1399" t="s">
        <v>1503</v>
      </c>
      <c r="I1399" t="s">
        <v>1504</v>
      </c>
      <c r="J1399">
        <v>0</v>
      </c>
      <c r="K1399">
        <v>0</v>
      </c>
      <c r="L1399">
        <v>0</v>
      </c>
    </row>
    <row r="1400" spans="8:13" x14ac:dyDescent="0.25">
      <c r="H1400" t="s">
        <v>1505</v>
      </c>
      <c r="I1400" t="s">
        <v>1506</v>
      </c>
      <c r="J1400">
        <v>0</v>
      </c>
      <c r="K1400">
        <v>0</v>
      </c>
      <c r="L1400">
        <v>0</v>
      </c>
    </row>
    <row r="1401" spans="8:13" x14ac:dyDescent="0.25">
      <c r="H1401" t="s">
        <v>1507</v>
      </c>
      <c r="I1401" t="s">
        <v>1508</v>
      </c>
      <c r="J1401">
        <v>0</v>
      </c>
      <c r="K1401">
        <v>0</v>
      </c>
      <c r="L1401">
        <v>0</v>
      </c>
    </row>
    <row r="1402" spans="8:13" x14ac:dyDescent="0.25">
      <c r="H1402" t="s">
        <v>1334</v>
      </c>
      <c r="I1402" t="s">
        <v>1509</v>
      </c>
      <c r="J1402">
        <v>1</v>
      </c>
      <c r="K1402">
        <v>0</v>
      </c>
      <c r="L1402">
        <v>0</v>
      </c>
    </row>
    <row r="1403" spans="8:13" x14ac:dyDescent="0.25">
      <c r="H1403" t="s">
        <v>1204</v>
      </c>
      <c r="I1403" t="s">
        <v>1510</v>
      </c>
      <c r="J1403">
        <v>1</v>
      </c>
      <c r="K1403">
        <v>0</v>
      </c>
      <c r="L1403">
        <v>0</v>
      </c>
    </row>
    <row r="1404" spans="8:13" x14ac:dyDescent="0.25">
      <c r="H1404" t="s">
        <v>1511</v>
      </c>
      <c r="I1404" t="s">
        <v>1512</v>
      </c>
      <c r="J1404">
        <v>1</v>
      </c>
      <c r="K1404">
        <v>0</v>
      </c>
      <c r="L1404">
        <v>0</v>
      </c>
    </row>
    <row r="1405" spans="8:13" x14ac:dyDescent="0.25">
      <c r="H1405" t="s">
        <v>1650</v>
      </c>
      <c r="I1405" t="s">
        <v>1651</v>
      </c>
      <c r="J1405">
        <v>1</v>
      </c>
      <c r="K1405">
        <v>0</v>
      </c>
      <c r="L1405">
        <v>0</v>
      </c>
    </row>
    <row r="1406" spans="8:13" x14ac:dyDescent="0.25">
      <c r="H1406" t="s">
        <v>1223</v>
      </c>
      <c r="I1406" t="s">
        <v>1063</v>
      </c>
      <c r="J1406" t="s">
        <v>1224</v>
      </c>
      <c r="K1406">
        <v>1</v>
      </c>
      <c r="L1406">
        <v>0</v>
      </c>
      <c r="M1406">
        <v>0</v>
      </c>
    </row>
    <row r="1407" spans="8:13" x14ac:dyDescent="0.25">
      <c r="H1407" t="s">
        <v>1513</v>
      </c>
      <c r="I1407" t="s">
        <v>1123</v>
      </c>
      <c r="J1407">
        <v>1</v>
      </c>
      <c r="K1407">
        <v>0</v>
      </c>
      <c r="L1407">
        <v>0</v>
      </c>
    </row>
    <row r="1408" spans="8:13" x14ac:dyDescent="0.25">
      <c r="H1408" t="s">
        <v>1516</v>
      </c>
      <c r="I1408" t="s">
        <v>1517</v>
      </c>
      <c r="J1408">
        <v>0</v>
      </c>
      <c r="K1408">
        <v>0</v>
      </c>
      <c r="L1408">
        <v>0</v>
      </c>
    </row>
    <row r="1409" spans="8:12" x14ac:dyDescent="0.25">
      <c r="H1409" t="s">
        <v>1518</v>
      </c>
      <c r="I1409" t="s">
        <v>1519</v>
      </c>
      <c r="J1409">
        <v>1</v>
      </c>
      <c r="K1409">
        <v>0</v>
      </c>
      <c r="L1409">
        <v>0</v>
      </c>
    </row>
    <row r="1410" spans="8:12" x14ac:dyDescent="0.25">
      <c r="H1410" t="s">
        <v>1520</v>
      </c>
      <c r="I1410" t="s">
        <v>1521</v>
      </c>
      <c r="J1410">
        <v>0</v>
      </c>
      <c r="K1410">
        <v>0</v>
      </c>
      <c r="L1410">
        <v>0</v>
      </c>
    </row>
    <row r="1411" spans="8:12" x14ac:dyDescent="0.25">
      <c r="H1411" t="s">
        <v>1522</v>
      </c>
      <c r="I1411" t="s">
        <v>1123</v>
      </c>
      <c r="J1411">
        <v>1</v>
      </c>
      <c r="K1411">
        <v>1</v>
      </c>
      <c r="L1411">
        <v>0</v>
      </c>
    </row>
    <row r="1412" spans="8:12" x14ac:dyDescent="0.25">
      <c r="H1412" t="s">
        <v>1523</v>
      </c>
      <c r="I1412" t="s">
        <v>1524</v>
      </c>
      <c r="J1412">
        <v>1</v>
      </c>
      <c r="K1412">
        <v>0</v>
      </c>
      <c r="L1412">
        <v>0</v>
      </c>
    </row>
    <row r="1413" spans="8:12" x14ac:dyDescent="0.25">
      <c r="H1413" t="s">
        <v>1525</v>
      </c>
      <c r="I1413" t="s">
        <v>1526</v>
      </c>
      <c r="J1413">
        <v>0</v>
      </c>
      <c r="K1413">
        <v>0</v>
      </c>
      <c r="L1413">
        <v>0</v>
      </c>
    </row>
    <row r="1414" spans="8:12" x14ac:dyDescent="0.25">
      <c r="H1414" t="s">
        <v>1527</v>
      </c>
      <c r="I1414" t="s">
        <v>1528</v>
      </c>
      <c r="J1414">
        <v>1</v>
      </c>
      <c r="K1414">
        <v>0</v>
      </c>
      <c r="L1414">
        <v>0</v>
      </c>
    </row>
    <row r="1415" spans="8:12" x14ac:dyDescent="0.25">
      <c r="H1415" t="s">
        <v>1531</v>
      </c>
      <c r="I1415" t="s">
        <v>1532</v>
      </c>
      <c r="J1415">
        <v>0</v>
      </c>
      <c r="K1415">
        <v>0</v>
      </c>
      <c r="L1415">
        <v>0</v>
      </c>
    </row>
    <row r="1416" spans="8:12" x14ac:dyDescent="0.25">
      <c r="H1416" t="s">
        <v>1060</v>
      </c>
      <c r="I1416" t="s">
        <v>1582</v>
      </c>
      <c r="J1416">
        <v>0</v>
      </c>
      <c r="K1416">
        <v>0</v>
      </c>
      <c r="L1416">
        <v>0</v>
      </c>
    </row>
    <row r="1417" spans="8:12" x14ac:dyDescent="0.25">
      <c r="H1417" t="s">
        <v>1165</v>
      </c>
      <c r="I1417" t="s">
        <v>2661</v>
      </c>
      <c r="J1417">
        <v>0</v>
      </c>
      <c r="K1417">
        <v>0</v>
      </c>
      <c r="L1417">
        <v>0</v>
      </c>
    </row>
    <row r="1418" spans="8:12" x14ac:dyDescent="0.25">
      <c r="H1418" t="s">
        <v>1533</v>
      </c>
      <c r="I1418" t="s">
        <v>1534</v>
      </c>
      <c r="J1418">
        <v>0</v>
      </c>
      <c r="K1418">
        <v>0</v>
      </c>
      <c r="L1418">
        <v>0</v>
      </c>
    </row>
    <row r="1419" spans="8:12" x14ac:dyDescent="0.25">
      <c r="H1419" t="s">
        <v>1535</v>
      </c>
      <c r="I1419" t="s">
        <v>1057</v>
      </c>
      <c r="J1419">
        <v>0</v>
      </c>
      <c r="K1419">
        <v>0</v>
      </c>
      <c r="L1419">
        <v>0</v>
      </c>
    </row>
    <row r="1420" spans="8:12" x14ac:dyDescent="0.25">
      <c r="H1420" t="s">
        <v>1551</v>
      </c>
      <c r="I1420" t="s">
        <v>1192</v>
      </c>
      <c r="J1420">
        <v>0</v>
      </c>
      <c r="K1420">
        <v>0</v>
      </c>
      <c r="L1420">
        <v>0</v>
      </c>
    </row>
    <row r="1421" spans="8:12" x14ac:dyDescent="0.25">
      <c r="H1421" t="s">
        <v>1447</v>
      </c>
      <c r="I1421" t="s">
        <v>1536</v>
      </c>
      <c r="J1421">
        <v>0</v>
      </c>
      <c r="K1421">
        <v>0</v>
      </c>
      <c r="L1421">
        <v>0</v>
      </c>
    </row>
    <row r="1422" spans="8:12" x14ac:dyDescent="0.25">
      <c r="H1422" t="s">
        <v>1537</v>
      </c>
      <c r="I1422" t="s">
        <v>1538</v>
      </c>
      <c r="J1422">
        <v>1</v>
      </c>
      <c r="K1422">
        <v>0</v>
      </c>
      <c r="L1422">
        <v>0</v>
      </c>
    </row>
    <row r="1423" spans="8:12" x14ac:dyDescent="0.25">
      <c r="H1423" t="s">
        <v>1539</v>
      </c>
      <c r="I1423" t="s">
        <v>1540</v>
      </c>
      <c r="J1423">
        <v>1</v>
      </c>
      <c r="K1423">
        <v>0</v>
      </c>
      <c r="L1423">
        <v>0</v>
      </c>
    </row>
    <row r="1424" spans="8:12" x14ac:dyDescent="0.25">
      <c r="H1424" t="s">
        <v>1246</v>
      </c>
      <c r="I1424" t="s">
        <v>1201</v>
      </c>
      <c r="J1424">
        <v>0</v>
      </c>
      <c r="K1424">
        <v>0</v>
      </c>
      <c r="L1424">
        <v>0</v>
      </c>
    </row>
    <row r="1425" spans="8:13" x14ac:dyDescent="0.25">
      <c r="H1425" t="s">
        <v>1542</v>
      </c>
      <c r="I1425" t="s">
        <v>1063</v>
      </c>
      <c r="J1425">
        <v>0</v>
      </c>
      <c r="K1425">
        <v>0</v>
      </c>
      <c r="L1425">
        <v>0</v>
      </c>
    </row>
    <row r="1426" spans="8:13" x14ac:dyDescent="0.25">
      <c r="H1426" t="s">
        <v>1253</v>
      </c>
      <c r="I1426" t="s">
        <v>1468</v>
      </c>
      <c r="J1426">
        <v>1</v>
      </c>
      <c r="K1426">
        <v>0</v>
      </c>
      <c r="L1426">
        <v>0</v>
      </c>
    </row>
    <row r="1427" spans="8:13" x14ac:dyDescent="0.25">
      <c r="H1427" t="s">
        <v>1543</v>
      </c>
      <c r="I1427" t="s">
        <v>1544</v>
      </c>
      <c r="J1427">
        <v>2</v>
      </c>
      <c r="K1427">
        <v>0</v>
      </c>
      <c r="L1427">
        <v>0</v>
      </c>
    </row>
    <row r="1428" spans="8:13" x14ac:dyDescent="0.25">
      <c r="H1428" t="s">
        <v>1616</v>
      </c>
      <c r="I1428" t="s">
        <v>1103</v>
      </c>
      <c r="J1428">
        <v>1</v>
      </c>
      <c r="K1428">
        <v>0</v>
      </c>
      <c r="L1428">
        <v>0</v>
      </c>
    </row>
    <row r="1429" spans="8:13" x14ac:dyDescent="0.25">
      <c r="H1429" t="s">
        <v>1300</v>
      </c>
      <c r="I1429" t="s">
        <v>1545</v>
      </c>
      <c r="J1429">
        <v>1</v>
      </c>
      <c r="K1429">
        <v>0</v>
      </c>
      <c r="L1429">
        <v>0</v>
      </c>
    </row>
    <row r="1430" spans="8:13" x14ac:dyDescent="0.25">
      <c r="H1430" t="s">
        <v>1546</v>
      </c>
      <c r="I1430" t="s">
        <v>1547</v>
      </c>
      <c r="J1430" t="s">
        <v>1122</v>
      </c>
      <c r="K1430">
        <v>1</v>
      </c>
      <c r="L1430">
        <v>0</v>
      </c>
      <c r="M1430">
        <v>0</v>
      </c>
    </row>
    <row r="1431" spans="8:13" x14ac:dyDescent="0.25">
      <c r="H1431" t="s">
        <v>1374</v>
      </c>
      <c r="I1431" t="s">
        <v>1375</v>
      </c>
      <c r="J1431">
        <v>1</v>
      </c>
      <c r="K1431">
        <v>0</v>
      </c>
      <c r="L1431">
        <v>0</v>
      </c>
    </row>
    <row r="1432" spans="8:13" x14ac:dyDescent="0.25">
      <c r="H1432" t="s">
        <v>1447</v>
      </c>
      <c r="I1432" t="s">
        <v>2530</v>
      </c>
      <c r="J1432" t="s">
        <v>452</v>
      </c>
      <c r="K1432">
        <v>1</v>
      </c>
      <c r="L1432">
        <v>0</v>
      </c>
      <c r="M1432">
        <v>0</v>
      </c>
    </row>
    <row r="1433" spans="8:13" x14ac:dyDescent="0.25">
      <c r="H1433" t="s">
        <v>1369</v>
      </c>
      <c r="I1433" t="s">
        <v>1192</v>
      </c>
      <c r="J1433">
        <v>0</v>
      </c>
      <c r="K1433">
        <v>1</v>
      </c>
      <c r="L1433">
        <v>0</v>
      </c>
    </row>
    <row r="1434" spans="8:13" x14ac:dyDescent="0.25">
      <c r="H1434" t="s">
        <v>1268</v>
      </c>
      <c r="I1434">
        <v>0</v>
      </c>
      <c r="J1434">
        <v>4</v>
      </c>
      <c r="K1434">
        <v>0</v>
      </c>
    </row>
    <row r="1435" spans="8:13" x14ac:dyDescent="0.25">
      <c r="H1435" t="s">
        <v>1332</v>
      </c>
      <c r="I1435">
        <v>0</v>
      </c>
      <c r="J1435">
        <v>2</v>
      </c>
      <c r="K1435">
        <v>0</v>
      </c>
    </row>
    <row r="1436" spans="8:13" x14ac:dyDescent="0.25">
      <c r="H1436" t="s">
        <v>1299</v>
      </c>
      <c r="I1436">
        <v>0</v>
      </c>
      <c r="J1436">
        <v>2</v>
      </c>
      <c r="K1436">
        <v>0</v>
      </c>
    </row>
    <row r="1437" spans="8:13" x14ac:dyDescent="0.25">
      <c r="H1437" t="s">
        <v>1358</v>
      </c>
      <c r="I1437">
        <v>0</v>
      </c>
      <c r="J1437">
        <v>2</v>
      </c>
      <c r="K1437">
        <v>0</v>
      </c>
    </row>
    <row r="1438" spans="8:13" x14ac:dyDescent="0.25">
      <c r="H1438" t="s">
        <v>1288</v>
      </c>
      <c r="I1438">
        <v>0</v>
      </c>
      <c r="J1438">
        <v>2</v>
      </c>
      <c r="K1438">
        <v>0</v>
      </c>
    </row>
    <row r="1439" spans="8:13" x14ac:dyDescent="0.25">
      <c r="H1439" t="s">
        <v>1339</v>
      </c>
      <c r="I1439">
        <v>0</v>
      </c>
      <c r="J1439">
        <v>2</v>
      </c>
      <c r="K1439">
        <v>0</v>
      </c>
    </row>
    <row r="1440" spans="8:13" x14ac:dyDescent="0.25">
      <c r="H1440" t="s">
        <v>1290</v>
      </c>
      <c r="I1440">
        <v>0</v>
      </c>
      <c r="J1440">
        <v>1</v>
      </c>
      <c r="K1440">
        <v>0</v>
      </c>
    </row>
    <row r="1441" spans="8:13" x14ac:dyDescent="0.25">
      <c r="H1441" t="s">
        <v>1305</v>
      </c>
      <c r="I1441">
        <v>0</v>
      </c>
      <c r="J1441">
        <v>1</v>
      </c>
      <c r="K1441">
        <v>0</v>
      </c>
    </row>
    <row r="1442" spans="8:13" x14ac:dyDescent="0.25">
      <c r="H1442" t="s">
        <v>1283</v>
      </c>
      <c r="I1442">
        <v>0</v>
      </c>
      <c r="J1442">
        <v>1</v>
      </c>
      <c r="K1442">
        <v>0</v>
      </c>
    </row>
    <row r="1443" spans="8:13" x14ac:dyDescent="0.25">
      <c r="H1443" t="s">
        <v>1536</v>
      </c>
      <c r="I1443">
        <v>0</v>
      </c>
      <c r="J1443">
        <v>1</v>
      </c>
      <c r="K1443">
        <v>0</v>
      </c>
    </row>
    <row r="1444" spans="8:13" x14ac:dyDescent="0.25">
      <c r="H1444" t="s">
        <v>1318</v>
      </c>
      <c r="I1444">
        <v>0</v>
      </c>
      <c r="J1444">
        <v>1</v>
      </c>
      <c r="K1444">
        <v>0</v>
      </c>
    </row>
    <row r="1445" spans="8:13" x14ac:dyDescent="0.25">
      <c r="H1445" t="s">
        <v>1394</v>
      </c>
      <c r="I1445">
        <v>0</v>
      </c>
      <c r="J1445">
        <v>0</v>
      </c>
      <c r="K1445">
        <v>0</v>
      </c>
    </row>
    <row r="1446" spans="8:13" x14ac:dyDescent="0.25">
      <c r="H1446" t="s">
        <v>1795</v>
      </c>
      <c r="I1446" t="s">
        <v>1077</v>
      </c>
      <c r="J1446">
        <v>0</v>
      </c>
      <c r="K1446">
        <v>0</v>
      </c>
      <c r="L1446">
        <v>0</v>
      </c>
    </row>
    <row r="1447" spans="8:13" x14ac:dyDescent="0.25">
      <c r="H1447" t="s">
        <v>1327</v>
      </c>
      <c r="I1447">
        <v>0</v>
      </c>
      <c r="J1447">
        <v>0</v>
      </c>
      <c r="K1447">
        <v>0</v>
      </c>
    </row>
    <row r="1448" spans="8:13" x14ac:dyDescent="0.25">
      <c r="H1448" t="s">
        <v>1396</v>
      </c>
      <c r="I1448">
        <v>0</v>
      </c>
      <c r="J1448">
        <v>0</v>
      </c>
      <c r="K1448">
        <v>0</v>
      </c>
    </row>
    <row r="1449" spans="8:13" x14ac:dyDescent="0.25">
      <c r="H1449" t="s">
        <v>1550</v>
      </c>
      <c r="I1449" t="s">
        <v>1063</v>
      </c>
      <c r="J1449" t="s">
        <v>1122</v>
      </c>
      <c r="K1449">
        <v>0</v>
      </c>
      <c r="L1449">
        <v>0</v>
      </c>
      <c r="M1449">
        <v>0</v>
      </c>
    </row>
    <row r="1450" spans="8:13" x14ac:dyDescent="0.25">
      <c r="H1450" t="s">
        <v>1554</v>
      </c>
      <c r="I1450" t="s">
        <v>1172</v>
      </c>
      <c r="J1450">
        <v>0</v>
      </c>
      <c r="K1450">
        <v>0</v>
      </c>
      <c r="L1450">
        <v>0</v>
      </c>
    </row>
    <row r="1451" spans="8:13" x14ac:dyDescent="0.25">
      <c r="H1451" t="s">
        <v>1552</v>
      </c>
      <c r="I1451" t="s">
        <v>1553</v>
      </c>
      <c r="J1451">
        <v>0</v>
      </c>
      <c r="K1451">
        <v>0</v>
      </c>
      <c r="L1451">
        <v>0</v>
      </c>
    </row>
    <row r="1452" spans="8:13" x14ac:dyDescent="0.25">
      <c r="H1452" t="s">
        <v>1491</v>
      </c>
      <c r="I1452">
        <v>0</v>
      </c>
      <c r="J1452">
        <v>0</v>
      </c>
      <c r="K1452">
        <v>0</v>
      </c>
    </row>
    <row r="1453" spans="8:13" x14ac:dyDescent="0.25">
      <c r="H1453" t="s">
        <v>1502</v>
      </c>
      <c r="I1453">
        <v>0</v>
      </c>
      <c r="J1453">
        <v>0</v>
      </c>
      <c r="K1453">
        <v>0</v>
      </c>
    </row>
    <row r="1454" spans="8:13" x14ac:dyDescent="0.25">
      <c r="H1454" t="s">
        <v>1165</v>
      </c>
      <c r="I1454" t="s">
        <v>1614</v>
      </c>
      <c r="J1454">
        <v>0</v>
      </c>
      <c r="K1454">
        <v>0</v>
      </c>
      <c r="L1454">
        <v>0</v>
      </c>
    </row>
    <row r="1455" spans="8:13" x14ac:dyDescent="0.25">
      <c r="H1455" t="s">
        <v>1250</v>
      </c>
      <c r="I1455" t="s">
        <v>1731</v>
      </c>
      <c r="J1455">
        <v>0</v>
      </c>
      <c r="K1455">
        <v>0</v>
      </c>
      <c r="L1455">
        <v>0</v>
      </c>
    </row>
    <row r="1456" spans="8:13" x14ac:dyDescent="0.25">
      <c r="H1456" t="s">
        <v>1529</v>
      </c>
      <c r="I1456" t="s">
        <v>1530</v>
      </c>
      <c r="J1456" t="s">
        <v>1122</v>
      </c>
      <c r="K1456">
        <v>0</v>
      </c>
      <c r="L1456">
        <v>0</v>
      </c>
      <c r="M1456">
        <v>0</v>
      </c>
    </row>
    <row r="1457" spans="8:13" x14ac:dyDescent="0.25">
      <c r="H1457" t="s">
        <v>1557</v>
      </c>
      <c r="I1457" t="s">
        <v>1558</v>
      </c>
      <c r="J1457">
        <v>0</v>
      </c>
      <c r="K1457">
        <v>0</v>
      </c>
      <c r="L1457">
        <v>0</v>
      </c>
    </row>
    <row r="1458" spans="8:13" x14ac:dyDescent="0.25">
      <c r="H1458" t="s">
        <v>1427</v>
      </c>
      <c r="I1458" t="s">
        <v>1428</v>
      </c>
      <c r="J1458">
        <v>0</v>
      </c>
      <c r="K1458">
        <v>0</v>
      </c>
      <c r="L1458">
        <v>0</v>
      </c>
    </row>
    <row r="1459" spans="8:13" x14ac:dyDescent="0.25">
      <c r="H1459" t="s">
        <v>1584</v>
      </c>
      <c r="I1459" t="s">
        <v>1447</v>
      </c>
      <c r="J1459">
        <v>0</v>
      </c>
      <c r="K1459">
        <v>0</v>
      </c>
      <c r="L1459">
        <v>0</v>
      </c>
    </row>
    <row r="1460" spans="8:13" x14ac:dyDescent="0.25">
      <c r="H1460" t="s">
        <v>1568</v>
      </c>
      <c r="I1460" t="s">
        <v>1569</v>
      </c>
      <c r="J1460">
        <v>0</v>
      </c>
      <c r="K1460">
        <v>0</v>
      </c>
      <c r="L1460">
        <v>0</v>
      </c>
    </row>
    <row r="1461" spans="8:13" x14ac:dyDescent="0.25">
      <c r="H1461" t="s">
        <v>1359</v>
      </c>
      <c r="I1461" t="s">
        <v>1360</v>
      </c>
      <c r="J1461" t="s">
        <v>1122</v>
      </c>
      <c r="K1461">
        <v>0</v>
      </c>
      <c r="L1461">
        <v>0</v>
      </c>
      <c r="M1461">
        <v>0</v>
      </c>
    </row>
    <row r="1462" spans="8:13" x14ac:dyDescent="0.25">
      <c r="H1462" t="s">
        <v>1567</v>
      </c>
      <c r="I1462" t="s">
        <v>1065</v>
      </c>
      <c r="J1462">
        <v>0</v>
      </c>
      <c r="K1462">
        <v>0</v>
      </c>
      <c r="L1462">
        <v>0</v>
      </c>
    </row>
    <row r="1463" spans="8:13" x14ac:dyDescent="0.25">
      <c r="H1463" t="s">
        <v>1565</v>
      </c>
      <c r="I1463" t="s">
        <v>1566</v>
      </c>
      <c r="J1463">
        <v>0</v>
      </c>
      <c r="K1463">
        <v>0</v>
      </c>
      <c r="L1463">
        <v>0</v>
      </c>
    </row>
    <row r="1464" spans="8:13" x14ac:dyDescent="0.25">
      <c r="H1464" t="s">
        <v>1793</v>
      </c>
      <c r="I1464" t="s">
        <v>1794</v>
      </c>
      <c r="J1464" t="s">
        <v>1199</v>
      </c>
      <c r="K1464">
        <v>0</v>
      </c>
      <c r="L1464">
        <v>0</v>
      </c>
      <c r="M1464">
        <v>0</v>
      </c>
    </row>
    <row r="1465" spans="8:13" x14ac:dyDescent="0.25">
      <c r="H1465" t="s">
        <v>1560</v>
      </c>
      <c r="I1465" t="s">
        <v>1561</v>
      </c>
      <c r="J1465">
        <v>0</v>
      </c>
      <c r="K1465">
        <v>0</v>
      </c>
      <c r="L1465">
        <v>0</v>
      </c>
    </row>
    <row r="1466" spans="8:13" x14ac:dyDescent="0.25">
      <c r="H1466" t="s">
        <v>1319</v>
      </c>
      <c r="I1466">
        <v>0</v>
      </c>
      <c r="J1466">
        <v>1</v>
      </c>
      <c r="K1466">
        <v>0</v>
      </c>
    </row>
    <row r="1467" spans="8:13" x14ac:dyDescent="0.25">
      <c r="H1467" t="s">
        <v>1528</v>
      </c>
      <c r="I1467">
        <v>0</v>
      </c>
      <c r="J1467">
        <v>0</v>
      </c>
      <c r="K1467">
        <v>0</v>
      </c>
    </row>
    <row r="1468" spans="8:13" x14ac:dyDescent="0.25">
      <c r="H1468" t="s">
        <v>1573</v>
      </c>
      <c r="I1468" t="s">
        <v>1574</v>
      </c>
      <c r="J1468">
        <v>0</v>
      </c>
      <c r="K1468">
        <v>0</v>
      </c>
      <c r="L1468">
        <v>0</v>
      </c>
    </row>
    <row r="1469" spans="8:13" x14ac:dyDescent="0.25">
      <c r="H1469" t="s">
        <v>1575</v>
      </c>
      <c r="I1469" t="s">
        <v>1214</v>
      </c>
      <c r="J1469">
        <v>0</v>
      </c>
      <c r="K1469">
        <v>0</v>
      </c>
      <c r="L1469">
        <v>0</v>
      </c>
    </row>
    <row r="1470" spans="8:13" x14ac:dyDescent="0.25">
      <c r="H1470" t="s">
        <v>1571</v>
      </c>
      <c r="I1470" t="s">
        <v>1572</v>
      </c>
      <c r="J1470">
        <v>0</v>
      </c>
      <c r="K1470">
        <v>0</v>
      </c>
      <c r="L1470">
        <v>0</v>
      </c>
    </row>
    <row r="1471" spans="8:13" x14ac:dyDescent="0.25">
      <c r="H1471" t="s">
        <v>1664</v>
      </c>
      <c r="I1471" t="s">
        <v>1269</v>
      </c>
      <c r="J1471">
        <v>0</v>
      </c>
      <c r="K1471">
        <v>0</v>
      </c>
      <c r="L1471">
        <v>0</v>
      </c>
    </row>
    <row r="1472" spans="8:13" x14ac:dyDescent="0.25">
      <c r="H1472" t="s">
        <v>1417</v>
      </c>
      <c r="I1472" t="s">
        <v>1418</v>
      </c>
      <c r="J1472">
        <v>0</v>
      </c>
      <c r="K1472">
        <v>0</v>
      </c>
      <c r="L1472">
        <v>0</v>
      </c>
    </row>
    <row r="1473" spans="8:13" x14ac:dyDescent="0.25">
      <c r="H1473" t="s">
        <v>1408</v>
      </c>
      <c r="I1473">
        <v>0</v>
      </c>
      <c r="J1473">
        <v>0</v>
      </c>
      <c r="K1473">
        <v>0</v>
      </c>
    </row>
    <row r="1474" spans="8:13" x14ac:dyDescent="0.25">
      <c r="H1474" t="s">
        <v>1329</v>
      </c>
      <c r="I1474">
        <v>0</v>
      </c>
      <c r="J1474">
        <v>0</v>
      </c>
      <c r="K1474">
        <v>0</v>
      </c>
    </row>
    <row r="1475" spans="8:13" x14ac:dyDescent="0.25">
      <c r="H1475" t="s">
        <v>1381</v>
      </c>
      <c r="I1475">
        <v>0</v>
      </c>
      <c r="J1475">
        <v>0</v>
      </c>
      <c r="K1475">
        <v>0</v>
      </c>
    </row>
    <row r="1476" spans="8:13" x14ac:dyDescent="0.25">
      <c r="H1476" t="s">
        <v>1474</v>
      </c>
      <c r="I1476">
        <v>0</v>
      </c>
      <c r="J1476">
        <v>0</v>
      </c>
      <c r="K1476">
        <v>0</v>
      </c>
    </row>
    <row r="1477" spans="8:13" x14ac:dyDescent="0.25">
      <c r="H1477" t="s">
        <v>1563</v>
      </c>
      <c r="I1477" t="s">
        <v>1564</v>
      </c>
      <c r="J1477">
        <v>0</v>
      </c>
      <c r="K1477">
        <v>0</v>
      </c>
      <c r="L1477">
        <v>0</v>
      </c>
    </row>
    <row r="1478" spans="8:13" x14ac:dyDescent="0.25">
      <c r="H1478" t="s">
        <v>1757</v>
      </c>
      <c r="I1478" t="s">
        <v>1758</v>
      </c>
      <c r="J1478">
        <v>0</v>
      </c>
      <c r="K1478">
        <v>0</v>
      </c>
      <c r="L1478">
        <v>0</v>
      </c>
    </row>
    <row r="1479" spans="8:13" x14ac:dyDescent="0.25">
      <c r="H1479" t="s">
        <v>1156</v>
      </c>
      <c r="I1479" t="s">
        <v>2357</v>
      </c>
      <c r="J1479">
        <v>0</v>
      </c>
      <c r="K1479">
        <v>0</v>
      </c>
      <c r="L1479">
        <v>0</v>
      </c>
    </row>
    <row r="1480" spans="8:13" x14ac:dyDescent="0.25">
      <c r="H1480" t="s">
        <v>1580</v>
      </c>
      <c r="I1480" t="s">
        <v>1581</v>
      </c>
      <c r="J1480">
        <v>0</v>
      </c>
      <c r="K1480">
        <v>0</v>
      </c>
      <c r="L1480">
        <v>0</v>
      </c>
    </row>
    <row r="1481" spans="8:13" x14ac:dyDescent="0.25">
      <c r="H1481" t="s">
        <v>1588</v>
      </c>
      <c r="I1481" t="s">
        <v>1589</v>
      </c>
      <c r="J1481" t="s">
        <v>1122</v>
      </c>
      <c r="K1481">
        <v>0</v>
      </c>
      <c r="L1481">
        <v>0</v>
      </c>
      <c r="M1481">
        <v>0</v>
      </c>
    </row>
    <row r="1482" spans="8:13" x14ac:dyDescent="0.25">
      <c r="H1482" t="s">
        <v>1302</v>
      </c>
      <c r="I1482" t="s">
        <v>1587</v>
      </c>
      <c r="J1482">
        <v>0</v>
      </c>
      <c r="K1482">
        <v>0</v>
      </c>
      <c r="L1482">
        <v>0</v>
      </c>
    </row>
    <row r="1483" spans="8:13" x14ac:dyDescent="0.25">
      <c r="H1483" t="s">
        <v>1585</v>
      </c>
      <c r="I1483" t="s">
        <v>1586</v>
      </c>
      <c r="J1483">
        <v>0</v>
      </c>
      <c r="K1483">
        <v>0</v>
      </c>
      <c r="L1483">
        <v>0</v>
      </c>
    </row>
    <row r="1484" spans="8:13" x14ac:dyDescent="0.25">
      <c r="H1484" t="s">
        <v>1593</v>
      </c>
      <c r="I1484" t="s">
        <v>1594</v>
      </c>
      <c r="J1484">
        <v>0</v>
      </c>
      <c r="K1484">
        <v>0</v>
      </c>
      <c r="L1484">
        <v>0</v>
      </c>
    </row>
    <row r="1485" spans="8:13" x14ac:dyDescent="0.25">
      <c r="H1485" t="s">
        <v>1595</v>
      </c>
      <c r="I1485" t="s">
        <v>1596</v>
      </c>
      <c r="J1485">
        <v>0</v>
      </c>
      <c r="K1485">
        <v>0</v>
      </c>
      <c r="L1485">
        <v>0</v>
      </c>
    </row>
    <row r="1486" spans="8:13" x14ac:dyDescent="0.25">
      <c r="H1486" t="s">
        <v>1597</v>
      </c>
      <c r="I1486" t="s">
        <v>1598</v>
      </c>
      <c r="J1486">
        <v>0</v>
      </c>
      <c r="K1486">
        <v>0</v>
      </c>
      <c r="L1486">
        <v>0</v>
      </c>
    </row>
    <row r="1487" spans="8:13" x14ac:dyDescent="0.25">
      <c r="H1487" t="s">
        <v>1599</v>
      </c>
      <c r="I1487" t="s">
        <v>1600</v>
      </c>
      <c r="J1487" t="s">
        <v>1224</v>
      </c>
      <c r="K1487">
        <v>0</v>
      </c>
      <c r="L1487">
        <v>0</v>
      </c>
      <c r="M1487">
        <v>0</v>
      </c>
    </row>
    <row r="1488" spans="8:13" x14ac:dyDescent="0.25">
      <c r="H1488" t="s">
        <v>1555</v>
      </c>
      <c r="I1488" t="s">
        <v>1556</v>
      </c>
      <c r="J1488">
        <v>0</v>
      </c>
      <c r="K1488">
        <v>0</v>
      </c>
      <c r="L1488">
        <v>0</v>
      </c>
    </row>
    <row r="1489" spans="8:12" x14ac:dyDescent="0.25">
      <c r="H1489" t="s">
        <v>1086</v>
      </c>
      <c r="I1489" t="s">
        <v>1079</v>
      </c>
      <c r="J1489">
        <v>0</v>
      </c>
      <c r="K1489">
        <v>0</v>
      </c>
      <c r="L1489">
        <v>0</v>
      </c>
    </row>
    <row r="1490" spans="8:12" x14ac:dyDescent="0.25">
      <c r="H1490" t="s">
        <v>1291</v>
      </c>
      <c r="I1490" t="s">
        <v>1592</v>
      </c>
      <c r="J1490">
        <v>0</v>
      </c>
      <c r="K1490">
        <v>0</v>
      </c>
      <c r="L1490">
        <v>0</v>
      </c>
    </row>
    <row r="1491" spans="8:12" x14ac:dyDescent="0.25">
      <c r="H1491" t="s">
        <v>1604</v>
      </c>
      <c r="I1491" t="s">
        <v>1605</v>
      </c>
      <c r="J1491">
        <v>0</v>
      </c>
      <c r="K1491">
        <v>0</v>
      </c>
      <c r="L1491">
        <v>0</v>
      </c>
    </row>
    <row r="1492" spans="8:12" x14ac:dyDescent="0.25">
      <c r="H1492" t="s">
        <v>1590</v>
      </c>
      <c r="I1492" t="s">
        <v>1591</v>
      </c>
      <c r="J1492">
        <v>0</v>
      </c>
      <c r="K1492">
        <v>0</v>
      </c>
      <c r="L1492">
        <v>0</v>
      </c>
    </row>
    <row r="1493" spans="8:12" x14ac:dyDescent="0.25">
      <c r="H1493" t="s">
        <v>1374</v>
      </c>
      <c r="I1493" t="s">
        <v>1607</v>
      </c>
      <c r="J1493">
        <v>0</v>
      </c>
      <c r="K1493">
        <v>0</v>
      </c>
      <c r="L1493">
        <v>0</v>
      </c>
    </row>
    <row r="1494" spans="8:12" x14ac:dyDescent="0.25">
      <c r="H1494" t="s">
        <v>1190</v>
      </c>
      <c r="I1494" t="s">
        <v>1608</v>
      </c>
      <c r="J1494">
        <v>0</v>
      </c>
      <c r="K1494">
        <v>0</v>
      </c>
      <c r="L1494">
        <v>0</v>
      </c>
    </row>
    <row r="1495" spans="8:12" x14ac:dyDescent="0.25">
      <c r="H1495" t="s">
        <v>1300</v>
      </c>
      <c r="I1495" t="s">
        <v>1617</v>
      </c>
      <c r="J1495">
        <v>0</v>
      </c>
      <c r="K1495">
        <v>0</v>
      </c>
      <c r="L1495">
        <v>0</v>
      </c>
    </row>
    <row r="1496" spans="8:12" x14ac:dyDescent="0.25">
      <c r="H1496" t="s">
        <v>1609</v>
      </c>
      <c r="I1496" t="s">
        <v>1610</v>
      </c>
      <c r="J1496">
        <v>0</v>
      </c>
      <c r="K1496">
        <v>0</v>
      </c>
      <c r="L1496">
        <v>0</v>
      </c>
    </row>
    <row r="1497" spans="8:12" x14ac:dyDescent="0.25">
      <c r="H1497" t="s">
        <v>1648</v>
      </c>
      <c r="I1497" t="s">
        <v>1649</v>
      </c>
      <c r="J1497">
        <v>0</v>
      </c>
      <c r="K1497">
        <v>0</v>
      </c>
      <c r="L1497">
        <v>0</v>
      </c>
    </row>
    <row r="1498" spans="8:12" x14ac:dyDescent="0.25">
      <c r="H1498" t="s">
        <v>1611</v>
      </c>
      <c r="I1498" t="s">
        <v>1612</v>
      </c>
      <c r="J1498">
        <v>0</v>
      </c>
      <c r="K1498">
        <v>0</v>
      </c>
      <c r="L1498">
        <v>0</v>
      </c>
    </row>
    <row r="1499" spans="8:12" x14ac:dyDescent="0.25">
      <c r="H1499" t="s">
        <v>2531</v>
      </c>
      <c r="I1499" t="s">
        <v>1606</v>
      </c>
      <c r="J1499">
        <v>0</v>
      </c>
      <c r="K1499">
        <v>0</v>
      </c>
      <c r="L1499">
        <v>0</v>
      </c>
    </row>
    <row r="1500" spans="8:12" x14ac:dyDescent="0.25">
      <c r="H1500" t="s">
        <v>1615</v>
      </c>
      <c r="I1500" t="s">
        <v>1205</v>
      </c>
      <c r="J1500">
        <v>0</v>
      </c>
      <c r="K1500">
        <v>0</v>
      </c>
      <c r="L1500">
        <v>0</v>
      </c>
    </row>
    <row r="1501" spans="8:12" x14ac:dyDescent="0.25">
      <c r="H1501" t="s">
        <v>1165</v>
      </c>
      <c r="I1501" t="s">
        <v>1619</v>
      </c>
      <c r="J1501">
        <v>0</v>
      </c>
      <c r="K1501">
        <v>0</v>
      </c>
      <c r="L1501">
        <v>0</v>
      </c>
    </row>
    <row r="1502" spans="8:12" x14ac:dyDescent="0.25">
      <c r="H1502" t="s">
        <v>1620</v>
      </c>
      <c r="I1502" t="s">
        <v>1039</v>
      </c>
      <c r="J1502">
        <v>0</v>
      </c>
      <c r="K1502">
        <v>0</v>
      </c>
      <c r="L1502">
        <v>0</v>
      </c>
    </row>
    <row r="1503" spans="8:12" x14ac:dyDescent="0.25">
      <c r="H1503" t="s">
        <v>1621</v>
      </c>
      <c r="I1503" t="s">
        <v>1622</v>
      </c>
      <c r="J1503">
        <v>0</v>
      </c>
      <c r="K1503">
        <v>0</v>
      </c>
      <c r="L1503">
        <v>0</v>
      </c>
    </row>
    <row r="1504" spans="8:12" x14ac:dyDescent="0.25">
      <c r="H1504" t="s">
        <v>1368</v>
      </c>
      <c r="I1504" t="s">
        <v>1623</v>
      </c>
      <c r="J1504">
        <v>0</v>
      </c>
      <c r="K1504">
        <v>0</v>
      </c>
      <c r="L1504">
        <v>0</v>
      </c>
    </row>
    <row r="1505" spans="8:12" x14ac:dyDescent="0.25">
      <c r="H1505" t="s">
        <v>1624</v>
      </c>
      <c r="I1505" t="s">
        <v>1152</v>
      </c>
      <c r="J1505">
        <v>0</v>
      </c>
      <c r="K1505">
        <v>0</v>
      </c>
      <c r="L1505">
        <v>0</v>
      </c>
    </row>
    <row r="1506" spans="8:12" x14ac:dyDescent="0.25">
      <c r="H1506" t="s">
        <v>1048</v>
      </c>
      <c r="I1506" t="s">
        <v>1626</v>
      </c>
      <c r="J1506">
        <v>0</v>
      </c>
      <c r="K1506">
        <v>0</v>
      </c>
      <c r="L1506">
        <v>0</v>
      </c>
    </row>
    <row r="1507" spans="8:12" x14ac:dyDescent="0.25">
      <c r="H1507" t="s">
        <v>1039</v>
      </c>
      <c r="I1507" t="s">
        <v>1625</v>
      </c>
      <c r="J1507">
        <v>0</v>
      </c>
      <c r="K1507">
        <v>0</v>
      </c>
      <c r="L1507">
        <v>0</v>
      </c>
    </row>
    <row r="1508" spans="8:12" x14ac:dyDescent="0.25">
      <c r="H1508" t="s">
        <v>1126</v>
      </c>
      <c r="I1508" t="s">
        <v>1075</v>
      </c>
      <c r="J1508">
        <v>0</v>
      </c>
      <c r="K1508">
        <v>0</v>
      </c>
      <c r="L1508">
        <v>0</v>
      </c>
    </row>
    <row r="1509" spans="8:12" x14ac:dyDescent="0.25">
      <c r="H1509" t="s">
        <v>1628</v>
      </c>
      <c r="I1509" t="s">
        <v>1629</v>
      </c>
      <c r="J1509">
        <v>0</v>
      </c>
      <c r="K1509">
        <v>0</v>
      </c>
      <c r="L1509">
        <v>0</v>
      </c>
    </row>
    <row r="1510" spans="8:12" x14ac:dyDescent="0.25">
      <c r="H1510" t="s">
        <v>1744</v>
      </c>
      <c r="I1510" t="s">
        <v>1745</v>
      </c>
      <c r="J1510">
        <v>0</v>
      </c>
      <c r="K1510">
        <v>0</v>
      </c>
      <c r="L1510">
        <v>0</v>
      </c>
    </row>
    <row r="1511" spans="8:12" x14ac:dyDescent="0.25">
      <c r="H1511" t="s">
        <v>1630</v>
      </c>
      <c r="I1511" t="s">
        <v>1631</v>
      </c>
      <c r="J1511">
        <v>0</v>
      </c>
      <c r="K1511">
        <v>0</v>
      </c>
      <c r="L1511">
        <v>0</v>
      </c>
    </row>
    <row r="1512" spans="8:12" x14ac:dyDescent="0.25">
      <c r="H1512" t="s">
        <v>1120</v>
      </c>
      <c r="I1512" t="s">
        <v>2258</v>
      </c>
      <c r="J1512">
        <v>0</v>
      </c>
      <c r="K1512">
        <v>0</v>
      </c>
      <c r="L1512">
        <v>0</v>
      </c>
    </row>
    <row r="1513" spans="8:12" x14ac:dyDescent="0.25">
      <c r="H1513" t="s">
        <v>1635</v>
      </c>
      <c r="I1513" t="s">
        <v>1636</v>
      </c>
      <c r="J1513">
        <v>0</v>
      </c>
      <c r="K1513">
        <v>0</v>
      </c>
      <c r="L1513">
        <v>0</v>
      </c>
    </row>
    <row r="1514" spans="8:12" x14ac:dyDescent="0.25">
      <c r="H1514" t="s">
        <v>1454</v>
      </c>
      <c r="I1514" t="s">
        <v>1634</v>
      </c>
      <c r="J1514">
        <v>0</v>
      </c>
      <c r="K1514">
        <v>0</v>
      </c>
      <c r="L1514">
        <v>0</v>
      </c>
    </row>
    <row r="1515" spans="8:12" x14ac:dyDescent="0.25">
      <c r="H1515" t="s">
        <v>1637</v>
      </c>
      <c r="I1515" t="s">
        <v>1638</v>
      </c>
      <c r="J1515">
        <v>0</v>
      </c>
      <c r="K1515">
        <v>0</v>
      </c>
      <c r="L1515">
        <v>0</v>
      </c>
    </row>
    <row r="1516" spans="8:12" x14ac:dyDescent="0.25">
      <c r="H1516" t="s">
        <v>1492</v>
      </c>
      <c r="I1516">
        <v>0</v>
      </c>
      <c r="J1516">
        <v>0</v>
      </c>
      <c r="K1516">
        <v>0</v>
      </c>
    </row>
    <row r="1517" spans="8:12" x14ac:dyDescent="0.25">
      <c r="H1517" t="s">
        <v>1351</v>
      </c>
      <c r="I1517">
        <v>0</v>
      </c>
      <c r="J1517">
        <v>0</v>
      </c>
      <c r="K1517">
        <v>0</v>
      </c>
    </row>
    <row r="1518" spans="8:12" x14ac:dyDescent="0.25">
      <c r="H1518" t="s">
        <v>1493</v>
      </c>
      <c r="I1518">
        <v>0</v>
      </c>
      <c r="J1518">
        <v>0</v>
      </c>
      <c r="K1518">
        <v>0</v>
      </c>
    </row>
    <row r="1519" spans="8:12" x14ac:dyDescent="0.25">
      <c r="H1519" t="s">
        <v>1386</v>
      </c>
      <c r="I1519">
        <v>0</v>
      </c>
      <c r="J1519">
        <v>0</v>
      </c>
      <c r="K1519">
        <v>0</v>
      </c>
    </row>
    <row r="1520" spans="8:12" x14ac:dyDescent="0.25">
      <c r="H1520" t="s">
        <v>1463</v>
      </c>
      <c r="I1520">
        <v>0</v>
      </c>
      <c r="J1520">
        <v>0</v>
      </c>
      <c r="K1520">
        <v>0</v>
      </c>
    </row>
    <row r="1521" spans="8:13" x14ac:dyDescent="0.25">
      <c r="H1521" t="s">
        <v>1438</v>
      </c>
      <c r="I1521">
        <v>0</v>
      </c>
      <c r="J1521">
        <v>0</v>
      </c>
      <c r="K1521">
        <v>0</v>
      </c>
    </row>
    <row r="1522" spans="8:13" x14ac:dyDescent="0.25">
      <c r="H1522" t="s">
        <v>1521</v>
      </c>
      <c r="I1522">
        <v>0</v>
      </c>
      <c r="J1522">
        <v>0</v>
      </c>
      <c r="K1522">
        <v>0</v>
      </c>
    </row>
    <row r="1523" spans="8:13" x14ac:dyDescent="0.25">
      <c r="H1523" t="s">
        <v>1353</v>
      </c>
      <c r="I1523">
        <v>0</v>
      </c>
      <c r="J1523">
        <v>0</v>
      </c>
      <c r="K1523">
        <v>0</v>
      </c>
    </row>
    <row r="1524" spans="8:13" x14ac:dyDescent="0.25">
      <c r="H1524" t="s">
        <v>1436</v>
      </c>
      <c r="I1524">
        <v>0</v>
      </c>
      <c r="J1524">
        <v>0</v>
      </c>
      <c r="K1524">
        <v>0</v>
      </c>
    </row>
    <row r="1525" spans="8:13" x14ac:dyDescent="0.25">
      <c r="H1525" t="s">
        <v>1411</v>
      </c>
      <c r="I1525">
        <v>0</v>
      </c>
      <c r="J1525">
        <v>0</v>
      </c>
      <c r="K1525">
        <v>0</v>
      </c>
    </row>
    <row r="1526" spans="8:13" x14ac:dyDescent="0.25">
      <c r="H1526" t="s">
        <v>1064</v>
      </c>
      <c r="I1526" t="s">
        <v>1640</v>
      </c>
      <c r="J1526" t="s">
        <v>1224</v>
      </c>
      <c r="K1526">
        <v>0</v>
      </c>
      <c r="L1526">
        <v>0</v>
      </c>
      <c r="M1526">
        <v>0</v>
      </c>
    </row>
    <row r="1527" spans="8:13" x14ac:dyDescent="0.25">
      <c r="H1527" t="s">
        <v>1503</v>
      </c>
      <c r="I1527" t="s">
        <v>1639</v>
      </c>
      <c r="J1527">
        <v>0</v>
      </c>
      <c r="K1527">
        <v>0</v>
      </c>
      <c r="L1527">
        <v>0</v>
      </c>
    </row>
    <row r="1528" spans="8:13" x14ac:dyDescent="0.25">
      <c r="H1528" t="s">
        <v>1126</v>
      </c>
      <c r="I1528" t="s">
        <v>1739</v>
      </c>
      <c r="J1528">
        <v>0</v>
      </c>
      <c r="K1528">
        <v>0</v>
      </c>
      <c r="L1528">
        <v>0</v>
      </c>
    </row>
    <row r="1529" spans="8:13" x14ac:dyDescent="0.25">
      <c r="H1529" t="s">
        <v>1576</v>
      </c>
      <c r="I1529" t="s">
        <v>1577</v>
      </c>
      <c r="J1529">
        <v>0</v>
      </c>
      <c r="K1529">
        <v>0</v>
      </c>
      <c r="L1529">
        <v>0</v>
      </c>
    </row>
    <row r="1530" spans="8:13" x14ac:dyDescent="0.25">
      <c r="H1530" t="s">
        <v>1074</v>
      </c>
      <c r="I1530" t="s">
        <v>1399</v>
      </c>
      <c r="J1530">
        <v>0</v>
      </c>
      <c r="K1530">
        <v>0</v>
      </c>
      <c r="L1530">
        <v>0</v>
      </c>
    </row>
    <row r="1531" spans="8:13" x14ac:dyDescent="0.25">
      <c r="H1531" t="s">
        <v>1655</v>
      </c>
      <c r="I1531" t="s">
        <v>1656</v>
      </c>
      <c r="J1531">
        <v>0</v>
      </c>
      <c r="K1531">
        <v>0</v>
      </c>
      <c r="L1531">
        <v>0</v>
      </c>
    </row>
    <row r="1532" spans="8:13" x14ac:dyDescent="0.25">
      <c r="H1532" t="s">
        <v>1643</v>
      </c>
      <c r="I1532" t="s">
        <v>1644</v>
      </c>
      <c r="J1532">
        <v>0</v>
      </c>
      <c r="K1532">
        <v>0</v>
      </c>
      <c r="L1532">
        <v>0</v>
      </c>
    </row>
    <row r="1533" spans="8:13" x14ac:dyDescent="0.25">
      <c r="H1533" t="s">
        <v>1118</v>
      </c>
      <c r="I1533" t="s">
        <v>1652</v>
      </c>
      <c r="J1533">
        <v>0</v>
      </c>
      <c r="K1533">
        <v>0</v>
      </c>
      <c r="L1533">
        <v>0</v>
      </c>
    </row>
    <row r="1534" spans="8:13" x14ac:dyDescent="0.25">
      <c r="H1534" t="s">
        <v>1278</v>
      </c>
      <c r="I1534" t="s">
        <v>1107</v>
      </c>
      <c r="J1534">
        <v>0</v>
      </c>
      <c r="K1534">
        <v>0</v>
      </c>
      <c r="L1534">
        <v>0</v>
      </c>
    </row>
    <row r="1535" spans="8:13" x14ac:dyDescent="0.25">
      <c r="H1535" t="s">
        <v>1653</v>
      </c>
      <c r="I1535" t="s">
        <v>1654</v>
      </c>
      <c r="J1535">
        <v>0</v>
      </c>
      <c r="K1535">
        <v>0</v>
      </c>
      <c r="L1535">
        <v>0</v>
      </c>
    </row>
    <row r="1536" spans="8:13" x14ac:dyDescent="0.25">
      <c r="H1536" t="s">
        <v>1645</v>
      </c>
      <c r="I1536" t="s">
        <v>1042</v>
      </c>
      <c r="J1536" t="s">
        <v>1199</v>
      </c>
      <c r="K1536">
        <v>0</v>
      </c>
      <c r="L1536">
        <v>0</v>
      </c>
      <c r="M1536">
        <v>0</v>
      </c>
    </row>
    <row r="1537" spans="8:13" x14ac:dyDescent="0.25">
      <c r="H1537" t="s">
        <v>1782</v>
      </c>
      <c r="I1537" t="s">
        <v>1395</v>
      </c>
      <c r="J1537">
        <v>0</v>
      </c>
      <c r="K1537">
        <v>0</v>
      </c>
      <c r="L1537">
        <v>0</v>
      </c>
    </row>
    <row r="1538" spans="8:13" x14ac:dyDescent="0.25">
      <c r="H1538" t="s">
        <v>1657</v>
      </c>
      <c r="I1538" t="s">
        <v>1107</v>
      </c>
      <c r="J1538">
        <v>0</v>
      </c>
      <c r="K1538">
        <v>0</v>
      </c>
      <c r="L1538">
        <v>0</v>
      </c>
    </row>
    <row r="1539" spans="8:13" x14ac:dyDescent="0.25">
      <c r="H1539" t="s">
        <v>1661</v>
      </c>
      <c r="I1539" t="s">
        <v>1181</v>
      </c>
      <c r="J1539">
        <v>0</v>
      </c>
      <c r="K1539">
        <v>0</v>
      </c>
      <c r="L1539">
        <v>0</v>
      </c>
    </row>
    <row r="1540" spans="8:13" x14ac:dyDescent="0.25">
      <c r="H1540" t="s">
        <v>1660</v>
      </c>
      <c r="I1540" t="s">
        <v>1519</v>
      </c>
      <c r="J1540">
        <v>0</v>
      </c>
      <c r="K1540">
        <v>0</v>
      </c>
      <c r="L1540">
        <v>0</v>
      </c>
    </row>
    <row r="1541" spans="8:13" x14ac:dyDescent="0.25">
      <c r="H1541" t="s">
        <v>1693</v>
      </c>
      <c r="I1541" t="s">
        <v>1105</v>
      </c>
      <c r="J1541">
        <v>0</v>
      </c>
      <c r="K1541">
        <v>0</v>
      </c>
      <c r="L1541">
        <v>0</v>
      </c>
    </row>
    <row r="1542" spans="8:13" x14ac:dyDescent="0.25">
      <c r="H1542" t="s">
        <v>1662</v>
      </c>
      <c r="I1542" t="s">
        <v>1663</v>
      </c>
      <c r="J1542">
        <v>0</v>
      </c>
      <c r="K1542">
        <v>0</v>
      </c>
      <c r="L1542">
        <v>0</v>
      </c>
    </row>
    <row r="1543" spans="8:13" x14ac:dyDescent="0.25">
      <c r="H1543" t="s">
        <v>1203</v>
      </c>
      <c r="I1543" t="s">
        <v>1765</v>
      </c>
      <c r="J1543">
        <v>0</v>
      </c>
      <c r="K1543">
        <v>0</v>
      </c>
      <c r="L1543">
        <v>0</v>
      </c>
    </row>
    <row r="1544" spans="8:13" x14ac:dyDescent="0.25">
      <c r="H1544" t="s">
        <v>1064</v>
      </c>
      <c r="I1544" t="s">
        <v>1613</v>
      </c>
      <c r="J1544">
        <v>0</v>
      </c>
      <c r="K1544">
        <v>0</v>
      </c>
      <c r="L1544">
        <v>0</v>
      </c>
    </row>
    <row r="1545" spans="8:13" x14ac:dyDescent="0.25">
      <c r="H1545" t="s">
        <v>1168</v>
      </c>
      <c r="I1545" t="s">
        <v>2058</v>
      </c>
      <c r="J1545">
        <v>0</v>
      </c>
      <c r="K1545">
        <v>0</v>
      </c>
      <c r="L1545">
        <v>0</v>
      </c>
    </row>
    <row r="1546" spans="8:13" x14ac:dyDescent="0.25">
      <c r="H1546" t="s">
        <v>1168</v>
      </c>
      <c r="I1546" t="s">
        <v>1123</v>
      </c>
      <c r="J1546">
        <v>0</v>
      </c>
      <c r="K1546">
        <v>0</v>
      </c>
      <c r="L1546">
        <v>0</v>
      </c>
    </row>
    <row r="1547" spans="8:13" x14ac:dyDescent="0.25">
      <c r="H1547" t="s">
        <v>1905</v>
      </c>
      <c r="I1547" t="s">
        <v>1447</v>
      </c>
      <c r="J1547">
        <v>0</v>
      </c>
      <c r="K1547">
        <v>0</v>
      </c>
      <c r="L1547">
        <v>0</v>
      </c>
    </row>
    <row r="1548" spans="8:13" x14ac:dyDescent="0.25">
      <c r="H1548" t="s">
        <v>1246</v>
      </c>
      <c r="I1548" t="s">
        <v>1666</v>
      </c>
      <c r="J1548">
        <v>0</v>
      </c>
      <c r="K1548">
        <v>0</v>
      </c>
      <c r="L1548">
        <v>0</v>
      </c>
    </row>
    <row r="1549" spans="8:13" x14ac:dyDescent="0.25">
      <c r="H1549" t="s">
        <v>1560</v>
      </c>
      <c r="I1549" t="s">
        <v>1667</v>
      </c>
      <c r="J1549">
        <v>0</v>
      </c>
      <c r="K1549">
        <v>0</v>
      </c>
      <c r="L1549">
        <v>0</v>
      </c>
    </row>
    <row r="1550" spans="8:13" x14ac:dyDescent="0.25">
      <c r="H1550" t="s">
        <v>1658</v>
      </c>
      <c r="I1550" t="s">
        <v>1659</v>
      </c>
      <c r="J1550">
        <v>0</v>
      </c>
      <c r="K1550">
        <v>0</v>
      </c>
      <c r="L1550">
        <v>0</v>
      </c>
    </row>
    <row r="1551" spans="8:13" x14ac:dyDescent="0.25">
      <c r="H1551" t="s">
        <v>1570</v>
      </c>
      <c r="I1551" t="s">
        <v>1192</v>
      </c>
      <c r="J1551">
        <v>0</v>
      </c>
      <c r="K1551">
        <v>0</v>
      </c>
      <c r="L1551">
        <v>0</v>
      </c>
    </row>
    <row r="1552" spans="8:13" x14ac:dyDescent="0.25">
      <c r="H1552" t="s">
        <v>1668</v>
      </c>
      <c r="I1552" t="s">
        <v>1159</v>
      </c>
      <c r="J1552" t="s">
        <v>1107</v>
      </c>
      <c r="K1552">
        <v>0</v>
      </c>
      <c r="L1552">
        <v>0</v>
      </c>
      <c r="M1552">
        <v>0</v>
      </c>
    </row>
    <row r="1553" spans="8:13" x14ac:dyDescent="0.25">
      <c r="H1553" t="s">
        <v>1276</v>
      </c>
      <c r="I1553" t="s">
        <v>1669</v>
      </c>
      <c r="J1553">
        <v>0</v>
      </c>
      <c r="K1553">
        <v>0</v>
      </c>
      <c r="L1553">
        <v>0</v>
      </c>
    </row>
    <row r="1554" spans="8:13" x14ac:dyDescent="0.25">
      <c r="H1554" t="s">
        <v>1167</v>
      </c>
      <c r="I1554" t="s">
        <v>1182</v>
      </c>
      <c r="J1554">
        <v>0</v>
      </c>
      <c r="K1554">
        <v>0</v>
      </c>
      <c r="L1554">
        <v>0</v>
      </c>
    </row>
    <row r="1555" spans="8:13" x14ac:dyDescent="0.25">
      <c r="H1555" t="s">
        <v>1694</v>
      </c>
      <c r="I1555" t="s">
        <v>1695</v>
      </c>
      <c r="J1555">
        <v>0</v>
      </c>
      <c r="K1555">
        <v>0</v>
      </c>
      <c r="L1555">
        <v>0</v>
      </c>
    </row>
    <row r="1556" spans="8:13" x14ac:dyDescent="0.25">
      <c r="H1556" t="s">
        <v>1768</v>
      </c>
      <c r="I1556" t="s">
        <v>1769</v>
      </c>
      <c r="J1556">
        <v>0</v>
      </c>
      <c r="K1556">
        <v>0</v>
      </c>
      <c r="L1556">
        <v>0</v>
      </c>
    </row>
    <row r="1557" spans="8:13" x14ac:dyDescent="0.25">
      <c r="H1557" t="s">
        <v>1723</v>
      </c>
      <c r="I1557" t="s">
        <v>1724</v>
      </c>
      <c r="J1557">
        <v>0</v>
      </c>
      <c r="K1557">
        <v>0</v>
      </c>
      <c r="L1557">
        <v>0</v>
      </c>
    </row>
    <row r="1558" spans="8:13" x14ac:dyDescent="0.25">
      <c r="H1558" t="s">
        <v>1673</v>
      </c>
      <c r="I1558" t="s">
        <v>1674</v>
      </c>
      <c r="J1558">
        <v>0</v>
      </c>
      <c r="K1558">
        <v>0</v>
      </c>
      <c r="L1558">
        <v>0</v>
      </c>
    </row>
    <row r="1559" spans="8:13" x14ac:dyDescent="0.25">
      <c r="H1559" t="s">
        <v>1278</v>
      </c>
      <c r="I1559" t="s">
        <v>1671</v>
      </c>
      <c r="J1559">
        <v>0</v>
      </c>
      <c r="K1559">
        <v>0</v>
      </c>
      <c r="L1559">
        <v>0</v>
      </c>
    </row>
    <row r="1560" spans="8:13" x14ac:dyDescent="0.25">
      <c r="H1560" t="s">
        <v>1056</v>
      </c>
      <c r="I1560" t="s">
        <v>1390</v>
      </c>
      <c r="J1560">
        <v>0</v>
      </c>
      <c r="K1560">
        <v>0</v>
      </c>
      <c r="L1560">
        <v>0</v>
      </c>
    </row>
    <row r="1561" spans="8:13" x14ac:dyDescent="0.25">
      <c r="H1561" t="s">
        <v>1686</v>
      </c>
      <c r="I1561" t="s">
        <v>1107</v>
      </c>
      <c r="J1561">
        <v>0</v>
      </c>
      <c r="K1561">
        <v>0</v>
      </c>
      <c r="L1561">
        <v>0</v>
      </c>
    </row>
    <row r="1562" spans="8:13" x14ac:dyDescent="0.25">
      <c r="H1562" t="s">
        <v>1679</v>
      </c>
      <c r="I1562" t="s">
        <v>1680</v>
      </c>
      <c r="J1562">
        <v>0</v>
      </c>
      <c r="K1562">
        <v>0</v>
      </c>
      <c r="L1562">
        <v>0</v>
      </c>
    </row>
    <row r="1563" spans="8:13" x14ac:dyDescent="0.25">
      <c r="H1563" t="s">
        <v>1226</v>
      </c>
      <c r="I1563" t="s">
        <v>1665</v>
      </c>
      <c r="J1563">
        <v>0</v>
      </c>
      <c r="K1563">
        <v>0</v>
      </c>
      <c r="L1563">
        <v>0</v>
      </c>
    </row>
    <row r="1564" spans="8:13" x14ac:dyDescent="0.25">
      <c r="H1564" t="s">
        <v>1681</v>
      </c>
      <c r="I1564" t="s">
        <v>1682</v>
      </c>
      <c r="J1564">
        <v>0</v>
      </c>
      <c r="K1564">
        <v>0</v>
      </c>
      <c r="L1564">
        <v>0</v>
      </c>
    </row>
    <row r="1565" spans="8:13" x14ac:dyDescent="0.25">
      <c r="H1565" t="s">
        <v>1118</v>
      </c>
      <c r="I1565" t="s">
        <v>1687</v>
      </c>
      <c r="J1565">
        <v>0</v>
      </c>
      <c r="K1565">
        <v>0</v>
      </c>
      <c r="L1565">
        <v>0</v>
      </c>
    </row>
    <row r="1566" spans="8:13" x14ac:dyDescent="0.25">
      <c r="H1566" t="s">
        <v>1750</v>
      </c>
      <c r="I1566" t="s">
        <v>1751</v>
      </c>
      <c r="J1566">
        <v>0</v>
      </c>
      <c r="K1566">
        <v>0</v>
      </c>
      <c r="L1566">
        <v>0</v>
      </c>
    </row>
    <row r="1567" spans="8:13" x14ac:dyDescent="0.25">
      <c r="H1567" t="s">
        <v>1814</v>
      </c>
      <c r="I1567" t="s">
        <v>1249</v>
      </c>
      <c r="J1567">
        <v>0</v>
      </c>
      <c r="K1567">
        <v>0</v>
      </c>
      <c r="L1567">
        <v>0</v>
      </c>
    </row>
    <row r="1568" spans="8:13" x14ac:dyDescent="0.25">
      <c r="H1568" t="s">
        <v>1076</v>
      </c>
      <c r="I1568" t="s">
        <v>2124</v>
      </c>
      <c r="J1568" t="s">
        <v>2125</v>
      </c>
      <c r="K1568">
        <v>0</v>
      </c>
      <c r="L1568">
        <v>0</v>
      </c>
      <c r="M1568">
        <v>0</v>
      </c>
    </row>
    <row r="1569" spans="8:12" x14ac:dyDescent="0.25">
      <c r="H1569" t="s">
        <v>1701</v>
      </c>
      <c r="I1569" t="s">
        <v>1702</v>
      </c>
      <c r="J1569">
        <v>0</v>
      </c>
      <c r="K1569">
        <v>0</v>
      </c>
      <c r="L1569">
        <v>0</v>
      </c>
    </row>
    <row r="1570" spans="8:12" x14ac:dyDescent="0.25">
      <c r="H1570" t="s">
        <v>1696</v>
      </c>
      <c r="I1570" t="s">
        <v>1697</v>
      </c>
      <c r="J1570">
        <v>0</v>
      </c>
      <c r="K1570">
        <v>0</v>
      </c>
      <c r="L1570">
        <v>0</v>
      </c>
    </row>
    <row r="1571" spans="8:12" x14ac:dyDescent="0.25">
      <c r="H1571" t="s">
        <v>1698</v>
      </c>
      <c r="I1571" t="s">
        <v>1699</v>
      </c>
      <c r="J1571">
        <v>0</v>
      </c>
      <c r="K1571">
        <v>0</v>
      </c>
      <c r="L1571">
        <v>0</v>
      </c>
    </row>
    <row r="1572" spans="8:12" x14ac:dyDescent="0.25">
      <c r="H1572" t="s">
        <v>1677</v>
      </c>
      <c r="I1572" t="s">
        <v>1678</v>
      </c>
      <c r="J1572">
        <v>0</v>
      </c>
      <c r="K1572">
        <v>0</v>
      </c>
      <c r="L1572">
        <v>0</v>
      </c>
    </row>
    <row r="1573" spans="8:12" x14ac:dyDescent="0.25">
      <c r="H1573" t="s">
        <v>1670</v>
      </c>
      <c r="I1573" t="s">
        <v>1671</v>
      </c>
      <c r="J1573">
        <v>0</v>
      </c>
      <c r="K1573">
        <v>0</v>
      </c>
      <c r="L1573">
        <v>0</v>
      </c>
    </row>
    <row r="1574" spans="8:12" x14ac:dyDescent="0.25">
      <c r="H1574" t="s">
        <v>2079</v>
      </c>
      <c r="I1574" t="s">
        <v>2080</v>
      </c>
      <c r="J1574">
        <v>0</v>
      </c>
      <c r="K1574">
        <v>0</v>
      </c>
      <c r="L1574">
        <v>0</v>
      </c>
    </row>
    <row r="1575" spans="8:12" x14ac:dyDescent="0.25">
      <c r="H1575" t="s">
        <v>1730</v>
      </c>
      <c r="I1575" t="s">
        <v>1214</v>
      </c>
      <c r="J1575">
        <v>0</v>
      </c>
      <c r="K1575">
        <v>0</v>
      </c>
      <c r="L1575">
        <v>0</v>
      </c>
    </row>
    <row r="1576" spans="8:12" x14ac:dyDescent="0.25">
      <c r="H1576" t="s">
        <v>1070</v>
      </c>
      <c r="I1576" t="s">
        <v>1700</v>
      </c>
      <c r="J1576">
        <v>0</v>
      </c>
      <c r="K1576">
        <v>0</v>
      </c>
      <c r="L1576">
        <v>0</v>
      </c>
    </row>
    <row r="1577" spans="8:12" x14ac:dyDescent="0.25">
      <c r="H1577" t="s">
        <v>1672</v>
      </c>
      <c r="I1577" t="s">
        <v>1064</v>
      </c>
      <c r="J1577">
        <v>0</v>
      </c>
      <c r="K1577">
        <v>0</v>
      </c>
      <c r="L1577">
        <v>0</v>
      </c>
    </row>
    <row r="1578" spans="8:12" x14ac:dyDescent="0.25">
      <c r="H1578" t="s">
        <v>1703</v>
      </c>
      <c r="I1578" t="s">
        <v>1704</v>
      </c>
      <c r="J1578">
        <v>0</v>
      </c>
      <c r="K1578">
        <v>0</v>
      </c>
      <c r="L1578">
        <v>0</v>
      </c>
    </row>
    <row r="1579" spans="8:12" x14ac:dyDescent="0.25">
      <c r="H1579" t="s">
        <v>1705</v>
      </c>
      <c r="I1579" t="s">
        <v>1405</v>
      </c>
      <c r="J1579">
        <v>0</v>
      </c>
      <c r="K1579">
        <v>0</v>
      </c>
      <c r="L1579">
        <v>0</v>
      </c>
    </row>
    <row r="1580" spans="8:12" x14ac:dyDescent="0.25">
      <c r="H1580" t="s">
        <v>1706</v>
      </c>
      <c r="I1580" t="s">
        <v>1707</v>
      </c>
      <c r="J1580">
        <v>0</v>
      </c>
      <c r="K1580">
        <v>0</v>
      </c>
      <c r="L1580">
        <v>0</v>
      </c>
    </row>
    <row r="1581" spans="8:12" x14ac:dyDescent="0.25">
      <c r="H1581" t="s">
        <v>1708</v>
      </c>
      <c r="I1581" t="s">
        <v>1709</v>
      </c>
      <c r="J1581">
        <v>0</v>
      </c>
      <c r="K1581">
        <v>0</v>
      </c>
      <c r="L1581">
        <v>0</v>
      </c>
    </row>
    <row r="1582" spans="8:12" x14ac:dyDescent="0.25">
      <c r="H1582" t="s">
        <v>1710</v>
      </c>
      <c r="I1582" t="s">
        <v>1079</v>
      </c>
      <c r="J1582">
        <v>0</v>
      </c>
      <c r="K1582">
        <v>0</v>
      </c>
      <c r="L1582">
        <v>0</v>
      </c>
    </row>
    <row r="1583" spans="8:12" x14ac:dyDescent="0.25">
      <c r="H1583" t="s">
        <v>1714</v>
      </c>
      <c r="I1583" t="s">
        <v>1715</v>
      </c>
      <c r="J1583">
        <v>0</v>
      </c>
      <c r="K1583">
        <v>0</v>
      </c>
      <c r="L1583">
        <v>0</v>
      </c>
    </row>
    <row r="1584" spans="8:12" x14ac:dyDescent="0.25">
      <c r="H1584" t="s">
        <v>1711</v>
      </c>
      <c r="I1584" t="s">
        <v>1712</v>
      </c>
      <c r="J1584">
        <v>0</v>
      </c>
      <c r="K1584">
        <v>0</v>
      </c>
      <c r="L1584">
        <v>0</v>
      </c>
    </row>
    <row r="1585" spans="8:12" x14ac:dyDescent="0.25">
      <c r="H1585" t="s">
        <v>1713</v>
      </c>
      <c r="I1585" t="s">
        <v>1214</v>
      </c>
      <c r="J1585">
        <v>0</v>
      </c>
      <c r="K1585">
        <v>0</v>
      </c>
      <c r="L1585">
        <v>0</v>
      </c>
    </row>
    <row r="1586" spans="8:12" x14ac:dyDescent="0.25">
      <c r="H1586" t="s">
        <v>1688</v>
      </c>
      <c r="I1586" t="s">
        <v>1117</v>
      </c>
      <c r="J1586">
        <v>0</v>
      </c>
      <c r="K1586">
        <v>0</v>
      </c>
      <c r="L1586">
        <v>0</v>
      </c>
    </row>
    <row r="1587" spans="8:12" x14ac:dyDescent="0.25">
      <c r="H1587" t="s">
        <v>1573</v>
      </c>
      <c r="I1587" t="s">
        <v>1820</v>
      </c>
      <c r="J1587">
        <v>0</v>
      </c>
      <c r="K1587">
        <v>0</v>
      </c>
      <c r="L1587">
        <v>0</v>
      </c>
    </row>
    <row r="1588" spans="8:12" x14ac:dyDescent="0.25">
      <c r="H1588" t="s">
        <v>1759</v>
      </c>
      <c r="I1588" t="s">
        <v>1760</v>
      </c>
      <c r="J1588">
        <v>0</v>
      </c>
      <c r="K1588">
        <v>0</v>
      </c>
      <c r="L1588">
        <v>0</v>
      </c>
    </row>
    <row r="1589" spans="8:12" x14ac:dyDescent="0.25">
      <c r="H1589" t="s">
        <v>1716</v>
      </c>
      <c r="I1589" t="s">
        <v>1717</v>
      </c>
      <c r="J1589">
        <v>0</v>
      </c>
      <c r="K1589">
        <v>0</v>
      </c>
      <c r="L1589">
        <v>0</v>
      </c>
    </row>
    <row r="1590" spans="8:12" x14ac:dyDescent="0.25">
      <c r="H1590" t="s">
        <v>1818</v>
      </c>
      <c r="I1590" t="s">
        <v>1819</v>
      </c>
      <c r="J1590">
        <v>0</v>
      </c>
      <c r="K1590">
        <v>0</v>
      </c>
      <c r="L1590">
        <v>0</v>
      </c>
    </row>
    <row r="1591" spans="8:12" x14ac:dyDescent="0.25">
      <c r="H1591" t="s">
        <v>1718</v>
      </c>
      <c r="I1591" t="s">
        <v>1719</v>
      </c>
      <c r="J1591">
        <v>0</v>
      </c>
      <c r="K1591">
        <v>0</v>
      </c>
      <c r="L1591">
        <v>0</v>
      </c>
    </row>
    <row r="1592" spans="8:12" x14ac:dyDescent="0.25">
      <c r="H1592" t="s">
        <v>1168</v>
      </c>
      <c r="I1592" t="s">
        <v>1721</v>
      </c>
      <c r="J1592">
        <v>0</v>
      </c>
      <c r="K1592">
        <v>0</v>
      </c>
      <c r="L1592">
        <v>0</v>
      </c>
    </row>
    <row r="1593" spans="8:12" x14ac:dyDescent="0.25">
      <c r="H1593" t="s">
        <v>2528</v>
      </c>
      <c r="I1593" t="s">
        <v>1722</v>
      </c>
      <c r="J1593">
        <v>0</v>
      </c>
      <c r="K1593">
        <v>0</v>
      </c>
      <c r="L1593">
        <v>0</v>
      </c>
    </row>
    <row r="1594" spans="8:12" x14ac:dyDescent="0.25">
      <c r="H1594" t="s">
        <v>1417</v>
      </c>
      <c r="I1594" t="s">
        <v>1720</v>
      </c>
      <c r="J1594">
        <v>0</v>
      </c>
      <c r="K1594">
        <v>0</v>
      </c>
      <c r="L1594">
        <v>0</v>
      </c>
    </row>
    <row r="1595" spans="8:12" x14ac:dyDescent="0.25">
      <c r="H1595" t="s">
        <v>1748</v>
      </c>
      <c r="I1595" t="s">
        <v>1749</v>
      </c>
      <c r="J1595">
        <v>0</v>
      </c>
      <c r="K1595">
        <v>0</v>
      </c>
      <c r="L1595">
        <v>0</v>
      </c>
    </row>
    <row r="1596" spans="8:12" x14ac:dyDescent="0.25">
      <c r="H1596" t="s">
        <v>1284</v>
      </c>
      <c r="I1596" t="s">
        <v>1828</v>
      </c>
      <c r="J1596">
        <v>0</v>
      </c>
      <c r="K1596">
        <v>0</v>
      </c>
      <c r="L1596">
        <v>0</v>
      </c>
    </row>
    <row r="1597" spans="8:12" x14ac:dyDescent="0.25">
      <c r="H1597" t="s">
        <v>1727</v>
      </c>
      <c r="I1597" t="s">
        <v>1143</v>
      </c>
      <c r="J1597">
        <v>0</v>
      </c>
      <c r="K1597">
        <v>0</v>
      </c>
      <c r="L1597">
        <v>0</v>
      </c>
    </row>
    <row r="1598" spans="8:12" x14ac:dyDescent="0.25">
      <c r="H1598" t="s">
        <v>1046</v>
      </c>
      <c r="I1598" t="s">
        <v>1740</v>
      </c>
      <c r="J1598">
        <v>0</v>
      </c>
      <c r="K1598">
        <v>0</v>
      </c>
      <c r="L1598">
        <v>0</v>
      </c>
    </row>
    <row r="1599" spans="8:12" x14ac:dyDescent="0.25">
      <c r="H1599" t="s">
        <v>1118</v>
      </c>
      <c r="I1599" t="s">
        <v>2086</v>
      </c>
      <c r="J1599">
        <v>0</v>
      </c>
      <c r="K1599">
        <v>0</v>
      </c>
      <c r="L1599">
        <v>0</v>
      </c>
    </row>
    <row r="1600" spans="8:12" x14ac:dyDescent="0.25">
      <c r="H1600" t="s">
        <v>1732</v>
      </c>
      <c r="I1600" t="s">
        <v>1733</v>
      </c>
      <c r="J1600">
        <v>0</v>
      </c>
      <c r="K1600">
        <v>0</v>
      </c>
      <c r="L1600">
        <v>0</v>
      </c>
    </row>
    <row r="1601" spans="8:12" x14ac:dyDescent="0.25">
      <c r="H1601" t="s">
        <v>1074</v>
      </c>
      <c r="I1601" t="s">
        <v>1143</v>
      </c>
      <c r="J1601">
        <v>0</v>
      </c>
      <c r="K1601">
        <v>0</v>
      </c>
      <c r="L1601">
        <v>0</v>
      </c>
    </row>
    <row r="1602" spans="8:12" x14ac:dyDescent="0.25">
      <c r="H1602" t="s">
        <v>1070</v>
      </c>
      <c r="I1602" t="s">
        <v>1683</v>
      </c>
      <c r="J1602">
        <v>0</v>
      </c>
      <c r="K1602">
        <v>0</v>
      </c>
      <c r="L1602">
        <v>0</v>
      </c>
    </row>
    <row r="1603" spans="8:12" x14ac:dyDescent="0.25">
      <c r="H1603" t="s">
        <v>1872</v>
      </c>
      <c r="I1603" t="s">
        <v>1873</v>
      </c>
      <c r="J1603">
        <v>0</v>
      </c>
      <c r="K1603">
        <v>0</v>
      </c>
      <c r="L1603">
        <v>0</v>
      </c>
    </row>
    <row r="1604" spans="8:12" x14ac:dyDescent="0.25">
      <c r="H1604" t="s">
        <v>1443</v>
      </c>
      <c r="I1604" t="s">
        <v>1583</v>
      </c>
      <c r="J1604">
        <v>0</v>
      </c>
      <c r="K1604">
        <v>0</v>
      </c>
      <c r="L1604">
        <v>0</v>
      </c>
    </row>
    <row r="1605" spans="8:12" x14ac:dyDescent="0.25">
      <c r="H1605" t="s">
        <v>1741</v>
      </c>
      <c r="I1605" t="s">
        <v>1742</v>
      </c>
      <c r="J1605">
        <v>0</v>
      </c>
      <c r="K1605">
        <v>0</v>
      </c>
      <c r="L1605">
        <v>0</v>
      </c>
    </row>
    <row r="1606" spans="8:12" x14ac:dyDescent="0.25">
      <c r="H1606" t="s">
        <v>1055</v>
      </c>
      <c r="I1606" t="s">
        <v>1291</v>
      </c>
      <c r="J1606">
        <v>0</v>
      </c>
      <c r="K1606">
        <v>0</v>
      </c>
      <c r="L1606">
        <v>0</v>
      </c>
    </row>
    <row r="1607" spans="8:12" x14ac:dyDescent="0.25">
      <c r="H1607" t="s">
        <v>1604</v>
      </c>
      <c r="I1607" t="s">
        <v>1778</v>
      </c>
      <c r="J1607">
        <v>0</v>
      </c>
      <c r="K1607">
        <v>0</v>
      </c>
      <c r="L1607">
        <v>0</v>
      </c>
    </row>
    <row r="1608" spans="8:12" x14ac:dyDescent="0.25">
      <c r="H1608" t="s">
        <v>1734</v>
      </c>
      <c r="I1608" t="s">
        <v>1735</v>
      </c>
      <c r="J1608">
        <v>0</v>
      </c>
      <c r="K1608">
        <v>0</v>
      </c>
      <c r="L1608">
        <v>0</v>
      </c>
    </row>
    <row r="1609" spans="8:12" x14ac:dyDescent="0.25">
      <c r="H1609" t="s">
        <v>1684</v>
      </c>
      <c r="I1609" t="s">
        <v>1685</v>
      </c>
      <c r="J1609">
        <v>0</v>
      </c>
      <c r="K1609">
        <v>0</v>
      </c>
      <c r="L1609">
        <v>0</v>
      </c>
    </row>
    <row r="1610" spans="8:12" x14ac:dyDescent="0.25">
      <c r="H1610" t="s">
        <v>1226</v>
      </c>
      <c r="I1610" t="s">
        <v>1075</v>
      </c>
      <c r="J1610">
        <v>0</v>
      </c>
      <c r="K1610">
        <v>0</v>
      </c>
      <c r="L1610">
        <v>0</v>
      </c>
    </row>
    <row r="1611" spans="8:12" x14ac:dyDescent="0.25">
      <c r="H1611" t="s">
        <v>1248</v>
      </c>
      <c r="I1611" t="s">
        <v>1220</v>
      </c>
      <c r="J1611">
        <v>0</v>
      </c>
      <c r="K1611">
        <v>0</v>
      </c>
      <c r="L1611">
        <v>0</v>
      </c>
    </row>
    <row r="1612" spans="8:12" x14ac:dyDescent="0.25">
      <c r="H1612" t="s">
        <v>1771</v>
      </c>
      <c r="I1612" t="s">
        <v>1772</v>
      </c>
      <c r="J1612">
        <v>0</v>
      </c>
      <c r="K1612">
        <v>0</v>
      </c>
      <c r="L1612">
        <v>0</v>
      </c>
    </row>
    <row r="1613" spans="8:12" x14ac:dyDescent="0.25">
      <c r="H1613" t="s">
        <v>1773</v>
      </c>
      <c r="I1613" t="s">
        <v>1774</v>
      </c>
      <c r="J1613">
        <v>0</v>
      </c>
      <c r="K1613">
        <v>0</v>
      </c>
      <c r="L1613">
        <v>0</v>
      </c>
    </row>
    <row r="1614" spans="8:12" x14ac:dyDescent="0.25">
      <c r="H1614" t="s">
        <v>1443</v>
      </c>
      <c r="I1614" t="s">
        <v>1746</v>
      </c>
      <c r="J1614">
        <v>0</v>
      </c>
      <c r="K1614">
        <v>0</v>
      </c>
      <c r="L1614">
        <v>0</v>
      </c>
    </row>
    <row r="1615" spans="8:12" x14ac:dyDescent="0.25">
      <c r="H1615" t="s">
        <v>1785</v>
      </c>
      <c r="I1615" t="s">
        <v>1786</v>
      </c>
      <c r="J1615">
        <v>0</v>
      </c>
      <c r="K1615">
        <v>0</v>
      </c>
      <c r="L1615">
        <v>0</v>
      </c>
    </row>
    <row r="1616" spans="8:12" x14ac:dyDescent="0.25">
      <c r="H1616" t="s">
        <v>2528</v>
      </c>
      <c r="I1616" t="s">
        <v>1767</v>
      </c>
      <c r="J1616">
        <v>0</v>
      </c>
      <c r="K1616">
        <v>0</v>
      </c>
      <c r="L1616">
        <v>0</v>
      </c>
    </row>
    <row r="1617" spans="8:13" x14ac:dyDescent="0.25">
      <c r="H1617" t="s">
        <v>2142</v>
      </c>
      <c r="I1617" t="s">
        <v>1214</v>
      </c>
      <c r="J1617">
        <v>0</v>
      </c>
      <c r="K1617">
        <v>0</v>
      </c>
      <c r="L1617">
        <v>0</v>
      </c>
    </row>
    <row r="1618" spans="8:13" x14ac:dyDescent="0.25">
      <c r="H1618" t="s">
        <v>1601</v>
      </c>
      <c r="I1618" t="s">
        <v>1602</v>
      </c>
      <c r="J1618" t="s">
        <v>1122</v>
      </c>
      <c r="K1618">
        <v>0</v>
      </c>
      <c r="L1618">
        <v>0</v>
      </c>
      <c r="M1618">
        <v>0</v>
      </c>
    </row>
    <row r="1619" spans="8:13" x14ac:dyDescent="0.25">
      <c r="H1619" t="s">
        <v>1092</v>
      </c>
      <c r="I1619" t="s">
        <v>1603</v>
      </c>
      <c r="J1619">
        <v>0</v>
      </c>
      <c r="K1619">
        <v>0</v>
      </c>
      <c r="L1619">
        <v>0</v>
      </c>
    </row>
    <row r="1620" spans="8:13" x14ac:dyDescent="0.25">
      <c r="H1620" t="s">
        <v>1984</v>
      </c>
      <c r="I1620" t="s">
        <v>1985</v>
      </c>
      <c r="J1620">
        <v>0</v>
      </c>
      <c r="K1620">
        <v>0</v>
      </c>
      <c r="L1620">
        <v>0</v>
      </c>
    </row>
    <row r="1621" spans="8:13" x14ac:dyDescent="0.25">
      <c r="H1621" t="s">
        <v>1070</v>
      </c>
      <c r="I1621" t="s">
        <v>1787</v>
      </c>
      <c r="J1621">
        <v>0</v>
      </c>
      <c r="K1621">
        <v>0</v>
      </c>
      <c r="L1621">
        <v>0</v>
      </c>
    </row>
    <row r="1622" spans="8:13" x14ac:dyDescent="0.25">
      <c r="H1622" t="s">
        <v>1701</v>
      </c>
      <c r="I1622" t="s">
        <v>1791</v>
      </c>
      <c r="J1622">
        <v>0</v>
      </c>
      <c r="K1622">
        <v>0</v>
      </c>
      <c r="L1622">
        <v>0</v>
      </c>
    </row>
    <row r="1623" spans="8:13" x14ac:dyDescent="0.25">
      <c r="H1623" t="s">
        <v>1752</v>
      </c>
      <c r="I1623" t="s">
        <v>1753</v>
      </c>
      <c r="J1623">
        <v>0</v>
      </c>
      <c r="K1623">
        <v>0</v>
      </c>
      <c r="L1623">
        <v>0</v>
      </c>
    </row>
    <row r="1624" spans="8:13" x14ac:dyDescent="0.25">
      <c r="H1624" t="s">
        <v>1269</v>
      </c>
      <c r="I1624" t="s">
        <v>1783</v>
      </c>
      <c r="J1624">
        <v>0</v>
      </c>
      <c r="K1624">
        <v>0</v>
      </c>
      <c r="L1624">
        <v>0</v>
      </c>
    </row>
    <row r="1625" spans="8:13" x14ac:dyDescent="0.25">
      <c r="H1625" t="s">
        <v>1099</v>
      </c>
      <c r="I1625" t="s">
        <v>1755</v>
      </c>
      <c r="J1625">
        <v>0</v>
      </c>
      <c r="K1625">
        <v>0</v>
      </c>
      <c r="L1625">
        <v>0</v>
      </c>
    </row>
    <row r="1626" spans="8:13" x14ac:dyDescent="0.25">
      <c r="H1626" t="s">
        <v>1165</v>
      </c>
      <c r="I1626" t="s">
        <v>1754</v>
      </c>
      <c r="J1626">
        <v>0</v>
      </c>
      <c r="K1626">
        <v>0</v>
      </c>
      <c r="L1626">
        <v>0</v>
      </c>
    </row>
    <row r="1627" spans="8:13" x14ac:dyDescent="0.25">
      <c r="H1627" t="s">
        <v>1451</v>
      </c>
      <c r="I1627" t="s">
        <v>2041</v>
      </c>
      <c r="J1627">
        <v>0</v>
      </c>
      <c r="K1627">
        <v>0</v>
      </c>
      <c r="L1627">
        <v>0</v>
      </c>
    </row>
    <row r="1628" spans="8:13" x14ac:dyDescent="0.25">
      <c r="H1628" t="s">
        <v>1776</v>
      </c>
      <c r="I1628" t="s">
        <v>1777</v>
      </c>
      <c r="J1628">
        <v>0</v>
      </c>
      <c r="K1628">
        <v>0</v>
      </c>
      <c r="L1628">
        <v>0</v>
      </c>
    </row>
    <row r="1629" spans="8:13" x14ac:dyDescent="0.25">
      <c r="H1629" t="s">
        <v>1165</v>
      </c>
      <c r="I1629" t="s">
        <v>1143</v>
      </c>
      <c r="J1629">
        <v>0</v>
      </c>
      <c r="K1629">
        <v>0</v>
      </c>
      <c r="L1629">
        <v>0</v>
      </c>
    </row>
    <row r="1630" spans="8:13" x14ac:dyDescent="0.25">
      <c r="H1630" t="s">
        <v>1761</v>
      </c>
      <c r="I1630" t="s">
        <v>1117</v>
      </c>
      <c r="J1630">
        <v>0</v>
      </c>
      <c r="K1630">
        <v>0</v>
      </c>
      <c r="L1630">
        <v>0</v>
      </c>
    </row>
    <row r="1631" spans="8:13" x14ac:dyDescent="0.25">
      <c r="H1631" t="s">
        <v>1193</v>
      </c>
      <c r="I1631" t="s">
        <v>1816</v>
      </c>
      <c r="J1631">
        <v>0</v>
      </c>
      <c r="K1631">
        <v>0</v>
      </c>
      <c r="L1631">
        <v>0</v>
      </c>
    </row>
    <row r="1632" spans="8:13" x14ac:dyDescent="0.25">
      <c r="H1632" t="s">
        <v>1138</v>
      </c>
      <c r="I1632" t="s">
        <v>2104</v>
      </c>
      <c r="J1632">
        <v>0</v>
      </c>
      <c r="K1632">
        <v>0</v>
      </c>
      <c r="L1632">
        <v>0</v>
      </c>
    </row>
    <row r="1633" spans="8:12" x14ac:dyDescent="0.25">
      <c r="H1633" t="s">
        <v>1681</v>
      </c>
      <c r="I1633" t="s">
        <v>1039</v>
      </c>
      <c r="J1633">
        <v>0</v>
      </c>
      <c r="K1633">
        <v>0</v>
      </c>
      <c r="L1633">
        <v>0</v>
      </c>
    </row>
    <row r="1634" spans="8:12" x14ac:dyDescent="0.25">
      <c r="H1634" t="s">
        <v>1340</v>
      </c>
      <c r="I1634" t="s">
        <v>1781</v>
      </c>
      <c r="J1634">
        <v>0</v>
      </c>
      <c r="K1634">
        <v>0</v>
      </c>
      <c r="L1634">
        <v>0</v>
      </c>
    </row>
    <row r="1635" spans="8:12" x14ac:dyDescent="0.25">
      <c r="H1635" t="s">
        <v>1766</v>
      </c>
      <c r="I1635" t="s">
        <v>1143</v>
      </c>
      <c r="J1635">
        <v>0</v>
      </c>
      <c r="K1635">
        <v>0</v>
      </c>
      <c r="L1635">
        <v>0</v>
      </c>
    </row>
    <row r="1636" spans="8:12" x14ac:dyDescent="0.25">
      <c r="H1636" t="s">
        <v>2081</v>
      </c>
      <c r="I1636" t="s">
        <v>1079</v>
      </c>
      <c r="J1636">
        <v>0</v>
      </c>
      <c r="K1636">
        <v>0</v>
      </c>
      <c r="L1636">
        <v>0</v>
      </c>
    </row>
    <row r="1637" spans="8:12" x14ac:dyDescent="0.25">
      <c r="H1637" t="s">
        <v>1723</v>
      </c>
      <c r="I1637" t="s">
        <v>1770</v>
      </c>
      <c r="J1637">
        <v>0</v>
      </c>
      <c r="K1637">
        <v>0</v>
      </c>
      <c r="L1637">
        <v>0</v>
      </c>
    </row>
    <row r="1638" spans="8:12" x14ac:dyDescent="0.25">
      <c r="H1638" t="s">
        <v>1811</v>
      </c>
      <c r="I1638" t="s">
        <v>1812</v>
      </c>
      <c r="J1638">
        <v>0</v>
      </c>
      <c r="K1638">
        <v>0</v>
      </c>
      <c r="L1638">
        <v>0</v>
      </c>
    </row>
    <row r="1639" spans="8:12" x14ac:dyDescent="0.25">
      <c r="H1639" t="s">
        <v>1775</v>
      </c>
      <c r="I1639" t="s">
        <v>1079</v>
      </c>
      <c r="J1639">
        <v>0</v>
      </c>
      <c r="K1639">
        <v>0</v>
      </c>
      <c r="L1639">
        <v>0</v>
      </c>
    </row>
    <row r="1640" spans="8:12" x14ac:dyDescent="0.25">
      <c r="H1640" t="s">
        <v>1779</v>
      </c>
      <c r="I1640" t="s">
        <v>1780</v>
      </c>
      <c r="J1640">
        <v>0</v>
      </c>
      <c r="K1640">
        <v>0</v>
      </c>
      <c r="L1640">
        <v>0</v>
      </c>
    </row>
    <row r="1641" spans="8:12" x14ac:dyDescent="0.25">
      <c r="H1641" t="s">
        <v>2187</v>
      </c>
      <c r="I1641" t="s">
        <v>2188</v>
      </c>
      <c r="J1641">
        <v>0</v>
      </c>
      <c r="K1641">
        <v>0</v>
      </c>
      <c r="L1641">
        <v>0</v>
      </c>
    </row>
    <row r="1642" spans="8:12" x14ac:dyDescent="0.25">
      <c r="H1642" t="s">
        <v>1092</v>
      </c>
      <c r="I1642" t="s">
        <v>1788</v>
      </c>
      <c r="J1642">
        <v>0</v>
      </c>
      <c r="K1642">
        <v>0</v>
      </c>
      <c r="L1642">
        <v>0</v>
      </c>
    </row>
    <row r="1643" spans="8:12" x14ac:dyDescent="0.25">
      <c r="H1643" t="s">
        <v>1165</v>
      </c>
      <c r="I1643" t="s">
        <v>1866</v>
      </c>
      <c r="J1643">
        <v>0</v>
      </c>
      <c r="K1643">
        <v>0</v>
      </c>
      <c r="L1643">
        <v>0</v>
      </c>
    </row>
    <row r="1644" spans="8:12" x14ac:dyDescent="0.25">
      <c r="H1644" t="s">
        <v>1369</v>
      </c>
      <c r="I1644" t="s">
        <v>1790</v>
      </c>
      <c r="J1644">
        <v>0</v>
      </c>
      <c r="K1644">
        <v>0</v>
      </c>
      <c r="L1644">
        <v>0</v>
      </c>
    </row>
    <row r="1645" spans="8:12" x14ac:dyDescent="0.25">
      <c r="H1645" t="s">
        <v>1088</v>
      </c>
      <c r="I1645" t="s">
        <v>1784</v>
      </c>
      <c r="J1645">
        <v>0</v>
      </c>
      <c r="K1645">
        <v>0</v>
      </c>
      <c r="L1645">
        <v>0</v>
      </c>
    </row>
    <row r="1646" spans="8:12" x14ac:dyDescent="0.25">
      <c r="H1646" t="s">
        <v>1289</v>
      </c>
      <c r="I1646" t="s">
        <v>1683</v>
      </c>
      <c r="J1646">
        <v>0</v>
      </c>
      <c r="K1646">
        <v>0</v>
      </c>
      <c r="L1646">
        <v>0</v>
      </c>
    </row>
    <row r="1647" spans="8:12" x14ac:dyDescent="0.25">
      <c r="H1647" t="s">
        <v>1453</v>
      </c>
      <c r="I1647" t="s">
        <v>1133</v>
      </c>
      <c r="J1647">
        <v>0</v>
      </c>
      <c r="K1647">
        <v>0</v>
      </c>
      <c r="L1647">
        <v>0</v>
      </c>
    </row>
    <row r="1648" spans="8:12" x14ac:dyDescent="0.25">
      <c r="H1648" t="s">
        <v>1456</v>
      </c>
      <c r="I1648" t="s">
        <v>1912</v>
      </c>
      <c r="J1648">
        <v>0</v>
      </c>
      <c r="K1648">
        <v>0</v>
      </c>
      <c r="L1648">
        <v>0</v>
      </c>
    </row>
    <row r="1649" spans="8:13" x14ac:dyDescent="0.25">
      <c r="H1649" t="s">
        <v>1641</v>
      </c>
      <c r="I1649" t="s">
        <v>1642</v>
      </c>
      <c r="J1649">
        <v>0</v>
      </c>
      <c r="K1649">
        <v>0</v>
      </c>
      <c r="L1649">
        <v>0</v>
      </c>
    </row>
    <row r="1650" spans="8:13" x14ac:dyDescent="0.25">
      <c r="H1650" t="s">
        <v>1226</v>
      </c>
      <c r="I1650" t="s">
        <v>1792</v>
      </c>
      <c r="J1650">
        <v>0</v>
      </c>
      <c r="K1650">
        <v>0</v>
      </c>
      <c r="L1650">
        <v>0</v>
      </c>
    </row>
    <row r="1651" spans="8:13" x14ac:dyDescent="0.25">
      <c r="H1651" t="s">
        <v>1454</v>
      </c>
      <c r="I1651" t="s">
        <v>1619</v>
      </c>
      <c r="J1651">
        <v>0</v>
      </c>
      <c r="K1651">
        <v>0</v>
      </c>
      <c r="L1651">
        <v>0</v>
      </c>
    </row>
    <row r="1652" spans="8:13" x14ac:dyDescent="0.25">
      <c r="H1652" t="s">
        <v>1190</v>
      </c>
      <c r="I1652" t="s">
        <v>1835</v>
      </c>
      <c r="J1652">
        <v>0</v>
      </c>
      <c r="K1652">
        <v>0</v>
      </c>
      <c r="L1652">
        <v>0</v>
      </c>
    </row>
    <row r="1653" spans="8:13" x14ac:dyDescent="0.25">
      <c r="H1653" t="s">
        <v>1805</v>
      </c>
      <c r="I1653" t="s">
        <v>1806</v>
      </c>
      <c r="J1653" t="s">
        <v>1122</v>
      </c>
      <c r="K1653">
        <v>0</v>
      </c>
      <c r="L1653">
        <v>0</v>
      </c>
      <c r="M1653">
        <v>0</v>
      </c>
    </row>
    <row r="1654" spans="8:13" x14ac:dyDescent="0.25">
      <c r="H1654" t="s">
        <v>1469</v>
      </c>
      <c r="I1654" t="s">
        <v>1799</v>
      </c>
      <c r="J1654">
        <v>0</v>
      </c>
      <c r="K1654">
        <v>0</v>
      </c>
      <c r="L1654">
        <v>0</v>
      </c>
    </row>
    <row r="1655" spans="8:13" x14ac:dyDescent="0.25">
      <c r="H1655" t="s">
        <v>1795</v>
      </c>
      <c r="I1655" t="s">
        <v>1143</v>
      </c>
      <c r="J1655">
        <v>0</v>
      </c>
      <c r="K1655">
        <v>0</v>
      </c>
      <c r="L1655">
        <v>0</v>
      </c>
    </row>
    <row r="1656" spans="8:13" x14ac:dyDescent="0.25">
      <c r="H1656" t="s">
        <v>1120</v>
      </c>
      <c r="I1656" t="s">
        <v>1205</v>
      </c>
      <c r="J1656" t="s">
        <v>1224</v>
      </c>
      <c r="K1656">
        <v>0</v>
      </c>
      <c r="L1656">
        <v>0</v>
      </c>
      <c r="M1656">
        <v>0</v>
      </c>
    </row>
    <row r="1657" spans="8:13" x14ac:dyDescent="0.25">
      <c r="H1657" t="s">
        <v>1347</v>
      </c>
      <c r="I1657" t="s">
        <v>1802</v>
      </c>
      <c r="J1657">
        <v>0</v>
      </c>
      <c r="K1657">
        <v>0</v>
      </c>
      <c r="L1657">
        <v>0</v>
      </c>
    </row>
    <row r="1658" spans="8:13" x14ac:dyDescent="0.25">
      <c r="H1658" t="s">
        <v>1178</v>
      </c>
      <c r="I1658" t="s">
        <v>1803</v>
      </c>
      <c r="J1658">
        <v>0</v>
      </c>
      <c r="K1658">
        <v>0</v>
      </c>
      <c r="L1658">
        <v>0</v>
      </c>
    </row>
    <row r="1659" spans="8:13" x14ac:dyDescent="0.25">
      <c r="H1659" t="s">
        <v>1762</v>
      </c>
      <c r="I1659" t="s">
        <v>1763</v>
      </c>
      <c r="J1659" t="s">
        <v>1199</v>
      </c>
      <c r="K1659">
        <v>0</v>
      </c>
      <c r="L1659">
        <v>0</v>
      </c>
      <c r="M1659">
        <v>0</v>
      </c>
    </row>
    <row r="1660" spans="8:13" x14ac:dyDescent="0.25">
      <c r="H1660" t="s">
        <v>1804</v>
      </c>
      <c r="I1660" t="s">
        <v>1143</v>
      </c>
      <c r="J1660">
        <v>0</v>
      </c>
      <c r="K1660">
        <v>0</v>
      </c>
      <c r="L1660">
        <v>0</v>
      </c>
    </row>
    <row r="1661" spans="8:13" x14ac:dyDescent="0.25">
      <c r="H1661" t="s">
        <v>1455</v>
      </c>
      <c r="I1661" t="s">
        <v>1214</v>
      </c>
      <c r="J1661">
        <v>0</v>
      </c>
      <c r="K1661">
        <v>0</v>
      </c>
      <c r="L1661">
        <v>0</v>
      </c>
    </row>
    <row r="1662" spans="8:13" x14ac:dyDescent="0.25">
      <c r="H1662" t="s">
        <v>1807</v>
      </c>
      <c r="I1662" t="s">
        <v>1236</v>
      </c>
      <c r="J1662">
        <v>0</v>
      </c>
      <c r="K1662">
        <v>0</v>
      </c>
      <c r="L1662">
        <v>0</v>
      </c>
    </row>
    <row r="1663" spans="8:13" x14ac:dyDescent="0.25">
      <c r="H1663" t="s">
        <v>1808</v>
      </c>
      <c r="I1663" t="s">
        <v>1809</v>
      </c>
      <c r="J1663">
        <v>0</v>
      </c>
      <c r="K1663">
        <v>0</v>
      </c>
      <c r="L1663">
        <v>0</v>
      </c>
    </row>
    <row r="1664" spans="8:13" x14ac:dyDescent="0.25">
      <c r="H1664" t="s">
        <v>1810</v>
      </c>
      <c r="I1664" t="s">
        <v>1093</v>
      </c>
      <c r="J1664">
        <v>0</v>
      </c>
      <c r="K1664">
        <v>0</v>
      </c>
      <c r="L1664">
        <v>0</v>
      </c>
    </row>
    <row r="1665" spans="8:13" x14ac:dyDescent="0.25">
      <c r="H1665" t="s">
        <v>1276</v>
      </c>
      <c r="I1665" t="s">
        <v>1188</v>
      </c>
      <c r="J1665">
        <v>0</v>
      </c>
      <c r="K1665">
        <v>0</v>
      </c>
      <c r="L1665">
        <v>0</v>
      </c>
    </row>
    <row r="1666" spans="8:13" x14ac:dyDescent="0.25">
      <c r="H1666" t="s">
        <v>1099</v>
      </c>
      <c r="I1666" t="s">
        <v>1039</v>
      </c>
      <c r="J1666">
        <v>0</v>
      </c>
      <c r="K1666">
        <v>0</v>
      </c>
      <c r="L1666">
        <v>0</v>
      </c>
    </row>
    <row r="1667" spans="8:13" x14ac:dyDescent="0.25">
      <c r="H1667" t="s">
        <v>1548</v>
      </c>
      <c r="I1667" t="s">
        <v>1549</v>
      </c>
      <c r="J1667">
        <v>0</v>
      </c>
      <c r="K1667">
        <v>0</v>
      </c>
      <c r="L1667">
        <v>0</v>
      </c>
    </row>
    <row r="1668" spans="8:13" x14ac:dyDescent="0.25">
      <c r="H1668" t="s">
        <v>1560</v>
      </c>
      <c r="I1668" t="s">
        <v>1764</v>
      </c>
      <c r="J1668" t="s">
        <v>1122</v>
      </c>
      <c r="K1668">
        <v>0</v>
      </c>
      <c r="L1668">
        <v>0</v>
      </c>
      <c r="M1668">
        <v>0</v>
      </c>
    </row>
    <row r="1669" spans="8:13" x14ac:dyDescent="0.25">
      <c r="H1669" t="s">
        <v>1070</v>
      </c>
      <c r="I1669" t="s">
        <v>1813</v>
      </c>
      <c r="J1669">
        <v>0</v>
      </c>
      <c r="K1669">
        <v>0</v>
      </c>
      <c r="L1669">
        <v>0</v>
      </c>
    </row>
    <row r="1670" spans="8:13" x14ac:dyDescent="0.25">
      <c r="H1670" t="s">
        <v>1737</v>
      </c>
      <c r="I1670" t="s">
        <v>1854</v>
      </c>
      <c r="J1670">
        <v>0</v>
      </c>
      <c r="K1670">
        <v>0</v>
      </c>
      <c r="L1670">
        <v>0</v>
      </c>
    </row>
    <row r="1671" spans="8:13" x14ac:dyDescent="0.25">
      <c r="H1671" t="s">
        <v>1840</v>
      </c>
      <c r="I1671" t="s">
        <v>1841</v>
      </c>
      <c r="J1671">
        <v>0</v>
      </c>
      <c r="K1671">
        <v>0</v>
      </c>
      <c r="L1671">
        <v>0</v>
      </c>
    </row>
    <row r="1672" spans="8:13" x14ac:dyDescent="0.25">
      <c r="H1672" t="s">
        <v>2627</v>
      </c>
      <c r="I1672" t="s">
        <v>2628</v>
      </c>
      <c r="J1672">
        <v>0</v>
      </c>
      <c r="K1672">
        <v>0</v>
      </c>
      <c r="L1672">
        <v>0</v>
      </c>
    </row>
    <row r="1673" spans="8:13" x14ac:dyDescent="0.25">
      <c r="H1673" t="s">
        <v>1193</v>
      </c>
      <c r="I1673" t="s">
        <v>1815</v>
      </c>
      <c r="J1673">
        <v>0</v>
      </c>
      <c r="K1673">
        <v>0</v>
      </c>
      <c r="L1673">
        <v>0</v>
      </c>
    </row>
    <row r="1674" spans="8:13" x14ac:dyDescent="0.25">
      <c r="H1674" t="s">
        <v>1165</v>
      </c>
      <c r="I1674" t="s">
        <v>1147</v>
      </c>
      <c r="J1674">
        <v>0</v>
      </c>
      <c r="K1674">
        <v>0</v>
      </c>
      <c r="L1674">
        <v>0</v>
      </c>
    </row>
    <row r="1675" spans="8:13" x14ac:dyDescent="0.25">
      <c r="H1675" t="s">
        <v>1725</v>
      </c>
      <c r="I1675" t="s">
        <v>1726</v>
      </c>
      <c r="J1675">
        <v>0</v>
      </c>
      <c r="K1675">
        <v>0</v>
      </c>
      <c r="L1675">
        <v>0</v>
      </c>
    </row>
    <row r="1676" spans="8:13" x14ac:dyDescent="0.25">
      <c r="H1676" t="s">
        <v>1246</v>
      </c>
      <c r="I1676" t="s">
        <v>1821</v>
      </c>
      <c r="J1676">
        <v>0</v>
      </c>
      <c r="K1676">
        <v>0</v>
      </c>
      <c r="L1676">
        <v>0</v>
      </c>
    </row>
    <row r="1677" spans="8:13" x14ac:dyDescent="0.25">
      <c r="H1677" t="s">
        <v>1885</v>
      </c>
      <c r="I1677" t="s">
        <v>1886</v>
      </c>
      <c r="J1677">
        <v>0</v>
      </c>
      <c r="K1677">
        <v>0</v>
      </c>
      <c r="L1677">
        <v>0</v>
      </c>
    </row>
    <row r="1678" spans="8:13" x14ac:dyDescent="0.25">
      <c r="H1678" t="s">
        <v>1829</v>
      </c>
      <c r="I1678" t="s">
        <v>1830</v>
      </c>
      <c r="J1678">
        <v>0</v>
      </c>
      <c r="K1678">
        <v>0</v>
      </c>
      <c r="L1678">
        <v>0</v>
      </c>
    </row>
    <row r="1679" spans="8:13" x14ac:dyDescent="0.25">
      <c r="H1679" t="s">
        <v>1118</v>
      </c>
      <c r="I1679" t="s">
        <v>1822</v>
      </c>
      <c r="J1679">
        <v>0</v>
      </c>
      <c r="K1679">
        <v>0</v>
      </c>
      <c r="L1679">
        <v>0</v>
      </c>
    </row>
    <row r="1680" spans="8:13" x14ac:dyDescent="0.25">
      <c r="H1680" t="s">
        <v>1826</v>
      </c>
      <c r="I1680" t="s">
        <v>1827</v>
      </c>
      <c r="J1680">
        <v>0</v>
      </c>
      <c r="K1680">
        <v>0</v>
      </c>
      <c r="L1680">
        <v>0</v>
      </c>
    </row>
    <row r="1681" spans="8:13" x14ac:dyDescent="0.25">
      <c r="H1681" t="s">
        <v>1037</v>
      </c>
      <c r="I1681" t="s">
        <v>1823</v>
      </c>
      <c r="J1681">
        <v>0</v>
      </c>
      <c r="K1681">
        <v>0</v>
      </c>
      <c r="L1681">
        <v>0</v>
      </c>
    </row>
    <row r="1682" spans="8:13" x14ac:dyDescent="0.25">
      <c r="H1682" t="s">
        <v>1711</v>
      </c>
      <c r="I1682" t="s">
        <v>1824</v>
      </c>
      <c r="J1682" t="s">
        <v>1825</v>
      </c>
      <c r="K1682">
        <v>0</v>
      </c>
      <c r="L1682">
        <v>0</v>
      </c>
      <c r="M1682">
        <v>0</v>
      </c>
    </row>
    <row r="1683" spans="8:13" x14ac:dyDescent="0.25">
      <c r="H1683" t="s">
        <v>1831</v>
      </c>
      <c r="I1683" t="s">
        <v>1832</v>
      </c>
      <c r="J1683">
        <v>0</v>
      </c>
      <c r="K1683">
        <v>0</v>
      </c>
      <c r="L1683">
        <v>0</v>
      </c>
    </row>
    <row r="1684" spans="8:13" x14ac:dyDescent="0.25">
      <c r="H1684" t="s">
        <v>1833</v>
      </c>
      <c r="I1684" t="s">
        <v>1834</v>
      </c>
      <c r="J1684">
        <v>0</v>
      </c>
      <c r="K1684">
        <v>0</v>
      </c>
      <c r="L1684">
        <v>0</v>
      </c>
    </row>
    <row r="1685" spans="8:13" x14ac:dyDescent="0.25">
      <c r="H1685" t="s">
        <v>1836</v>
      </c>
      <c r="I1685" t="s">
        <v>1837</v>
      </c>
      <c r="J1685">
        <v>0</v>
      </c>
      <c r="K1685">
        <v>0</v>
      </c>
      <c r="L1685">
        <v>0</v>
      </c>
    </row>
    <row r="1686" spans="8:13" x14ac:dyDescent="0.25">
      <c r="H1686" t="s">
        <v>1070</v>
      </c>
      <c r="I1686" t="s">
        <v>1838</v>
      </c>
      <c r="J1686">
        <v>0</v>
      </c>
      <c r="K1686">
        <v>0</v>
      </c>
      <c r="L1686">
        <v>0</v>
      </c>
    </row>
    <row r="1687" spans="8:13" x14ac:dyDescent="0.25">
      <c r="H1687" t="s">
        <v>1728</v>
      </c>
      <c r="I1687" t="s">
        <v>1729</v>
      </c>
      <c r="J1687">
        <v>0</v>
      </c>
      <c r="K1687">
        <v>0</v>
      </c>
      <c r="L1687">
        <v>0</v>
      </c>
    </row>
    <row r="1688" spans="8:13" x14ac:dyDescent="0.25">
      <c r="H1688" t="s">
        <v>1165</v>
      </c>
      <c r="I1688" t="s">
        <v>1839</v>
      </c>
      <c r="J1688">
        <v>0</v>
      </c>
      <c r="K1688">
        <v>0</v>
      </c>
      <c r="L1688">
        <v>0</v>
      </c>
    </row>
    <row r="1689" spans="8:13" x14ac:dyDescent="0.25">
      <c r="H1689" t="s">
        <v>1842</v>
      </c>
      <c r="I1689" t="s">
        <v>1214</v>
      </c>
      <c r="J1689">
        <v>0</v>
      </c>
      <c r="K1689">
        <v>0</v>
      </c>
      <c r="L1689">
        <v>0</v>
      </c>
    </row>
    <row r="1690" spans="8:13" x14ac:dyDescent="0.25">
      <c r="H1690" t="s">
        <v>1843</v>
      </c>
      <c r="I1690" t="s">
        <v>1844</v>
      </c>
      <c r="J1690">
        <v>0</v>
      </c>
      <c r="K1690">
        <v>0</v>
      </c>
      <c r="L1690">
        <v>0</v>
      </c>
    </row>
    <row r="1691" spans="8:13" x14ac:dyDescent="0.25">
      <c r="H1691" t="s">
        <v>1215</v>
      </c>
      <c r="I1691" t="s">
        <v>1845</v>
      </c>
      <c r="J1691">
        <v>0</v>
      </c>
      <c r="K1691">
        <v>0</v>
      </c>
      <c r="L1691">
        <v>0</v>
      </c>
    </row>
    <row r="1692" spans="8:13" x14ac:dyDescent="0.25">
      <c r="H1692" t="s">
        <v>1092</v>
      </c>
      <c r="I1692" t="s">
        <v>1181</v>
      </c>
      <c r="J1692">
        <v>0</v>
      </c>
      <c r="K1692">
        <v>0</v>
      </c>
      <c r="L1692">
        <v>0</v>
      </c>
    </row>
    <row r="1693" spans="8:13" x14ac:dyDescent="0.25">
      <c r="H1693" t="s">
        <v>1848</v>
      </c>
      <c r="I1693" t="s">
        <v>1849</v>
      </c>
      <c r="J1693">
        <v>0</v>
      </c>
      <c r="K1693">
        <v>0</v>
      </c>
      <c r="L1693">
        <v>0</v>
      </c>
    </row>
    <row r="1694" spans="8:13" x14ac:dyDescent="0.25">
      <c r="H1694" t="s">
        <v>1846</v>
      </c>
      <c r="I1694" t="s">
        <v>1847</v>
      </c>
      <c r="J1694">
        <v>0</v>
      </c>
      <c r="K1694">
        <v>0</v>
      </c>
      <c r="L1694">
        <v>0</v>
      </c>
    </row>
    <row r="1695" spans="8:13" x14ac:dyDescent="0.25">
      <c r="H1695" t="s">
        <v>1850</v>
      </c>
      <c r="I1695" t="s">
        <v>1851</v>
      </c>
      <c r="J1695">
        <v>0</v>
      </c>
      <c r="K1695">
        <v>0</v>
      </c>
      <c r="L1695">
        <v>0</v>
      </c>
    </row>
    <row r="1696" spans="8:13" x14ac:dyDescent="0.25">
      <c r="H1696" t="s">
        <v>1852</v>
      </c>
      <c r="I1696" t="s">
        <v>1853</v>
      </c>
      <c r="J1696">
        <v>0</v>
      </c>
      <c r="K1696">
        <v>0</v>
      </c>
      <c r="L1696">
        <v>0</v>
      </c>
    </row>
    <row r="1697" spans="8:12" x14ac:dyDescent="0.25">
      <c r="H1697" t="s">
        <v>1111</v>
      </c>
      <c r="I1697" t="s">
        <v>1798</v>
      </c>
      <c r="J1697">
        <v>0</v>
      </c>
      <c r="K1697">
        <v>0</v>
      </c>
      <c r="L1697">
        <v>0</v>
      </c>
    </row>
    <row r="1698" spans="8:12" x14ac:dyDescent="0.25">
      <c r="H1698" t="s">
        <v>2070</v>
      </c>
      <c r="I1698" t="s">
        <v>2071</v>
      </c>
      <c r="J1698">
        <v>0</v>
      </c>
      <c r="K1698">
        <v>0</v>
      </c>
      <c r="L1698">
        <v>0</v>
      </c>
    </row>
    <row r="1699" spans="8:12" x14ac:dyDescent="0.25">
      <c r="H1699" t="s">
        <v>1856</v>
      </c>
      <c r="I1699" t="s">
        <v>1079</v>
      </c>
      <c r="J1699">
        <v>0</v>
      </c>
      <c r="K1699">
        <v>0</v>
      </c>
      <c r="L1699">
        <v>0</v>
      </c>
    </row>
    <row r="1700" spans="8:12" x14ac:dyDescent="0.25">
      <c r="H1700" t="s">
        <v>1595</v>
      </c>
      <c r="I1700" t="s">
        <v>1900</v>
      </c>
      <c r="J1700">
        <v>0</v>
      </c>
      <c r="K1700">
        <v>0</v>
      </c>
      <c r="L1700">
        <v>0</v>
      </c>
    </row>
    <row r="1701" spans="8:12" x14ac:dyDescent="0.25">
      <c r="H1701" t="s">
        <v>1454</v>
      </c>
      <c r="I1701" t="s">
        <v>1817</v>
      </c>
      <c r="J1701">
        <v>0</v>
      </c>
      <c r="K1701">
        <v>0</v>
      </c>
      <c r="L1701">
        <v>0</v>
      </c>
    </row>
    <row r="1702" spans="8:12" x14ac:dyDescent="0.25">
      <c r="H1702" t="s">
        <v>1909</v>
      </c>
      <c r="I1702" t="s">
        <v>1079</v>
      </c>
      <c r="J1702">
        <v>0</v>
      </c>
      <c r="K1702">
        <v>0</v>
      </c>
      <c r="L1702">
        <v>0</v>
      </c>
    </row>
    <row r="1703" spans="8:12" x14ac:dyDescent="0.25">
      <c r="H1703" t="s">
        <v>1860</v>
      </c>
      <c r="I1703" t="s">
        <v>1861</v>
      </c>
      <c r="J1703">
        <v>0</v>
      </c>
      <c r="K1703">
        <v>0</v>
      </c>
      <c r="L1703">
        <v>0</v>
      </c>
    </row>
    <row r="1704" spans="8:12" x14ac:dyDescent="0.25">
      <c r="H1704" t="s">
        <v>1183</v>
      </c>
      <c r="I1704" t="s">
        <v>1862</v>
      </c>
      <c r="J1704">
        <v>0</v>
      </c>
      <c r="K1704">
        <v>0</v>
      </c>
      <c r="L1704">
        <v>0</v>
      </c>
    </row>
    <row r="1705" spans="8:12" x14ac:dyDescent="0.25">
      <c r="H1705" t="s">
        <v>1863</v>
      </c>
      <c r="I1705" t="s">
        <v>1864</v>
      </c>
      <c r="J1705">
        <v>0</v>
      </c>
      <c r="K1705">
        <v>0</v>
      </c>
      <c r="L1705">
        <v>0</v>
      </c>
    </row>
    <row r="1706" spans="8:12" x14ac:dyDescent="0.25">
      <c r="H1706" t="s">
        <v>1624</v>
      </c>
      <c r="I1706" t="s">
        <v>1867</v>
      </c>
      <c r="J1706">
        <v>0</v>
      </c>
      <c r="K1706">
        <v>0</v>
      </c>
      <c r="L1706">
        <v>0</v>
      </c>
    </row>
    <row r="1707" spans="8:12" x14ac:dyDescent="0.25">
      <c r="H1707" t="s">
        <v>2636</v>
      </c>
      <c r="I1707" t="s">
        <v>2637</v>
      </c>
      <c r="J1707">
        <v>0</v>
      </c>
      <c r="K1707">
        <v>0</v>
      </c>
      <c r="L1707">
        <v>0</v>
      </c>
    </row>
    <row r="1708" spans="8:12" x14ac:dyDescent="0.25">
      <c r="H1708" t="s">
        <v>1865</v>
      </c>
      <c r="I1708" t="s">
        <v>1053</v>
      </c>
      <c r="J1708">
        <v>0</v>
      </c>
      <c r="K1708">
        <v>0</v>
      </c>
      <c r="L1708">
        <v>0</v>
      </c>
    </row>
    <row r="1709" spans="8:12" x14ac:dyDescent="0.25">
      <c r="H1709" t="s">
        <v>1868</v>
      </c>
      <c r="I1709" t="s">
        <v>1869</v>
      </c>
      <c r="J1709">
        <v>0</v>
      </c>
      <c r="K1709">
        <v>0</v>
      </c>
      <c r="L1709">
        <v>0</v>
      </c>
    </row>
    <row r="1710" spans="8:12" x14ac:dyDescent="0.25">
      <c r="H1710" t="s">
        <v>1871</v>
      </c>
      <c r="I1710" t="s">
        <v>1734</v>
      </c>
      <c r="J1710">
        <v>0</v>
      </c>
      <c r="K1710">
        <v>0</v>
      </c>
      <c r="L1710">
        <v>0</v>
      </c>
    </row>
    <row r="1711" spans="8:12" x14ac:dyDescent="0.25">
      <c r="H1711" t="s">
        <v>1120</v>
      </c>
      <c r="I1711" t="s">
        <v>1874</v>
      </c>
      <c r="J1711">
        <v>0</v>
      </c>
      <c r="K1711">
        <v>0</v>
      </c>
      <c r="L1711">
        <v>0</v>
      </c>
    </row>
    <row r="1712" spans="8:12" x14ac:dyDescent="0.25">
      <c r="H1712" t="s">
        <v>1419</v>
      </c>
      <c r="I1712" t="s">
        <v>1143</v>
      </c>
      <c r="J1712">
        <v>0</v>
      </c>
      <c r="K1712">
        <v>0</v>
      </c>
      <c r="L1712">
        <v>0</v>
      </c>
    </row>
    <row r="1713" spans="8:13" x14ac:dyDescent="0.25">
      <c r="H1713" t="s">
        <v>1070</v>
      </c>
      <c r="I1713" t="s">
        <v>1876</v>
      </c>
      <c r="J1713">
        <v>0</v>
      </c>
      <c r="K1713">
        <v>0</v>
      </c>
      <c r="L1713">
        <v>0</v>
      </c>
    </row>
    <row r="1714" spans="8:13" x14ac:dyDescent="0.25">
      <c r="H1714" t="s">
        <v>1454</v>
      </c>
      <c r="I1714" t="s">
        <v>1123</v>
      </c>
      <c r="J1714" t="s">
        <v>1122</v>
      </c>
      <c r="K1714">
        <v>0</v>
      </c>
      <c r="L1714">
        <v>0</v>
      </c>
      <c r="M1714">
        <v>0</v>
      </c>
    </row>
    <row r="1715" spans="8:13" x14ac:dyDescent="0.25">
      <c r="H1715" t="s">
        <v>1936</v>
      </c>
      <c r="I1715" t="s">
        <v>1220</v>
      </c>
      <c r="J1715">
        <v>0</v>
      </c>
      <c r="K1715">
        <v>0</v>
      </c>
      <c r="L1715">
        <v>0</v>
      </c>
    </row>
    <row r="1716" spans="8:13" x14ac:dyDescent="0.25">
      <c r="H1716" t="s">
        <v>1124</v>
      </c>
      <c r="I1716" t="s">
        <v>1877</v>
      </c>
      <c r="J1716">
        <v>0</v>
      </c>
      <c r="K1716">
        <v>0</v>
      </c>
      <c r="L1716">
        <v>0</v>
      </c>
    </row>
    <row r="1717" spans="8:13" x14ac:dyDescent="0.25">
      <c r="H1717" t="s">
        <v>1323</v>
      </c>
      <c r="I1717" t="s">
        <v>2054</v>
      </c>
      <c r="J1717">
        <v>0</v>
      </c>
      <c r="K1717">
        <v>0</v>
      </c>
      <c r="L1717">
        <v>0</v>
      </c>
    </row>
    <row r="1718" spans="8:13" x14ac:dyDescent="0.25">
      <c r="H1718" t="s">
        <v>1064</v>
      </c>
      <c r="I1718" t="s">
        <v>1037</v>
      </c>
      <c r="J1718">
        <v>0</v>
      </c>
      <c r="K1718">
        <v>0</v>
      </c>
      <c r="L1718">
        <v>0</v>
      </c>
    </row>
    <row r="1719" spans="8:13" x14ac:dyDescent="0.25">
      <c r="H1719" t="s">
        <v>1880</v>
      </c>
      <c r="I1719" t="s">
        <v>1143</v>
      </c>
      <c r="J1719">
        <v>0</v>
      </c>
      <c r="K1719">
        <v>0</v>
      </c>
      <c r="L1719">
        <v>0</v>
      </c>
    </row>
    <row r="1720" spans="8:13" x14ac:dyDescent="0.25">
      <c r="H1720" t="s">
        <v>1883</v>
      </c>
      <c r="I1720" t="s">
        <v>1884</v>
      </c>
      <c r="J1720">
        <v>0</v>
      </c>
      <c r="K1720">
        <v>0</v>
      </c>
      <c r="L1720">
        <v>0</v>
      </c>
    </row>
    <row r="1721" spans="8:13" x14ac:dyDescent="0.25">
      <c r="H1721" t="s">
        <v>1573</v>
      </c>
      <c r="I1721" t="s">
        <v>1889</v>
      </c>
      <c r="J1721">
        <v>0</v>
      </c>
      <c r="K1721">
        <v>0</v>
      </c>
      <c r="L1721">
        <v>0</v>
      </c>
    </row>
    <row r="1722" spans="8:13" x14ac:dyDescent="0.25">
      <c r="H1722" t="s">
        <v>1897</v>
      </c>
      <c r="I1722" t="s">
        <v>1898</v>
      </c>
      <c r="J1722">
        <v>0</v>
      </c>
      <c r="K1722">
        <v>0</v>
      </c>
      <c r="L1722">
        <v>0</v>
      </c>
    </row>
    <row r="1723" spans="8:13" x14ac:dyDescent="0.25">
      <c r="H1723" t="s">
        <v>1892</v>
      </c>
      <c r="I1723" t="s">
        <v>1893</v>
      </c>
      <c r="J1723">
        <v>0</v>
      </c>
      <c r="K1723">
        <v>0</v>
      </c>
      <c r="L1723">
        <v>0</v>
      </c>
    </row>
    <row r="1724" spans="8:13" x14ac:dyDescent="0.25">
      <c r="H1724" t="s">
        <v>1894</v>
      </c>
      <c r="I1724" t="s">
        <v>1895</v>
      </c>
      <c r="J1724">
        <v>0</v>
      </c>
      <c r="K1724">
        <v>0</v>
      </c>
      <c r="L1724">
        <v>0</v>
      </c>
    </row>
    <row r="1725" spans="8:13" x14ac:dyDescent="0.25">
      <c r="H1725" t="s">
        <v>1890</v>
      </c>
      <c r="I1725" t="s">
        <v>1891</v>
      </c>
      <c r="J1725">
        <v>0</v>
      </c>
      <c r="K1725">
        <v>0</v>
      </c>
      <c r="L1725">
        <v>0</v>
      </c>
    </row>
    <row r="1726" spans="8:13" x14ac:dyDescent="0.25">
      <c r="H1726" t="s">
        <v>1604</v>
      </c>
      <c r="I1726" t="s">
        <v>1896</v>
      </c>
      <c r="J1726">
        <v>0</v>
      </c>
      <c r="K1726">
        <v>0</v>
      </c>
      <c r="L1726">
        <v>0</v>
      </c>
    </row>
    <row r="1727" spans="8:13" x14ac:dyDescent="0.25">
      <c r="H1727" t="s">
        <v>1974</v>
      </c>
      <c r="I1727" t="s">
        <v>1103</v>
      </c>
      <c r="J1727">
        <v>0</v>
      </c>
      <c r="K1727">
        <v>0</v>
      </c>
      <c r="L1727">
        <v>0</v>
      </c>
    </row>
    <row r="1728" spans="8:13" x14ac:dyDescent="0.25">
      <c r="H1728" t="s">
        <v>2055</v>
      </c>
      <c r="I1728" t="s">
        <v>2056</v>
      </c>
      <c r="J1728">
        <v>0</v>
      </c>
      <c r="K1728">
        <v>0</v>
      </c>
      <c r="L1728">
        <v>0</v>
      </c>
    </row>
    <row r="1729" spans="8:13" x14ac:dyDescent="0.25">
      <c r="H1729" t="s">
        <v>1300</v>
      </c>
      <c r="I1729" t="s">
        <v>1899</v>
      </c>
      <c r="J1729">
        <v>0</v>
      </c>
      <c r="K1729">
        <v>0</v>
      </c>
      <c r="L1729">
        <v>0</v>
      </c>
    </row>
    <row r="1730" spans="8:13" x14ac:dyDescent="0.25">
      <c r="H1730" t="s">
        <v>2275</v>
      </c>
      <c r="I1730" t="s">
        <v>2276</v>
      </c>
      <c r="J1730" t="s">
        <v>1825</v>
      </c>
      <c r="K1730">
        <v>0</v>
      </c>
      <c r="L1730">
        <v>0</v>
      </c>
      <c r="M1730">
        <v>0</v>
      </c>
    </row>
    <row r="1731" spans="8:13" x14ac:dyDescent="0.25">
      <c r="H1731" t="s">
        <v>1901</v>
      </c>
      <c r="I1731" t="s">
        <v>1902</v>
      </c>
      <c r="J1731">
        <v>0</v>
      </c>
      <c r="K1731">
        <v>0</v>
      </c>
      <c r="L1731">
        <v>0</v>
      </c>
    </row>
    <row r="1732" spans="8:13" x14ac:dyDescent="0.25">
      <c r="H1732" t="s">
        <v>1903</v>
      </c>
      <c r="I1732" t="s">
        <v>1904</v>
      </c>
      <c r="J1732">
        <v>0</v>
      </c>
      <c r="K1732">
        <v>0</v>
      </c>
      <c r="L1732">
        <v>0</v>
      </c>
    </row>
    <row r="1733" spans="8:13" x14ac:dyDescent="0.25">
      <c r="H1733" t="s">
        <v>1795</v>
      </c>
      <c r="I1733" t="s">
        <v>1906</v>
      </c>
      <c r="J1733">
        <v>0</v>
      </c>
      <c r="K1733">
        <v>0</v>
      </c>
      <c r="L1733">
        <v>0</v>
      </c>
    </row>
    <row r="1734" spans="8:13" x14ac:dyDescent="0.25">
      <c r="H1734" t="s">
        <v>2074</v>
      </c>
      <c r="I1734" t="s">
        <v>2075</v>
      </c>
      <c r="J1734">
        <v>0</v>
      </c>
      <c r="K1734">
        <v>0</v>
      </c>
      <c r="L1734">
        <v>0</v>
      </c>
    </row>
    <row r="1735" spans="8:13" x14ac:dyDescent="0.25">
      <c r="H1735" t="s">
        <v>1955</v>
      </c>
      <c r="I1735" t="s">
        <v>1182</v>
      </c>
      <c r="J1735">
        <v>0</v>
      </c>
      <c r="K1735">
        <v>0</v>
      </c>
      <c r="L1735">
        <v>0</v>
      </c>
    </row>
    <row r="1736" spans="8:13" x14ac:dyDescent="0.25">
      <c r="H1736" t="s">
        <v>1796</v>
      </c>
      <c r="I1736" t="s">
        <v>1797</v>
      </c>
      <c r="J1736">
        <v>0</v>
      </c>
      <c r="K1736">
        <v>0</v>
      </c>
      <c r="L1736">
        <v>0</v>
      </c>
    </row>
    <row r="1737" spans="8:13" x14ac:dyDescent="0.25">
      <c r="H1737" t="s">
        <v>1910</v>
      </c>
      <c r="I1737" t="s">
        <v>1911</v>
      </c>
      <c r="J1737">
        <v>0</v>
      </c>
      <c r="K1737">
        <v>0</v>
      </c>
      <c r="L1737">
        <v>0</v>
      </c>
    </row>
    <row r="1738" spans="8:13" x14ac:dyDescent="0.25">
      <c r="H1738" t="s">
        <v>1907</v>
      </c>
      <c r="I1738" t="s">
        <v>1908</v>
      </c>
      <c r="J1738">
        <v>0</v>
      </c>
      <c r="K1738">
        <v>0</v>
      </c>
      <c r="L1738">
        <v>0</v>
      </c>
    </row>
    <row r="1739" spans="8:13" x14ac:dyDescent="0.25">
      <c r="H1739" t="s">
        <v>1169</v>
      </c>
      <c r="I1739" t="s">
        <v>1747</v>
      </c>
      <c r="J1739">
        <v>0</v>
      </c>
      <c r="K1739">
        <v>0</v>
      </c>
      <c r="L1739">
        <v>0</v>
      </c>
    </row>
    <row r="1740" spans="8:13" x14ac:dyDescent="0.25">
      <c r="H1740" t="s">
        <v>1185</v>
      </c>
      <c r="I1740" t="s">
        <v>1913</v>
      </c>
      <c r="J1740">
        <v>0</v>
      </c>
      <c r="K1740">
        <v>0</v>
      </c>
      <c r="L1740">
        <v>0</v>
      </c>
    </row>
    <row r="1741" spans="8:13" x14ac:dyDescent="0.25">
      <c r="H1741" t="s">
        <v>1323</v>
      </c>
      <c r="I1741" t="s">
        <v>1085</v>
      </c>
      <c r="J1741">
        <v>0</v>
      </c>
      <c r="K1741">
        <v>0</v>
      </c>
      <c r="L1741">
        <v>0</v>
      </c>
    </row>
    <row r="1742" spans="8:13" x14ac:dyDescent="0.25">
      <c r="H1742" t="s">
        <v>1074</v>
      </c>
      <c r="I1742" t="s">
        <v>1180</v>
      </c>
      <c r="J1742">
        <v>0</v>
      </c>
      <c r="K1742">
        <v>0</v>
      </c>
      <c r="L1742">
        <v>0</v>
      </c>
    </row>
    <row r="1743" spans="8:13" x14ac:dyDescent="0.25">
      <c r="H1743" t="s">
        <v>2155</v>
      </c>
      <c r="I1743" t="s">
        <v>2156</v>
      </c>
      <c r="J1743">
        <v>0</v>
      </c>
      <c r="K1743">
        <v>0</v>
      </c>
      <c r="L1743">
        <v>0</v>
      </c>
    </row>
    <row r="1744" spans="8:13" x14ac:dyDescent="0.25">
      <c r="H1744" t="s">
        <v>1321</v>
      </c>
      <c r="I1744" t="s">
        <v>1915</v>
      </c>
      <c r="J1744">
        <v>0</v>
      </c>
      <c r="K1744">
        <v>0</v>
      </c>
      <c r="L1744">
        <v>0</v>
      </c>
    </row>
    <row r="1745" spans="8:12" x14ac:dyDescent="0.25">
      <c r="H1745" t="s">
        <v>1443</v>
      </c>
      <c r="I1745" t="s">
        <v>1916</v>
      </c>
      <c r="J1745">
        <v>0</v>
      </c>
      <c r="K1745">
        <v>0</v>
      </c>
      <c r="L1745">
        <v>0</v>
      </c>
    </row>
    <row r="1746" spans="8:12" x14ac:dyDescent="0.25">
      <c r="H1746" t="s">
        <v>1917</v>
      </c>
      <c r="I1746" t="s">
        <v>1918</v>
      </c>
      <c r="J1746">
        <v>0</v>
      </c>
      <c r="K1746">
        <v>0</v>
      </c>
      <c r="L1746">
        <v>0</v>
      </c>
    </row>
    <row r="1747" spans="8:12" x14ac:dyDescent="0.25">
      <c r="H1747" t="s">
        <v>1829</v>
      </c>
      <c r="I1747" t="s">
        <v>1919</v>
      </c>
      <c r="J1747">
        <v>0</v>
      </c>
      <c r="K1747">
        <v>0</v>
      </c>
      <c r="L1747">
        <v>0</v>
      </c>
    </row>
    <row r="1748" spans="8:12" x14ac:dyDescent="0.25">
      <c r="H1748" t="s">
        <v>1920</v>
      </c>
      <c r="I1748" t="s">
        <v>1921</v>
      </c>
      <c r="J1748">
        <v>0</v>
      </c>
      <c r="K1748">
        <v>0</v>
      </c>
      <c r="L1748">
        <v>0</v>
      </c>
    </row>
    <row r="1749" spans="8:12" x14ac:dyDescent="0.25">
      <c r="H1749" t="s">
        <v>1922</v>
      </c>
      <c r="I1749" t="s">
        <v>1923</v>
      </c>
      <c r="J1749">
        <v>0</v>
      </c>
      <c r="K1749">
        <v>0</v>
      </c>
      <c r="L1749">
        <v>0</v>
      </c>
    </row>
    <row r="1750" spans="8:12" x14ac:dyDescent="0.25">
      <c r="H1750" t="s">
        <v>1378</v>
      </c>
      <c r="I1750" t="s">
        <v>1924</v>
      </c>
      <c r="J1750">
        <v>0</v>
      </c>
      <c r="K1750">
        <v>0</v>
      </c>
      <c r="L1750">
        <v>0</v>
      </c>
    </row>
    <row r="1751" spans="8:12" x14ac:dyDescent="0.25">
      <c r="H1751" t="s">
        <v>1713</v>
      </c>
      <c r="I1751" t="s">
        <v>1926</v>
      </c>
      <c r="J1751">
        <v>0</v>
      </c>
      <c r="K1751">
        <v>0</v>
      </c>
      <c r="L1751">
        <v>0</v>
      </c>
    </row>
    <row r="1752" spans="8:12" x14ac:dyDescent="0.25">
      <c r="H1752" t="s">
        <v>1481</v>
      </c>
      <c r="I1752" t="s">
        <v>1927</v>
      </c>
      <c r="J1752">
        <v>0</v>
      </c>
      <c r="K1752">
        <v>0</v>
      </c>
      <c r="L1752">
        <v>0</v>
      </c>
    </row>
    <row r="1753" spans="8:12" x14ac:dyDescent="0.25">
      <c r="H1753" t="s">
        <v>1833</v>
      </c>
      <c r="I1753" t="s">
        <v>1870</v>
      </c>
      <c r="J1753">
        <v>0</v>
      </c>
      <c r="K1753">
        <v>0</v>
      </c>
      <c r="L1753">
        <v>0</v>
      </c>
    </row>
    <row r="1754" spans="8:12" x14ac:dyDescent="0.25">
      <c r="H1754" t="s">
        <v>1368</v>
      </c>
      <c r="I1754" t="s">
        <v>1928</v>
      </c>
      <c r="J1754">
        <v>0</v>
      </c>
      <c r="K1754">
        <v>0</v>
      </c>
      <c r="L1754">
        <v>0</v>
      </c>
    </row>
    <row r="1755" spans="8:12" x14ac:dyDescent="0.25">
      <c r="H1755" t="s">
        <v>1929</v>
      </c>
      <c r="I1755" t="s">
        <v>1930</v>
      </c>
      <c r="J1755">
        <v>0</v>
      </c>
      <c r="K1755">
        <v>0</v>
      </c>
      <c r="L1755">
        <v>0</v>
      </c>
    </row>
    <row r="1756" spans="8:12" x14ac:dyDescent="0.25">
      <c r="H1756" t="s">
        <v>1481</v>
      </c>
      <c r="I1756" t="s">
        <v>1143</v>
      </c>
      <c r="J1756">
        <v>0</v>
      </c>
      <c r="K1756">
        <v>0</v>
      </c>
      <c r="L1756">
        <v>0</v>
      </c>
    </row>
    <row r="1757" spans="8:12" x14ac:dyDescent="0.25">
      <c r="H1757" t="s">
        <v>1621</v>
      </c>
      <c r="I1757" t="s">
        <v>1783</v>
      </c>
      <c r="J1757">
        <v>0</v>
      </c>
      <c r="K1757">
        <v>0</v>
      </c>
      <c r="L1757">
        <v>0</v>
      </c>
    </row>
    <row r="1758" spans="8:12" x14ac:dyDescent="0.25">
      <c r="H1758" t="s">
        <v>1455</v>
      </c>
      <c r="I1758" t="s">
        <v>1932</v>
      </c>
      <c r="J1758">
        <v>0</v>
      </c>
      <c r="K1758">
        <v>0</v>
      </c>
      <c r="L1758">
        <v>0</v>
      </c>
    </row>
    <row r="1759" spans="8:12" x14ac:dyDescent="0.25">
      <c r="H1759" t="s">
        <v>1147</v>
      </c>
      <c r="I1759" t="s">
        <v>1933</v>
      </c>
      <c r="J1759">
        <v>0</v>
      </c>
      <c r="K1759">
        <v>0</v>
      </c>
      <c r="L1759">
        <v>0</v>
      </c>
    </row>
    <row r="1760" spans="8:12" x14ac:dyDescent="0.25">
      <c r="H1760" t="s">
        <v>1934</v>
      </c>
      <c r="I1760" t="s">
        <v>1935</v>
      </c>
      <c r="J1760">
        <v>0</v>
      </c>
      <c r="K1760">
        <v>0</v>
      </c>
      <c r="L1760">
        <v>0</v>
      </c>
    </row>
    <row r="1761" spans="8:12" x14ac:dyDescent="0.25">
      <c r="H1761" t="s">
        <v>1321</v>
      </c>
      <c r="I1761" t="s">
        <v>1471</v>
      </c>
      <c r="J1761">
        <v>0</v>
      </c>
      <c r="K1761">
        <v>0</v>
      </c>
      <c r="L1761">
        <v>0</v>
      </c>
    </row>
    <row r="1762" spans="8:12" x14ac:dyDescent="0.25">
      <c r="H1762" t="s">
        <v>1833</v>
      </c>
      <c r="I1762" t="s">
        <v>1855</v>
      </c>
      <c r="J1762">
        <v>0</v>
      </c>
      <c r="K1762">
        <v>0</v>
      </c>
      <c r="L1762">
        <v>0</v>
      </c>
    </row>
    <row r="1763" spans="8:12" x14ac:dyDescent="0.25">
      <c r="H1763" t="s">
        <v>1092</v>
      </c>
      <c r="I1763" t="s">
        <v>1245</v>
      </c>
      <c r="J1763">
        <v>0</v>
      </c>
      <c r="K1763">
        <v>0</v>
      </c>
      <c r="L1763">
        <v>0</v>
      </c>
    </row>
    <row r="1764" spans="8:12" x14ac:dyDescent="0.25">
      <c r="H1764" t="s">
        <v>1038</v>
      </c>
      <c r="I1764" t="s">
        <v>1079</v>
      </c>
      <c r="J1764">
        <v>0</v>
      </c>
      <c r="K1764">
        <v>0</v>
      </c>
      <c r="L1764">
        <v>0</v>
      </c>
    </row>
    <row r="1765" spans="8:12" x14ac:dyDescent="0.25">
      <c r="H1765" t="s">
        <v>1670</v>
      </c>
      <c r="I1765" t="s">
        <v>1941</v>
      </c>
      <c r="J1765">
        <v>0</v>
      </c>
      <c r="K1765">
        <v>0</v>
      </c>
      <c r="L1765">
        <v>0</v>
      </c>
    </row>
    <row r="1766" spans="8:12" x14ac:dyDescent="0.25">
      <c r="H1766" t="s">
        <v>1836</v>
      </c>
      <c r="I1766" t="s">
        <v>1335</v>
      </c>
      <c r="J1766">
        <v>0</v>
      </c>
      <c r="K1766">
        <v>0</v>
      </c>
      <c r="L1766">
        <v>0</v>
      </c>
    </row>
    <row r="1767" spans="8:12" x14ac:dyDescent="0.25">
      <c r="H1767" t="s">
        <v>1074</v>
      </c>
      <c r="I1767" t="s">
        <v>1944</v>
      </c>
      <c r="J1767">
        <v>0</v>
      </c>
      <c r="K1767">
        <v>0</v>
      </c>
      <c r="L1767">
        <v>0</v>
      </c>
    </row>
    <row r="1768" spans="8:12" x14ac:dyDescent="0.25">
      <c r="H1768" t="s">
        <v>1183</v>
      </c>
      <c r="I1768" t="s">
        <v>1875</v>
      </c>
      <c r="J1768">
        <v>0</v>
      </c>
      <c r="K1768">
        <v>0</v>
      </c>
      <c r="L1768">
        <v>0</v>
      </c>
    </row>
    <row r="1769" spans="8:12" x14ac:dyDescent="0.25">
      <c r="H1769" t="s">
        <v>1761</v>
      </c>
      <c r="I1769" t="s">
        <v>1946</v>
      </c>
      <c r="J1769">
        <v>0</v>
      </c>
      <c r="K1769">
        <v>0</v>
      </c>
      <c r="L1769">
        <v>0</v>
      </c>
    </row>
    <row r="1770" spans="8:12" x14ac:dyDescent="0.25">
      <c r="H1770" t="s">
        <v>1947</v>
      </c>
      <c r="I1770" t="s">
        <v>1143</v>
      </c>
      <c r="J1770">
        <v>0</v>
      </c>
      <c r="K1770">
        <v>0</v>
      </c>
      <c r="L1770">
        <v>0</v>
      </c>
    </row>
    <row r="1771" spans="8:12" x14ac:dyDescent="0.25">
      <c r="H1771" t="s">
        <v>1060</v>
      </c>
      <c r="I1771" t="s">
        <v>1879</v>
      </c>
      <c r="J1771">
        <v>0</v>
      </c>
      <c r="K1771">
        <v>0</v>
      </c>
      <c r="L1771">
        <v>0</v>
      </c>
    </row>
    <row r="1772" spans="8:12" x14ac:dyDescent="0.25">
      <c r="H1772" t="s">
        <v>1675</v>
      </c>
      <c r="I1772" t="s">
        <v>1676</v>
      </c>
      <c r="J1772">
        <v>0</v>
      </c>
      <c r="K1772">
        <v>0</v>
      </c>
      <c r="L1772">
        <v>0</v>
      </c>
    </row>
    <row r="1773" spans="8:12" x14ac:dyDescent="0.25">
      <c r="H1773" t="s">
        <v>1646</v>
      </c>
      <c r="I1773" t="s">
        <v>1647</v>
      </c>
      <c r="J1773">
        <v>0</v>
      </c>
      <c r="K1773">
        <v>0</v>
      </c>
      <c r="L1773">
        <v>0</v>
      </c>
    </row>
    <row r="1774" spans="8:12" x14ac:dyDescent="0.25">
      <c r="H1774" t="s">
        <v>1948</v>
      </c>
      <c r="I1774" t="s">
        <v>1079</v>
      </c>
      <c r="J1774">
        <v>0</v>
      </c>
      <c r="K1774">
        <v>0</v>
      </c>
      <c r="L1774">
        <v>0</v>
      </c>
    </row>
    <row r="1775" spans="8:12" x14ac:dyDescent="0.25">
      <c r="H1775" t="s">
        <v>1950</v>
      </c>
      <c r="I1775" t="s">
        <v>1951</v>
      </c>
      <c r="J1775">
        <v>0</v>
      </c>
      <c r="K1775">
        <v>0</v>
      </c>
      <c r="L1775">
        <v>0</v>
      </c>
    </row>
    <row r="1776" spans="8:12" x14ac:dyDescent="0.25">
      <c r="H1776" t="s">
        <v>1070</v>
      </c>
      <c r="I1776" t="s">
        <v>1952</v>
      </c>
      <c r="J1776">
        <v>0</v>
      </c>
      <c r="K1776">
        <v>0</v>
      </c>
      <c r="L1776">
        <v>0</v>
      </c>
    </row>
    <row r="1777" spans="8:13" x14ac:dyDescent="0.25">
      <c r="H1777" t="s">
        <v>1953</v>
      </c>
      <c r="I1777" t="s">
        <v>1954</v>
      </c>
      <c r="J1777">
        <v>0</v>
      </c>
      <c r="K1777">
        <v>0</v>
      </c>
      <c r="L1777">
        <v>0</v>
      </c>
    </row>
    <row r="1778" spans="8:13" x14ac:dyDescent="0.25">
      <c r="H1778" t="s">
        <v>1956</v>
      </c>
      <c r="I1778" t="s">
        <v>1957</v>
      </c>
      <c r="J1778">
        <v>0</v>
      </c>
      <c r="K1778">
        <v>0</v>
      </c>
      <c r="L1778">
        <v>0</v>
      </c>
    </row>
    <row r="1779" spans="8:13" x14ac:dyDescent="0.25">
      <c r="H1779" t="s">
        <v>1958</v>
      </c>
      <c r="I1779" t="s">
        <v>1959</v>
      </c>
      <c r="J1779">
        <v>0</v>
      </c>
      <c r="K1779">
        <v>0</v>
      </c>
      <c r="L1779">
        <v>0</v>
      </c>
    </row>
    <row r="1780" spans="8:13" x14ac:dyDescent="0.25">
      <c r="H1780" t="s">
        <v>1960</v>
      </c>
      <c r="I1780" t="s">
        <v>1203</v>
      </c>
      <c r="J1780">
        <v>0</v>
      </c>
      <c r="K1780">
        <v>0</v>
      </c>
      <c r="L1780">
        <v>0</v>
      </c>
    </row>
    <row r="1781" spans="8:13" x14ac:dyDescent="0.25">
      <c r="H1781" t="s">
        <v>1961</v>
      </c>
      <c r="I1781" t="s">
        <v>1962</v>
      </c>
      <c r="J1781">
        <v>0</v>
      </c>
      <c r="K1781">
        <v>0</v>
      </c>
      <c r="L1781">
        <v>0</v>
      </c>
    </row>
    <row r="1782" spans="8:13" x14ac:dyDescent="0.25">
      <c r="H1782" t="s">
        <v>1604</v>
      </c>
      <c r="I1782" t="s">
        <v>1963</v>
      </c>
      <c r="J1782" t="s">
        <v>1122</v>
      </c>
      <c r="K1782">
        <v>0</v>
      </c>
      <c r="L1782">
        <v>0</v>
      </c>
      <c r="M1782">
        <v>0</v>
      </c>
    </row>
    <row r="1783" spans="8:13" x14ac:dyDescent="0.25">
      <c r="H1783" t="s">
        <v>1964</v>
      </c>
      <c r="I1783" t="s">
        <v>1965</v>
      </c>
      <c r="J1783">
        <v>0</v>
      </c>
      <c r="K1783">
        <v>0</v>
      </c>
      <c r="L1783">
        <v>0</v>
      </c>
    </row>
    <row r="1784" spans="8:13" x14ac:dyDescent="0.25">
      <c r="H1784" t="s">
        <v>1036</v>
      </c>
      <c r="I1784" t="s">
        <v>1966</v>
      </c>
      <c r="J1784">
        <v>0</v>
      </c>
      <c r="K1784">
        <v>0</v>
      </c>
      <c r="L1784">
        <v>0</v>
      </c>
    </row>
    <row r="1785" spans="8:13" x14ac:dyDescent="0.25">
      <c r="H1785" t="s">
        <v>1967</v>
      </c>
      <c r="I1785" t="s">
        <v>1968</v>
      </c>
      <c r="J1785">
        <v>0</v>
      </c>
      <c r="K1785">
        <v>0</v>
      </c>
      <c r="L1785">
        <v>0</v>
      </c>
    </row>
    <row r="1786" spans="8:13" x14ac:dyDescent="0.25">
      <c r="H1786" t="s">
        <v>1300</v>
      </c>
      <c r="I1786" t="s">
        <v>1969</v>
      </c>
      <c r="J1786">
        <v>0</v>
      </c>
      <c r="K1786">
        <v>0</v>
      </c>
      <c r="L1786">
        <v>0</v>
      </c>
    </row>
    <row r="1787" spans="8:13" x14ac:dyDescent="0.25">
      <c r="H1787" t="s">
        <v>1865</v>
      </c>
      <c r="I1787" t="s">
        <v>1245</v>
      </c>
      <c r="J1787">
        <v>0</v>
      </c>
      <c r="K1787">
        <v>0</v>
      </c>
      <c r="L1787">
        <v>0</v>
      </c>
    </row>
    <row r="1788" spans="8:13" x14ac:dyDescent="0.25">
      <c r="H1788" t="s">
        <v>1479</v>
      </c>
      <c r="I1788" t="s">
        <v>1970</v>
      </c>
      <c r="J1788">
        <v>0</v>
      </c>
      <c r="K1788">
        <v>0</v>
      </c>
      <c r="L1788">
        <v>0</v>
      </c>
    </row>
    <row r="1789" spans="8:13" x14ac:dyDescent="0.25">
      <c r="H1789" t="s">
        <v>1368</v>
      </c>
      <c r="I1789" t="s">
        <v>1971</v>
      </c>
      <c r="J1789">
        <v>0</v>
      </c>
      <c r="K1789">
        <v>0</v>
      </c>
      <c r="L1789">
        <v>0</v>
      </c>
    </row>
    <row r="1790" spans="8:13" x14ac:dyDescent="0.25">
      <c r="H1790" t="s">
        <v>1972</v>
      </c>
      <c r="I1790" t="s">
        <v>1524</v>
      </c>
      <c r="J1790">
        <v>0</v>
      </c>
      <c r="K1790">
        <v>0</v>
      </c>
      <c r="L1790">
        <v>0</v>
      </c>
    </row>
    <row r="1791" spans="8:13" x14ac:dyDescent="0.25">
      <c r="H1791" t="s">
        <v>1070</v>
      </c>
      <c r="I1791" t="s">
        <v>1973</v>
      </c>
      <c r="J1791">
        <v>0</v>
      </c>
      <c r="K1791">
        <v>0</v>
      </c>
      <c r="L1791">
        <v>0</v>
      </c>
    </row>
    <row r="1792" spans="8:13" x14ac:dyDescent="0.25">
      <c r="H1792" t="s">
        <v>1076</v>
      </c>
      <c r="I1792" t="s">
        <v>1123</v>
      </c>
      <c r="J1792">
        <v>0</v>
      </c>
      <c r="K1792">
        <v>0</v>
      </c>
      <c r="L1792">
        <v>0</v>
      </c>
    </row>
    <row r="1793" spans="8:13" x14ac:dyDescent="0.25">
      <c r="H1793" t="s">
        <v>1691</v>
      </c>
      <c r="I1793" t="s">
        <v>1692</v>
      </c>
      <c r="J1793">
        <v>0</v>
      </c>
      <c r="K1793">
        <v>0</v>
      </c>
      <c r="L1793">
        <v>0</v>
      </c>
    </row>
    <row r="1794" spans="8:13" x14ac:dyDescent="0.25">
      <c r="H1794" t="s">
        <v>1645</v>
      </c>
      <c r="I1794" t="s">
        <v>1975</v>
      </c>
      <c r="J1794">
        <v>0</v>
      </c>
      <c r="K1794">
        <v>0</v>
      </c>
      <c r="L1794">
        <v>0</v>
      </c>
    </row>
    <row r="1795" spans="8:13" x14ac:dyDescent="0.25">
      <c r="H1795" t="s">
        <v>2532</v>
      </c>
      <c r="I1795" t="s">
        <v>1976</v>
      </c>
      <c r="J1795">
        <v>0</v>
      </c>
      <c r="K1795">
        <v>0</v>
      </c>
      <c r="L1795">
        <v>0</v>
      </c>
    </row>
    <row r="1796" spans="8:13" x14ac:dyDescent="0.25">
      <c r="H1796" t="s">
        <v>2241</v>
      </c>
      <c r="I1796" t="s">
        <v>1079</v>
      </c>
      <c r="J1796">
        <v>0</v>
      </c>
      <c r="K1796">
        <v>0</v>
      </c>
      <c r="L1796">
        <v>0</v>
      </c>
    </row>
    <row r="1797" spans="8:13" x14ac:dyDescent="0.25">
      <c r="H1797" t="s">
        <v>1611</v>
      </c>
      <c r="I1797" t="s">
        <v>1977</v>
      </c>
      <c r="J1797">
        <v>0</v>
      </c>
      <c r="K1797">
        <v>0</v>
      </c>
      <c r="L1797">
        <v>0</v>
      </c>
    </row>
    <row r="1798" spans="8:13" x14ac:dyDescent="0.25">
      <c r="H1798" t="s">
        <v>1978</v>
      </c>
      <c r="I1798" t="s">
        <v>1979</v>
      </c>
      <c r="J1798">
        <v>0</v>
      </c>
      <c r="K1798">
        <v>0</v>
      </c>
      <c r="L1798">
        <v>0</v>
      </c>
    </row>
    <row r="1799" spans="8:13" x14ac:dyDescent="0.25">
      <c r="H1799" t="s">
        <v>1980</v>
      </c>
      <c r="I1799" t="s">
        <v>1981</v>
      </c>
      <c r="J1799">
        <v>0</v>
      </c>
      <c r="K1799">
        <v>0</v>
      </c>
      <c r="L1799">
        <v>0</v>
      </c>
    </row>
    <row r="1800" spans="8:13" x14ac:dyDescent="0.25">
      <c r="H1800" t="s">
        <v>1982</v>
      </c>
      <c r="I1800" t="s">
        <v>1983</v>
      </c>
      <c r="J1800">
        <v>0</v>
      </c>
      <c r="K1800">
        <v>0</v>
      </c>
      <c r="L1800">
        <v>0</v>
      </c>
    </row>
    <row r="1801" spans="8:13" x14ac:dyDescent="0.25">
      <c r="H1801" t="s">
        <v>1074</v>
      </c>
      <c r="I1801" t="s">
        <v>1986</v>
      </c>
      <c r="J1801">
        <v>0</v>
      </c>
      <c r="K1801">
        <v>0</v>
      </c>
      <c r="L1801">
        <v>0</v>
      </c>
    </row>
    <row r="1802" spans="8:13" x14ac:dyDescent="0.25">
      <c r="H1802" t="s">
        <v>1289</v>
      </c>
      <c r="I1802" t="s">
        <v>1099</v>
      </c>
      <c r="J1802">
        <v>0</v>
      </c>
      <c r="K1802">
        <v>0</v>
      </c>
      <c r="L1802">
        <v>0</v>
      </c>
    </row>
    <row r="1803" spans="8:13" x14ac:dyDescent="0.25">
      <c r="H1803" t="s">
        <v>1989</v>
      </c>
      <c r="I1803" t="s">
        <v>1083</v>
      </c>
      <c r="J1803">
        <v>0</v>
      </c>
      <c r="K1803">
        <v>0</v>
      </c>
      <c r="L1803">
        <v>0</v>
      </c>
    </row>
    <row r="1804" spans="8:13" x14ac:dyDescent="0.25">
      <c r="H1804" t="s">
        <v>1990</v>
      </c>
      <c r="I1804" t="s">
        <v>1991</v>
      </c>
      <c r="J1804">
        <v>0</v>
      </c>
      <c r="K1804">
        <v>0</v>
      </c>
      <c r="L1804">
        <v>0</v>
      </c>
    </row>
    <row r="1805" spans="8:13" x14ac:dyDescent="0.25">
      <c r="H1805" t="s">
        <v>1560</v>
      </c>
      <c r="I1805" t="s">
        <v>1734</v>
      </c>
      <c r="J1805">
        <v>0</v>
      </c>
      <c r="K1805">
        <v>0</v>
      </c>
      <c r="L1805">
        <v>0</v>
      </c>
    </row>
    <row r="1806" spans="8:13" x14ac:dyDescent="0.25">
      <c r="H1806" t="s">
        <v>1736</v>
      </c>
      <c r="I1806" t="s">
        <v>1737</v>
      </c>
      <c r="J1806" t="s">
        <v>1738</v>
      </c>
      <c r="K1806">
        <v>0</v>
      </c>
      <c r="L1806">
        <v>0</v>
      </c>
      <c r="M1806">
        <v>0</v>
      </c>
    </row>
    <row r="1807" spans="8:13" x14ac:dyDescent="0.25">
      <c r="H1807" t="s">
        <v>1995</v>
      </c>
      <c r="I1807" t="s">
        <v>1063</v>
      </c>
      <c r="J1807">
        <v>0</v>
      </c>
      <c r="K1807">
        <v>0</v>
      </c>
      <c r="L1807">
        <v>0</v>
      </c>
    </row>
    <row r="1808" spans="8:13" x14ac:dyDescent="0.25">
      <c r="H1808" t="s">
        <v>1129</v>
      </c>
      <c r="I1808" t="s">
        <v>1996</v>
      </c>
      <c r="J1808">
        <v>0</v>
      </c>
      <c r="K1808">
        <v>0</v>
      </c>
      <c r="L1808">
        <v>0</v>
      </c>
    </row>
    <row r="1809" spans="8:12" x14ac:dyDescent="0.25">
      <c r="H1809" t="s">
        <v>1997</v>
      </c>
      <c r="I1809" t="s">
        <v>1998</v>
      </c>
      <c r="J1809">
        <v>0</v>
      </c>
      <c r="K1809">
        <v>0</v>
      </c>
      <c r="L1809">
        <v>0</v>
      </c>
    </row>
    <row r="1810" spans="8:12" x14ac:dyDescent="0.25">
      <c r="H1810" t="s">
        <v>1999</v>
      </c>
      <c r="I1810" t="s">
        <v>2000</v>
      </c>
      <c r="J1810">
        <v>0</v>
      </c>
      <c r="K1810">
        <v>0</v>
      </c>
      <c r="L1810">
        <v>0</v>
      </c>
    </row>
    <row r="1811" spans="8:12" x14ac:dyDescent="0.25">
      <c r="H1811" t="s">
        <v>1831</v>
      </c>
      <c r="I1811" t="s">
        <v>2001</v>
      </c>
      <c r="J1811">
        <v>0</v>
      </c>
      <c r="K1811">
        <v>0</v>
      </c>
      <c r="L1811">
        <v>0</v>
      </c>
    </row>
    <row r="1812" spans="8:12" x14ac:dyDescent="0.25">
      <c r="H1812" t="s">
        <v>1664</v>
      </c>
      <c r="I1812" t="s">
        <v>2002</v>
      </c>
      <c r="J1812">
        <v>0</v>
      </c>
      <c r="K1812">
        <v>0</v>
      </c>
      <c r="L1812">
        <v>0</v>
      </c>
    </row>
    <row r="1813" spans="8:12" x14ac:dyDescent="0.25">
      <c r="H1813" t="s">
        <v>1099</v>
      </c>
      <c r="I1813" t="s">
        <v>2334</v>
      </c>
      <c r="J1813">
        <v>0</v>
      </c>
      <c r="K1813">
        <v>0</v>
      </c>
      <c r="L1813">
        <v>0</v>
      </c>
    </row>
    <row r="1814" spans="8:12" x14ac:dyDescent="0.25">
      <c r="H1814" t="s">
        <v>2003</v>
      </c>
      <c r="I1814" t="s">
        <v>1429</v>
      </c>
      <c r="J1814">
        <v>0</v>
      </c>
      <c r="K1814">
        <v>0</v>
      </c>
      <c r="L1814">
        <v>0</v>
      </c>
    </row>
    <row r="1815" spans="8:12" x14ac:dyDescent="0.25">
      <c r="H1815" t="s">
        <v>2004</v>
      </c>
      <c r="I1815" t="s">
        <v>1784</v>
      </c>
      <c r="J1815">
        <v>0</v>
      </c>
      <c r="K1815">
        <v>0</v>
      </c>
      <c r="L1815">
        <v>0</v>
      </c>
    </row>
    <row r="1816" spans="8:12" x14ac:dyDescent="0.25">
      <c r="H1816" t="s">
        <v>2335</v>
      </c>
      <c r="I1816" t="s">
        <v>2336</v>
      </c>
      <c r="J1816">
        <v>0</v>
      </c>
      <c r="K1816">
        <v>0</v>
      </c>
      <c r="L1816">
        <v>0</v>
      </c>
    </row>
    <row r="1817" spans="8:12" x14ac:dyDescent="0.25">
      <c r="H1817" t="s">
        <v>2528</v>
      </c>
      <c r="I1817" t="s">
        <v>2005</v>
      </c>
      <c r="J1817">
        <v>0</v>
      </c>
      <c r="K1817">
        <v>0</v>
      </c>
      <c r="L1817">
        <v>0</v>
      </c>
    </row>
    <row r="1818" spans="8:12" x14ac:dyDescent="0.25">
      <c r="H1818" t="s">
        <v>2006</v>
      </c>
      <c r="I1818" t="s">
        <v>2007</v>
      </c>
      <c r="J1818">
        <v>0</v>
      </c>
      <c r="K1818">
        <v>0</v>
      </c>
      <c r="L1818">
        <v>0</v>
      </c>
    </row>
    <row r="1819" spans="8:12" x14ac:dyDescent="0.25">
      <c r="H1819" t="s">
        <v>1076</v>
      </c>
      <c r="I1819" t="s">
        <v>2008</v>
      </c>
      <c r="J1819">
        <v>0</v>
      </c>
      <c r="K1819">
        <v>0</v>
      </c>
      <c r="L1819">
        <v>0</v>
      </c>
    </row>
    <row r="1820" spans="8:12" x14ac:dyDescent="0.25">
      <c r="H1820" t="s">
        <v>2009</v>
      </c>
      <c r="I1820" t="s">
        <v>2010</v>
      </c>
      <c r="J1820">
        <v>0</v>
      </c>
      <c r="K1820">
        <v>0</v>
      </c>
      <c r="L1820">
        <v>0</v>
      </c>
    </row>
    <row r="1821" spans="8:12" x14ac:dyDescent="0.25">
      <c r="H1821" t="s">
        <v>2342</v>
      </c>
      <c r="I1821" t="s">
        <v>2343</v>
      </c>
      <c r="J1821">
        <v>0</v>
      </c>
      <c r="K1821">
        <v>0</v>
      </c>
      <c r="L1821">
        <v>0</v>
      </c>
    </row>
    <row r="1822" spans="8:12" x14ac:dyDescent="0.25">
      <c r="H1822" t="s">
        <v>1881</v>
      </c>
      <c r="I1822" t="s">
        <v>2011</v>
      </c>
      <c r="J1822">
        <v>0</v>
      </c>
      <c r="K1822">
        <v>0</v>
      </c>
      <c r="L1822">
        <v>0</v>
      </c>
    </row>
    <row r="1823" spans="8:12" x14ac:dyDescent="0.25">
      <c r="H1823" t="s">
        <v>2533</v>
      </c>
      <c r="I1823" t="s">
        <v>2012</v>
      </c>
      <c r="J1823">
        <v>0</v>
      </c>
      <c r="K1823">
        <v>0</v>
      </c>
      <c r="L1823">
        <v>0</v>
      </c>
    </row>
    <row r="1824" spans="8:12" x14ac:dyDescent="0.25">
      <c r="H1824" t="s">
        <v>2013</v>
      </c>
      <c r="I1824" t="s">
        <v>1889</v>
      </c>
      <c r="J1824">
        <v>0</v>
      </c>
      <c r="K1824">
        <v>0</v>
      </c>
      <c r="L1824">
        <v>0</v>
      </c>
    </row>
    <row r="1825" spans="8:13" x14ac:dyDescent="0.25">
      <c r="H1825" t="s">
        <v>1568</v>
      </c>
      <c r="I1825" t="s">
        <v>2014</v>
      </c>
      <c r="J1825">
        <v>0</v>
      </c>
      <c r="K1825">
        <v>0</v>
      </c>
      <c r="L1825">
        <v>0</v>
      </c>
    </row>
    <row r="1826" spans="8:13" x14ac:dyDescent="0.25">
      <c r="H1826" t="s">
        <v>1689</v>
      </c>
      <c r="I1826" t="s">
        <v>1690</v>
      </c>
      <c r="J1826">
        <v>0</v>
      </c>
      <c r="K1826">
        <v>0</v>
      </c>
      <c r="L1826">
        <v>0</v>
      </c>
    </row>
    <row r="1827" spans="8:13" x14ac:dyDescent="0.25">
      <c r="H1827" t="s">
        <v>2015</v>
      </c>
      <c r="I1827" t="s">
        <v>2016</v>
      </c>
      <c r="J1827" t="s">
        <v>1122</v>
      </c>
      <c r="K1827">
        <v>0</v>
      </c>
      <c r="L1827">
        <v>0</v>
      </c>
      <c r="M1827">
        <v>0</v>
      </c>
    </row>
    <row r="1828" spans="8:13" x14ac:dyDescent="0.25">
      <c r="H1828" t="s">
        <v>2017</v>
      </c>
      <c r="I1828" t="s">
        <v>1921</v>
      </c>
      <c r="J1828">
        <v>0</v>
      </c>
      <c r="K1828">
        <v>0</v>
      </c>
      <c r="L1828">
        <v>0</v>
      </c>
    </row>
    <row r="1829" spans="8:13" x14ac:dyDescent="0.25">
      <c r="H1829" t="s">
        <v>1042</v>
      </c>
      <c r="I1829" t="s">
        <v>2018</v>
      </c>
      <c r="J1829">
        <v>0</v>
      </c>
      <c r="K1829">
        <v>0</v>
      </c>
      <c r="L1829">
        <v>0</v>
      </c>
    </row>
    <row r="1830" spans="8:13" x14ac:dyDescent="0.25">
      <c r="H1830" t="s">
        <v>1144</v>
      </c>
      <c r="I1830" t="s">
        <v>2019</v>
      </c>
      <c r="J1830">
        <v>0</v>
      </c>
      <c r="K1830">
        <v>0</v>
      </c>
      <c r="L1830">
        <v>0</v>
      </c>
    </row>
    <row r="1831" spans="8:13" x14ac:dyDescent="0.25">
      <c r="H1831" t="s">
        <v>1796</v>
      </c>
      <c r="I1831" t="s">
        <v>2020</v>
      </c>
      <c r="J1831">
        <v>0</v>
      </c>
      <c r="K1831">
        <v>0</v>
      </c>
      <c r="L1831">
        <v>0</v>
      </c>
    </row>
    <row r="1832" spans="8:13" x14ac:dyDescent="0.25">
      <c r="H1832" t="s">
        <v>2021</v>
      </c>
      <c r="I1832" t="s">
        <v>1198</v>
      </c>
      <c r="J1832">
        <v>0</v>
      </c>
      <c r="K1832">
        <v>0</v>
      </c>
      <c r="L1832">
        <v>0</v>
      </c>
    </row>
    <row r="1833" spans="8:13" x14ac:dyDescent="0.25">
      <c r="H1833" t="s">
        <v>2022</v>
      </c>
      <c r="I1833" t="s">
        <v>2023</v>
      </c>
      <c r="J1833" t="s">
        <v>1122</v>
      </c>
      <c r="K1833">
        <v>0</v>
      </c>
      <c r="L1833">
        <v>0</v>
      </c>
      <c r="M1833">
        <v>0</v>
      </c>
    </row>
    <row r="1834" spans="8:13" x14ac:dyDescent="0.25">
      <c r="H1834" t="s">
        <v>1048</v>
      </c>
      <c r="I1834" t="s">
        <v>2024</v>
      </c>
      <c r="J1834">
        <v>0</v>
      </c>
      <c r="K1834">
        <v>0</v>
      </c>
      <c r="L1834">
        <v>0</v>
      </c>
    </row>
    <row r="1835" spans="8:13" x14ac:dyDescent="0.25">
      <c r="H1835" t="s">
        <v>1604</v>
      </c>
      <c r="I1835" t="s">
        <v>2025</v>
      </c>
      <c r="J1835">
        <v>0</v>
      </c>
      <c r="K1835">
        <v>0</v>
      </c>
      <c r="L1835">
        <v>0</v>
      </c>
    </row>
    <row r="1836" spans="8:13" x14ac:dyDescent="0.25">
      <c r="H1836" t="s">
        <v>1728</v>
      </c>
      <c r="I1836" t="s">
        <v>2026</v>
      </c>
      <c r="J1836">
        <v>0</v>
      </c>
      <c r="K1836">
        <v>0</v>
      </c>
      <c r="L1836">
        <v>0</v>
      </c>
    </row>
    <row r="1837" spans="8:13" x14ac:dyDescent="0.25">
      <c r="H1837" t="s">
        <v>2028</v>
      </c>
      <c r="I1837" t="s">
        <v>1143</v>
      </c>
      <c r="J1837">
        <v>0</v>
      </c>
      <c r="K1837">
        <v>0</v>
      </c>
      <c r="L1837">
        <v>0</v>
      </c>
    </row>
    <row r="1838" spans="8:13" x14ac:dyDescent="0.25">
      <c r="H1838" t="s">
        <v>1920</v>
      </c>
      <c r="I1838" t="s">
        <v>2029</v>
      </c>
      <c r="J1838">
        <v>0</v>
      </c>
      <c r="K1838">
        <v>0</v>
      </c>
      <c r="L1838">
        <v>0</v>
      </c>
    </row>
    <row r="1839" spans="8:13" x14ac:dyDescent="0.25">
      <c r="H1839" t="s">
        <v>1443</v>
      </c>
      <c r="I1839" t="s">
        <v>2030</v>
      </c>
      <c r="J1839">
        <v>0</v>
      </c>
      <c r="K1839">
        <v>0</v>
      </c>
      <c r="L1839">
        <v>0</v>
      </c>
    </row>
    <row r="1840" spans="8:13" x14ac:dyDescent="0.25">
      <c r="H1840" t="s">
        <v>1250</v>
      </c>
      <c r="I1840" t="s">
        <v>2031</v>
      </c>
      <c r="J1840">
        <v>0</v>
      </c>
      <c r="K1840">
        <v>0</v>
      </c>
      <c r="L1840">
        <v>0</v>
      </c>
    </row>
    <row r="1841" spans="8:12" x14ac:dyDescent="0.25">
      <c r="H1841" t="s">
        <v>1723</v>
      </c>
      <c r="I1841" t="s">
        <v>2032</v>
      </c>
      <c r="J1841">
        <v>0</v>
      </c>
      <c r="K1841">
        <v>0</v>
      </c>
      <c r="L1841">
        <v>0</v>
      </c>
    </row>
    <row r="1842" spans="8:12" x14ac:dyDescent="0.25">
      <c r="H1842" t="s">
        <v>1250</v>
      </c>
      <c r="I1842" t="s">
        <v>2033</v>
      </c>
      <c r="J1842">
        <v>0</v>
      </c>
      <c r="K1842">
        <v>0</v>
      </c>
      <c r="L1842">
        <v>0</v>
      </c>
    </row>
    <row r="1843" spans="8:12" x14ac:dyDescent="0.25">
      <c r="H1843" t="s">
        <v>2034</v>
      </c>
      <c r="I1843" t="s">
        <v>1517</v>
      </c>
      <c r="J1843">
        <v>0</v>
      </c>
      <c r="K1843">
        <v>0</v>
      </c>
      <c r="L1843">
        <v>0</v>
      </c>
    </row>
    <row r="1844" spans="8:12" x14ac:dyDescent="0.25">
      <c r="H1844" t="s">
        <v>2035</v>
      </c>
      <c r="I1844" t="s">
        <v>2036</v>
      </c>
      <c r="J1844">
        <v>0</v>
      </c>
      <c r="K1844">
        <v>0</v>
      </c>
      <c r="L1844">
        <v>0</v>
      </c>
    </row>
    <row r="1845" spans="8:12" x14ac:dyDescent="0.25">
      <c r="H1845" t="s">
        <v>2532</v>
      </c>
      <c r="I1845" t="s">
        <v>1039</v>
      </c>
      <c r="J1845">
        <v>0</v>
      </c>
      <c r="K1845">
        <v>0</v>
      </c>
      <c r="L1845">
        <v>0</v>
      </c>
    </row>
    <row r="1846" spans="8:12" x14ac:dyDescent="0.25">
      <c r="H1846" t="s">
        <v>2037</v>
      </c>
      <c r="I1846" t="s">
        <v>1873</v>
      </c>
      <c r="J1846">
        <v>0</v>
      </c>
      <c r="K1846">
        <v>0</v>
      </c>
      <c r="L1846">
        <v>0</v>
      </c>
    </row>
    <row r="1847" spans="8:12" x14ac:dyDescent="0.25">
      <c r="H1847" t="s">
        <v>1218</v>
      </c>
      <c r="I1847" t="s">
        <v>2038</v>
      </c>
      <c r="J1847">
        <v>0</v>
      </c>
      <c r="K1847">
        <v>0</v>
      </c>
      <c r="L1847">
        <v>0</v>
      </c>
    </row>
    <row r="1848" spans="8:12" x14ac:dyDescent="0.25">
      <c r="H1848" t="s">
        <v>2039</v>
      </c>
      <c r="I1848" t="s">
        <v>2040</v>
      </c>
      <c r="J1848">
        <v>0</v>
      </c>
      <c r="K1848">
        <v>0</v>
      </c>
      <c r="L1848">
        <v>0</v>
      </c>
    </row>
    <row r="1849" spans="8:12" x14ac:dyDescent="0.25">
      <c r="H1849" t="s">
        <v>1646</v>
      </c>
      <c r="I1849" t="s">
        <v>1335</v>
      </c>
      <c r="J1849">
        <v>0</v>
      </c>
      <c r="K1849">
        <v>0</v>
      </c>
      <c r="L1849">
        <v>0</v>
      </c>
    </row>
    <row r="1850" spans="8:12" x14ac:dyDescent="0.25">
      <c r="H1850" t="s">
        <v>1621</v>
      </c>
      <c r="I1850" t="s">
        <v>1039</v>
      </c>
      <c r="J1850">
        <v>0</v>
      </c>
      <c r="K1850">
        <v>0</v>
      </c>
      <c r="L1850">
        <v>0</v>
      </c>
    </row>
    <row r="1851" spans="8:12" x14ac:dyDescent="0.25">
      <c r="H1851" t="s">
        <v>2044</v>
      </c>
      <c r="I1851" t="s">
        <v>1063</v>
      </c>
      <c r="J1851">
        <v>0</v>
      </c>
      <c r="K1851">
        <v>0</v>
      </c>
      <c r="L1851">
        <v>0</v>
      </c>
    </row>
    <row r="1852" spans="8:12" x14ac:dyDescent="0.25">
      <c r="H1852" t="s">
        <v>1278</v>
      </c>
      <c r="I1852" t="s">
        <v>2045</v>
      </c>
      <c r="J1852">
        <v>0</v>
      </c>
      <c r="K1852">
        <v>0</v>
      </c>
      <c r="L1852">
        <v>0</v>
      </c>
    </row>
    <row r="1853" spans="8:12" x14ac:dyDescent="0.25">
      <c r="H1853" t="s">
        <v>2046</v>
      </c>
      <c r="I1853" t="s">
        <v>1117</v>
      </c>
      <c r="J1853">
        <v>0</v>
      </c>
      <c r="K1853">
        <v>0</v>
      </c>
      <c r="L1853">
        <v>0</v>
      </c>
    </row>
    <row r="1854" spans="8:12" x14ac:dyDescent="0.25">
      <c r="H1854" t="s">
        <v>1571</v>
      </c>
      <c r="I1854" t="s">
        <v>2047</v>
      </c>
      <c r="J1854">
        <v>0</v>
      </c>
      <c r="K1854">
        <v>0</v>
      </c>
      <c r="L1854">
        <v>0</v>
      </c>
    </row>
    <row r="1855" spans="8:12" x14ac:dyDescent="0.25">
      <c r="H1855" t="s">
        <v>1038</v>
      </c>
      <c r="I1855" t="s">
        <v>1899</v>
      </c>
      <c r="J1855">
        <v>0</v>
      </c>
      <c r="K1855">
        <v>0</v>
      </c>
      <c r="L1855">
        <v>0</v>
      </c>
    </row>
    <row r="1856" spans="8:12" x14ac:dyDescent="0.25">
      <c r="H1856" t="s">
        <v>2048</v>
      </c>
      <c r="I1856" t="s">
        <v>1981</v>
      </c>
      <c r="J1856">
        <v>0</v>
      </c>
      <c r="K1856">
        <v>0</v>
      </c>
      <c r="L1856">
        <v>0</v>
      </c>
    </row>
    <row r="1857" spans="8:13" x14ac:dyDescent="0.25">
      <c r="H1857" t="s">
        <v>1042</v>
      </c>
      <c r="I1857" t="s">
        <v>1203</v>
      </c>
      <c r="J1857">
        <v>0</v>
      </c>
      <c r="K1857">
        <v>0</v>
      </c>
      <c r="L1857">
        <v>0</v>
      </c>
    </row>
    <row r="1858" spans="8:13" x14ac:dyDescent="0.25">
      <c r="H1858" t="s">
        <v>1341</v>
      </c>
      <c r="I1858" t="s">
        <v>2049</v>
      </c>
      <c r="J1858">
        <v>0</v>
      </c>
      <c r="K1858">
        <v>0</v>
      </c>
      <c r="L1858">
        <v>0</v>
      </c>
    </row>
    <row r="1859" spans="8:13" x14ac:dyDescent="0.25">
      <c r="H1859" t="s">
        <v>1865</v>
      </c>
      <c r="I1859" t="s">
        <v>2050</v>
      </c>
      <c r="J1859">
        <v>0</v>
      </c>
      <c r="K1859">
        <v>0</v>
      </c>
      <c r="L1859">
        <v>0</v>
      </c>
    </row>
    <row r="1860" spans="8:13" x14ac:dyDescent="0.25">
      <c r="H1860" t="s">
        <v>1168</v>
      </c>
      <c r="I1860" t="s">
        <v>2051</v>
      </c>
      <c r="J1860">
        <v>0</v>
      </c>
      <c r="K1860">
        <v>0</v>
      </c>
      <c r="L1860">
        <v>0</v>
      </c>
    </row>
    <row r="1861" spans="8:13" x14ac:dyDescent="0.25">
      <c r="H1861" t="s">
        <v>1150</v>
      </c>
      <c r="I1861" t="s">
        <v>1063</v>
      </c>
      <c r="J1861" t="s">
        <v>1122</v>
      </c>
      <c r="K1861">
        <v>0</v>
      </c>
      <c r="L1861">
        <v>0</v>
      </c>
      <c r="M1861">
        <v>0</v>
      </c>
    </row>
    <row r="1862" spans="8:13" x14ac:dyDescent="0.25">
      <c r="H1862" t="s">
        <v>1604</v>
      </c>
      <c r="I1862" t="s">
        <v>2057</v>
      </c>
      <c r="J1862">
        <v>0</v>
      </c>
      <c r="K1862">
        <v>0</v>
      </c>
      <c r="L1862">
        <v>0</v>
      </c>
    </row>
    <row r="1863" spans="8:13" x14ac:dyDescent="0.25">
      <c r="H1863" t="s">
        <v>1689</v>
      </c>
      <c r="I1863" t="s">
        <v>2060</v>
      </c>
      <c r="J1863">
        <v>0</v>
      </c>
      <c r="K1863">
        <v>0</v>
      </c>
      <c r="L1863">
        <v>0</v>
      </c>
    </row>
    <row r="1864" spans="8:13" x14ac:dyDescent="0.25">
      <c r="H1864" t="s">
        <v>2061</v>
      </c>
      <c r="I1864" t="s">
        <v>2062</v>
      </c>
      <c r="J1864">
        <v>0</v>
      </c>
      <c r="K1864">
        <v>0</v>
      </c>
      <c r="L1864">
        <v>0</v>
      </c>
    </row>
    <row r="1865" spans="8:13" x14ac:dyDescent="0.25">
      <c r="H1865" t="s">
        <v>1811</v>
      </c>
      <c r="I1865" t="s">
        <v>2375</v>
      </c>
      <c r="J1865">
        <v>0</v>
      </c>
      <c r="K1865">
        <v>0</v>
      </c>
      <c r="L1865">
        <v>0</v>
      </c>
    </row>
    <row r="1866" spans="8:13" x14ac:dyDescent="0.25">
      <c r="H1866" t="s">
        <v>1907</v>
      </c>
      <c r="I1866" t="s">
        <v>2063</v>
      </c>
      <c r="J1866">
        <v>0</v>
      </c>
      <c r="K1866">
        <v>0</v>
      </c>
      <c r="L1866">
        <v>0</v>
      </c>
    </row>
    <row r="1867" spans="8:13" x14ac:dyDescent="0.25">
      <c r="H1867" t="s">
        <v>1323</v>
      </c>
      <c r="I1867" t="s">
        <v>1269</v>
      </c>
      <c r="J1867">
        <v>0</v>
      </c>
      <c r="K1867">
        <v>0</v>
      </c>
      <c r="L1867">
        <v>0</v>
      </c>
    </row>
    <row r="1868" spans="8:13" x14ac:dyDescent="0.25">
      <c r="H1868" t="s">
        <v>2065</v>
      </c>
      <c r="I1868" t="s">
        <v>1053</v>
      </c>
      <c r="J1868">
        <v>0</v>
      </c>
      <c r="K1868">
        <v>0</v>
      </c>
      <c r="L1868">
        <v>0</v>
      </c>
    </row>
    <row r="1869" spans="8:13" x14ac:dyDescent="0.25">
      <c r="H1869" t="s">
        <v>1250</v>
      </c>
      <c r="I1869" t="s">
        <v>2067</v>
      </c>
      <c r="J1869">
        <v>0</v>
      </c>
      <c r="K1869">
        <v>0</v>
      </c>
      <c r="L1869">
        <v>0</v>
      </c>
    </row>
    <row r="1870" spans="8:13" x14ac:dyDescent="0.25">
      <c r="H1870" t="s">
        <v>1126</v>
      </c>
      <c r="I1870" t="s">
        <v>2068</v>
      </c>
      <c r="J1870">
        <v>0</v>
      </c>
      <c r="K1870">
        <v>0</v>
      </c>
      <c r="L1870">
        <v>0</v>
      </c>
    </row>
    <row r="1871" spans="8:13" x14ac:dyDescent="0.25">
      <c r="H1871" t="s">
        <v>2069</v>
      </c>
      <c r="I1871" t="s">
        <v>1057</v>
      </c>
      <c r="J1871">
        <v>0</v>
      </c>
      <c r="K1871">
        <v>0</v>
      </c>
      <c r="L1871">
        <v>0</v>
      </c>
    </row>
    <row r="1872" spans="8:13" x14ac:dyDescent="0.25">
      <c r="H1872" t="s">
        <v>2072</v>
      </c>
      <c r="I1872" t="s">
        <v>2073</v>
      </c>
      <c r="J1872">
        <v>0</v>
      </c>
      <c r="K1872">
        <v>0</v>
      </c>
      <c r="L1872">
        <v>0</v>
      </c>
    </row>
    <row r="1873" spans="8:12" x14ac:dyDescent="0.25">
      <c r="H1873" t="s">
        <v>2076</v>
      </c>
      <c r="I1873" t="s">
        <v>1792</v>
      </c>
      <c r="J1873">
        <v>0</v>
      </c>
      <c r="K1873">
        <v>0</v>
      </c>
      <c r="L1873">
        <v>0</v>
      </c>
    </row>
    <row r="1874" spans="8:12" x14ac:dyDescent="0.25">
      <c r="H1874" t="s">
        <v>1920</v>
      </c>
      <c r="I1874" t="s">
        <v>1053</v>
      </c>
      <c r="J1874">
        <v>0</v>
      </c>
      <c r="K1874">
        <v>0</v>
      </c>
      <c r="L1874">
        <v>0</v>
      </c>
    </row>
    <row r="1875" spans="8:12" x14ac:dyDescent="0.25">
      <c r="H1875" t="s">
        <v>1723</v>
      </c>
      <c r="I1875" t="s">
        <v>1321</v>
      </c>
      <c r="J1875">
        <v>0</v>
      </c>
      <c r="K1875">
        <v>0</v>
      </c>
      <c r="L1875">
        <v>0</v>
      </c>
    </row>
    <row r="1876" spans="8:12" x14ac:dyDescent="0.25">
      <c r="H1876" t="s">
        <v>1859</v>
      </c>
      <c r="I1876" t="s">
        <v>1103</v>
      </c>
      <c r="J1876">
        <v>0</v>
      </c>
      <c r="K1876">
        <v>0</v>
      </c>
      <c r="L1876">
        <v>0</v>
      </c>
    </row>
    <row r="1877" spans="8:12" x14ac:dyDescent="0.25">
      <c r="H1877" t="s">
        <v>2082</v>
      </c>
      <c r="I1877" t="s">
        <v>1355</v>
      </c>
      <c r="J1877">
        <v>0</v>
      </c>
      <c r="K1877">
        <v>0</v>
      </c>
      <c r="L1877">
        <v>0</v>
      </c>
    </row>
    <row r="1878" spans="8:12" x14ac:dyDescent="0.25">
      <c r="H1878" t="s">
        <v>1661</v>
      </c>
      <c r="I1878" t="s">
        <v>2083</v>
      </c>
      <c r="J1878">
        <v>0</v>
      </c>
      <c r="K1878">
        <v>0</v>
      </c>
      <c r="L1878">
        <v>0</v>
      </c>
    </row>
    <row r="1879" spans="8:12" x14ac:dyDescent="0.25">
      <c r="H1879" t="s">
        <v>2391</v>
      </c>
      <c r="I1879" t="s">
        <v>2392</v>
      </c>
      <c r="J1879">
        <v>0</v>
      </c>
      <c r="K1879">
        <v>0</v>
      </c>
      <c r="L1879">
        <v>0</v>
      </c>
    </row>
    <row r="1880" spans="8:12" x14ac:dyDescent="0.25">
      <c r="H1880" t="s">
        <v>1246</v>
      </c>
      <c r="I1880" t="s">
        <v>2084</v>
      </c>
      <c r="J1880">
        <v>0</v>
      </c>
      <c r="K1880">
        <v>0</v>
      </c>
      <c r="L1880">
        <v>0</v>
      </c>
    </row>
    <row r="1881" spans="8:12" x14ac:dyDescent="0.25">
      <c r="H1881" t="s">
        <v>1595</v>
      </c>
      <c r="I1881" t="s">
        <v>2085</v>
      </c>
      <c r="J1881">
        <v>0</v>
      </c>
      <c r="K1881">
        <v>0</v>
      </c>
      <c r="L1881">
        <v>0</v>
      </c>
    </row>
    <row r="1882" spans="8:12" x14ac:dyDescent="0.25">
      <c r="H1882" t="s">
        <v>2087</v>
      </c>
      <c r="I1882" t="s">
        <v>2088</v>
      </c>
      <c r="J1882">
        <v>0</v>
      </c>
      <c r="K1882">
        <v>0</v>
      </c>
      <c r="L1882">
        <v>0</v>
      </c>
    </row>
    <row r="1883" spans="8:12" x14ac:dyDescent="0.25">
      <c r="H1883" t="s">
        <v>2089</v>
      </c>
      <c r="I1883" t="s">
        <v>1928</v>
      </c>
      <c r="J1883">
        <v>0</v>
      </c>
      <c r="K1883">
        <v>0</v>
      </c>
      <c r="L1883">
        <v>0</v>
      </c>
    </row>
    <row r="1884" spans="8:12" x14ac:dyDescent="0.25">
      <c r="H1884" t="s">
        <v>2090</v>
      </c>
      <c r="I1884" t="s">
        <v>1079</v>
      </c>
      <c r="J1884">
        <v>0</v>
      </c>
      <c r="K1884">
        <v>0</v>
      </c>
      <c r="L1884">
        <v>0</v>
      </c>
    </row>
    <row r="1885" spans="8:12" x14ac:dyDescent="0.25">
      <c r="H1885" t="s">
        <v>1374</v>
      </c>
      <c r="I1885" t="s">
        <v>1143</v>
      </c>
      <c r="J1885">
        <v>0</v>
      </c>
      <c r="K1885">
        <v>0</v>
      </c>
      <c r="L1885">
        <v>0</v>
      </c>
    </row>
    <row r="1886" spans="8:12" x14ac:dyDescent="0.25">
      <c r="H1886" t="s">
        <v>1253</v>
      </c>
      <c r="I1886" t="s">
        <v>2091</v>
      </c>
      <c r="J1886">
        <v>0</v>
      </c>
      <c r="K1886">
        <v>0</v>
      </c>
      <c r="L1886">
        <v>0</v>
      </c>
    </row>
    <row r="1887" spans="8:12" x14ac:dyDescent="0.25">
      <c r="H1887" t="s">
        <v>2092</v>
      </c>
      <c r="I1887" t="s">
        <v>2093</v>
      </c>
      <c r="J1887">
        <v>0</v>
      </c>
      <c r="K1887">
        <v>0</v>
      </c>
      <c r="L1887">
        <v>0</v>
      </c>
    </row>
    <row r="1888" spans="8:12" x14ac:dyDescent="0.25">
      <c r="H1888" t="s">
        <v>1811</v>
      </c>
      <c r="I1888" t="s">
        <v>2094</v>
      </c>
      <c r="J1888">
        <v>0</v>
      </c>
      <c r="K1888">
        <v>0</v>
      </c>
      <c r="L1888">
        <v>0</v>
      </c>
    </row>
    <row r="1889" spans="8:13" x14ac:dyDescent="0.25">
      <c r="H1889" t="s">
        <v>2095</v>
      </c>
      <c r="I1889" t="s">
        <v>2096</v>
      </c>
      <c r="J1889">
        <v>0</v>
      </c>
      <c r="K1889">
        <v>0</v>
      </c>
      <c r="L1889">
        <v>0</v>
      </c>
    </row>
    <row r="1890" spans="8:13" x14ac:dyDescent="0.25">
      <c r="H1890" t="s">
        <v>2098</v>
      </c>
      <c r="I1890" t="s">
        <v>1220</v>
      </c>
      <c r="J1890">
        <v>0</v>
      </c>
      <c r="K1890">
        <v>0</v>
      </c>
      <c r="L1890">
        <v>0</v>
      </c>
    </row>
    <row r="1891" spans="8:13" x14ac:dyDescent="0.25">
      <c r="H1891" t="s">
        <v>2017</v>
      </c>
      <c r="I1891" t="s">
        <v>1245</v>
      </c>
      <c r="J1891">
        <v>0</v>
      </c>
      <c r="K1891">
        <v>0</v>
      </c>
      <c r="L1891">
        <v>0</v>
      </c>
    </row>
    <row r="1892" spans="8:13" x14ac:dyDescent="0.25">
      <c r="H1892" t="s">
        <v>1273</v>
      </c>
      <c r="I1892" t="s">
        <v>1789</v>
      </c>
      <c r="J1892">
        <v>0</v>
      </c>
      <c r="K1892">
        <v>0</v>
      </c>
      <c r="L1892">
        <v>0</v>
      </c>
    </row>
    <row r="1893" spans="8:13" x14ac:dyDescent="0.25">
      <c r="H1893" t="s">
        <v>1076</v>
      </c>
      <c r="I1893" t="s">
        <v>2099</v>
      </c>
      <c r="J1893">
        <v>0</v>
      </c>
      <c r="K1893">
        <v>0</v>
      </c>
      <c r="L1893">
        <v>0</v>
      </c>
    </row>
    <row r="1894" spans="8:13" x14ac:dyDescent="0.25">
      <c r="H1894" t="s">
        <v>1661</v>
      </c>
      <c r="I1894" t="s">
        <v>2100</v>
      </c>
      <c r="J1894">
        <v>0</v>
      </c>
      <c r="K1894">
        <v>0</v>
      </c>
      <c r="L1894">
        <v>0</v>
      </c>
    </row>
    <row r="1895" spans="8:13" x14ac:dyDescent="0.25">
      <c r="H1895" t="s">
        <v>1150</v>
      </c>
      <c r="I1895" t="s">
        <v>2101</v>
      </c>
      <c r="J1895">
        <v>0</v>
      </c>
      <c r="K1895">
        <v>0</v>
      </c>
      <c r="L1895">
        <v>0</v>
      </c>
    </row>
    <row r="1896" spans="8:13" x14ac:dyDescent="0.25">
      <c r="H1896" t="s">
        <v>2102</v>
      </c>
      <c r="I1896" t="s">
        <v>1665</v>
      </c>
      <c r="J1896">
        <v>0</v>
      </c>
      <c r="K1896">
        <v>0</v>
      </c>
      <c r="L1896">
        <v>0</v>
      </c>
    </row>
    <row r="1897" spans="8:13" x14ac:dyDescent="0.25">
      <c r="H1897" t="s">
        <v>2395</v>
      </c>
      <c r="I1897" t="s">
        <v>2396</v>
      </c>
      <c r="J1897">
        <v>0</v>
      </c>
      <c r="K1897">
        <v>0</v>
      </c>
      <c r="L1897">
        <v>0</v>
      </c>
    </row>
    <row r="1898" spans="8:13" x14ac:dyDescent="0.25">
      <c r="H1898" t="s">
        <v>1120</v>
      </c>
      <c r="I1898" t="s">
        <v>2103</v>
      </c>
      <c r="J1898">
        <v>0</v>
      </c>
      <c r="K1898">
        <v>0</v>
      </c>
      <c r="L1898">
        <v>0</v>
      </c>
    </row>
    <row r="1899" spans="8:13" x14ac:dyDescent="0.25">
      <c r="H1899" t="s">
        <v>2105</v>
      </c>
      <c r="I1899" t="s">
        <v>1446</v>
      </c>
      <c r="J1899">
        <v>0</v>
      </c>
      <c r="K1899">
        <v>0</v>
      </c>
      <c r="L1899">
        <v>0</v>
      </c>
    </row>
    <row r="1900" spans="8:13" x14ac:dyDescent="0.25">
      <c r="H1900" t="s">
        <v>1062</v>
      </c>
      <c r="I1900" t="s">
        <v>2106</v>
      </c>
      <c r="J1900">
        <v>0</v>
      </c>
      <c r="K1900">
        <v>0</v>
      </c>
      <c r="L1900">
        <v>0</v>
      </c>
    </row>
    <row r="1901" spans="8:13" x14ac:dyDescent="0.25">
      <c r="H1901" t="s">
        <v>1455</v>
      </c>
      <c r="I1901" t="s">
        <v>2107</v>
      </c>
      <c r="J1901" t="s">
        <v>1122</v>
      </c>
      <c r="K1901">
        <v>0</v>
      </c>
      <c r="L1901">
        <v>0</v>
      </c>
      <c r="M1901">
        <v>0</v>
      </c>
    </row>
    <row r="1902" spans="8:13" x14ac:dyDescent="0.25">
      <c r="H1902" t="s">
        <v>2108</v>
      </c>
      <c r="I1902" t="s">
        <v>2109</v>
      </c>
      <c r="J1902">
        <v>0</v>
      </c>
      <c r="K1902">
        <v>0</v>
      </c>
      <c r="L1902">
        <v>0</v>
      </c>
    </row>
    <row r="1903" spans="8:13" x14ac:dyDescent="0.25">
      <c r="H1903" t="s">
        <v>2528</v>
      </c>
      <c r="I1903" t="s">
        <v>2110</v>
      </c>
      <c r="J1903">
        <v>0</v>
      </c>
      <c r="K1903">
        <v>0</v>
      </c>
      <c r="L1903">
        <v>0</v>
      </c>
    </row>
    <row r="1904" spans="8:13" x14ac:dyDescent="0.25">
      <c r="H1904" t="s">
        <v>2113</v>
      </c>
      <c r="I1904" t="s">
        <v>1037</v>
      </c>
      <c r="J1904">
        <v>0</v>
      </c>
      <c r="K1904">
        <v>0</v>
      </c>
      <c r="L1904">
        <v>0</v>
      </c>
    </row>
    <row r="1905" spans="8:13" x14ac:dyDescent="0.25">
      <c r="H1905" t="s">
        <v>1190</v>
      </c>
      <c r="I1905" t="s">
        <v>2114</v>
      </c>
      <c r="J1905">
        <v>0</v>
      </c>
      <c r="K1905">
        <v>0</v>
      </c>
      <c r="L1905">
        <v>0</v>
      </c>
    </row>
    <row r="1906" spans="8:13" x14ac:dyDescent="0.25">
      <c r="H1906" t="s">
        <v>1323</v>
      </c>
      <c r="I1906" t="s">
        <v>2115</v>
      </c>
      <c r="J1906">
        <v>0</v>
      </c>
      <c r="K1906">
        <v>0</v>
      </c>
      <c r="L1906">
        <v>0</v>
      </c>
    </row>
    <row r="1907" spans="8:13" x14ac:dyDescent="0.25">
      <c r="H1907" t="s">
        <v>2116</v>
      </c>
      <c r="I1907" t="s">
        <v>1089</v>
      </c>
      <c r="J1907">
        <v>0</v>
      </c>
      <c r="K1907">
        <v>0</v>
      </c>
      <c r="L1907">
        <v>0</v>
      </c>
    </row>
    <row r="1908" spans="8:13" x14ac:dyDescent="0.25">
      <c r="H1908" t="s">
        <v>1074</v>
      </c>
      <c r="I1908" t="s">
        <v>2397</v>
      </c>
      <c r="J1908">
        <v>0</v>
      </c>
      <c r="K1908">
        <v>0</v>
      </c>
      <c r="L1908">
        <v>0</v>
      </c>
    </row>
    <row r="1909" spans="8:13" x14ac:dyDescent="0.25">
      <c r="H1909" t="s">
        <v>1321</v>
      </c>
      <c r="I1909" t="s">
        <v>2117</v>
      </c>
      <c r="J1909">
        <v>0</v>
      </c>
      <c r="K1909">
        <v>0</v>
      </c>
      <c r="L1909">
        <v>0</v>
      </c>
    </row>
    <row r="1910" spans="8:13" x14ac:dyDescent="0.25">
      <c r="H1910" t="s">
        <v>2119</v>
      </c>
      <c r="I1910" t="s">
        <v>2120</v>
      </c>
      <c r="J1910">
        <v>0</v>
      </c>
      <c r="K1910">
        <v>0</v>
      </c>
      <c r="L1910">
        <v>0</v>
      </c>
    </row>
    <row r="1911" spans="8:13" x14ac:dyDescent="0.25">
      <c r="H1911" t="s">
        <v>2532</v>
      </c>
      <c r="I1911" t="s">
        <v>2121</v>
      </c>
      <c r="J1911">
        <v>0</v>
      </c>
      <c r="K1911">
        <v>0</v>
      </c>
      <c r="L1911">
        <v>0</v>
      </c>
    </row>
    <row r="1912" spans="8:13" x14ac:dyDescent="0.25">
      <c r="H1912" t="s">
        <v>2122</v>
      </c>
      <c r="I1912" t="s">
        <v>2123</v>
      </c>
      <c r="J1912">
        <v>0</v>
      </c>
      <c r="K1912">
        <v>0</v>
      </c>
      <c r="L1912">
        <v>0</v>
      </c>
    </row>
    <row r="1913" spans="8:13" x14ac:dyDescent="0.25">
      <c r="H1913" t="s">
        <v>2017</v>
      </c>
      <c r="I1913" t="s">
        <v>1981</v>
      </c>
      <c r="J1913">
        <v>0</v>
      </c>
      <c r="K1913">
        <v>0</v>
      </c>
      <c r="L1913">
        <v>0</v>
      </c>
    </row>
    <row r="1914" spans="8:13" x14ac:dyDescent="0.25">
      <c r="H1914" t="s">
        <v>2407</v>
      </c>
      <c r="I1914" t="s">
        <v>1099</v>
      </c>
      <c r="J1914">
        <v>0</v>
      </c>
      <c r="K1914">
        <v>0</v>
      </c>
      <c r="L1914">
        <v>0</v>
      </c>
    </row>
    <row r="1915" spans="8:13" x14ac:dyDescent="0.25">
      <c r="H1915" t="s">
        <v>1604</v>
      </c>
      <c r="I1915" t="s">
        <v>2127</v>
      </c>
      <c r="J1915" t="s">
        <v>1199</v>
      </c>
      <c r="K1915">
        <v>0</v>
      </c>
      <c r="L1915">
        <v>0</v>
      </c>
      <c r="M1915">
        <v>0</v>
      </c>
    </row>
    <row r="1916" spans="8:13" x14ac:dyDescent="0.25">
      <c r="H1916" t="s">
        <v>1323</v>
      </c>
      <c r="I1916" t="s">
        <v>1627</v>
      </c>
      <c r="J1916">
        <v>0</v>
      </c>
      <c r="K1916">
        <v>0</v>
      </c>
      <c r="L1916">
        <v>0</v>
      </c>
    </row>
    <row r="1917" spans="8:13" x14ac:dyDescent="0.25">
      <c r="H1917" t="s">
        <v>1881</v>
      </c>
      <c r="I1917" t="s">
        <v>1882</v>
      </c>
      <c r="J1917">
        <v>0</v>
      </c>
      <c r="K1917">
        <v>0</v>
      </c>
      <c r="L1917">
        <v>0</v>
      </c>
    </row>
    <row r="1918" spans="8:13" x14ac:dyDescent="0.25">
      <c r="H1918" t="s">
        <v>2128</v>
      </c>
      <c r="I1918" t="s">
        <v>2129</v>
      </c>
      <c r="J1918">
        <v>0</v>
      </c>
      <c r="K1918">
        <v>0</v>
      </c>
      <c r="L1918">
        <v>0</v>
      </c>
    </row>
    <row r="1919" spans="8:13" x14ac:dyDescent="0.25">
      <c r="H1919" t="s">
        <v>2130</v>
      </c>
      <c r="I1919" t="s">
        <v>2131</v>
      </c>
      <c r="J1919">
        <v>0</v>
      </c>
      <c r="K1919">
        <v>0</v>
      </c>
      <c r="L1919">
        <v>0</v>
      </c>
    </row>
    <row r="1920" spans="8:13" x14ac:dyDescent="0.25">
      <c r="H1920" t="s">
        <v>2132</v>
      </c>
      <c r="I1920" t="s">
        <v>2133</v>
      </c>
      <c r="J1920">
        <v>0</v>
      </c>
      <c r="K1920">
        <v>0</v>
      </c>
      <c r="L1920">
        <v>0</v>
      </c>
    </row>
    <row r="1921" spans="8:12" x14ac:dyDescent="0.25">
      <c r="H1921" t="s">
        <v>1382</v>
      </c>
      <c r="I1921" t="s">
        <v>1602</v>
      </c>
      <c r="J1921">
        <v>0</v>
      </c>
      <c r="K1921">
        <v>0</v>
      </c>
      <c r="L1921">
        <v>0</v>
      </c>
    </row>
    <row r="1922" spans="8:12" x14ac:dyDescent="0.25">
      <c r="H1922" t="s">
        <v>1773</v>
      </c>
      <c r="I1922" t="s">
        <v>2134</v>
      </c>
      <c r="J1922">
        <v>0</v>
      </c>
      <c r="K1922">
        <v>0</v>
      </c>
      <c r="L1922">
        <v>0</v>
      </c>
    </row>
    <row r="1923" spans="8:12" x14ac:dyDescent="0.25">
      <c r="H1923" t="s">
        <v>2135</v>
      </c>
      <c r="I1923" t="s">
        <v>1981</v>
      </c>
      <c r="J1923">
        <v>0</v>
      </c>
      <c r="K1923">
        <v>0</v>
      </c>
      <c r="L1923">
        <v>0</v>
      </c>
    </row>
    <row r="1924" spans="8:12" x14ac:dyDescent="0.25">
      <c r="H1924" t="s">
        <v>2136</v>
      </c>
      <c r="I1924" t="s">
        <v>2137</v>
      </c>
      <c r="J1924">
        <v>0</v>
      </c>
      <c r="K1924">
        <v>0</v>
      </c>
      <c r="L1924">
        <v>0</v>
      </c>
    </row>
    <row r="1925" spans="8:12" x14ac:dyDescent="0.25">
      <c r="H1925" t="s">
        <v>2139</v>
      </c>
      <c r="I1925" t="s">
        <v>1107</v>
      </c>
      <c r="J1925">
        <v>0</v>
      </c>
      <c r="K1925">
        <v>0</v>
      </c>
      <c r="L1925">
        <v>0</v>
      </c>
    </row>
    <row r="1926" spans="8:12" x14ac:dyDescent="0.25">
      <c r="H1926" t="s">
        <v>1226</v>
      </c>
      <c r="I1926" t="s">
        <v>1214</v>
      </c>
      <c r="J1926">
        <v>0</v>
      </c>
      <c r="K1926">
        <v>0</v>
      </c>
      <c r="L1926">
        <v>0</v>
      </c>
    </row>
    <row r="1927" spans="8:12" x14ac:dyDescent="0.25">
      <c r="H1927" t="s">
        <v>2140</v>
      </c>
      <c r="I1927" t="s">
        <v>1860</v>
      </c>
      <c r="J1927">
        <v>0</v>
      </c>
      <c r="K1927">
        <v>0</v>
      </c>
      <c r="L1927">
        <v>0</v>
      </c>
    </row>
    <row r="1928" spans="8:12" x14ac:dyDescent="0.25">
      <c r="H1928" t="s">
        <v>1118</v>
      </c>
      <c r="I1928" t="s">
        <v>2141</v>
      </c>
      <c r="J1928">
        <v>0</v>
      </c>
      <c r="K1928">
        <v>0</v>
      </c>
      <c r="L1928">
        <v>0</v>
      </c>
    </row>
    <row r="1929" spans="8:12" x14ac:dyDescent="0.25">
      <c r="H1929" t="s">
        <v>1206</v>
      </c>
      <c r="I1929" t="s">
        <v>1756</v>
      </c>
      <c r="J1929">
        <v>0</v>
      </c>
      <c r="K1929">
        <v>0</v>
      </c>
      <c r="L1929">
        <v>0</v>
      </c>
    </row>
    <row r="1930" spans="8:12" x14ac:dyDescent="0.25">
      <c r="H1930" t="s">
        <v>2145</v>
      </c>
      <c r="I1930" t="s">
        <v>2146</v>
      </c>
      <c r="J1930">
        <v>0</v>
      </c>
      <c r="K1930">
        <v>0</v>
      </c>
      <c r="L1930">
        <v>0</v>
      </c>
    </row>
    <row r="1931" spans="8:12" x14ac:dyDescent="0.25">
      <c r="H1931" t="s">
        <v>1368</v>
      </c>
      <c r="I1931" t="s">
        <v>1321</v>
      </c>
      <c r="J1931">
        <v>0</v>
      </c>
      <c r="K1931">
        <v>0</v>
      </c>
      <c r="L1931">
        <v>0</v>
      </c>
    </row>
    <row r="1932" spans="8:12" x14ac:dyDescent="0.25">
      <c r="H1932" t="s">
        <v>1191</v>
      </c>
      <c r="I1932" t="s">
        <v>2662</v>
      </c>
      <c r="J1932">
        <v>0</v>
      </c>
      <c r="K1932">
        <v>0</v>
      </c>
      <c r="L1932">
        <v>0</v>
      </c>
    </row>
    <row r="1933" spans="8:12" x14ac:dyDescent="0.25">
      <c r="H1933" t="s">
        <v>2635</v>
      </c>
      <c r="I1933" t="s">
        <v>1075</v>
      </c>
      <c r="J1933">
        <v>0</v>
      </c>
      <c r="K1933">
        <v>0</v>
      </c>
      <c r="L1933">
        <v>0</v>
      </c>
    </row>
    <row r="1934" spans="8:12" x14ac:dyDescent="0.25">
      <c r="H1934" t="s">
        <v>1074</v>
      </c>
      <c r="I1934" t="s">
        <v>1103</v>
      </c>
      <c r="J1934">
        <v>0</v>
      </c>
      <c r="K1934">
        <v>0</v>
      </c>
      <c r="L1934">
        <v>0</v>
      </c>
    </row>
    <row r="1935" spans="8:12" x14ac:dyDescent="0.25">
      <c r="H1935" t="s">
        <v>2147</v>
      </c>
      <c r="I1935" t="s">
        <v>1298</v>
      </c>
      <c r="J1935">
        <v>0</v>
      </c>
      <c r="K1935">
        <v>0</v>
      </c>
      <c r="L1935">
        <v>0</v>
      </c>
    </row>
    <row r="1936" spans="8:12" x14ac:dyDescent="0.25">
      <c r="H1936" t="s">
        <v>2148</v>
      </c>
      <c r="I1936" t="s">
        <v>1214</v>
      </c>
      <c r="J1936">
        <v>0</v>
      </c>
      <c r="K1936">
        <v>0</v>
      </c>
      <c r="L1936">
        <v>0</v>
      </c>
    </row>
    <row r="1937" spans="8:12" x14ac:dyDescent="0.25">
      <c r="H1937" t="s">
        <v>1215</v>
      </c>
      <c r="I1937" t="s">
        <v>2149</v>
      </c>
      <c r="J1937">
        <v>0</v>
      </c>
      <c r="K1937">
        <v>0</v>
      </c>
      <c r="L1937">
        <v>0</v>
      </c>
    </row>
    <row r="1938" spans="8:12" x14ac:dyDescent="0.25">
      <c r="H1938" t="s">
        <v>1323</v>
      </c>
      <c r="I1938" t="s">
        <v>2150</v>
      </c>
      <c r="J1938">
        <v>0</v>
      </c>
      <c r="K1938">
        <v>0</v>
      </c>
      <c r="L1938">
        <v>0</v>
      </c>
    </row>
    <row r="1939" spans="8:12" x14ac:dyDescent="0.25">
      <c r="H1939" t="s">
        <v>1137</v>
      </c>
      <c r="I1939" t="s">
        <v>2151</v>
      </c>
      <c r="J1939">
        <v>0</v>
      </c>
      <c r="K1939">
        <v>0</v>
      </c>
      <c r="L1939">
        <v>0</v>
      </c>
    </row>
    <row r="1940" spans="8:12" x14ac:dyDescent="0.25">
      <c r="H1940" t="s">
        <v>1075</v>
      </c>
      <c r="I1940" t="s">
        <v>2152</v>
      </c>
      <c r="J1940">
        <v>0</v>
      </c>
      <c r="K1940">
        <v>0</v>
      </c>
      <c r="L1940">
        <v>0</v>
      </c>
    </row>
    <row r="1941" spans="8:12" x14ac:dyDescent="0.25">
      <c r="H1941" t="s">
        <v>1092</v>
      </c>
      <c r="I1941" t="s">
        <v>2153</v>
      </c>
      <c r="J1941">
        <v>0</v>
      </c>
      <c r="K1941">
        <v>0</v>
      </c>
      <c r="L1941">
        <v>0</v>
      </c>
    </row>
    <row r="1942" spans="8:12" x14ac:dyDescent="0.25">
      <c r="H1942" t="s">
        <v>1454</v>
      </c>
      <c r="I1942" t="s">
        <v>2154</v>
      </c>
      <c r="J1942">
        <v>0</v>
      </c>
      <c r="K1942">
        <v>0</v>
      </c>
      <c r="L1942">
        <v>0</v>
      </c>
    </row>
    <row r="1943" spans="8:12" x14ac:dyDescent="0.25">
      <c r="H1943" t="s">
        <v>2081</v>
      </c>
      <c r="I1943" t="s">
        <v>1902</v>
      </c>
      <c r="J1943">
        <v>0</v>
      </c>
      <c r="K1943">
        <v>0</v>
      </c>
      <c r="L1943">
        <v>0</v>
      </c>
    </row>
    <row r="1944" spans="8:12" x14ac:dyDescent="0.25">
      <c r="H1944" t="s">
        <v>1628</v>
      </c>
      <c r="I1944" t="s">
        <v>1914</v>
      </c>
      <c r="J1944">
        <v>0</v>
      </c>
      <c r="K1944">
        <v>0</v>
      </c>
      <c r="L1944">
        <v>0</v>
      </c>
    </row>
    <row r="1945" spans="8:12" x14ac:dyDescent="0.25">
      <c r="H1945" t="s">
        <v>2157</v>
      </c>
      <c r="I1945" t="s">
        <v>2158</v>
      </c>
      <c r="J1945">
        <v>0</v>
      </c>
      <c r="K1945">
        <v>0</v>
      </c>
      <c r="L1945">
        <v>0</v>
      </c>
    </row>
    <row r="1946" spans="8:12" x14ac:dyDescent="0.25">
      <c r="H1946" t="s">
        <v>2159</v>
      </c>
      <c r="I1946" t="s">
        <v>1362</v>
      </c>
      <c r="J1946">
        <v>0</v>
      </c>
      <c r="K1946">
        <v>0</v>
      </c>
      <c r="L1946">
        <v>0</v>
      </c>
    </row>
    <row r="1947" spans="8:12" x14ac:dyDescent="0.25">
      <c r="H1947" t="s">
        <v>2160</v>
      </c>
      <c r="I1947" t="s">
        <v>2161</v>
      </c>
      <c r="J1947">
        <v>0</v>
      </c>
      <c r="K1947">
        <v>0</v>
      </c>
      <c r="L1947">
        <v>0</v>
      </c>
    </row>
    <row r="1948" spans="8:12" x14ac:dyDescent="0.25">
      <c r="H1948" t="s">
        <v>1284</v>
      </c>
      <c r="I1948" t="s">
        <v>2162</v>
      </c>
      <c r="J1948">
        <v>0</v>
      </c>
      <c r="K1948">
        <v>0</v>
      </c>
      <c r="L1948">
        <v>0</v>
      </c>
    </row>
    <row r="1949" spans="8:12" x14ac:dyDescent="0.25">
      <c r="H1949" t="s">
        <v>1368</v>
      </c>
      <c r="I1949" t="s">
        <v>1181</v>
      </c>
      <c r="J1949">
        <v>0</v>
      </c>
      <c r="K1949">
        <v>0</v>
      </c>
      <c r="L1949">
        <v>0</v>
      </c>
    </row>
    <row r="1950" spans="8:12" x14ac:dyDescent="0.25">
      <c r="H1950" t="s">
        <v>1562</v>
      </c>
      <c r="I1950" t="s">
        <v>1107</v>
      </c>
      <c r="J1950">
        <v>0</v>
      </c>
      <c r="K1950">
        <v>0</v>
      </c>
      <c r="L1950">
        <v>0</v>
      </c>
    </row>
    <row r="1951" spans="8:12" x14ac:dyDescent="0.25">
      <c r="H1951" t="s">
        <v>1705</v>
      </c>
      <c r="I1951" t="s">
        <v>2163</v>
      </c>
      <c r="J1951">
        <v>0</v>
      </c>
      <c r="K1951">
        <v>0</v>
      </c>
      <c r="L1951">
        <v>0</v>
      </c>
    </row>
    <row r="1952" spans="8:12" x14ac:dyDescent="0.25">
      <c r="H1952" t="s">
        <v>1165</v>
      </c>
      <c r="I1952" t="s">
        <v>2164</v>
      </c>
      <c r="J1952">
        <v>0</v>
      </c>
      <c r="K1952">
        <v>0</v>
      </c>
      <c r="L1952">
        <v>0</v>
      </c>
    </row>
    <row r="1953" spans="8:12" x14ac:dyDescent="0.25">
      <c r="H1953" t="s">
        <v>1368</v>
      </c>
      <c r="I1953" t="s">
        <v>1618</v>
      </c>
      <c r="J1953">
        <v>0</v>
      </c>
      <c r="K1953">
        <v>0</v>
      </c>
      <c r="L1953">
        <v>0</v>
      </c>
    </row>
    <row r="1954" spans="8:12" x14ac:dyDescent="0.25">
      <c r="H1954" t="s">
        <v>1320</v>
      </c>
      <c r="I1954" t="s">
        <v>1109</v>
      </c>
      <c r="J1954">
        <v>0</v>
      </c>
      <c r="K1954">
        <v>0</v>
      </c>
      <c r="L1954">
        <v>0</v>
      </c>
    </row>
    <row r="1955" spans="8:12" x14ac:dyDescent="0.25">
      <c r="H1955" t="s">
        <v>2165</v>
      </c>
      <c r="I1955" t="s">
        <v>2166</v>
      </c>
      <c r="J1955">
        <v>0</v>
      </c>
      <c r="K1955">
        <v>0</v>
      </c>
      <c r="L1955">
        <v>0</v>
      </c>
    </row>
    <row r="1956" spans="8:12" x14ac:dyDescent="0.25">
      <c r="H1956" t="s">
        <v>2167</v>
      </c>
      <c r="I1956" t="s">
        <v>2168</v>
      </c>
      <c r="J1956">
        <v>0</v>
      </c>
      <c r="K1956">
        <v>0</v>
      </c>
      <c r="L1956">
        <v>0</v>
      </c>
    </row>
    <row r="1957" spans="8:12" x14ac:dyDescent="0.25">
      <c r="H1957" t="s">
        <v>2017</v>
      </c>
      <c r="I1957" t="s">
        <v>2169</v>
      </c>
      <c r="J1957">
        <v>0</v>
      </c>
      <c r="K1957">
        <v>0</v>
      </c>
      <c r="L1957">
        <v>0</v>
      </c>
    </row>
    <row r="1958" spans="8:12" x14ac:dyDescent="0.25">
      <c r="H1958" t="s">
        <v>1134</v>
      </c>
      <c r="I1958" t="s">
        <v>2170</v>
      </c>
      <c r="J1958">
        <v>0</v>
      </c>
      <c r="K1958">
        <v>0</v>
      </c>
      <c r="L1958">
        <v>0</v>
      </c>
    </row>
    <row r="1959" spans="8:12" x14ac:dyDescent="0.25">
      <c r="H1959" t="s">
        <v>1624</v>
      </c>
      <c r="I1959" t="s">
        <v>1925</v>
      </c>
      <c r="J1959">
        <v>0</v>
      </c>
      <c r="K1959">
        <v>0</v>
      </c>
      <c r="L1959">
        <v>0</v>
      </c>
    </row>
    <row r="1960" spans="8:12" x14ac:dyDescent="0.25">
      <c r="H1960" t="s">
        <v>1424</v>
      </c>
      <c r="I1960" t="s">
        <v>1828</v>
      </c>
      <c r="J1960">
        <v>0</v>
      </c>
      <c r="K1960">
        <v>0</v>
      </c>
      <c r="L1960">
        <v>0</v>
      </c>
    </row>
    <row r="1961" spans="8:12" x14ac:dyDescent="0.25">
      <c r="H1961" t="s">
        <v>2171</v>
      </c>
      <c r="I1961" t="s">
        <v>2172</v>
      </c>
      <c r="J1961">
        <v>0</v>
      </c>
      <c r="K1961">
        <v>0</v>
      </c>
      <c r="L1961">
        <v>0</v>
      </c>
    </row>
    <row r="1962" spans="8:12" x14ac:dyDescent="0.25">
      <c r="H1962" t="s">
        <v>1369</v>
      </c>
      <c r="I1962" t="s">
        <v>1103</v>
      </c>
      <c r="J1962">
        <v>0</v>
      </c>
      <c r="K1962">
        <v>0</v>
      </c>
      <c r="L1962">
        <v>0</v>
      </c>
    </row>
    <row r="1963" spans="8:12" x14ac:dyDescent="0.25">
      <c r="H1963" t="s">
        <v>2173</v>
      </c>
      <c r="I1963" t="s">
        <v>1707</v>
      </c>
      <c r="J1963">
        <v>0</v>
      </c>
      <c r="K1963">
        <v>0</v>
      </c>
      <c r="L1963">
        <v>0</v>
      </c>
    </row>
    <row r="1964" spans="8:12" x14ac:dyDescent="0.25">
      <c r="H1964" t="s">
        <v>2081</v>
      </c>
      <c r="I1964" t="s">
        <v>2174</v>
      </c>
      <c r="J1964">
        <v>0</v>
      </c>
      <c r="K1964">
        <v>0</v>
      </c>
      <c r="L1964">
        <v>0</v>
      </c>
    </row>
    <row r="1965" spans="8:12" x14ac:dyDescent="0.25">
      <c r="H1965" t="s">
        <v>1284</v>
      </c>
      <c r="I1965" t="s">
        <v>2175</v>
      </c>
      <c r="J1965">
        <v>0</v>
      </c>
      <c r="K1965">
        <v>0</v>
      </c>
      <c r="L1965">
        <v>0</v>
      </c>
    </row>
    <row r="1966" spans="8:12" x14ac:dyDescent="0.25">
      <c r="H1966" t="s">
        <v>1907</v>
      </c>
      <c r="I1966" t="s">
        <v>1931</v>
      </c>
      <c r="J1966">
        <v>0</v>
      </c>
      <c r="K1966">
        <v>0</v>
      </c>
      <c r="L1966">
        <v>0</v>
      </c>
    </row>
    <row r="1967" spans="8:12" x14ac:dyDescent="0.25">
      <c r="H1967" t="s">
        <v>2176</v>
      </c>
      <c r="I1967" t="s">
        <v>1900</v>
      </c>
      <c r="J1967">
        <v>0</v>
      </c>
      <c r="K1967">
        <v>0</v>
      </c>
      <c r="L1967">
        <v>0</v>
      </c>
    </row>
    <row r="1968" spans="8:12" x14ac:dyDescent="0.25">
      <c r="H1968" t="s">
        <v>2177</v>
      </c>
      <c r="I1968" t="s">
        <v>1129</v>
      </c>
      <c r="J1968">
        <v>0</v>
      </c>
      <c r="K1968">
        <v>0</v>
      </c>
      <c r="L1968">
        <v>0</v>
      </c>
    </row>
    <row r="1969" spans="8:12" x14ac:dyDescent="0.25">
      <c r="H1969" t="s">
        <v>2178</v>
      </c>
      <c r="I1969" t="s">
        <v>2179</v>
      </c>
      <c r="J1969">
        <v>0</v>
      </c>
      <c r="K1969">
        <v>0</v>
      </c>
      <c r="L1969">
        <v>0</v>
      </c>
    </row>
    <row r="1970" spans="8:12" x14ac:dyDescent="0.25">
      <c r="H1970" t="s">
        <v>2180</v>
      </c>
      <c r="I1970" t="s">
        <v>1046</v>
      </c>
      <c r="J1970">
        <v>0</v>
      </c>
      <c r="K1970">
        <v>0</v>
      </c>
      <c r="L1970">
        <v>0</v>
      </c>
    </row>
    <row r="1971" spans="8:12" x14ac:dyDescent="0.25">
      <c r="H1971" t="s">
        <v>2181</v>
      </c>
      <c r="I1971" t="s">
        <v>2182</v>
      </c>
      <c r="J1971">
        <v>0</v>
      </c>
      <c r="K1971">
        <v>0</v>
      </c>
      <c r="L1971">
        <v>0</v>
      </c>
    </row>
    <row r="1972" spans="8:12" x14ac:dyDescent="0.25">
      <c r="H1972" t="s">
        <v>1124</v>
      </c>
      <c r="I1972" t="s">
        <v>1214</v>
      </c>
      <c r="J1972">
        <v>0</v>
      </c>
      <c r="K1972">
        <v>0</v>
      </c>
      <c r="L1972">
        <v>0</v>
      </c>
    </row>
    <row r="1973" spans="8:12" x14ac:dyDescent="0.25">
      <c r="H1973" t="s">
        <v>2183</v>
      </c>
      <c r="I1973" t="s">
        <v>2184</v>
      </c>
      <c r="J1973">
        <v>0</v>
      </c>
      <c r="K1973">
        <v>0</v>
      </c>
      <c r="L1973">
        <v>0</v>
      </c>
    </row>
    <row r="1974" spans="8:12" x14ac:dyDescent="0.25">
      <c r="H1974" t="s">
        <v>2185</v>
      </c>
      <c r="I1974" t="s">
        <v>2186</v>
      </c>
      <c r="J1974">
        <v>0</v>
      </c>
      <c r="K1974">
        <v>0</v>
      </c>
      <c r="L1974">
        <v>0</v>
      </c>
    </row>
    <row r="1975" spans="8:12" x14ac:dyDescent="0.25">
      <c r="H1975" t="s">
        <v>1040</v>
      </c>
      <c r="I1975" t="s">
        <v>2189</v>
      </c>
      <c r="J1975">
        <v>0</v>
      </c>
      <c r="K1975">
        <v>0</v>
      </c>
      <c r="L1975">
        <v>0</v>
      </c>
    </row>
    <row r="1976" spans="8:12" x14ac:dyDescent="0.25">
      <c r="H1976" t="s">
        <v>2526</v>
      </c>
      <c r="I1976" t="s">
        <v>1609</v>
      </c>
      <c r="J1976">
        <v>0</v>
      </c>
      <c r="K1976">
        <v>0</v>
      </c>
      <c r="L1976">
        <v>0</v>
      </c>
    </row>
    <row r="1977" spans="8:12" x14ac:dyDescent="0.25">
      <c r="H1977" t="s">
        <v>1250</v>
      </c>
      <c r="I1977" t="s">
        <v>1911</v>
      </c>
      <c r="J1977">
        <v>0</v>
      </c>
      <c r="K1977">
        <v>0</v>
      </c>
      <c r="L1977">
        <v>0</v>
      </c>
    </row>
    <row r="1978" spans="8:12" x14ac:dyDescent="0.25">
      <c r="H1978" t="s">
        <v>1857</v>
      </c>
      <c r="I1978" t="s">
        <v>1858</v>
      </c>
      <c r="J1978">
        <v>0</v>
      </c>
      <c r="K1978">
        <v>0</v>
      </c>
      <c r="L1978">
        <v>0</v>
      </c>
    </row>
    <row r="1979" spans="8:12" x14ac:dyDescent="0.25">
      <c r="H1979" t="s">
        <v>1042</v>
      </c>
      <c r="I1979" t="s">
        <v>1216</v>
      </c>
      <c r="J1979">
        <v>0</v>
      </c>
      <c r="K1979">
        <v>0</v>
      </c>
      <c r="L1979">
        <v>0</v>
      </c>
    </row>
    <row r="1980" spans="8:12" x14ac:dyDescent="0.25">
      <c r="H1980" t="s">
        <v>1701</v>
      </c>
      <c r="I1980" t="s">
        <v>2190</v>
      </c>
      <c r="J1980">
        <v>0</v>
      </c>
      <c r="K1980">
        <v>0</v>
      </c>
      <c r="L1980">
        <v>0</v>
      </c>
    </row>
    <row r="1981" spans="8:12" x14ac:dyDescent="0.25">
      <c r="H1981" t="s">
        <v>1865</v>
      </c>
      <c r="I1981" t="s">
        <v>1937</v>
      </c>
      <c r="J1981">
        <v>0</v>
      </c>
      <c r="K1981">
        <v>0</v>
      </c>
      <c r="L1981">
        <v>0</v>
      </c>
    </row>
    <row r="1982" spans="8:12" x14ac:dyDescent="0.25">
      <c r="H1982" t="s">
        <v>1628</v>
      </c>
      <c r="I1982" t="s">
        <v>2191</v>
      </c>
      <c r="J1982">
        <v>0</v>
      </c>
      <c r="K1982">
        <v>0</v>
      </c>
      <c r="L1982">
        <v>0</v>
      </c>
    </row>
    <row r="1983" spans="8:12" x14ac:dyDescent="0.25">
      <c r="H1983" t="s">
        <v>1074</v>
      </c>
      <c r="I1983" t="s">
        <v>1938</v>
      </c>
      <c r="J1983">
        <v>0</v>
      </c>
      <c r="K1983">
        <v>0</v>
      </c>
      <c r="L1983">
        <v>0</v>
      </c>
    </row>
    <row r="1984" spans="8:12" x14ac:dyDescent="0.25">
      <c r="H1984" t="s">
        <v>2192</v>
      </c>
      <c r="I1984" t="s">
        <v>2193</v>
      </c>
      <c r="J1984">
        <v>0</v>
      </c>
      <c r="K1984">
        <v>0</v>
      </c>
      <c r="L1984">
        <v>0</v>
      </c>
    </row>
    <row r="1985" spans="8:12" x14ac:dyDescent="0.25">
      <c r="H1985" t="s">
        <v>1042</v>
      </c>
      <c r="I1985" t="s">
        <v>1939</v>
      </c>
      <c r="J1985">
        <v>0</v>
      </c>
      <c r="K1985">
        <v>0</v>
      </c>
      <c r="L1985">
        <v>0</v>
      </c>
    </row>
    <row r="1986" spans="8:12" x14ac:dyDescent="0.25">
      <c r="H1986" t="s">
        <v>1907</v>
      </c>
      <c r="I1986" t="s">
        <v>2194</v>
      </c>
      <c r="J1986">
        <v>0</v>
      </c>
      <c r="K1986">
        <v>0</v>
      </c>
      <c r="L1986">
        <v>0</v>
      </c>
    </row>
    <row r="1987" spans="8:12" x14ac:dyDescent="0.25">
      <c r="H1987" t="s">
        <v>1892</v>
      </c>
      <c r="I1987" t="s">
        <v>2195</v>
      </c>
      <c r="J1987">
        <v>0</v>
      </c>
      <c r="K1987">
        <v>0</v>
      </c>
      <c r="L1987">
        <v>0</v>
      </c>
    </row>
    <row r="1988" spans="8:12" x14ac:dyDescent="0.25">
      <c r="H1988" t="s">
        <v>1294</v>
      </c>
      <c r="I1988" t="s">
        <v>2196</v>
      </c>
      <c r="J1988">
        <v>0</v>
      </c>
      <c r="K1988">
        <v>0</v>
      </c>
      <c r="L1988">
        <v>0</v>
      </c>
    </row>
    <row r="1989" spans="8:12" x14ac:dyDescent="0.25">
      <c r="H1989" t="s">
        <v>1940</v>
      </c>
      <c r="I1989" t="s">
        <v>1214</v>
      </c>
      <c r="J1989">
        <v>0</v>
      </c>
      <c r="K1989">
        <v>0</v>
      </c>
      <c r="L1989">
        <v>0</v>
      </c>
    </row>
    <row r="1990" spans="8:12" x14ac:dyDescent="0.25">
      <c r="H1990" t="s">
        <v>2528</v>
      </c>
      <c r="I1990" t="s">
        <v>2197</v>
      </c>
      <c r="J1990">
        <v>0</v>
      </c>
      <c r="K1990">
        <v>0</v>
      </c>
      <c r="L1990">
        <v>0</v>
      </c>
    </row>
    <row r="1991" spans="8:12" x14ac:dyDescent="0.25">
      <c r="H1991" t="s">
        <v>1230</v>
      </c>
      <c r="I1991" t="s">
        <v>2198</v>
      </c>
      <c r="J1991">
        <v>0</v>
      </c>
      <c r="K1991">
        <v>0</v>
      </c>
      <c r="L1991">
        <v>0</v>
      </c>
    </row>
    <row r="1992" spans="8:12" x14ac:dyDescent="0.25">
      <c r="H1992" t="s">
        <v>1860</v>
      </c>
      <c r="I1992" t="s">
        <v>1060</v>
      </c>
      <c r="J1992">
        <v>0</v>
      </c>
      <c r="K1992">
        <v>0</v>
      </c>
      <c r="L1992">
        <v>0</v>
      </c>
    </row>
    <row r="1993" spans="8:12" x14ac:dyDescent="0.25">
      <c r="H1993" t="s">
        <v>1190</v>
      </c>
      <c r="I1993" t="s">
        <v>2199</v>
      </c>
      <c r="J1993">
        <v>0</v>
      </c>
      <c r="K1993">
        <v>0</v>
      </c>
      <c r="L1993">
        <v>0</v>
      </c>
    </row>
    <row r="1994" spans="8:12" x14ac:dyDescent="0.25">
      <c r="H1994" t="s">
        <v>1168</v>
      </c>
      <c r="I1994" t="s">
        <v>1937</v>
      </c>
      <c r="J1994">
        <v>0</v>
      </c>
      <c r="K1994">
        <v>0</v>
      </c>
      <c r="L1994">
        <v>0</v>
      </c>
    </row>
    <row r="1995" spans="8:12" x14ac:dyDescent="0.25">
      <c r="H1995" t="s">
        <v>1942</v>
      </c>
      <c r="I1995" t="s">
        <v>1943</v>
      </c>
      <c r="J1995">
        <v>0</v>
      </c>
      <c r="K1995">
        <v>0</v>
      </c>
      <c r="L1995">
        <v>0</v>
      </c>
    </row>
    <row r="1996" spans="8:12" x14ac:dyDescent="0.25">
      <c r="H1996" t="s">
        <v>1718</v>
      </c>
      <c r="I1996" t="s">
        <v>2200</v>
      </c>
      <c r="J1996">
        <v>0</v>
      </c>
      <c r="K1996">
        <v>0</v>
      </c>
      <c r="L1996">
        <v>0</v>
      </c>
    </row>
    <row r="1997" spans="8:12" x14ac:dyDescent="0.25">
      <c r="H1997" t="s">
        <v>2201</v>
      </c>
      <c r="I1997" t="s">
        <v>1053</v>
      </c>
      <c r="J1997">
        <v>0</v>
      </c>
      <c r="K1997">
        <v>0</v>
      </c>
      <c r="L1997">
        <v>0</v>
      </c>
    </row>
    <row r="1998" spans="8:12" x14ac:dyDescent="0.25">
      <c r="H1998" t="s">
        <v>2202</v>
      </c>
      <c r="I1998" t="s">
        <v>1064</v>
      </c>
      <c r="J1998">
        <v>0</v>
      </c>
      <c r="K1998">
        <v>0</v>
      </c>
      <c r="L1998">
        <v>0</v>
      </c>
    </row>
    <row r="1999" spans="8:12" x14ac:dyDescent="0.25">
      <c r="H1999" t="s">
        <v>1443</v>
      </c>
      <c r="I1999" t="s">
        <v>2203</v>
      </c>
      <c r="J1999">
        <v>0</v>
      </c>
      <c r="K1999">
        <v>0</v>
      </c>
      <c r="L1999">
        <v>0</v>
      </c>
    </row>
    <row r="2000" spans="8:12" x14ac:dyDescent="0.25">
      <c r="H2000" t="s">
        <v>1945</v>
      </c>
      <c r="I2000" t="s">
        <v>1042</v>
      </c>
      <c r="J2000">
        <v>0</v>
      </c>
      <c r="K2000">
        <v>0</v>
      </c>
      <c r="L2000">
        <v>0</v>
      </c>
    </row>
    <row r="2001" spans="8:12" x14ac:dyDescent="0.25">
      <c r="H2001" t="s">
        <v>1323</v>
      </c>
      <c r="I2001" t="s">
        <v>2204</v>
      </c>
      <c r="J2001">
        <v>0</v>
      </c>
      <c r="K2001">
        <v>0</v>
      </c>
      <c r="L2001">
        <v>0</v>
      </c>
    </row>
    <row r="2002" spans="8:12" x14ac:dyDescent="0.25">
      <c r="H2002" t="s">
        <v>2205</v>
      </c>
      <c r="I2002" t="s">
        <v>2206</v>
      </c>
      <c r="J2002">
        <v>0</v>
      </c>
      <c r="K2002">
        <v>0</v>
      </c>
      <c r="L2002">
        <v>0</v>
      </c>
    </row>
    <row r="2003" spans="8:12" x14ac:dyDescent="0.25">
      <c r="H2003" t="s">
        <v>2207</v>
      </c>
      <c r="I2003" t="s">
        <v>1039</v>
      </c>
      <c r="J2003">
        <v>0</v>
      </c>
      <c r="K2003">
        <v>0</v>
      </c>
      <c r="L2003">
        <v>0</v>
      </c>
    </row>
    <row r="2004" spans="8:12" x14ac:dyDescent="0.25">
      <c r="H2004" t="s">
        <v>1092</v>
      </c>
      <c r="I2004" t="s">
        <v>2208</v>
      </c>
      <c r="J2004">
        <v>0</v>
      </c>
      <c r="K2004">
        <v>0</v>
      </c>
      <c r="L2004">
        <v>0</v>
      </c>
    </row>
    <row r="2005" spans="8:12" x14ac:dyDescent="0.25">
      <c r="H2005" t="s">
        <v>1064</v>
      </c>
      <c r="I2005" t="s">
        <v>1079</v>
      </c>
      <c r="J2005">
        <v>0</v>
      </c>
      <c r="K2005">
        <v>0</v>
      </c>
      <c r="L2005">
        <v>0</v>
      </c>
    </row>
    <row r="2006" spans="8:12" x14ac:dyDescent="0.25">
      <c r="H2006" t="s">
        <v>1718</v>
      </c>
      <c r="I2006" t="s">
        <v>2209</v>
      </c>
      <c r="J2006">
        <v>0</v>
      </c>
      <c r="K2006">
        <v>0</v>
      </c>
      <c r="L2006">
        <v>0</v>
      </c>
    </row>
    <row r="2007" spans="8:12" x14ac:dyDescent="0.25">
      <c r="H2007" t="s">
        <v>1761</v>
      </c>
      <c r="I2007" t="s">
        <v>1949</v>
      </c>
      <c r="J2007">
        <v>0</v>
      </c>
      <c r="K2007">
        <v>0</v>
      </c>
      <c r="L2007">
        <v>0</v>
      </c>
    </row>
    <row r="2008" spans="8:12" x14ac:dyDescent="0.25">
      <c r="H2008" t="s">
        <v>2210</v>
      </c>
      <c r="I2008" t="s">
        <v>1214</v>
      </c>
      <c r="J2008">
        <v>0</v>
      </c>
      <c r="K2008">
        <v>0</v>
      </c>
      <c r="L2008">
        <v>0</v>
      </c>
    </row>
    <row r="2009" spans="8:12" x14ac:dyDescent="0.25">
      <c r="H2009" t="s">
        <v>1560</v>
      </c>
      <c r="I2009" t="s">
        <v>2211</v>
      </c>
      <c r="J2009">
        <v>0</v>
      </c>
      <c r="K2009">
        <v>0</v>
      </c>
      <c r="L2009">
        <v>0</v>
      </c>
    </row>
    <row r="2010" spans="8:12" x14ac:dyDescent="0.25">
      <c r="H2010" t="s">
        <v>2212</v>
      </c>
      <c r="I2010" t="s">
        <v>2213</v>
      </c>
      <c r="J2010">
        <v>0</v>
      </c>
      <c r="K2010">
        <v>0</v>
      </c>
      <c r="L2010">
        <v>0</v>
      </c>
    </row>
    <row r="2011" spans="8:12" x14ac:dyDescent="0.25">
      <c r="H2011" t="s">
        <v>1454</v>
      </c>
      <c r="I2011" t="s">
        <v>2214</v>
      </c>
      <c r="J2011">
        <v>0</v>
      </c>
      <c r="K2011">
        <v>0</v>
      </c>
      <c r="L2011">
        <v>0</v>
      </c>
    </row>
    <row r="2012" spans="8:12" x14ac:dyDescent="0.25">
      <c r="H2012" t="s">
        <v>1705</v>
      </c>
      <c r="I2012" t="s">
        <v>2215</v>
      </c>
      <c r="J2012">
        <v>0</v>
      </c>
      <c r="K2012">
        <v>0</v>
      </c>
      <c r="L2012">
        <v>0</v>
      </c>
    </row>
    <row r="2013" spans="8:12" x14ac:dyDescent="0.25">
      <c r="H2013" t="s">
        <v>2216</v>
      </c>
      <c r="I2013" t="s">
        <v>2217</v>
      </c>
      <c r="J2013">
        <v>0</v>
      </c>
      <c r="K2013">
        <v>0</v>
      </c>
      <c r="L2013">
        <v>0</v>
      </c>
    </row>
    <row r="2014" spans="8:12" x14ac:dyDescent="0.25">
      <c r="H2014" t="s">
        <v>1284</v>
      </c>
      <c r="I2014" t="s">
        <v>2218</v>
      </c>
      <c r="J2014">
        <v>0</v>
      </c>
      <c r="K2014">
        <v>0</v>
      </c>
      <c r="L2014">
        <v>0</v>
      </c>
    </row>
    <row r="2015" spans="8:12" x14ac:dyDescent="0.25">
      <c r="H2015" t="s">
        <v>1154</v>
      </c>
      <c r="I2015" t="s">
        <v>1169</v>
      </c>
      <c r="J2015">
        <v>0</v>
      </c>
      <c r="K2015">
        <v>0</v>
      </c>
      <c r="L2015">
        <v>0</v>
      </c>
    </row>
    <row r="2016" spans="8:12" x14ac:dyDescent="0.25">
      <c r="H2016" t="s">
        <v>2219</v>
      </c>
      <c r="I2016" t="s">
        <v>2220</v>
      </c>
      <c r="J2016">
        <v>0</v>
      </c>
      <c r="K2016">
        <v>0</v>
      </c>
      <c r="L2016">
        <v>0</v>
      </c>
    </row>
    <row r="2017" spans="8:12" x14ac:dyDescent="0.25">
      <c r="H2017" t="s">
        <v>2221</v>
      </c>
      <c r="I2017" t="s">
        <v>1109</v>
      </c>
      <c r="J2017">
        <v>0</v>
      </c>
      <c r="K2017">
        <v>0</v>
      </c>
      <c r="L2017">
        <v>0</v>
      </c>
    </row>
    <row r="2018" spans="8:12" x14ac:dyDescent="0.25">
      <c r="H2018" t="s">
        <v>2222</v>
      </c>
      <c r="I2018" t="s">
        <v>2223</v>
      </c>
      <c r="J2018">
        <v>0</v>
      </c>
      <c r="K2018">
        <v>0</v>
      </c>
      <c r="L2018">
        <v>0</v>
      </c>
    </row>
    <row r="2019" spans="8:12" x14ac:dyDescent="0.25">
      <c r="H2019" t="s">
        <v>1171</v>
      </c>
      <c r="I2019" t="s">
        <v>1214</v>
      </c>
      <c r="J2019">
        <v>0</v>
      </c>
      <c r="K2019">
        <v>0</v>
      </c>
      <c r="L2019">
        <v>0</v>
      </c>
    </row>
    <row r="2020" spans="8:12" x14ac:dyDescent="0.25">
      <c r="H2020" t="s">
        <v>1604</v>
      </c>
      <c r="I2020" t="s">
        <v>2224</v>
      </c>
      <c r="J2020">
        <v>0</v>
      </c>
      <c r="K2020">
        <v>0</v>
      </c>
      <c r="L2020">
        <v>0</v>
      </c>
    </row>
    <row r="2021" spans="8:12" x14ac:dyDescent="0.25">
      <c r="H2021" t="s">
        <v>1138</v>
      </c>
      <c r="I2021" t="s">
        <v>1037</v>
      </c>
      <c r="J2021">
        <v>0</v>
      </c>
      <c r="K2021">
        <v>0</v>
      </c>
      <c r="L2021">
        <v>0</v>
      </c>
    </row>
    <row r="2022" spans="8:12" x14ac:dyDescent="0.25">
      <c r="H2022" t="s">
        <v>2225</v>
      </c>
      <c r="I2022" t="s">
        <v>2226</v>
      </c>
      <c r="J2022">
        <v>0</v>
      </c>
      <c r="K2022">
        <v>0</v>
      </c>
      <c r="L2022">
        <v>0</v>
      </c>
    </row>
    <row r="2023" spans="8:12" x14ac:dyDescent="0.25">
      <c r="H2023" t="s">
        <v>1481</v>
      </c>
      <c r="I2023" t="s">
        <v>1298</v>
      </c>
      <c r="J2023">
        <v>0</v>
      </c>
      <c r="K2023">
        <v>0</v>
      </c>
      <c r="L2023">
        <v>0</v>
      </c>
    </row>
    <row r="2024" spans="8:12" x14ac:dyDescent="0.25">
      <c r="H2024" t="s">
        <v>1074</v>
      </c>
      <c r="I2024" t="s">
        <v>1083</v>
      </c>
      <c r="J2024">
        <v>0</v>
      </c>
      <c r="K2024">
        <v>0</v>
      </c>
      <c r="L2024">
        <v>0</v>
      </c>
    </row>
    <row r="2025" spans="8:12" x14ac:dyDescent="0.25">
      <c r="H2025" t="s">
        <v>1989</v>
      </c>
      <c r="I2025" t="s">
        <v>1335</v>
      </c>
      <c r="J2025">
        <v>0</v>
      </c>
      <c r="K2025">
        <v>0</v>
      </c>
      <c r="L2025">
        <v>0</v>
      </c>
    </row>
    <row r="2026" spans="8:12" x14ac:dyDescent="0.25">
      <c r="H2026" t="s">
        <v>2227</v>
      </c>
      <c r="I2026" t="s">
        <v>1201</v>
      </c>
      <c r="J2026">
        <v>0</v>
      </c>
      <c r="K2026">
        <v>0</v>
      </c>
      <c r="L2026">
        <v>0</v>
      </c>
    </row>
    <row r="2027" spans="8:12" x14ac:dyDescent="0.25">
      <c r="H2027" t="s">
        <v>1419</v>
      </c>
      <c r="I2027" t="s">
        <v>1079</v>
      </c>
      <c r="J2027">
        <v>0</v>
      </c>
      <c r="K2027">
        <v>0</v>
      </c>
      <c r="L2027">
        <v>0</v>
      </c>
    </row>
    <row r="2028" spans="8:12" x14ac:dyDescent="0.25">
      <c r="H2028" t="s">
        <v>2228</v>
      </c>
      <c r="I2028" t="s">
        <v>2229</v>
      </c>
      <c r="J2028">
        <v>0</v>
      </c>
      <c r="K2028">
        <v>0</v>
      </c>
      <c r="L2028">
        <v>0</v>
      </c>
    </row>
    <row r="2029" spans="8:12" x14ac:dyDescent="0.25">
      <c r="H2029" t="s">
        <v>2230</v>
      </c>
      <c r="I2029" t="s">
        <v>2231</v>
      </c>
      <c r="J2029">
        <v>0</v>
      </c>
      <c r="K2029">
        <v>0</v>
      </c>
      <c r="L2029">
        <v>0</v>
      </c>
    </row>
    <row r="2030" spans="8:12" x14ac:dyDescent="0.25">
      <c r="H2030" t="s">
        <v>1424</v>
      </c>
      <c r="I2030" t="s">
        <v>2232</v>
      </c>
      <c r="J2030">
        <v>0</v>
      </c>
      <c r="K2030">
        <v>0</v>
      </c>
      <c r="L2030">
        <v>0</v>
      </c>
    </row>
    <row r="2031" spans="8:12" x14ac:dyDescent="0.25">
      <c r="H2031" t="s">
        <v>1907</v>
      </c>
      <c r="I2031" t="s">
        <v>1214</v>
      </c>
      <c r="J2031">
        <v>0</v>
      </c>
      <c r="K2031">
        <v>0</v>
      </c>
      <c r="L2031">
        <v>0</v>
      </c>
    </row>
    <row r="2032" spans="8:12" x14ac:dyDescent="0.25">
      <c r="H2032" t="s">
        <v>1291</v>
      </c>
      <c r="I2032" t="s">
        <v>1107</v>
      </c>
      <c r="J2032">
        <v>0</v>
      </c>
      <c r="K2032">
        <v>0</v>
      </c>
      <c r="L2032">
        <v>0</v>
      </c>
    </row>
    <row r="2033" spans="8:12" x14ac:dyDescent="0.25">
      <c r="H2033" t="s">
        <v>1165</v>
      </c>
      <c r="I2033" t="s">
        <v>2233</v>
      </c>
      <c r="J2033">
        <v>0</v>
      </c>
      <c r="K2033">
        <v>0</v>
      </c>
      <c r="L2033">
        <v>0</v>
      </c>
    </row>
    <row r="2034" spans="8:12" x14ac:dyDescent="0.25">
      <c r="H2034" t="s">
        <v>1906</v>
      </c>
      <c r="I2034" t="s">
        <v>2234</v>
      </c>
      <c r="J2034">
        <v>0</v>
      </c>
      <c r="K2034">
        <v>0</v>
      </c>
      <c r="L2034">
        <v>0</v>
      </c>
    </row>
    <row r="2035" spans="8:12" x14ac:dyDescent="0.25">
      <c r="H2035" t="s">
        <v>2235</v>
      </c>
      <c r="I2035" t="s">
        <v>1335</v>
      </c>
      <c r="J2035">
        <v>0</v>
      </c>
      <c r="K2035">
        <v>0</v>
      </c>
      <c r="L2035">
        <v>0</v>
      </c>
    </row>
    <row r="2036" spans="8:12" x14ac:dyDescent="0.25">
      <c r="H2036" t="s">
        <v>2236</v>
      </c>
      <c r="I2036" t="s">
        <v>1143</v>
      </c>
      <c r="J2036">
        <v>0</v>
      </c>
      <c r="K2036">
        <v>0</v>
      </c>
      <c r="L2036">
        <v>0</v>
      </c>
    </row>
    <row r="2037" spans="8:12" x14ac:dyDescent="0.25">
      <c r="H2037" t="s">
        <v>2237</v>
      </c>
      <c r="I2037" t="s">
        <v>2238</v>
      </c>
      <c r="J2037">
        <v>0</v>
      </c>
      <c r="K2037">
        <v>0</v>
      </c>
      <c r="L2037">
        <v>0</v>
      </c>
    </row>
    <row r="2038" spans="8:12" x14ac:dyDescent="0.25">
      <c r="H2038" t="s">
        <v>2239</v>
      </c>
      <c r="I2038" t="s">
        <v>1623</v>
      </c>
      <c r="J2038">
        <v>0</v>
      </c>
      <c r="K2038">
        <v>0</v>
      </c>
      <c r="L2038">
        <v>0</v>
      </c>
    </row>
    <row r="2039" spans="8:12" x14ac:dyDescent="0.25">
      <c r="H2039" t="s">
        <v>1168</v>
      </c>
      <c r="I2039" t="s">
        <v>1382</v>
      </c>
      <c r="J2039">
        <v>0</v>
      </c>
      <c r="K2039">
        <v>0</v>
      </c>
      <c r="L2039">
        <v>0</v>
      </c>
    </row>
    <row r="2040" spans="8:12" x14ac:dyDescent="0.25">
      <c r="H2040" t="s">
        <v>1368</v>
      </c>
      <c r="I2040" t="s">
        <v>2240</v>
      </c>
      <c r="J2040">
        <v>0</v>
      </c>
      <c r="K2040">
        <v>0</v>
      </c>
      <c r="L2040">
        <v>0</v>
      </c>
    </row>
    <row r="2041" spans="8:12" x14ac:dyDescent="0.25">
      <c r="H2041" t="s">
        <v>2242</v>
      </c>
      <c r="I2041" t="s">
        <v>1975</v>
      </c>
      <c r="J2041">
        <v>0</v>
      </c>
      <c r="K2041">
        <v>0</v>
      </c>
      <c r="L2041">
        <v>0</v>
      </c>
    </row>
    <row r="2042" spans="8:12" x14ac:dyDescent="0.25">
      <c r="H2042" t="s">
        <v>1563</v>
      </c>
      <c r="I2042" t="s">
        <v>1558</v>
      </c>
      <c r="J2042">
        <v>0</v>
      </c>
      <c r="K2042">
        <v>0</v>
      </c>
      <c r="L2042">
        <v>0</v>
      </c>
    </row>
    <row r="2043" spans="8:12" x14ac:dyDescent="0.25">
      <c r="H2043" t="s">
        <v>1168</v>
      </c>
      <c r="I2043" t="s">
        <v>2243</v>
      </c>
      <c r="J2043">
        <v>0</v>
      </c>
      <c r="K2043">
        <v>0</v>
      </c>
      <c r="L2043">
        <v>0</v>
      </c>
    </row>
    <row r="2044" spans="8:12" x14ac:dyDescent="0.25">
      <c r="H2044" t="s">
        <v>1086</v>
      </c>
      <c r="I2044" t="s">
        <v>1669</v>
      </c>
      <c r="J2044">
        <v>0</v>
      </c>
      <c r="K2044">
        <v>0</v>
      </c>
      <c r="L2044">
        <v>0</v>
      </c>
    </row>
    <row r="2045" spans="8:12" x14ac:dyDescent="0.25">
      <c r="H2045" t="s">
        <v>1118</v>
      </c>
      <c r="I2045" t="s">
        <v>2244</v>
      </c>
      <c r="J2045">
        <v>0</v>
      </c>
      <c r="K2045">
        <v>0</v>
      </c>
      <c r="L2045">
        <v>0</v>
      </c>
    </row>
    <row r="2046" spans="8:12" x14ac:dyDescent="0.25">
      <c r="H2046" t="s">
        <v>2245</v>
      </c>
      <c r="I2046" t="s">
        <v>2246</v>
      </c>
      <c r="J2046">
        <v>0</v>
      </c>
      <c r="K2046">
        <v>0</v>
      </c>
      <c r="L2046">
        <v>0</v>
      </c>
    </row>
    <row r="2047" spans="8:12" x14ac:dyDescent="0.25">
      <c r="H2047" t="s">
        <v>2247</v>
      </c>
      <c r="I2047" t="s">
        <v>2248</v>
      </c>
      <c r="J2047">
        <v>0</v>
      </c>
      <c r="K2047">
        <v>0</v>
      </c>
      <c r="L2047">
        <v>0</v>
      </c>
    </row>
    <row r="2048" spans="8:12" x14ac:dyDescent="0.25">
      <c r="H2048" t="s">
        <v>1987</v>
      </c>
      <c r="I2048" t="s">
        <v>1988</v>
      </c>
      <c r="J2048">
        <v>0</v>
      </c>
      <c r="K2048">
        <v>0</v>
      </c>
      <c r="L2048">
        <v>0</v>
      </c>
    </row>
    <row r="2049" spans="8:13" x14ac:dyDescent="0.25">
      <c r="H2049" t="s">
        <v>1156</v>
      </c>
      <c r="I2049" t="s">
        <v>2249</v>
      </c>
      <c r="J2049">
        <v>0</v>
      </c>
      <c r="K2049">
        <v>0</v>
      </c>
      <c r="L2049">
        <v>0</v>
      </c>
    </row>
    <row r="2050" spans="8:13" x14ac:dyDescent="0.25">
      <c r="H2050" t="s">
        <v>2250</v>
      </c>
      <c r="I2050" t="s">
        <v>2106</v>
      </c>
      <c r="J2050" t="s">
        <v>2125</v>
      </c>
      <c r="K2050">
        <v>0</v>
      </c>
      <c r="L2050">
        <v>0</v>
      </c>
      <c r="M2050">
        <v>0</v>
      </c>
    </row>
    <row r="2051" spans="8:13" x14ac:dyDescent="0.25">
      <c r="H2051" t="s">
        <v>1604</v>
      </c>
      <c r="I2051" t="s">
        <v>1860</v>
      </c>
      <c r="J2051">
        <v>0</v>
      </c>
      <c r="K2051">
        <v>0</v>
      </c>
      <c r="L2051">
        <v>0</v>
      </c>
    </row>
    <row r="2052" spans="8:13" x14ac:dyDescent="0.25">
      <c r="H2052" t="s">
        <v>2251</v>
      </c>
      <c r="I2052" t="s">
        <v>2252</v>
      </c>
      <c r="J2052">
        <v>0</v>
      </c>
      <c r="K2052">
        <v>0</v>
      </c>
      <c r="L2052">
        <v>0</v>
      </c>
    </row>
    <row r="2053" spans="8:13" x14ac:dyDescent="0.25">
      <c r="H2053" t="s">
        <v>2253</v>
      </c>
      <c r="I2053" t="s">
        <v>2254</v>
      </c>
      <c r="J2053">
        <v>0</v>
      </c>
      <c r="K2053">
        <v>0</v>
      </c>
      <c r="L2053">
        <v>0</v>
      </c>
    </row>
    <row r="2054" spans="8:13" x14ac:dyDescent="0.25">
      <c r="H2054" t="s">
        <v>1204</v>
      </c>
      <c r="I2054" t="s">
        <v>1609</v>
      </c>
      <c r="J2054">
        <v>0</v>
      </c>
      <c r="K2054">
        <v>0</v>
      </c>
      <c r="L2054">
        <v>0</v>
      </c>
    </row>
    <row r="2055" spans="8:13" x14ac:dyDescent="0.25">
      <c r="H2055" t="s">
        <v>1368</v>
      </c>
      <c r="I2055" t="s">
        <v>1606</v>
      </c>
      <c r="J2055">
        <v>0</v>
      </c>
      <c r="K2055">
        <v>0</v>
      </c>
      <c r="L2055">
        <v>0</v>
      </c>
    </row>
    <row r="2056" spans="8:13" x14ac:dyDescent="0.25">
      <c r="H2056" t="s">
        <v>2255</v>
      </c>
      <c r="I2056" t="s">
        <v>2256</v>
      </c>
      <c r="J2056">
        <v>0</v>
      </c>
      <c r="K2056">
        <v>0</v>
      </c>
      <c r="L2056">
        <v>0</v>
      </c>
    </row>
    <row r="2057" spans="8:13" x14ac:dyDescent="0.25">
      <c r="H2057" t="s">
        <v>1190</v>
      </c>
      <c r="I2057" t="s">
        <v>1992</v>
      </c>
      <c r="J2057">
        <v>0</v>
      </c>
      <c r="K2057">
        <v>0</v>
      </c>
      <c r="L2057">
        <v>0</v>
      </c>
    </row>
    <row r="2058" spans="8:13" x14ac:dyDescent="0.25">
      <c r="H2058" t="s">
        <v>1168</v>
      </c>
      <c r="I2058" t="s">
        <v>2257</v>
      </c>
      <c r="J2058" t="s">
        <v>1825</v>
      </c>
      <c r="K2058">
        <v>0</v>
      </c>
      <c r="L2058">
        <v>0</v>
      </c>
      <c r="M2058">
        <v>0</v>
      </c>
    </row>
    <row r="2059" spans="8:13" x14ac:dyDescent="0.25">
      <c r="H2059" t="s">
        <v>2259</v>
      </c>
      <c r="I2059" t="s">
        <v>1214</v>
      </c>
      <c r="J2059">
        <v>0</v>
      </c>
      <c r="K2059">
        <v>0</v>
      </c>
      <c r="L2059">
        <v>0</v>
      </c>
    </row>
    <row r="2060" spans="8:13" x14ac:dyDescent="0.25">
      <c r="H2060" t="s">
        <v>2119</v>
      </c>
      <c r="I2060" t="s">
        <v>2260</v>
      </c>
      <c r="J2060">
        <v>0</v>
      </c>
      <c r="K2060">
        <v>0</v>
      </c>
      <c r="L2060">
        <v>0</v>
      </c>
    </row>
    <row r="2061" spans="8:13" x14ac:dyDescent="0.25">
      <c r="H2061" t="s">
        <v>2261</v>
      </c>
      <c r="I2061" t="s">
        <v>2262</v>
      </c>
      <c r="J2061">
        <v>0</v>
      </c>
      <c r="K2061">
        <v>0</v>
      </c>
      <c r="L2061">
        <v>0</v>
      </c>
    </row>
    <row r="2062" spans="8:13" x14ac:dyDescent="0.25">
      <c r="H2062" t="s">
        <v>2263</v>
      </c>
      <c r="I2062" t="s">
        <v>2264</v>
      </c>
      <c r="J2062">
        <v>0</v>
      </c>
      <c r="K2062">
        <v>0</v>
      </c>
      <c r="L2062">
        <v>0</v>
      </c>
    </row>
    <row r="2063" spans="8:13" x14ac:dyDescent="0.25">
      <c r="H2063" t="s">
        <v>1368</v>
      </c>
      <c r="I2063" t="s">
        <v>1993</v>
      </c>
      <c r="J2063">
        <v>0</v>
      </c>
      <c r="K2063">
        <v>0</v>
      </c>
      <c r="L2063">
        <v>0</v>
      </c>
    </row>
    <row r="2064" spans="8:13" x14ac:dyDescent="0.25">
      <c r="H2064" t="s">
        <v>1036</v>
      </c>
      <c r="I2064" t="s">
        <v>2265</v>
      </c>
      <c r="J2064">
        <v>0</v>
      </c>
      <c r="K2064">
        <v>0</v>
      </c>
      <c r="L2064">
        <v>0</v>
      </c>
    </row>
    <row r="2065" spans="8:12" x14ac:dyDescent="0.25">
      <c r="H2065" t="s">
        <v>1074</v>
      </c>
      <c r="I2065" t="s">
        <v>2266</v>
      </c>
      <c r="J2065">
        <v>0</v>
      </c>
      <c r="K2065">
        <v>0</v>
      </c>
      <c r="L2065">
        <v>0</v>
      </c>
    </row>
    <row r="2066" spans="8:12" x14ac:dyDescent="0.25">
      <c r="H2066" t="s">
        <v>1397</v>
      </c>
      <c r="I2066" t="s">
        <v>1994</v>
      </c>
      <c r="J2066">
        <v>0</v>
      </c>
      <c r="K2066">
        <v>0</v>
      </c>
      <c r="L2066">
        <v>0</v>
      </c>
    </row>
    <row r="2067" spans="8:12" x14ac:dyDescent="0.25">
      <c r="H2067" t="s">
        <v>2267</v>
      </c>
      <c r="I2067" t="s">
        <v>2268</v>
      </c>
      <c r="J2067">
        <v>0</v>
      </c>
      <c r="K2067">
        <v>0</v>
      </c>
      <c r="L2067">
        <v>0</v>
      </c>
    </row>
    <row r="2068" spans="8:12" x14ac:dyDescent="0.25">
      <c r="H2068" t="s">
        <v>1907</v>
      </c>
      <c r="I2068" t="s">
        <v>1496</v>
      </c>
      <c r="J2068">
        <v>0</v>
      </c>
      <c r="K2068">
        <v>0</v>
      </c>
      <c r="L2068">
        <v>0</v>
      </c>
    </row>
    <row r="2069" spans="8:12" x14ac:dyDescent="0.25">
      <c r="H2069" t="s">
        <v>1595</v>
      </c>
      <c r="I2069" t="s">
        <v>2269</v>
      </c>
      <c r="J2069">
        <v>0</v>
      </c>
      <c r="K2069">
        <v>0</v>
      </c>
      <c r="L2069">
        <v>0</v>
      </c>
    </row>
    <row r="2070" spans="8:12" x14ac:dyDescent="0.25">
      <c r="H2070" t="s">
        <v>2270</v>
      </c>
      <c r="I2070" t="s">
        <v>1079</v>
      </c>
      <c r="J2070">
        <v>0</v>
      </c>
      <c r="K2070">
        <v>0</v>
      </c>
      <c r="L2070">
        <v>0</v>
      </c>
    </row>
    <row r="2071" spans="8:12" x14ac:dyDescent="0.25">
      <c r="H2071" t="s">
        <v>2271</v>
      </c>
      <c r="I2071" t="s">
        <v>2272</v>
      </c>
      <c r="J2071">
        <v>0</v>
      </c>
      <c r="K2071">
        <v>0</v>
      </c>
      <c r="L2071">
        <v>0</v>
      </c>
    </row>
    <row r="2072" spans="8:12" x14ac:dyDescent="0.25">
      <c r="H2072" t="s">
        <v>1206</v>
      </c>
      <c r="I2072" t="s">
        <v>2273</v>
      </c>
      <c r="J2072">
        <v>0</v>
      </c>
      <c r="K2072">
        <v>0</v>
      </c>
      <c r="L2072">
        <v>0</v>
      </c>
    </row>
    <row r="2073" spans="8:12" x14ac:dyDescent="0.25">
      <c r="H2073" t="s">
        <v>1118</v>
      </c>
      <c r="I2073" t="s">
        <v>1955</v>
      </c>
      <c r="J2073">
        <v>0</v>
      </c>
      <c r="K2073">
        <v>0</v>
      </c>
      <c r="L2073">
        <v>0</v>
      </c>
    </row>
    <row r="2074" spans="8:12" x14ac:dyDescent="0.25">
      <c r="H2074" t="s">
        <v>1183</v>
      </c>
      <c r="I2074" t="s">
        <v>2274</v>
      </c>
      <c r="J2074">
        <v>0</v>
      </c>
      <c r="K2074">
        <v>0</v>
      </c>
      <c r="L2074">
        <v>0</v>
      </c>
    </row>
    <row r="2075" spans="8:12" x14ac:dyDescent="0.25">
      <c r="H2075" t="s">
        <v>1345</v>
      </c>
      <c r="I2075" t="s">
        <v>1201</v>
      </c>
      <c r="J2075">
        <v>0</v>
      </c>
      <c r="K2075">
        <v>0</v>
      </c>
      <c r="L2075">
        <v>0</v>
      </c>
    </row>
    <row r="2076" spans="8:12" x14ac:dyDescent="0.25">
      <c r="H2076" t="s">
        <v>2017</v>
      </c>
      <c r="I2076" t="s">
        <v>2277</v>
      </c>
      <c r="J2076">
        <v>0</v>
      </c>
      <c r="K2076">
        <v>0</v>
      </c>
      <c r="L2076">
        <v>0</v>
      </c>
    </row>
    <row r="2077" spans="8:12" x14ac:dyDescent="0.25">
      <c r="H2077" t="s">
        <v>1076</v>
      </c>
      <c r="I2077" t="s">
        <v>1143</v>
      </c>
      <c r="J2077">
        <v>0</v>
      </c>
      <c r="K2077">
        <v>0</v>
      </c>
      <c r="L2077">
        <v>0</v>
      </c>
    </row>
    <row r="2078" spans="8:12" x14ac:dyDescent="0.25">
      <c r="H2078" t="s">
        <v>2278</v>
      </c>
      <c r="I2078" t="s">
        <v>1991</v>
      </c>
      <c r="J2078">
        <v>0</v>
      </c>
      <c r="K2078">
        <v>0</v>
      </c>
      <c r="L2078">
        <v>0</v>
      </c>
    </row>
    <row r="2079" spans="8:12" x14ac:dyDescent="0.25">
      <c r="H2079" t="s">
        <v>1190</v>
      </c>
      <c r="I2079" t="s">
        <v>1874</v>
      </c>
      <c r="J2079">
        <v>0</v>
      </c>
      <c r="K2079">
        <v>0</v>
      </c>
      <c r="L2079">
        <v>0</v>
      </c>
    </row>
    <row r="2080" spans="8:12" x14ac:dyDescent="0.25">
      <c r="H2080" t="s">
        <v>1064</v>
      </c>
      <c r="I2080" t="s">
        <v>1245</v>
      </c>
      <c r="J2080">
        <v>0</v>
      </c>
      <c r="K2080">
        <v>0</v>
      </c>
      <c r="L2080">
        <v>0</v>
      </c>
    </row>
    <row r="2081" spans="8:13" x14ac:dyDescent="0.25">
      <c r="H2081" t="s">
        <v>2279</v>
      </c>
      <c r="I2081" t="s">
        <v>1405</v>
      </c>
      <c r="J2081">
        <v>0</v>
      </c>
      <c r="K2081">
        <v>0</v>
      </c>
      <c r="L2081">
        <v>0</v>
      </c>
    </row>
    <row r="2082" spans="8:13" x14ac:dyDescent="0.25">
      <c r="H2082" t="s">
        <v>1604</v>
      </c>
      <c r="I2082" t="s">
        <v>1107</v>
      </c>
      <c r="J2082">
        <v>0</v>
      </c>
      <c r="K2082">
        <v>0</v>
      </c>
      <c r="L2082">
        <v>0</v>
      </c>
    </row>
    <row r="2083" spans="8:13" x14ac:dyDescent="0.25">
      <c r="H2083" t="s">
        <v>2280</v>
      </c>
      <c r="I2083" t="s">
        <v>2281</v>
      </c>
      <c r="J2083">
        <v>0</v>
      </c>
      <c r="K2083">
        <v>0</v>
      </c>
      <c r="L2083">
        <v>0</v>
      </c>
    </row>
    <row r="2084" spans="8:13" x14ac:dyDescent="0.25">
      <c r="H2084" t="s">
        <v>1368</v>
      </c>
      <c r="I2084" t="s">
        <v>2024</v>
      </c>
      <c r="J2084">
        <v>0</v>
      </c>
      <c r="K2084">
        <v>0</v>
      </c>
      <c r="L2084">
        <v>0</v>
      </c>
    </row>
    <row r="2085" spans="8:13" x14ac:dyDescent="0.25">
      <c r="H2085" t="s">
        <v>1269</v>
      </c>
      <c r="I2085" t="s">
        <v>2282</v>
      </c>
      <c r="J2085">
        <v>0</v>
      </c>
      <c r="K2085">
        <v>0</v>
      </c>
      <c r="L2085">
        <v>0</v>
      </c>
    </row>
    <row r="2086" spans="8:13" x14ac:dyDescent="0.25">
      <c r="H2086" t="s">
        <v>2283</v>
      </c>
      <c r="I2086" t="s">
        <v>1115</v>
      </c>
      <c r="J2086">
        <v>0</v>
      </c>
      <c r="K2086">
        <v>0</v>
      </c>
      <c r="L2086">
        <v>0</v>
      </c>
    </row>
    <row r="2087" spans="8:13" x14ac:dyDescent="0.25">
      <c r="H2087" t="s">
        <v>1840</v>
      </c>
      <c r="I2087" t="s">
        <v>2285</v>
      </c>
      <c r="J2087">
        <v>0</v>
      </c>
      <c r="K2087">
        <v>0</v>
      </c>
      <c r="L2087">
        <v>0</v>
      </c>
    </row>
    <row r="2088" spans="8:13" x14ac:dyDescent="0.25">
      <c r="H2088" t="s">
        <v>1829</v>
      </c>
      <c r="I2088" t="s">
        <v>2286</v>
      </c>
      <c r="J2088">
        <v>0</v>
      </c>
      <c r="K2088">
        <v>0</v>
      </c>
      <c r="L2088">
        <v>0</v>
      </c>
    </row>
    <row r="2089" spans="8:13" x14ac:dyDescent="0.25">
      <c r="H2089" t="s">
        <v>2287</v>
      </c>
      <c r="I2089" t="s">
        <v>2288</v>
      </c>
      <c r="J2089">
        <v>0</v>
      </c>
      <c r="K2089">
        <v>0</v>
      </c>
      <c r="L2089">
        <v>0</v>
      </c>
    </row>
    <row r="2090" spans="8:13" x14ac:dyDescent="0.25">
      <c r="H2090" t="s">
        <v>1165</v>
      </c>
      <c r="I2090" t="s">
        <v>2289</v>
      </c>
      <c r="J2090">
        <v>0</v>
      </c>
      <c r="K2090">
        <v>0</v>
      </c>
      <c r="L2090">
        <v>0</v>
      </c>
    </row>
    <row r="2091" spans="8:13" x14ac:dyDescent="0.25">
      <c r="H2091" t="s">
        <v>2290</v>
      </c>
      <c r="I2091" t="s">
        <v>2291</v>
      </c>
      <c r="J2091">
        <v>0</v>
      </c>
      <c r="K2091">
        <v>0</v>
      </c>
      <c r="L2091">
        <v>0</v>
      </c>
    </row>
    <row r="2092" spans="8:13" x14ac:dyDescent="0.25">
      <c r="H2092" t="s">
        <v>2292</v>
      </c>
      <c r="I2092" t="s">
        <v>2293</v>
      </c>
      <c r="J2092">
        <v>0</v>
      </c>
      <c r="K2092">
        <v>0</v>
      </c>
      <c r="L2092">
        <v>0</v>
      </c>
    </row>
    <row r="2093" spans="8:13" x14ac:dyDescent="0.25">
      <c r="H2093" t="s">
        <v>2294</v>
      </c>
      <c r="I2093" t="s">
        <v>2295</v>
      </c>
      <c r="J2093">
        <v>0</v>
      </c>
      <c r="K2093">
        <v>0</v>
      </c>
      <c r="L2093">
        <v>0</v>
      </c>
    </row>
    <row r="2094" spans="8:13" x14ac:dyDescent="0.25">
      <c r="H2094" t="s">
        <v>1253</v>
      </c>
      <c r="I2094" t="s">
        <v>2296</v>
      </c>
      <c r="J2094">
        <v>0</v>
      </c>
      <c r="K2094">
        <v>0</v>
      </c>
      <c r="L2094">
        <v>0</v>
      </c>
    </row>
    <row r="2095" spans="8:13" x14ac:dyDescent="0.25">
      <c r="H2095" t="s">
        <v>1168</v>
      </c>
      <c r="I2095" t="s">
        <v>1981</v>
      </c>
      <c r="J2095">
        <v>0</v>
      </c>
      <c r="K2095">
        <v>0</v>
      </c>
      <c r="L2095">
        <v>0</v>
      </c>
    </row>
    <row r="2096" spans="8:13" x14ac:dyDescent="0.25">
      <c r="H2096" t="s">
        <v>1204</v>
      </c>
      <c r="I2096" t="s">
        <v>1828</v>
      </c>
      <c r="J2096" t="s">
        <v>1199</v>
      </c>
      <c r="K2096">
        <v>0</v>
      </c>
      <c r="L2096">
        <v>0</v>
      </c>
      <c r="M2096">
        <v>0</v>
      </c>
    </row>
    <row r="2097" spans="8:13" x14ac:dyDescent="0.25">
      <c r="H2097" t="s">
        <v>2297</v>
      </c>
      <c r="I2097" t="s">
        <v>1112</v>
      </c>
      <c r="J2097">
        <v>0</v>
      </c>
      <c r="K2097">
        <v>0</v>
      </c>
      <c r="L2097">
        <v>0</v>
      </c>
    </row>
    <row r="2098" spans="8:13" x14ac:dyDescent="0.25">
      <c r="H2098" t="s">
        <v>1116</v>
      </c>
      <c r="I2098" t="s">
        <v>1734</v>
      </c>
      <c r="J2098">
        <v>0</v>
      </c>
      <c r="K2098">
        <v>0</v>
      </c>
      <c r="L2098">
        <v>0</v>
      </c>
    </row>
    <row r="2099" spans="8:13" x14ac:dyDescent="0.25">
      <c r="H2099" t="s">
        <v>2298</v>
      </c>
      <c r="I2099" t="s">
        <v>1707</v>
      </c>
      <c r="J2099">
        <v>0</v>
      </c>
      <c r="K2099">
        <v>0</v>
      </c>
      <c r="L2099">
        <v>0</v>
      </c>
    </row>
    <row r="2100" spans="8:13" x14ac:dyDescent="0.25">
      <c r="H2100" t="s">
        <v>1571</v>
      </c>
      <c r="I2100" t="s">
        <v>2128</v>
      </c>
      <c r="J2100">
        <v>0</v>
      </c>
      <c r="K2100">
        <v>0</v>
      </c>
      <c r="L2100">
        <v>0</v>
      </c>
    </row>
    <row r="2101" spans="8:13" x14ac:dyDescent="0.25">
      <c r="H2101" t="s">
        <v>1086</v>
      </c>
      <c r="I2101" t="s">
        <v>1107</v>
      </c>
      <c r="J2101">
        <v>0</v>
      </c>
      <c r="K2101">
        <v>0</v>
      </c>
      <c r="L2101">
        <v>0</v>
      </c>
    </row>
    <row r="2102" spans="8:13" x14ac:dyDescent="0.25">
      <c r="H2102" t="s">
        <v>2299</v>
      </c>
      <c r="I2102" t="s">
        <v>2300</v>
      </c>
      <c r="J2102">
        <v>0</v>
      </c>
      <c r="K2102">
        <v>0</v>
      </c>
      <c r="L2102">
        <v>0</v>
      </c>
    </row>
    <row r="2103" spans="8:13" x14ac:dyDescent="0.25">
      <c r="H2103" t="s">
        <v>1088</v>
      </c>
      <c r="I2103" t="s">
        <v>2301</v>
      </c>
      <c r="J2103">
        <v>0</v>
      </c>
      <c r="K2103">
        <v>0</v>
      </c>
      <c r="L2103">
        <v>0</v>
      </c>
    </row>
    <row r="2104" spans="8:13" x14ac:dyDescent="0.25">
      <c r="H2104" t="s">
        <v>2302</v>
      </c>
      <c r="I2104" t="s">
        <v>2303</v>
      </c>
      <c r="J2104">
        <v>0</v>
      </c>
      <c r="K2104">
        <v>0</v>
      </c>
      <c r="L2104">
        <v>0</v>
      </c>
    </row>
    <row r="2105" spans="8:13" x14ac:dyDescent="0.25">
      <c r="H2105" t="s">
        <v>2304</v>
      </c>
      <c r="I2105" t="s">
        <v>2305</v>
      </c>
      <c r="J2105">
        <v>0</v>
      </c>
      <c r="K2105">
        <v>0</v>
      </c>
      <c r="L2105">
        <v>0</v>
      </c>
    </row>
    <row r="2106" spans="8:13" x14ac:dyDescent="0.25">
      <c r="H2106" t="s">
        <v>2534</v>
      </c>
      <c r="I2106" t="s">
        <v>2306</v>
      </c>
      <c r="J2106">
        <v>0</v>
      </c>
      <c r="K2106">
        <v>0</v>
      </c>
      <c r="L2106">
        <v>0</v>
      </c>
    </row>
    <row r="2107" spans="8:13" x14ac:dyDescent="0.25">
      <c r="H2107" t="s">
        <v>2307</v>
      </c>
      <c r="I2107" t="s">
        <v>2308</v>
      </c>
      <c r="J2107">
        <v>0</v>
      </c>
      <c r="K2107">
        <v>0</v>
      </c>
      <c r="L2107">
        <v>0</v>
      </c>
    </row>
    <row r="2108" spans="8:13" x14ac:dyDescent="0.25">
      <c r="H2108" t="s">
        <v>1060</v>
      </c>
      <c r="I2108" t="s">
        <v>1422</v>
      </c>
      <c r="J2108">
        <v>0</v>
      </c>
      <c r="K2108">
        <v>0</v>
      </c>
      <c r="L2108">
        <v>0</v>
      </c>
    </row>
    <row r="2109" spans="8:13" x14ac:dyDescent="0.25">
      <c r="H2109" t="s">
        <v>2309</v>
      </c>
      <c r="I2109" t="s">
        <v>1858</v>
      </c>
      <c r="J2109">
        <v>0</v>
      </c>
      <c r="K2109">
        <v>0</v>
      </c>
      <c r="L2109">
        <v>0</v>
      </c>
    </row>
    <row r="2110" spans="8:13" x14ac:dyDescent="0.25">
      <c r="H2110" t="s">
        <v>1848</v>
      </c>
      <c r="I2110" t="s">
        <v>1587</v>
      </c>
      <c r="J2110">
        <v>0</v>
      </c>
      <c r="K2110">
        <v>0</v>
      </c>
      <c r="L2110">
        <v>0</v>
      </c>
    </row>
    <row r="2111" spans="8:13" x14ac:dyDescent="0.25">
      <c r="H2111" t="s">
        <v>1593</v>
      </c>
      <c r="I2111" t="s">
        <v>1429</v>
      </c>
      <c r="J2111">
        <v>0</v>
      </c>
      <c r="K2111">
        <v>0</v>
      </c>
      <c r="L2111">
        <v>0</v>
      </c>
    </row>
    <row r="2112" spans="8:13" x14ac:dyDescent="0.25">
      <c r="H2112" t="s">
        <v>2310</v>
      </c>
      <c r="I2112" t="s">
        <v>2311</v>
      </c>
      <c r="J2112" t="s">
        <v>1122</v>
      </c>
      <c r="K2112">
        <v>0</v>
      </c>
      <c r="L2112">
        <v>0</v>
      </c>
      <c r="M2112">
        <v>0</v>
      </c>
    </row>
    <row r="2113" spans="8:12" x14ac:dyDescent="0.25">
      <c r="H2113" t="s">
        <v>2312</v>
      </c>
      <c r="I2113" t="s">
        <v>1117</v>
      </c>
      <c r="J2113">
        <v>0</v>
      </c>
      <c r="K2113">
        <v>0</v>
      </c>
      <c r="L2113">
        <v>0</v>
      </c>
    </row>
    <row r="2114" spans="8:12" x14ac:dyDescent="0.25">
      <c r="H2114" t="s">
        <v>2313</v>
      </c>
      <c r="I2114" t="s">
        <v>2314</v>
      </c>
      <c r="J2114">
        <v>0</v>
      </c>
      <c r="K2114">
        <v>0</v>
      </c>
      <c r="L2114">
        <v>0</v>
      </c>
    </row>
    <row r="2115" spans="8:12" x14ac:dyDescent="0.25">
      <c r="H2115" t="s">
        <v>1300</v>
      </c>
      <c r="I2115" t="s">
        <v>2315</v>
      </c>
      <c r="J2115">
        <v>0</v>
      </c>
      <c r="K2115">
        <v>0</v>
      </c>
      <c r="L2115">
        <v>0</v>
      </c>
    </row>
    <row r="2116" spans="8:12" x14ac:dyDescent="0.25">
      <c r="H2116" t="s">
        <v>1417</v>
      </c>
      <c r="I2116" t="s">
        <v>2316</v>
      </c>
      <c r="J2116">
        <v>0</v>
      </c>
      <c r="K2116">
        <v>0</v>
      </c>
      <c r="L2116">
        <v>0</v>
      </c>
    </row>
    <row r="2117" spans="8:12" x14ac:dyDescent="0.25">
      <c r="H2117" t="s">
        <v>1793</v>
      </c>
      <c r="I2117" t="s">
        <v>2317</v>
      </c>
      <c r="J2117">
        <v>0</v>
      </c>
      <c r="K2117">
        <v>0</v>
      </c>
      <c r="L2117">
        <v>0</v>
      </c>
    </row>
    <row r="2118" spans="8:12" x14ac:dyDescent="0.25">
      <c r="H2118" t="s">
        <v>2318</v>
      </c>
      <c r="I2118" t="s">
        <v>2319</v>
      </c>
      <c r="J2118">
        <v>0</v>
      </c>
      <c r="K2118">
        <v>0</v>
      </c>
      <c r="L2118">
        <v>0</v>
      </c>
    </row>
    <row r="2119" spans="8:12" x14ac:dyDescent="0.25">
      <c r="H2119" t="s">
        <v>1723</v>
      </c>
      <c r="I2119" t="s">
        <v>2320</v>
      </c>
      <c r="J2119">
        <v>0</v>
      </c>
      <c r="K2119">
        <v>0</v>
      </c>
      <c r="L2119">
        <v>0</v>
      </c>
    </row>
    <row r="2120" spans="8:12" x14ac:dyDescent="0.25">
      <c r="H2120" t="s">
        <v>1670</v>
      </c>
      <c r="I2120" t="s">
        <v>2321</v>
      </c>
      <c r="J2120">
        <v>0</v>
      </c>
      <c r="K2120">
        <v>0</v>
      </c>
      <c r="L2120">
        <v>0</v>
      </c>
    </row>
    <row r="2121" spans="8:12" x14ac:dyDescent="0.25">
      <c r="H2121" t="s">
        <v>1092</v>
      </c>
      <c r="I2121" t="s">
        <v>2322</v>
      </c>
      <c r="J2121">
        <v>0</v>
      </c>
      <c r="K2121">
        <v>0</v>
      </c>
      <c r="L2121">
        <v>0</v>
      </c>
    </row>
    <row r="2122" spans="8:12" x14ac:dyDescent="0.25">
      <c r="H2122" t="s">
        <v>1836</v>
      </c>
      <c r="I2122" t="s">
        <v>2323</v>
      </c>
      <c r="J2122">
        <v>0</v>
      </c>
      <c r="K2122">
        <v>0</v>
      </c>
      <c r="L2122">
        <v>0</v>
      </c>
    </row>
    <row r="2123" spans="8:12" x14ac:dyDescent="0.25">
      <c r="H2123" t="s">
        <v>2070</v>
      </c>
      <c r="I2123" t="s">
        <v>2097</v>
      </c>
      <c r="J2123">
        <v>0</v>
      </c>
      <c r="K2123">
        <v>0</v>
      </c>
      <c r="L2123">
        <v>0</v>
      </c>
    </row>
    <row r="2124" spans="8:12" x14ac:dyDescent="0.25">
      <c r="H2124" t="s">
        <v>1284</v>
      </c>
      <c r="I2124" t="s">
        <v>1849</v>
      </c>
      <c r="J2124">
        <v>0</v>
      </c>
      <c r="K2124">
        <v>0</v>
      </c>
      <c r="L2124">
        <v>0</v>
      </c>
    </row>
    <row r="2125" spans="8:12" x14ac:dyDescent="0.25">
      <c r="H2125" t="s">
        <v>2324</v>
      </c>
      <c r="I2125" t="s">
        <v>1777</v>
      </c>
      <c r="J2125">
        <v>0</v>
      </c>
      <c r="K2125">
        <v>0</v>
      </c>
      <c r="L2125">
        <v>0</v>
      </c>
    </row>
    <row r="2126" spans="8:12" x14ac:dyDescent="0.25">
      <c r="H2126" t="s">
        <v>1451</v>
      </c>
      <c r="I2126" t="s">
        <v>1051</v>
      </c>
      <c r="J2126">
        <v>0</v>
      </c>
      <c r="K2126">
        <v>0</v>
      </c>
      <c r="L2126">
        <v>0</v>
      </c>
    </row>
    <row r="2127" spans="8:12" x14ac:dyDescent="0.25">
      <c r="H2127" t="s">
        <v>2325</v>
      </c>
      <c r="I2127" t="s">
        <v>2326</v>
      </c>
      <c r="J2127">
        <v>0</v>
      </c>
      <c r="K2127">
        <v>0</v>
      </c>
      <c r="L2127">
        <v>0</v>
      </c>
    </row>
    <row r="2128" spans="8:12" x14ac:dyDescent="0.25">
      <c r="H2128" t="s">
        <v>1836</v>
      </c>
      <c r="I2128" t="s">
        <v>2327</v>
      </c>
      <c r="J2128">
        <v>0</v>
      </c>
      <c r="K2128">
        <v>0</v>
      </c>
      <c r="L2128">
        <v>0</v>
      </c>
    </row>
    <row r="2129" spans="8:12" x14ac:dyDescent="0.25">
      <c r="H2129" t="s">
        <v>1070</v>
      </c>
      <c r="I2129" t="s">
        <v>2317</v>
      </c>
      <c r="J2129">
        <v>0</v>
      </c>
      <c r="K2129">
        <v>0</v>
      </c>
      <c r="L2129">
        <v>0</v>
      </c>
    </row>
    <row r="2130" spans="8:12" x14ac:dyDescent="0.25">
      <c r="H2130" t="s">
        <v>2328</v>
      </c>
      <c r="I2130" t="s">
        <v>1145</v>
      </c>
      <c r="J2130">
        <v>0</v>
      </c>
      <c r="K2130">
        <v>0</v>
      </c>
      <c r="L2130">
        <v>0</v>
      </c>
    </row>
    <row r="2131" spans="8:12" x14ac:dyDescent="0.25">
      <c r="H2131" t="s">
        <v>1942</v>
      </c>
      <c r="I2131" t="s">
        <v>2329</v>
      </c>
      <c r="J2131">
        <v>0</v>
      </c>
      <c r="K2131">
        <v>0</v>
      </c>
      <c r="L2131">
        <v>0</v>
      </c>
    </row>
    <row r="2132" spans="8:12" x14ac:dyDescent="0.25">
      <c r="H2132" t="s">
        <v>1907</v>
      </c>
      <c r="I2132" t="s">
        <v>2330</v>
      </c>
      <c r="J2132">
        <v>0</v>
      </c>
      <c r="K2132">
        <v>0</v>
      </c>
      <c r="L2132">
        <v>0</v>
      </c>
    </row>
    <row r="2133" spans="8:12" x14ac:dyDescent="0.25">
      <c r="H2133" t="s">
        <v>1560</v>
      </c>
      <c r="I2133" t="s">
        <v>1143</v>
      </c>
      <c r="J2133">
        <v>0</v>
      </c>
      <c r="K2133">
        <v>0</v>
      </c>
      <c r="L2133">
        <v>0</v>
      </c>
    </row>
    <row r="2134" spans="8:12" x14ac:dyDescent="0.25">
      <c r="H2134" t="s">
        <v>2528</v>
      </c>
      <c r="I2134" t="s">
        <v>2331</v>
      </c>
      <c r="J2134">
        <v>0</v>
      </c>
      <c r="K2134">
        <v>0</v>
      </c>
      <c r="L2134">
        <v>0</v>
      </c>
    </row>
    <row r="2135" spans="8:12" x14ac:dyDescent="0.25">
      <c r="H2135" t="s">
        <v>2297</v>
      </c>
      <c r="I2135" t="s">
        <v>2246</v>
      </c>
      <c r="J2135">
        <v>0</v>
      </c>
      <c r="K2135">
        <v>0</v>
      </c>
      <c r="L2135">
        <v>0</v>
      </c>
    </row>
    <row r="2136" spans="8:12" x14ac:dyDescent="0.25">
      <c r="H2136" t="s">
        <v>1248</v>
      </c>
      <c r="I2136" t="s">
        <v>1447</v>
      </c>
      <c r="J2136">
        <v>0</v>
      </c>
      <c r="K2136">
        <v>0</v>
      </c>
      <c r="L2136">
        <v>0</v>
      </c>
    </row>
    <row r="2137" spans="8:12" x14ac:dyDescent="0.25">
      <c r="H2137" t="s">
        <v>2165</v>
      </c>
      <c r="I2137" t="s">
        <v>1622</v>
      </c>
      <c r="J2137">
        <v>0</v>
      </c>
      <c r="K2137">
        <v>0</v>
      </c>
      <c r="L2137">
        <v>0</v>
      </c>
    </row>
    <row r="2138" spans="8:12" x14ac:dyDescent="0.25">
      <c r="H2138" t="s">
        <v>1044</v>
      </c>
      <c r="I2138" t="s">
        <v>2332</v>
      </c>
      <c r="J2138">
        <v>0</v>
      </c>
      <c r="K2138">
        <v>0</v>
      </c>
      <c r="L2138">
        <v>0</v>
      </c>
    </row>
    <row r="2139" spans="8:12" x14ac:dyDescent="0.25">
      <c r="H2139" t="s">
        <v>2333</v>
      </c>
      <c r="I2139" t="s">
        <v>1746</v>
      </c>
      <c r="J2139">
        <v>0</v>
      </c>
      <c r="K2139">
        <v>0</v>
      </c>
      <c r="L2139">
        <v>0</v>
      </c>
    </row>
    <row r="2140" spans="8:12" x14ac:dyDescent="0.25">
      <c r="H2140" t="s">
        <v>1055</v>
      </c>
      <c r="I2140" t="s">
        <v>2337</v>
      </c>
      <c r="J2140">
        <v>0</v>
      </c>
      <c r="K2140">
        <v>0</v>
      </c>
      <c r="L2140">
        <v>0</v>
      </c>
    </row>
    <row r="2141" spans="8:12" x14ac:dyDescent="0.25">
      <c r="H2141" t="s">
        <v>2338</v>
      </c>
      <c r="I2141" t="s">
        <v>2339</v>
      </c>
      <c r="J2141">
        <v>0</v>
      </c>
      <c r="K2141">
        <v>0</v>
      </c>
      <c r="L2141">
        <v>0</v>
      </c>
    </row>
    <row r="2142" spans="8:12" x14ac:dyDescent="0.25">
      <c r="H2142" t="s">
        <v>1044</v>
      </c>
      <c r="I2142" t="s">
        <v>1705</v>
      </c>
      <c r="J2142">
        <v>0</v>
      </c>
      <c r="K2142">
        <v>0</v>
      </c>
      <c r="L2142">
        <v>0</v>
      </c>
    </row>
    <row r="2143" spans="8:12" x14ac:dyDescent="0.25">
      <c r="H2143" t="s">
        <v>1239</v>
      </c>
      <c r="I2143" t="s">
        <v>1765</v>
      </c>
      <c r="J2143">
        <v>0</v>
      </c>
      <c r="K2143">
        <v>0</v>
      </c>
      <c r="L2143">
        <v>0</v>
      </c>
    </row>
    <row r="2144" spans="8:12" x14ac:dyDescent="0.25">
      <c r="H2144" t="s">
        <v>2340</v>
      </c>
      <c r="I2144" t="s">
        <v>2341</v>
      </c>
      <c r="J2144">
        <v>0</v>
      </c>
      <c r="K2144">
        <v>0</v>
      </c>
      <c r="L2144">
        <v>0</v>
      </c>
    </row>
    <row r="2145" spans="8:13" x14ac:dyDescent="0.25">
      <c r="H2145" t="s">
        <v>1836</v>
      </c>
      <c r="I2145" t="s">
        <v>1292</v>
      </c>
      <c r="J2145">
        <v>0</v>
      </c>
      <c r="K2145">
        <v>0</v>
      </c>
      <c r="L2145">
        <v>0</v>
      </c>
    </row>
    <row r="2146" spans="8:13" x14ac:dyDescent="0.25">
      <c r="H2146" t="s">
        <v>1142</v>
      </c>
      <c r="I2146" t="s">
        <v>2344</v>
      </c>
      <c r="J2146">
        <v>0</v>
      </c>
      <c r="K2146">
        <v>0</v>
      </c>
      <c r="L2146">
        <v>0</v>
      </c>
    </row>
    <row r="2147" spans="8:13" x14ac:dyDescent="0.25">
      <c r="H2147" t="s">
        <v>1120</v>
      </c>
      <c r="I2147" t="s">
        <v>1198</v>
      </c>
      <c r="J2147">
        <v>0</v>
      </c>
      <c r="K2147">
        <v>0</v>
      </c>
      <c r="L2147">
        <v>0</v>
      </c>
    </row>
    <row r="2148" spans="8:13" x14ac:dyDescent="0.25">
      <c r="H2148" t="s">
        <v>2345</v>
      </c>
      <c r="I2148" t="s">
        <v>1107</v>
      </c>
      <c r="J2148">
        <v>0</v>
      </c>
      <c r="K2148">
        <v>0</v>
      </c>
      <c r="L2148">
        <v>0</v>
      </c>
    </row>
    <row r="2149" spans="8:13" x14ac:dyDescent="0.25">
      <c r="H2149" t="s">
        <v>2344</v>
      </c>
      <c r="I2149" t="s">
        <v>2346</v>
      </c>
      <c r="J2149">
        <v>0</v>
      </c>
      <c r="K2149">
        <v>0</v>
      </c>
      <c r="L2149">
        <v>0</v>
      </c>
    </row>
    <row r="2150" spans="8:13" x14ac:dyDescent="0.25">
      <c r="H2150" t="s">
        <v>2347</v>
      </c>
      <c r="I2150" t="s">
        <v>2348</v>
      </c>
      <c r="J2150">
        <v>0</v>
      </c>
      <c r="K2150">
        <v>0</v>
      </c>
      <c r="L2150">
        <v>0</v>
      </c>
    </row>
    <row r="2151" spans="8:13" x14ac:dyDescent="0.25">
      <c r="H2151" t="s">
        <v>2349</v>
      </c>
      <c r="I2151" t="s">
        <v>2350</v>
      </c>
      <c r="J2151">
        <v>0</v>
      </c>
      <c r="K2151">
        <v>0</v>
      </c>
      <c r="L2151">
        <v>0</v>
      </c>
    </row>
    <row r="2152" spans="8:13" x14ac:dyDescent="0.25">
      <c r="H2152" t="s">
        <v>2351</v>
      </c>
      <c r="I2152" t="s">
        <v>1063</v>
      </c>
      <c r="J2152">
        <v>0</v>
      </c>
      <c r="K2152">
        <v>0</v>
      </c>
      <c r="L2152">
        <v>0</v>
      </c>
    </row>
    <row r="2153" spans="8:13" x14ac:dyDescent="0.25">
      <c r="H2153" t="s">
        <v>2352</v>
      </c>
      <c r="I2153" t="s">
        <v>1587</v>
      </c>
      <c r="J2153">
        <v>0</v>
      </c>
      <c r="K2153">
        <v>0</v>
      </c>
      <c r="L2153">
        <v>0</v>
      </c>
    </row>
    <row r="2154" spans="8:13" x14ac:dyDescent="0.25">
      <c r="H2154" t="s">
        <v>1284</v>
      </c>
      <c r="I2154" t="s">
        <v>1515</v>
      </c>
      <c r="J2154">
        <v>0</v>
      </c>
      <c r="K2154">
        <v>0</v>
      </c>
      <c r="L2154">
        <v>0</v>
      </c>
    </row>
    <row r="2155" spans="8:13" x14ac:dyDescent="0.25">
      <c r="H2155" t="s">
        <v>2004</v>
      </c>
      <c r="I2155" t="s">
        <v>1037</v>
      </c>
      <c r="J2155" t="s">
        <v>1122</v>
      </c>
      <c r="K2155">
        <v>0</v>
      </c>
      <c r="L2155">
        <v>0</v>
      </c>
      <c r="M2155">
        <v>0</v>
      </c>
    </row>
    <row r="2156" spans="8:13" x14ac:dyDescent="0.25">
      <c r="H2156" t="s">
        <v>1226</v>
      </c>
      <c r="I2156" t="s">
        <v>1138</v>
      </c>
      <c r="J2156">
        <v>0</v>
      </c>
      <c r="K2156">
        <v>0</v>
      </c>
      <c r="L2156">
        <v>0</v>
      </c>
    </row>
    <row r="2157" spans="8:13" x14ac:dyDescent="0.25">
      <c r="H2157" t="s">
        <v>1382</v>
      </c>
      <c r="I2157" t="s">
        <v>2353</v>
      </c>
      <c r="J2157">
        <v>0</v>
      </c>
      <c r="K2157">
        <v>0</v>
      </c>
      <c r="L2157">
        <v>0</v>
      </c>
    </row>
    <row r="2158" spans="8:13" x14ac:dyDescent="0.25">
      <c r="H2158" t="s">
        <v>1743</v>
      </c>
      <c r="I2158" t="s">
        <v>1147</v>
      </c>
      <c r="J2158">
        <v>0</v>
      </c>
      <c r="K2158">
        <v>0</v>
      </c>
      <c r="L2158">
        <v>0</v>
      </c>
    </row>
    <row r="2159" spans="8:13" x14ac:dyDescent="0.25">
      <c r="H2159" t="s">
        <v>1150</v>
      </c>
      <c r="I2159" t="s">
        <v>2354</v>
      </c>
      <c r="J2159">
        <v>0</v>
      </c>
      <c r="K2159">
        <v>0</v>
      </c>
      <c r="L2159">
        <v>0</v>
      </c>
    </row>
    <row r="2160" spans="8:13" x14ac:dyDescent="0.25">
      <c r="H2160" t="s">
        <v>1038</v>
      </c>
      <c r="I2160" t="s">
        <v>2355</v>
      </c>
      <c r="J2160">
        <v>0</v>
      </c>
      <c r="K2160">
        <v>0</v>
      </c>
      <c r="L2160">
        <v>0</v>
      </c>
    </row>
    <row r="2161" spans="8:13" x14ac:dyDescent="0.25">
      <c r="H2161" t="s">
        <v>1284</v>
      </c>
      <c r="I2161" t="s">
        <v>1633</v>
      </c>
      <c r="J2161">
        <v>0</v>
      </c>
      <c r="K2161">
        <v>0</v>
      </c>
      <c r="L2161">
        <v>0</v>
      </c>
    </row>
    <row r="2162" spans="8:13" x14ac:dyDescent="0.25">
      <c r="H2162" t="s">
        <v>2048</v>
      </c>
      <c r="I2162" t="s">
        <v>2356</v>
      </c>
      <c r="J2162">
        <v>0</v>
      </c>
      <c r="K2162">
        <v>0</v>
      </c>
      <c r="L2162">
        <v>0</v>
      </c>
    </row>
    <row r="2163" spans="8:13" x14ac:dyDescent="0.25">
      <c r="H2163" t="s">
        <v>1120</v>
      </c>
      <c r="I2163" t="s">
        <v>2357</v>
      </c>
      <c r="J2163" t="s">
        <v>1224</v>
      </c>
      <c r="K2163">
        <v>0</v>
      </c>
      <c r="L2163">
        <v>0</v>
      </c>
      <c r="M2163">
        <v>0</v>
      </c>
    </row>
    <row r="2164" spans="8:13" x14ac:dyDescent="0.25">
      <c r="H2164" t="s">
        <v>1595</v>
      </c>
      <c r="I2164" t="s">
        <v>2358</v>
      </c>
      <c r="J2164">
        <v>0</v>
      </c>
      <c r="K2164">
        <v>0</v>
      </c>
      <c r="L2164">
        <v>0</v>
      </c>
    </row>
    <row r="2165" spans="8:13" x14ac:dyDescent="0.25">
      <c r="H2165" t="s">
        <v>1056</v>
      </c>
      <c r="I2165" t="s">
        <v>2359</v>
      </c>
      <c r="J2165">
        <v>0</v>
      </c>
      <c r="K2165">
        <v>0</v>
      </c>
      <c r="L2165">
        <v>0</v>
      </c>
    </row>
    <row r="2166" spans="8:13" x14ac:dyDescent="0.25">
      <c r="H2166" t="s">
        <v>1064</v>
      </c>
      <c r="I2166" t="s">
        <v>1884</v>
      </c>
      <c r="J2166">
        <v>0</v>
      </c>
      <c r="K2166">
        <v>0</v>
      </c>
      <c r="L2166">
        <v>0</v>
      </c>
    </row>
    <row r="2167" spans="8:13" x14ac:dyDescent="0.25">
      <c r="H2167" t="s">
        <v>1269</v>
      </c>
      <c r="I2167" t="s">
        <v>2281</v>
      </c>
      <c r="J2167">
        <v>0</v>
      </c>
      <c r="K2167">
        <v>0</v>
      </c>
      <c r="L2167">
        <v>0</v>
      </c>
    </row>
    <row r="2168" spans="8:13" x14ac:dyDescent="0.25">
      <c r="H2168" t="s">
        <v>1152</v>
      </c>
      <c r="I2168" t="s">
        <v>1878</v>
      </c>
      <c r="J2168">
        <v>0</v>
      </c>
      <c r="K2168">
        <v>0</v>
      </c>
      <c r="L2168">
        <v>0</v>
      </c>
    </row>
    <row r="2169" spans="8:13" x14ac:dyDescent="0.25">
      <c r="H2169" t="s">
        <v>1578</v>
      </c>
      <c r="I2169" t="s">
        <v>1103</v>
      </c>
      <c r="J2169" t="s">
        <v>1122</v>
      </c>
      <c r="K2169">
        <v>0</v>
      </c>
      <c r="L2169">
        <v>0</v>
      </c>
      <c r="M2169">
        <v>0</v>
      </c>
    </row>
    <row r="2170" spans="8:13" x14ac:dyDescent="0.25">
      <c r="H2170" t="s">
        <v>1695</v>
      </c>
      <c r="I2170" t="s">
        <v>2027</v>
      </c>
      <c r="J2170">
        <v>0</v>
      </c>
      <c r="K2170">
        <v>0</v>
      </c>
      <c r="L2170">
        <v>0</v>
      </c>
    </row>
    <row r="2171" spans="8:13" x14ac:dyDescent="0.25">
      <c r="H2171" t="s">
        <v>1811</v>
      </c>
      <c r="I2171" t="s">
        <v>1883</v>
      </c>
      <c r="J2171">
        <v>0</v>
      </c>
      <c r="K2171">
        <v>0</v>
      </c>
      <c r="L2171">
        <v>0</v>
      </c>
    </row>
    <row r="2172" spans="8:13" x14ac:dyDescent="0.25">
      <c r="H2172" t="s">
        <v>1562</v>
      </c>
      <c r="I2172" t="s">
        <v>2231</v>
      </c>
      <c r="J2172">
        <v>0</v>
      </c>
      <c r="K2172">
        <v>0</v>
      </c>
      <c r="L2172">
        <v>0</v>
      </c>
    </row>
    <row r="2173" spans="8:13" x14ac:dyDescent="0.25">
      <c r="H2173" t="s">
        <v>1573</v>
      </c>
      <c r="I2173" t="s">
        <v>2360</v>
      </c>
      <c r="J2173">
        <v>0</v>
      </c>
      <c r="K2173">
        <v>0</v>
      </c>
      <c r="L2173">
        <v>0</v>
      </c>
    </row>
    <row r="2174" spans="8:13" x14ac:dyDescent="0.25">
      <c r="H2174" t="s">
        <v>1443</v>
      </c>
      <c r="I2174" t="s">
        <v>2361</v>
      </c>
      <c r="J2174">
        <v>0</v>
      </c>
      <c r="K2174">
        <v>0</v>
      </c>
      <c r="L2174">
        <v>0</v>
      </c>
    </row>
    <row r="2175" spans="8:13" x14ac:dyDescent="0.25">
      <c r="H2175" t="s">
        <v>1086</v>
      </c>
      <c r="I2175" t="s">
        <v>2362</v>
      </c>
      <c r="J2175">
        <v>0</v>
      </c>
      <c r="K2175">
        <v>0</v>
      </c>
      <c r="L2175">
        <v>0</v>
      </c>
    </row>
    <row r="2176" spans="8:13" x14ac:dyDescent="0.25">
      <c r="H2176" t="s">
        <v>2363</v>
      </c>
      <c r="I2176" t="s">
        <v>2364</v>
      </c>
      <c r="J2176">
        <v>0</v>
      </c>
      <c r="K2176">
        <v>0</v>
      </c>
      <c r="L2176">
        <v>0</v>
      </c>
    </row>
    <row r="2177" spans="8:12" x14ac:dyDescent="0.25">
      <c r="H2177" t="s">
        <v>1611</v>
      </c>
      <c r="I2177" t="s">
        <v>2365</v>
      </c>
      <c r="J2177">
        <v>0</v>
      </c>
      <c r="K2177">
        <v>0</v>
      </c>
      <c r="L2177">
        <v>0</v>
      </c>
    </row>
    <row r="2178" spans="8:12" x14ac:dyDescent="0.25">
      <c r="H2178" t="s">
        <v>1831</v>
      </c>
      <c r="I2178" t="s">
        <v>2366</v>
      </c>
      <c r="J2178">
        <v>0</v>
      </c>
      <c r="K2178">
        <v>0</v>
      </c>
      <c r="L2178">
        <v>0</v>
      </c>
    </row>
    <row r="2179" spans="8:12" x14ac:dyDescent="0.25">
      <c r="H2179" t="s">
        <v>1455</v>
      </c>
      <c r="I2179" t="s">
        <v>1181</v>
      </c>
      <c r="J2179">
        <v>0</v>
      </c>
      <c r="K2179">
        <v>0</v>
      </c>
      <c r="L2179">
        <v>0</v>
      </c>
    </row>
    <row r="2180" spans="8:12" x14ac:dyDescent="0.25">
      <c r="H2180" t="s">
        <v>2313</v>
      </c>
      <c r="I2180" t="s">
        <v>2367</v>
      </c>
      <c r="J2180">
        <v>0</v>
      </c>
      <c r="K2180">
        <v>0</v>
      </c>
      <c r="L2180">
        <v>0</v>
      </c>
    </row>
    <row r="2181" spans="8:12" x14ac:dyDescent="0.25">
      <c r="H2181" t="s">
        <v>1560</v>
      </c>
      <c r="I2181" t="s">
        <v>1180</v>
      </c>
      <c r="J2181">
        <v>0</v>
      </c>
      <c r="K2181">
        <v>0</v>
      </c>
      <c r="L2181">
        <v>0</v>
      </c>
    </row>
    <row r="2182" spans="8:12" x14ac:dyDescent="0.25">
      <c r="H2182" t="s">
        <v>1193</v>
      </c>
      <c r="I2182" t="s">
        <v>1587</v>
      </c>
      <c r="J2182">
        <v>0</v>
      </c>
      <c r="K2182">
        <v>0</v>
      </c>
      <c r="L2182">
        <v>0</v>
      </c>
    </row>
    <row r="2183" spans="8:12" x14ac:dyDescent="0.25">
      <c r="H2183" t="s">
        <v>2042</v>
      </c>
      <c r="I2183" t="s">
        <v>2043</v>
      </c>
      <c r="J2183">
        <v>0</v>
      </c>
      <c r="K2183">
        <v>0</v>
      </c>
      <c r="L2183">
        <v>0</v>
      </c>
    </row>
    <row r="2184" spans="8:12" x14ac:dyDescent="0.25">
      <c r="H2184" t="s">
        <v>1929</v>
      </c>
      <c r="I2184" t="s">
        <v>2368</v>
      </c>
      <c r="J2184">
        <v>0</v>
      </c>
      <c r="K2184">
        <v>0</v>
      </c>
      <c r="L2184">
        <v>0</v>
      </c>
    </row>
    <row r="2185" spans="8:12" x14ac:dyDescent="0.25">
      <c r="H2185" t="s">
        <v>2235</v>
      </c>
      <c r="I2185" t="s">
        <v>1734</v>
      </c>
      <c r="J2185">
        <v>0</v>
      </c>
      <c r="K2185">
        <v>0</v>
      </c>
      <c r="L2185">
        <v>0</v>
      </c>
    </row>
    <row r="2186" spans="8:12" x14ac:dyDescent="0.25">
      <c r="H2186" t="s">
        <v>1250</v>
      </c>
      <c r="I2186" t="s">
        <v>1774</v>
      </c>
      <c r="J2186">
        <v>0</v>
      </c>
      <c r="K2186">
        <v>0</v>
      </c>
      <c r="L2186">
        <v>0</v>
      </c>
    </row>
    <row r="2187" spans="8:12" x14ac:dyDescent="0.25">
      <c r="H2187" t="s">
        <v>1989</v>
      </c>
      <c r="I2187" t="s">
        <v>1214</v>
      </c>
      <c r="J2187">
        <v>0</v>
      </c>
      <c r="K2187">
        <v>0</v>
      </c>
      <c r="L2187">
        <v>0</v>
      </c>
    </row>
    <row r="2188" spans="8:12" x14ac:dyDescent="0.25">
      <c r="H2188" t="s">
        <v>1070</v>
      </c>
      <c r="I2188" t="s">
        <v>2369</v>
      </c>
      <c r="J2188">
        <v>0</v>
      </c>
      <c r="K2188">
        <v>0</v>
      </c>
      <c r="L2188">
        <v>0</v>
      </c>
    </row>
    <row r="2189" spans="8:12" x14ac:dyDescent="0.25">
      <c r="H2189" t="s">
        <v>2052</v>
      </c>
      <c r="I2189" t="s">
        <v>2053</v>
      </c>
      <c r="J2189">
        <v>0</v>
      </c>
      <c r="K2189">
        <v>0</v>
      </c>
      <c r="L2189">
        <v>0</v>
      </c>
    </row>
    <row r="2190" spans="8:12" x14ac:dyDescent="0.25">
      <c r="H2190" t="s">
        <v>1481</v>
      </c>
      <c r="I2190" t="s">
        <v>2370</v>
      </c>
      <c r="J2190">
        <v>0</v>
      </c>
      <c r="K2190">
        <v>0</v>
      </c>
      <c r="L2190">
        <v>0</v>
      </c>
    </row>
    <row r="2191" spans="8:12" x14ac:dyDescent="0.25">
      <c r="H2191" t="s">
        <v>1168</v>
      </c>
      <c r="I2191" t="s">
        <v>2371</v>
      </c>
      <c r="J2191">
        <v>0</v>
      </c>
      <c r="K2191">
        <v>0</v>
      </c>
      <c r="L2191">
        <v>0</v>
      </c>
    </row>
    <row r="2192" spans="8:12" x14ac:dyDescent="0.25">
      <c r="H2192" t="s">
        <v>1646</v>
      </c>
      <c r="I2192" t="s">
        <v>2059</v>
      </c>
      <c r="J2192">
        <v>0</v>
      </c>
      <c r="K2192">
        <v>0</v>
      </c>
      <c r="L2192">
        <v>0</v>
      </c>
    </row>
    <row r="2193" spans="8:12" x14ac:dyDescent="0.25">
      <c r="H2193" t="s">
        <v>2372</v>
      </c>
      <c r="I2193" t="s">
        <v>1229</v>
      </c>
      <c r="J2193">
        <v>0</v>
      </c>
      <c r="K2193">
        <v>0</v>
      </c>
      <c r="L2193">
        <v>0</v>
      </c>
    </row>
    <row r="2194" spans="8:12" x14ac:dyDescent="0.25">
      <c r="H2194" t="s">
        <v>2373</v>
      </c>
      <c r="I2194" t="s">
        <v>2374</v>
      </c>
      <c r="J2194">
        <v>0</v>
      </c>
      <c r="K2194">
        <v>0</v>
      </c>
      <c r="L2194">
        <v>0</v>
      </c>
    </row>
    <row r="2195" spans="8:12" x14ac:dyDescent="0.25">
      <c r="H2195" t="s">
        <v>1150</v>
      </c>
      <c r="I2195" t="s">
        <v>1107</v>
      </c>
      <c r="J2195">
        <v>0</v>
      </c>
      <c r="K2195">
        <v>0</v>
      </c>
      <c r="L2195">
        <v>0</v>
      </c>
    </row>
    <row r="2196" spans="8:12" x14ac:dyDescent="0.25">
      <c r="H2196" t="s">
        <v>2376</v>
      </c>
      <c r="I2196" t="s">
        <v>2377</v>
      </c>
      <c r="J2196">
        <v>0</v>
      </c>
      <c r="K2196">
        <v>0</v>
      </c>
      <c r="L2196">
        <v>0</v>
      </c>
    </row>
    <row r="2197" spans="8:12" x14ac:dyDescent="0.25">
      <c r="H2197" t="s">
        <v>1934</v>
      </c>
      <c r="I2197" t="s">
        <v>2064</v>
      </c>
      <c r="J2197">
        <v>0</v>
      </c>
      <c r="K2197">
        <v>0</v>
      </c>
      <c r="L2197">
        <v>0</v>
      </c>
    </row>
    <row r="2198" spans="8:12" x14ac:dyDescent="0.25">
      <c r="H2198" t="s">
        <v>1443</v>
      </c>
      <c r="I2198" t="s">
        <v>2066</v>
      </c>
      <c r="J2198">
        <v>0</v>
      </c>
      <c r="K2198">
        <v>0</v>
      </c>
      <c r="L2198">
        <v>0</v>
      </c>
    </row>
    <row r="2199" spans="8:12" x14ac:dyDescent="0.25">
      <c r="H2199" t="s">
        <v>2378</v>
      </c>
      <c r="I2199" t="s">
        <v>1298</v>
      </c>
      <c r="J2199">
        <v>0</v>
      </c>
      <c r="K2199">
        <v>0</v>
      </c>
      <c r="L2199">
        <v>0</v>
      </c>
    </row>
    <row r="2200" spans="8:12" x14ac:dyDescent="0.25">
      <c r="H2200" t="s">
        <v>1833</v>
      </c>
      <c r="I2200" t="s">
        <v>2234</v>
      </c>
      <c r="J2200">
        <v>0</v>
      </c>
      <c r="K2200">
        <v>0</v>
      </c>
      <c r="L2200">
        <v>0</v>
      </c>
    </row>
    <row r="2201" spans="8:12" x14ac:dyDescent="0.25">
      <c r="H2201" t="s">
        <v>1455</v>
      </c>
      <c r="I2201" t="s">
        <v>2379</v>
      </c>
      <c r="J2201">
        <v>0</v>
      </c>
      <c r="K2201">
        <v>0</v>
      </c>
      <c r="L2201">
        <v>0</v>
      </c>
    </row>
    <row r="2202" spans="8:12" x14ac:dyDescent="0.25">
      <c r="H2202" t="s">
        <v>2380</v>
      </c>
      <c r="I2202" t="s">
        <v>2381</v>
      </c>
      <c r="J2202">
        <v>0</v>
      </c>
      <c r="K2202">
        <v>0</v>
      </c>
      <c r="L2202">
        <v>0</v>
      </c>
    </row>
    <row r="2203" spans="8:12" x14ac:dyDescent="0.25">
      <c r="H2203" t="s">
        <v>1091</v>
      </c>
      <c r="I2203" t="s">
        <v>2382</v>
      </c>
      <c r="J2203">
        <v>0</v>
      </c>
      <c r="K2203">
        <v>0</v>
      </c>
      <c r="L2203">
        <v>0</v>
      </c>
    </row>
    <row r="2204" spans="8:12" x14ac:dyDescent="0.25">
      <c r="H2204" t="s">
        <v>1226</v>
      </c>
      <c r="I2204" t="s">
        <v>1774</v>
      </c>
      <c r="J2204">
        <v>0</v>
      </c>
      <c r="K2204">
        <v>0</v>
      </c>
      <c r="L2204">
        <v>0</v>
      </c>
    </row>
    <row r="2205" spans="8:12" x14ac:dyDescent="0.25">
      <c r="H2205" t="s">
        <v>2383</v>
      </c>
      <c r="I2205" t="s">
        <v>2384</v>
      </c>
      <c r="J2205">
        <v>0</v>
      </c>
      <c r="K2205">
        <v>0</v>
      </c>
      <c r="L2205">
        <v>0</v>
      </c>
    </row>
    <row r="2206" spans="8:12" x14ac:dyDescent="0.25">
      <c r="H2206" t="s">
        <v>1039</v>
      </c>
      <c r="I2206" t="s">
        <v>2385</v>
      </c>
      <c r="J2206">
        <v>0</v>
      </c>
      <c r="K2206">
        <v>0</v>
      </c>
      <c r="L2206">
        <v>0</v>
      </c>
    </row>
    <row r="2207" spans="8:12" x14ac:dyDescent="0.25">
      <c r="H2207" t="s">
        <v>1291</v>
      </c>
      <c r="I2207" t="s">
        <v>2386</v>
      </c>
      <c r="J2207">
        <v>0</v>
      </c>
      <c r="K2207">
        <v>0</v>
      </c>
      <c r="L2207">
        <v>0</v>
      </c>
    </row>
    <row r="2208" spans="8:12" x14ac:dyDescent="0.25">
      <c r="H2208" t="s">
        <v>1185</v>
      </c>
      <c r="I2208" t="s">
        <v>1774</v>
      </c>
      <c r="J2208">
        <v>0</v>
      </c>
      <c r="K2208">
        <v>0</v>
      </c>
      <c r="L2208">
        <v>0</v>
      </c>
    </row>
    <row r="2209" spans="8:12" x14ac:dyDescent="0.25">
      <c r="H2209" t="s">
        <v>2387</v>
      </c>
      <c r="I2209" t="s">
        <v>1107</v>
      </c>
      <c r="J2209">
        <v>0</v>
      </c>
      <c r="K2209">
        <v>0</v>
      </c>
      <c r="L2209">
        <v>0</v>
      </c>
    </row>
    <row r="2210" spans="8:12" x14ac:dyDescent="0.25">
      <c r="H2210" t="s">
        <v>1313</v>
      </c>
      <c r="I2210" t="s">
        <v>2388</v>
      </c>
      <c r="J2210">
        <v>0</v>
      </c>
      <c r="K2210">
        <v>0</v>
      </c>
      <c r="L2210">
        <v>0</v>
      </c>
    </row>
    <row r="2211" spans="8:12" x14ac:dyDescent="0.25">
      <c r="H2211" t="s">
        <v>2389</v>
      </c>
      <c r="I2211" t="s">
        <v>2390</v>
      </c>
      <c r="J2211">
        <v>0</v>
      </c>
      <c r="K2211">
        <v>0</v>
      </c>
      <c r="L2211">
        <v>0</v>
      </c>
    </row>
    <row r="2212" spans="8:12" x14ac:dyDescent="0.25">
      <c r="H2212" t="s">
        <v>2077</v>
      </c>
      <c r="I2212" t="s">
        <v>2078</v>
      </c>
      <c r="J2212">
        <v>0</v>
      </c>
      <c r="K2212">
        <v>0</v>
      </c>
      <c r="L2212">
        <v>0</v>
      </c>
    </row>
    <row r="2213" spans="8:12" x14ac:dyDescent="0.25">
      <c r="H2213" t="s">
        <v>1323</v>
      </c>
      <c r="I2213" t="s">
        <v>2393</v>
      </c>
      <c r="J2213">
        <v>0</v>
      </c>
      <c r="K2213">
        <v>0</v>
      </c>
      <c r="L2213">
        <v>0</v>
      </c>
    </row>
    <row r="2214" spans="8:12" x14ac:dyDescent="0.25">
      <c r="H2214" t="s">
        <v>1992</v>
      </c>
      <c r="I2214" t="s">
        <v>2394</v>
      </c>
      <c r="J2214">
        <v>0</v>
      </c>
      <c r="K2214">
        <v>0</v>
      </c>
      <c r="L2214">
        <v>0</v>
      </c>
    </row>
    <row r="2215" spans="8:12" x14ac:dyDescent="0.25">
      <c r="H2215" t="s">
        <v>1887</v>
      </c>
      <c r="I2215" t="s">
        <v>1888</v>
      </c>
      <c r="J2215">
        <v>0</v>
      </c>
      <c r="K2215">
        <v>0</v>
      </c>
      <c r="L2215">
        <v>0</v>
      </c>
    </row>
    <row r="2216" spans="8:12" x14ac:dyDescent="0.25">
      <c r="H2216" t="s">
        <v>1040</v>
      </c>
      <c r="I2216" t="s">
        <v>2097</v>
      </c>
      <c r="J2216">
        <v>0</v>
      </c>
      <c r="K2216">
        <v>0</v>
      </c>
      <c r="L2216">
        <v>0</v>
      </c>
    </row>
    <row r="2217" spans="8:12" x14ac:dyDescent="0.25">
      <c r="H2217" t="s">
        <v>2242</v>
      </c>
      <c r="I2217" t="s">
        <v>1133</v>
      </c>
      <c r="J2217">
        <v>0</v>
      </c>
      <c r="K2217">
        <v>0</v>
      </c>
      <c r="L2217">
        <v>0</v>
      </c>
    </row>
    <row r="2218" spans="8:12" x14ac:dyDescent="0.25">
      <c r="H2218" t="s">
        <v>2111</v>
      </c>
      <c r="I2218" t="s">
        <v>2112</v>
      </c>
      <c r="J2218">
        <v>0</v>
      </c>
      <c r="K2218">
        <v>0</v>
      </c>
      <c r="L2218">
        <v>0</v>
      </c>
    </row>
    <row r="2219" spans="8:12" x14ac:dyDescent="0.25">
      <c r="H2219" t="s">
        <v>1070</v>
      </c>
      <c r="I2219" t="s">
        <v>2118</v>
      </c>
      <c r="J2219">
        <v>0</v>
      </c>
      <c r="K2219">
        <v>0</v>
      </c>
      <c r="L2219">
        <v>0</v>
      </c>
    </row>
    <row r="2220" spans="8:12" x14ac:dyDescent="0.25">
      <c r="H2220" t="s">
        <v>2398</v>
      </c>
      <c r="I2220" t="s">
        <v>2399</v>
      </c>
      <c r="J2220">
        <v>0</v>
      </c>
      <c r="K2220">
        <v>0</v>
      </c>
      <c r="L2220">
        <v>0</v>
      </c>
    </row>
    <row r="2221" spans="8:12" x14ac:dyDescent="0.25">
      <c r="H2221" t="s">
        <v>2526</v>
      </c>
      <c r="I2221" t="s">
        <v>1077</v>
      </c>
      <c r="J2221">
        <v>0</v>
      </c>
      <c r="K2221">
        <v>0</v>
      </c>
      <c r="L2221">
        <v>0</v>
      </c>
    </row>
    <row r="2222" spans="8:12" x14ac:dyDescent="0.25">
      <c r="H2222" t="s">
        <v>2400</v>
      </c>
      <c r="I2222" t="s">
        <v>2401</v>
      </c>
      <c r="J2222">
        <v>0</v>
      </c>
      <c r="K2222">
        <v>0</v>
      </c>
      <c r="L2222">
        <v>0</v>
      </c>
    </row>
    <row r="2223" spans="8:12" x14ac:dyDescent="0.25">
      <c r="H2223" t="s">
        <v>1369</v>
      </c>
      <c r="I2223" t="s">
        <v>1143</v>
      </c>
      <c r="J2223">
        <v>0</v>
      </c>
      <c r="K2223">
        <v>0</v>
      </c>
      <c r="L2223">
        <v>0</v>
      </c>
    </row>
    <row r="2224" spans="8:12" x14ac:dyDescent="0.25">
      <c r="H2224" t="s">
        <v>1168</v>
      </c>
      <c r="I2224" t="s">
        <v>2402</v>
      </c>
      <c r="J2224">
        <v>0</v>
      </c>
      <c r="K2224">
        <v>0</v>
      </c>
      <c r="L2224">
        <v>0</v>
      </c>
    </row>
    <row r="2225" spans="8:12" x14ac:dyDescent="0.25">
      <c r="H2225" t="s">
        <v>1907</v>
      </c>
      <c r="I2225" t="s">
        <v>2403</v>
      </c>
      <c r="J2225">
        <v>0</v>
      </c>
      <c r="K2225">
        <v>0</v>
      </c>
      <c r="L2225">
        <v>0</v>
      </c>
    </row>
    <row r="2226" spans="8:12" x14ac:dyDescent="0.25">
      <c r="H2226" t="s">
        <v>1368</v>
      </c>
      <c r="I2226" t="s">
        <v>2126</v>
      </c>
      <c r="J2226">
        <v>0</v>
      </c>
      <c r="K2226">
        <v>0</v>
      </c>
      <c r="L2226">
        <v>0</v>
      </c>
    </row>
    <row r="2227" spans="8:12" x14ac:dyDescent="0.25">
      <c r="H2227" t="s">
        <v>2404</v>
      </c>
      <c r="I2227" t="s">
        <v>2405</v>
      </c>
      <c r="J2227">
        <v>0</v>
      </c>
      <c r="K2227">
        <v>0</v>
      </c>
      <c r="L2227">
        <v>0</v>
      </c>
    </row>
    <row r="2228" spans="8:12" x14ac:dyDescent="0.25">
      <c r="H2228" t="s">
        <v>1368</v>
      </c>
      <c r="I2228" t="s">
        <v>2406</v>
      </c>
      <c r="J2228">
        <v>0</v>
      </c>
      <c r="K2228">
        <v>0</v>
      </c>
      <c r="L2228">
        <v>0</v>
      </c>
    </row>
    <row r="2229" spans="8:12" x14ac:dyDescent="0.25">
      <c r="H2229" t="s">
        <v>1477</v>
      </c>
      <c r="I2229" t="s">
        <v>1478</v>
      </c>
      <c r="J2229">
        <v>0</v>
      </c>
      <c r="K2229">
        <v>0</v>
      </c>
      <c r="L2229">
        <v>0</v>
      </c>
    </row>
    <row r="2230" spans="8:12" x14ac:dyDescent="0.25">
      <c r="H2230" t="s">
        <v>1126</v>
      </c>
      <c r="I2230" t="s">
        <v>2408</v>
      </c>
      <c r="J2230">
        <v>0</v>
      </c>
      <c r="K2230">
        <v>0</v>
      </c>
      <c r="L2230">
        <v>0</v>
      </c>
    </row>
    <row r="2231" spans="8:12" x14ac:dyDescent="0.25">
      <c r="H2231" t="s">
        <v>1168</v>
      </c>
      <c r="I2231" t="s">
        <v>2138</v>
      </c>
      <c r="J2231">
        <v>0</v>
      </c>
      <c r="K2231">
        <v>0</v>
      </c>
      <c r="L2231">
        <v>0</v>
      </c>
    </row>
    <row r="2232" spans="8:12" x14ac:dyDescent="0.25">
      <c r="H2232" t="s">
        <v>1038</v>
      </c>
      <c r="I2232" t="s">
        <v>1311</v>
      </c>
      <c r="J2232">
        <v>0</v>
      </c>
      <c r="K2232">
        <v>0</v>
      </c>
      <c r="L2232">
        <v>0</v>
      </c>
    </row>
    <row r="2233" spans="8:12" x14ac:dyDescent="0.25">
      <c r="H2233" t="s">
        <v>2143</v>
      </c>
      <c r="I2233" t="s">
        <v>2144</v>
      </c>
      <c r="J2233">
        <v>0</v>
      </c>
      <c r="K2233">
        <v>0</v>
      </c>
      <c r="L2233">
        <v>0</v>
      </c>
    </row>
    <row r="2234" spans="8:12" x14ac:dyDescent="0.25">
      <c r="H2234" t="s">
        <v>1064</v>
      </c>
      <c r="I2234" t="s">
        <v>2663</v>
      </c>
      <c r="J2234">
        <v>0</v>
      </c>
      <c r="K2234">
        <v>0</v>
      </c>
      <c r="L2234">
        <v>0</v>
      </c>
    </row>
    <row r="2235" spans="8:12" x14ac:dyDescent="0.25">
      <c r="H2235" t="s">
        <v>2664</v>
      </c>
      <c r="I2235" t="s">
        <v>2156</v>
      </c>
      <c r="J2235">
        <v>0</v>
      </c>
      <c r="K2235">
        <v>0</v>
      </c>
      <c r="L2235">
        <v>0</v>
      </c>
    </row>
  </sheetData>
  <autoFilter ref="A1:D1115" xr:uid="{00000000-0001-0000-0200-000000000000}"/>
  <sortState xmlns:xlrd2="http://schemas.microsoft.com/office/spreadsheetml/2017/richdata2" ref="A2:D1082">
    <sortCondition descending="1" ref="B2"/>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B81"/>
  <sheetViews>
    <sheetView topLeftCell="A70" workbookViewId="0">
      <selection activeCell="A3" sqref="A3:V81"/>
    </sheetView>
  </sheetViews>
  <sheetFormatPr defaultColWidth="8.85546875" defaultRowHeight="15" x14ac:dyDescent="0.25"/>
  <cols>
    <col min="1" max="1" width="7.140625" bestFit="1" customWidth="1"/>
    <col min="2" max="2" width="18.5703125" bestFit="1" customWidth="1"/>
    <col min="3" max="4" width="6.42578125" bestFit="1" customWidth="1"/>
    <col min="5" max="5" width="6.140625" bestFit="1" customWidth="1"/>
    <col min="6" max="6" width="5.7109375" bestFit="1" customWidth="1"/>
    <col min="7" max="7" width="6.42578125" bestFit="1" customWidth="1"/>
    <col min="8" max="8" width="6.85546875" bestFit="1" customWidth="1"/>
    <col min="9" max="9" width="6.5703125" bestFit="1" customWidth="1"/>
    <col min="10" max="10" width="6.28515625" bestFit="1" customWidth="1"/>
    <col min="11" max="11" width="6.7109375" bestFit="1" customWidth="1"/>
    <col min="12" max="12" width="6.42578125" bestFit="1" customWidth="1"/>
    <col min="13" max="14" width="6.28515625" bestFit="1" customWidth="1"/>
    <col min="15" max="15" width="5.140625" bestFit="1" customWidth="1"/>
    <col min="16" max="16" width="7.140625" bestFit="1" customWidth="1"/>
    <col min="17" max="17" width="13.140625" bestFit="1" customWidth="1"/>
    <col min="18" max="18" width="10.140625" bestFit="1" customWidth="1"/>
    <col min="19" max="19" width="10.28515625" bestFit="1" customWidth="1"/>
    <col min="20" max="20" width="7.28515625" bestFit="1" customWidth="1"/>
    <col min="21" max="21" width="10.42578125" bestFit="1" customWidth="1"/>
    <col min="22" max="22" width="9" style="6" bestFit="1" customWidth="1"/>
    <col min="23" max="23" width="9.42578125" bestFit="1" customWidth="1"/>
    <col min="24" max="24" width="8.85546875" hidden="1" customWidth="1"/>
    <col min="25" max="25" width="8.140625" bestFit="1" customWidth="1"/>
    <col min="26" max="26" width="9.42578125" bestFit="1" customWidth="1"/>
    <col min="27" max="27" width="6.42578125" bestFit="1" customWidth="1"/>
    <col min="28" max="28" width="12.7109375" bestFit="1" customWidth="1"/>
  </cols>
  <sheetData>
    <row r="1" spans="1:28" x14ac:dyDescent="0.25">
      <c r="G1" s="262" t="s">
        <v>251</v>
      </c>
      <c r="H1" s="263"/>
      <c r="I1" s="263"/>
      <c r="J1" s="263"/>
      <c r="K1" s="264"/>
      <c r="L1" s="262" t="s">
        <v>252</v>
      </c>
      <c r="M1" s="263"/>
      <c r="N1" s="263"/>
      <c r="O1" s="264"/>
    </row>
    <row r="2" spans="1:28" x14ac:dyDescent="0.25">
      <c r="A2" s="100" t="s">
        <v>253</v>
      </c>
      <c r="B2" s="100" t="s">
        <v>85</v>
      </c>
      <c r="C2" s="100" t="s">
        <v>254</v>
      </c>
      <c r="D2" s="100" t="s">
        <v>795</v>
      </c>
      <c r="E2" s="100" t="s">
        <v>255</v>
      </c>
      <c r="F2" s="100" t="s">
        <v>256</v>
      </c>
      <c r="G2" s="100" t="s">
        <v>257</v>
      </c>
      <c r="H2" s="100" t="s">
        <v>258</v>
      </c>
      <c r="I2" s="100" t="s">
        <v>259</v>
      </c>
      <c r="J2" s="100" t="s">
        <v>260</v>
      </c>
      <c r="K2" s="100" t="s">
        <v>261</v>
      </c>
      <c r="L2" s="100" t="s">
        <v>257</v>
      </c>
      <c r="M2" s="100" t="s">
        <v>259</v>
      </c>
      <c r="N2" s="100" t="s">
        <v>260</v>
      </c>
      <c r="O2" s="100" t="s">
        <v>262</v>
      </c>
      <c r="P2" s="100" t="s">
        <v>263</v>
      </c>
      <c r="Q2" s="100" t="s">
        <v>264</v>
      </c>
      <c r="R2" s="100" t="s">
        <v>265</v>
      </c>
      <c r="S2" s="100" t="s">
        <v>266</v>
      </c>
      <c r="T2" s="100" t="s">
        <v>267</v>
      </c>
      <c r="U2" s="100" t="s">
        <v>268</v>
      </c>
      <c r="V2" s="100" t="s">
        <v>269</v>
      </c>
      <c r="W2" s="100" t="s">
        <v>270</v>
      </c>
      <c r="X2" s="100"/>
      <c r="Y2" s="100" t="s">
        <v>271</v>
      </c>
      <c r="Z2" s="100" t="s">
        <v>272</v>
      </c>
      <c r="AA2" s="100" t="s">
        <v>273</v>
      </c>
      <c r="AB2" s="100" t="s">
        <v>274</v>
      </c>
    </row>
    <row r="3" spans="1:28" x14ac:dyDescent="0.25">
      <c r="A3">
        <f>RANK(P3,P$3:P$81)</f>
        <v>1</v>
      </c>
      <c r="B3" t="str">
        <f>QB_Raw!A2</f>
        <v>Josh Allen</v>
      </c>
      <c r="C3" t="s">
        <v>29</v>
      </c>
      <c r="D3">
        <f>_xlfn.IFNA(INDEX(BYEs!$E$2:$E$411,MATCH(B3,BYEs!$D$2:$D$411,0)),"N/A")</f>
        <v>25</v>
      </c>
      <c r="E3">
        <f>INDEX(BYEs!$B$2:$B$34,MATCH(F3,BYEs!$A$2:$A$34,0))</f>
        <v>7</v>
      </c>
      <c r="F3" t="str">
        <f>QB_Raw!B2</f>
        <v>BUF</v>
      </c>
      <c r="G3" s="202">
        <f>QB_Raw!C2</f>
        <v>607.5</v>
      </c>
      <c r="H3" s="204">
        <f>QB_Raw!D2</f>
        <v>390.2</v>
      </c>
      <c r="I3" s="204">
        <f>QB_Raw!E2</f>
        <v>4406</v>
      </c>
      <c r="J3" s="204">
        <f>QB_Raw!F2</f>
        <v>34.6</v>
      </c>
      <c r="K3" s="204">
        <f>QB_Raw!G2</f>
        <v>13.9</v>
      </c>
      <c r="L3" s="206">
        <f>QB_Raw!H2</f>
        <v>117.3</v>
      </c>
      <c r="M3" s="204">
        <f>QB_Raw!I2</f>
        <v>663.5</v>
      </c>
      <c r="N3" s="204">
        <f>QB_Raw!J2</f>
        <v>6.9</v>
      </c>
      <c r="O3" s="207">
        <f>QB_Raw!K2</f>
        <v>3.8</v>
      </c>
      <c r="P3" s="209">
        <f>(G3*QBPassAtt)+(I3*PassingYds)+(J3*PassingTD)+(K3*PassingINT)+(M3*QBRushingYd)+(N3*QBRushingTD)+(O3*QBFuml)+(H3*QBCompletion)+(L3*QBRushAtt)</f>
        <v>400.89</v>
      </c>
      <c r="Q3" t="str">
        <f ca="1">IF(A3&lt;=QBStarter,"Starter",IF(A3&gt;QBStarter+QBBench,"Undrafted","Bench"))</f>
        <v>Starter</v>
      </c>
      <c r="R3">
        <f ca="1">IFERROR(MAX(P3-LARGE(QBSheetCount,QBStarter),0),0)</f>
        <v>85.549999999999955</v>
      </c>
      <c r="S3">
        <f ca="1">IFERROR(IF(AllowNegative="Yes",P3-LARGE(QBSheetCount,QBCount),MAX(P3-LARGE(QBSheetCount,QBCount),0)),0)</f>
        <v>141.91200000000003</v>
      </c>
      <c r="T3" s="85">
        <f ca="1">(S3-R3)*BenchPF+R3*StarterPF</f>
        <v>42.221171409480618</v>
      </c>
      <c r="U3" s="85">
        <f ca="1">T3*Auction!$A$2</f>
        <v>42.221171409480618</v>
      </c>
      <c r="V3" s="6" t="str">
        <f>IF(OR(INDEX(Auction!$H$13:$H$656,MATCH(B3,Auction!$A$13:$A$656,0))&gt;0,IFERROR(INDEX(CheatSheet!$D$5:$D$34,MATCH(B3,CheatSheet!$A$5:$A$34,0)),"")&lt;&gt;""),"Yes","No")</f>
        <v>No</v>
      </c>
      <c r="W3" s="179"/>
      <c r="Y3" s="78">
        <f t="shared" ref="Y3:Y34" ca="1" si="0">SUMIFS($Z$3:$Z$38,$Z$3:$Z$38,"&gt;0",$V$3:$V$38,"No")/SUMIF($Z$3:$Z$38,"&gt;0")</f>
        <v>1</v>
      </c>
      <c r="Z3">
        <f t="shared" ref="Z3:Z34" ca="1" si="1">AVERAGE(R3:S3)</f>
        <v>113.73099999999999</v>
      </c>
      <c r="AA3" t="str">
        <f t="shared" ref="AA3:AA34" ca="1" si="2">CONCATENATE("QB",ROUND((LARGE($Z$3:$Z$38,1)-$Z3)/(STDEVA($Z$3:$Z$38)/2)+1,0))</f>
        <v>QB1</v>
      </c>
      <c r="AB3">
        <f ca="1">Z3*LeagueInfo!$H$5</f>
        <v>41.878977478249581</v>
      </c>
    </row>
    <row r="4" spans="1:28" x14ac:dyDescent="0.25">
      <c r="A4">
        <f>RANK(P4,P$3:P$81)</f>
        <v>2</v>
      </c>
      <c r="B4" t="str">
        <f>QB_Raw!A3</f>
        <v>Patrick Mahomes II</v>
      </c>
      <c r="C4" t="s">
        <v>29</v>
      </c>
      <c r="D4" t="str">
        <f>_xlfn.IFNA(INDEX(BYEs!$E$2:$E$411,MATCH(B4,BYEs!$D$2:$D$411,0)),"N/A")</f>
        <v>N/A</v>
      </c>
      <c r="E4">
        <f>INDEX(BYEs!$B$2:$B$34,MATCH(F4,BYEs!$A$2:$A$34,0))</f>
        <v>8</v>
      </c>
      <c r="F4" t="str">
        <f>QB_Raw!B3</f>
        <v>KC</v>
      </c>
      <c r="G4" s="206">
        <f>QB_Raw!C3</f>
        <v>634.29999999999995</v>
      </c>
      <c r="H4" s="204">
        <f>QB_Raw!D3</f>
        <v>417.8</v>
      </c>
      <c r="I4" s="204">
        <f>QB_Raw!E3</f>
        <v>4842.2</v>
      </c>
      <c r="J4" s="204">
        <f>QB_Raw!F3</f>
        <v>35.9</v>
      </c>
      <c r="K4" s="207">
        <f>QB_Raw!G3</f>
        <v>11.6</v>
      </c>
      <c r="L4" s="206">
        <f>QB_Raw!H3</f>
        <v>66.5</v>
      </c>
      <c r="M4" s="204">
        <f>QB_Raw!I3</f>
        <v>359.6</v>
      </c>
      <c r="N4" s="204">
        <f>QB_Raw!J3</f>
        <v>2.8</v>
      </c>
      <c r="O4" s="207">
        <f>QB_Raw!K3</f>
        <v>2.8</v>
      </c>
      <c r="P4" s="209">
        <f>(G4*QBPassAtt)+(I4*PassingYds)+(J4*PassingTD)+(K4*PassingINT)+(M4*QBRushingYd)+(N4*QBRushingTD)+(O4*QBFuml)+(H4*QBCompletion)+(L4*QBRushAtt)</f>
        <v>372.84799999999996</v>
      </c>
      <c r="Q4" t="str">
        <f ca="1">IF(A4&lt;=QBStarter,"Starter",IF(A4&gt;QBStarter+QBBench,"Undrafted","Bench"))</f>
        <v>Starter</v>
      </c>
      <c r="R4">
        <f ca="1">IFERROR(MAX(P4-LARGE(QBSheetCount,QBStarter),0),0)</f>
        <v>57.507999999999925</v>
      </c>
      <c r="S4">
        <f ca="1">IFERROR(IF(AllowNegative="Yes",P4-LARGE(QBSheetCount,QBCount),MAX(P4-LARGE(QBSheetCount,QBCount),0)),0)</f>
        <v>113.87</v>
      </c>
      <c r="T4" s="85">
        <f ca="1">(S4-R4)*BenchPF+R4*StarterPF</f>
        <v>31.731467801887625</v>
      </c>
      <c r="U4" s="85">
        <f ca="1">T4*Auction!$A$2</f>
        <v>31.731467801887625</v>
      </c>
      <c r="V4" s="6" t="str">
        <f>IF(OR(INDEX(Auction!$H$13:$H$656,MATCH(B4,Auction!$A$13:$A$656,0))&gt;0,IFERROR(INDEX(CheatSheet!$D$5:$D$34,MATCH(B4,CheatSheet!$A$5:$A$34,0)),"")&lt;&gt;""),"Yes","No")</f>
        <v>No</v>
      </c>
      <c r="W4" s="179"/>
      <c r="Y4" s="78">
        <f t="shared" ca="1" si="0"/>
        <v>1</v>
      </c>
      <c r="Z4">
        <f t="shared" ca="1" si="1"/>
        <v>85.688999999999965</v>
      </c>
      <c r="AA4" t="str">
        <f t="shared" ca="1" si="2"/>
        <v>QB2</v>
      </c>
      <c r="AB4">
        <f ca="1">Z4*LeagueInfo!$H$5</f>
        <v>31.553118333029055</v>
      </c>
    </row>
    <row r="5" spans="1:28" x14ac:dyDescent="0.25">
      <c r="A5">
        <f>RANK(P5,P$3:P$81)</f>
        <v>3</v>
      </c>
      <c r="B5" t="str">
        <f>QB_Raw!A4</f>
        <v>Justin Herbert</v>
      </c>
      <c r="C5" t="s">
        <v>29</v>
      </c>
      <c r="D5" t="str">
        <f>_xlfn.IFNA(INDEX(BYEs!$E$2:$E$411,MATCH(B5,BYEs!$D$2:$D$411,0)),"N/A")</f>
        <v>N/A</v>
      </c>
      <c r="E5">
        <f>INDEX(BYEs!$B$2:$B$34,MATCH(F5,BYEs!$A$2:$A$34,0))</f>
        <v>8</v>
      </c>
      <c r="F5" t="str">
        <f>QB_Raw!B4</f>
        <v>LAC</v>
      </c>
      <c r="G5" s="206">
        <f>QB_Raw!C4</f>
        <v>625.4</v>
      </c>
      <c r="H5" s="204">
        <f>QB_Raw!D4</f>
        <v>415.3</v>
      </c>
      <c r="I5" s="204">
        <f>QB_Raw!E4</f>
        <v>4682.2</v>
      </c>
      <c r="J5" s="204">
        <f>QB_Raw!F4</f>
        <v>34</v>
      </c>
      <c r="K5" s="207">
        <f>QB_Raw!G4</f>
        <v>13.3</v>
      </c>
      <c r="L5" s="206">
        <f>QB_Raw!H4</f>
        <v>63.9</v>
      </c>
      <c r="M5" s="204">
        <f>QB_Raw!I4</f>
        <v>294.60000000000002</v>
      </c>
      <c r="N5" s="204">
        <f>QB_Raw!J4</f>
        <v>3.2</v>
      </c>
      <c r="O5" s="207">
        <f>QB_Raw!K4</f>
        <v>1.4</v>
      </c>
      <c r="P5" s="209">
        <f>(G5*QBPassAtt)+(I5*PassingYds)+(J5*PassingTD)+(K5*PassingINT)+(M5*QBRushingYd)+(N5*QBRushingTD)+(O5*QBFuml)+(H5*QBCompletion)+(L5*QBRushAtt)</f>
        <v>355.84799999999996</v>
      </c>
      <c r="Q5" t="str">
        <f ca="1">IF(A5&lt;=QBStarter,"Starter",IF(A5&gt;QBStarter+QBBench,"Undrafted","Bench"))</f>
        <v>Starter</v>
      </c>
      <c r="R5">
        <f ca="1">IFERROR(MAX(P5-LARGE(QBSheetCount,QBStarter),0),0)</f>
        <v>40.507999999999925</v>
      </c>
      <c r="S5">
        <f ca="1">IFERROR(IF(AllowNegative="Yes",P5-LARGE(QBSheetCount,QBCount),MAX(P5-LARGE(QBSheetCount,QBCount),0)),0)</f>
        <v>96.87</v>
      </c>
      <c r="T5" s="85">
        <f ca="1">(S5-R5)*BenchPF+R5*StarterPF</f>
        <v>25.372257997698171</v>
      </c>
      <c r="U5" s="85">
        <f ca="1">T5*Auction!$A$2</f>
        <v>25.372257997698171</v>
      </c>
      <c r="V5" s="6" t="str">
        <f>IF(OR(INDEX(Auction!$H$13:$H$656,MATCH(B5,Auction!$A$13:$A$656,0))&gt;0,IFERROR(INDEX(CheatSheet!$D$5:$D$34,MATCH(B5,CheatSheet!$A$5:$A$34,0)),"")&lt;&gt;""),"Yes","No")</f>
        <v>No</v>
      </c>
      <c r="W5" s="179"/>
      <c r="Y5" s="78">
        <f t="shared" ca="1" si="0"/>
        <v>1</v>
      </c>
      <c r="Z5">
        <f t="shared" ca="1" si="1"/>
        <v>68.688999999999965</v>
      </c>
      <c r="AA5" t="str">
        <f t="shared" ca="1" si="2"/>
        <v>QB3</v>
      </c>
      <c r="AB5">
        <f ca="1">Z5*LeagueInfo!$H$5</f>
        <v>25.29323653184694</v>
      </c>
    </row>
    <row r="6" spans="1:28" x14ac:dyDescent="0.25">
      <c r="A6">
        <f>RANK(P6,P$3:P$81)</f>
        <v>4</v>
      </c>
      <c r="B6" t="str">
        <f>QB_Raw!A5</f>
        <v>Lamar Jackson</v>
      </c>
      <c r="C6" t="s">
        <v>29</v>
      </c>
      <c r="D6">
        <f>_xlfn.IFNA(INDEX(BYEs!$E$2:$E$411,MATCH(B6,BYEs!$D$2:$D$411,0)),"N/A")</f>
        <v>24</v>
      </c>
      <c r="E6">
        <f>INDEX(BYEs!$B$2:$B$34,MATCH(F6,BYEs!$A$2:$A$34,0))</f>
        <v>10</v>
      </c>
      <c r="F6" t="str">
        <f>QB_Raw!B5</f>
        <v>BAL</v>
      </c>
      <c r="G6" s="206">
        <f>QB_Raw!C5</f>
        <v>520.5</v>
      </c>
      <c r="H6" s="204">
        <f>QB_Raw!D5</f>
        <v>336.7</v>
      </c>
      <c r="I6" s="204">
        <f>QB_Raw!E5</f>
        <v>3732.7</v>
      </c>
      <c r="J6" s="204">
        <f>QB_Raw!F5</f>
        <v>24.5</v>
      </c>
      <c r="K6" s="207">
        <f>QB_Raw!G5</f>
        <v>13.2</v>
      </c>
      <c r="L6" s="206">
        <f>QB_Raw!H5</f>
        <v>158.69999999999999</v>
      </c>
      <c r="M6" s="204">
        <f>QB_Raw!I5</f>
        <v>956.2</v>
      </c>
      <c r="N6" s="204">
        <f>QB_Raw!J5</f>
        <v>4.9000000000000004</v>
      </c>
      <c r="O6" s="207">
        <f>QB_Raw!K5</f>
        <v>3.5</v>
      </c>
      <c r="P6" s="209">
        <f>(G6*QBPassAtt)+(I6*PassingYds)+(J6*PassingTD)+(K6*PassingINT)+(M6*QBRushingYd)+(N6*QBRushingTD)+(O6*QBFuml)+(H6*QBCompletion)+(L6*QBRushAtt)</f>
        <v>352.12799999999999</v>
      </c>
      <c r="Q6" t="str">
        <f ca="1">IF(A6&lt;=QBStarter,"Starter",IF(A6&gt;QBStarter+QBBench,"Undrafted","Bench"))</f>
        <v>Starter</v>
      </c>
      <c r="R6">
        <f ca="1">IFERROR(MAX(P6-LARGE(QBSheetCount,QBStarter),0),0)</f>
        <v>36.787999999999954</v>
      </c>
      <c r="S6">
        <f ca="1">IFERROR(IF(AllowNegative="Yes",P6-LARGE(QBSheetCount,QBCount),MAX(P6-LARGE(QBSheetCount,QBCount),0)),0)</f>
        <v>93.150000000000034</v>
      </c>
      <c r="T6" s="85">
        <f ca="1">(S6-R6)*BenchPF+R6*StarterPF</f>
        <v>23.98071326407555</v>
      </c>
      <c r="U6" s="85">
        <f ca="1">T6*Auction!$A$2</f>
        <v>23.98071326407555</v>
      </c>
      <c r="V6" s="6" t="str">
        <f>IF(OR(INDEX(Auction!$H$13:$H$656,MATCH(B6,Auction!$A$13:$A$656,0))&gt;0,IFERROR(INDEX(CheatSheet!$D$5:$D$34,MATCH(B6,CheatSheet!$A$5:$A$34,0)),"")&lt;&gt;""),"Yes","No")</f>
        <v>No</v>
      </c>
      <c r="W6" s="179"/>
      <c r="Y6" s="78">
        <f t="shared" ca="1" si="0"/>
        <v>1</v>
      </c>
      <c r="Z6">
        <f t="shared" ca="1" si="1"/>
        <v>64.968999999999994</v>
      </c>
      <c r="AA6" t="str">
        <f t="shared" ca="1" si="2"/>
        <v>QB3</v>
      </c>
      <c r="AB6">
        <f ca="1">Z6*LeagueInfo!$H$5</f>
        <v>23.923427102411804</v>
      </c>
    </row>
    <row r="7" spans="1:28" x14ac:dyDescent="0.25">
      <c r="A7">
        <f>RANK(P7,P$3:P$81)</f>
        <v>5</v>
      </c>
      <c r="B7" t="str">
        <f>QB_Raw!A6</f>
        <v>Kyler Murray</v>
      </c>
      <c r="C7" t="s">
        <v>29</v>
      </c>
      <c r="D7">
        <f>_xlfn.IFNA(INDEX(BYEs!$E$2:$E$411,MATCH(B7,BYEs!$D$2:$D$411,0)),"N/A")</f>
        <v>24</v>
      </c>
      <c r="E7">
        <f>INDEX(BYEs!$B$2:$B$34,MATCH(F7,BYEs!$A$2:$A$34,0))</f>
        <v>13</v>
      </c>
      <c r="F7" t="str">
        <f>QB_Raw!B6</f>
        <v>ARI</v>
      </c>
      <c r="G7" s="206">
        <f>QB_Raw!C6</f>
        <v>570.70000000000005</v>
      </c>
      <c r="H7" s="204">
        <f>QB_Raw!D6</f>
        <v>384.1</v>
      </c>
      <c r="I7" s="204">
        <f>QB_Raw!E6</f>
        <v>4256.8999999999996</v>
      </c>
      <c r="J7" s="204">
        <f>QB_Raw!F6</f>
        <v>27.3</v>
      </c>
      <c r="K7" s="207">
        <f>QB_Raw!G6</f>
        <v>12.4</v>
      </c>
      <c r="L7" s="206">
        <f>QB_Raw!H6</f>
        <v>107.3</v>
      </c>
      <c r="M7" s="204">
        <f>QB_Raw!I6</f>
        <v>552.1</v>
      </c>
      <c r="N7" s="204">
        <f>QB_Raw!J6</f>
        <v>5.5</v>
      </c>
      <c r="O7" s="207">
        <f>QB_Raw!K6</f>
        <v>2.2999999999999998</v>
      </c>
      <c r="P7" s="209">
        <f>(G7*QBPassAtt)+(I7*PassingYds)+(J7*PassingTD)+(K7*PassingINT)+(M7*QBRushingYd)+(N7*QBRushingTD)+(O7*QBFuml)+(H7*QBCompletion)+(L7*QBRushAtt)</f>
        <v>350.68600000000004</v>
      </c>
      <c r="Q7" t="str">
        <f ca="1">IF(A7&lt;=QBStarter,"Starter",IF(A7&gt;QBStarter+QBBench,"Undrafted","Bench"))</f>
        <v>Starter</v>
      </c>
      <c r="R7">
        <f ca="1">IFERROR(MAX(P7-LARGE(QBSheetCount,QBStarter),0),0)</f>
        <v>35.346000000000004</v>
      </c>
      <c r="S7">
        <f ca="1">IFERROR(IF(AllowNegative="Yes",P7-LARGE(QBSheetCount,QBCount),MAX(P7-LARGE(QBSheetCount,QBCount),0)),0)</f>
        <v>91.708000000000084</v>
      </c>
      <c r="T7" s="85">
        <f ca="1">(S7-R7)*BenchPF+R7*StarterPF</f>
        <v>23.441302644214325</v>
      </c>
      <c r="U7" s="85">
        <f ca="1">T7*Auction!$A$2</f>
        <v>23.441302644214325</v>
      </c>
      <c r="V7" s="6" t="str">
        <f>IF(OR(INDEX(Auction!$H$13:$H$656,MATCH(B7,Auction!$A$13:$A$656,0))&gt;0,IFERROR(INDEX(CheatSheet!$D$5:$D$34,MATCH(B7,CheatSheet!$A$5:$A$34,0)),"")&lt;&gt;""),"Yes","No")</f>
        <v>No</v>
      </c>
      <c r="W7" s="179"/>
      <c r="Y7" s="78">
        <f t="shared" ca="1" si="0"/>
        <v>1</v>
      </c>
      <c r="Z7">
        <f t="shared" ca="1" si="1"/>
        <v>63.527000000000044</v>
      </c>
      <c r="AA7" t="str">
        <f t="shared" ca="1" si="2"/>
        <v>QB3</v>
      </c>
      <c r="AB7">
        <f ca="1">Z7*LeagueInfo!$H$5</f>
        <v>23.392441834335081</v>
      </c>
    </row>
    <row r="8" spans="1:28" x14ac:dyDescent="0.25">
      <c r="A8">
        <f>RANK(P8,P$3:P$81)</f>
        <v>6</v>
      </c>
      <c r="B8" t="str">
        <f>QB_Raw!A7</f>
        <v>Jalen Hurts</v>
      </c>
      <c r="C8" t="s">
        <v>29</v>
      </c>
      <c r="D8" t="str">
        <f>_xlfn.IFNA(INDEX(BYEs!$E$2:$E$411,MATCH(B8,BYEs!$D$2:$D$411,0)),"N/A")</f>
        <v>N/A</v>
      </c>
      <c r="E8">
        <f>INDEX(BYEs!$B$2:$B$34,MATCH(F8,BYEs!$A$2:$A$34,0))</f>
        <v>7</v>
      </c>
      <c r="F8" t="str">
        <f>QB_Raw!B7</f>
        <v>PHI</v>
      </c>
      <c r="G8" s="206">
        <f>QB_Raw!C7</f>
        <v>494.9</v>
      </c>
      <c r="H8" s="204">
        <f>QB_Raw!D7</f>
        <v>307.10000000000002</v>
      </c>
      <c r="I8" s="204">
        <f>QB_Raw!E7</f>
        <v>3644.9</v>
      </c>
      <c r="J8" s="204">
        <f>QB_Raw!F7</f>
        <v>24.4</v>
      </c>
      <c r="K8" s="207">
        <f>QB_Raw!G7</f>
        <v>12.6</v>
      </c>
      <c r="L8" s="206">
        <f>QB_Raw!H7</f>
        <v>144.6</v>
      </c>
      <c r="M8" s="204">
        <f>QB_Raw!I7</f>
        <v>772.9</v>
      </c>
      <c r="N8" s="204">
        <f>QB_Raw!J7</f>
        <v>7.9</v>
      </c>
      <c r="O8" s="207">
        <f>QB_Raw!K7</f>
        <v>2.9</v>
      </c>
      <c r="P8" s="209">
        <f>(G8*QBPassAtt)+(I8*PassingYds)+(J8*PassingTD)+(K8*PassingINT)+(M8*QBRushingYd)+(N8*QBRushingTD)+(O8*QBFuml)+(H8*QBCompletion)+(L8*QBRushAtt)</f>
        <v>349.68599999999998</v>
      </c>
      <c r="Q8" t="str">
        <f ca="1">IF(A8&lt;=QBStarter,"Starter",IF(A8&gt;QBStarter+QBBench,"Undrafted","Bench"))</f>
        <v>Starter</v>
      </c>
      <c r="R8">
        <f ca="1">IFERROR(MAX(P8-LARGE(QBSheetCount,QBStarter),0),0)</f>
        <v>34.345999999999947</v>
      </c>
      <c r="S8">
        <f ca="1">IFERROR(IF(AllowNegative="Yes",P8-LARGE(QBSheetCount,QBCount),MAX(P8-LARGE(QBSheetCount,QBCount),0)),0)</f>
        <v>90.708000000000027</v>
      </c>
      <c r="T8" s="85">
        <f ca="1">(S8-R8)*BenchPF+R8*StarterPF</f>
        <v>23.067231479261981</v>
      </c>
      <c r="U8" s="85">
        <f ca="1">T8*Auction!$A$2</f>
        <v>23.067231479261981</v>
      </c>
      <c r="V8" s="6" t="str">
        <f>IF(OR(INDEX(Auction!$H$13:$H$656,MATCH(B8,Auction!$A$13:$A$656,0))&gt;0,IFERROR(INDEX(CheatSheet!$D$5:$D$34,MATCH(B8,CheatSheet!$A$5:$A$34,0)),"")&lt;&gt;""),"Yes","No")</f>
        <v>No</v>
      </c>
      <c r="W8" s="179"/>
      <c r="Y8" s="78">
        <f t="shared" ca="1" si="0"/>
        <v>1</v>
      </c>
      <c r="Z8">
        <f t="shared" ca="1" si="1"/>
        <v>62.526999999999987</v>
      </c>
      <c r="AA8" t="str">
        <f t="shared" ca="1" si="2"/>
        <v>QB3</v>
      </c>
      <c r="AB8">
        <f ca="1">Z8*LeagueInfo!$H$5</f>
        <v>23.024213493089054</v>
      </c>
    </row>
    <row r="9" spans="1:28" x14ac:dyDescent="0.25">
      <c r="A9">
        <f>RANK(P9,P$3:P$81)</f>
        <v>7</v>
      </c>
      <c r="B9" t="str">
        <f>QB_Raw!A8</f>
        <v>Tom Brady</v>
      </c>
      <c r="C9" t="s">
        <v>29</v>
      </c>
      <c r="D9">
        <f>_xlfn.IFNA(INDEX(BYEs!$E$2:$E$411,MATCH(B9,BYEs!$D$2:$D$411,0)),"N/A")</f>
        <v>44</v>
      </c>
      <c r="E9">
        <f>INDEX(BYEs!$B$2:$B$34,MATCH(F9,BYEs!$A$2:$A$34,0))</f>
        <v>11</v>
      </c>
      <c r="F9" t="str">
        <f>QB_Raw!B8</f>
        <v>TB</v>
      </c>
      <c r="G9" s="206">
        <f>QB_Raw!C8</f>
        <v>651.9</v>
      </c>
      <c r="H9" s="204">
        <f>QB_Raw!D8</f>
        <v>433.5</v>
      </c>
      <c r="I9" s="204">
        <f>QB_Raw!E8</f>
        <v>4841.2</v>
      </c>
      <c r="J9" s="204">
        <f>QB_Raw!F8</f>
        <v>36.299999999999997</v>
      </c>
      <c r="K9" s="207">
        <f>QB_Raw!G8</f>
        <v>11.9</v>
      </c>
      <c r="L9" s="206">
        <f>QB_Raw!H8</f>
        <v>27.9</v>
      </c>
      <c r="M9" s="204">
        <f>QB_Raw!I8</f>
        <v>45.7</v>
      </c>
      <c r="N9" s="204">
        <f>QB_Raw!J8</f>
        <v>1.7</v>
      </c>
      <c r="O9" s="207">
        <f>QB_Raw!K8</f>
        <v>2.4</v>
      </c>
      <c r="P9" s="209">
        <f>(G9*QBPassAtt)+(I9*PassingYds)+(J9*PassingTD)+(K9*PassingINT)+(M9*QBRushingYd)+(N9*QBRushingTD)+(O9*QBFuml)+(H9*QBCompletion)+(L9*QBRushAtt)</f>
        <v>336.91799999999995</v>
      </c>
      <c r="Q9" t="str">
        <f ca="1">IF(A9&lt;=QBStarter,"Starter",IF(A9&gt;QBStarter+QBBench,"Undrafted","Bench"))</f>
        <v>Starter</v>
      </c>
      <c r="R9">
        <f ca="1">IFERROR(MAX(P9-LARGE(QBSheetCount,QBStarter),0),0)</f>
        <v>21.577999999999918</v>
      </c>
      <c r="S9">
        <f ca="1">IFERROR(IF(AllowNegative="Yes",P9-LARGE(QBSheetCount,QBCount),MAX(P9-LARGE(QBSheetCount,QBCount),0)),0)</f>
        <v>77.94</v>
      </c>
      <c r="T9" s="85">
        <f ca="1">(S9-R9)*BenchPF+R9*StarterPF</f>
        <v>18.291090845150737</v>
      </c>
      <c r="U9" s="85">
        <f ca="1">T9*Auction!$A$2</f>
        <v>18.291090845150737</v>
      </c>
      <c r="V9" s="6" t="str">
        <f>IF(OR(INDEX(Auction!$H$13:$H$656,MATCH(B9,Auction!$A$13:$A$656,0))&gt;0,IFERROR(INDEX(CheatSheet!$D$5:$D$34,MATCH(B9,CheatSheet!$A$5:$A$34,0)),"")&lt;&gt;""),"Yes","No")</f>
        <v>No</v>
      </c>
      <c r="W9" s="179"/>
      <c r="Y9" s="78">
        <f t="shared" ca="1" si="0"/>
        <v>1</v>
      </c>
      <c r="Z9">
        <f t="shared" ca="1" si="1"/>
        <v>49.758999999999958</v>
      </c>
      <c r="AA9" t="str">
        <f t="shared" ca="1" si="2"/>
        <v>QB4</v>
      </c>
      <c r="AB9">
        <f ca="1">Z9*LeagueInfo!$H$5</f>
        <v>18.322674032060032</v>
      </c>
    </row>
    <row r="10" spans="1:28" x14ac:dyDescent="0.25">
      <c r="A10">
        <f>RANK(P10,P$3:P$81)</f>
        <v>8</v>
      </c>
      <c r="B10" t="str">
        <f>QB_Raw!A9</f>
        <v>Dak Prescott</v>
      </c>
      <c r="C10" t="s">
        <v>29</v>
      </c>
      <c r="D10">
        <f>_xlfn.IFNA(INDEX(BYEs!$E$2:$E$411,MATCH(B10,BYEs!$D$2:$D$411,0)),"N/A")</f>
        <v>28</v>
      </c>
      <c r="E10">
        <f>INDEX(BYEs!$B$2:$B$34,MATCH(F10,BYEs!$A$2:$A$34,0))</f>
        <v>9</v>
      </c>
      <c r="F10" t="str">
        <f>QB_Raw!B9</f>
        <v>DAL</v>
      </c>
      <c r="G10" s="206">
        <f>QB_Raw!C9</f>
        <v>594</v>
      </c>
      <c r="H10" s="204">
        <f>QB_Raw!D9</f>
        <v>399.6</v>
      </c>
      <c r="I10" s="204">
        <f>QB_Raw!E9</f>
        <v>4549.7</v>
      </c>
      <c r="J10" s="204">
        <f>QB_Raw!F9</f>
        <v>32.700000000000003</v>
      </c>
      <c r="K10" s="207">
        <f>QB_Raw!G9</f>
        <v>11.7</v>
      </c>
      <c r="L10" s="206">
        <f>QB_Raw!H9</f>
        <v>55.8</v>
      </c>
      <c r="M10" s="204">
        <f>QB_Raw!I9</f>
        <v>230.7</v>
      </c>
      <c r="N10" s="204">
        <f>QB_Raw!J9</f>
        <v>2.9</v>
      </c>
      <c r="O10" s="207">
        <f>QB_Raw!K9</f>
        <v>4.0999999999999996</v>
      </c>
      <c r="P10" s="209">
        <f>(G10*QBPassAtt)+(I10*PassingYds)+(J10*PassingTD)+(K10*PassingINT)+(M10*QBRushingYd)+(N10*QBRushingTD)+(O10*QBFuml)+(H10*QBCompletion)+(L10*QBRushAtt)</f>
        <v>333.358</v>
      </c>
      <c r="Q10" t="str">
        <f ca="1">IF(A10&lt;=QBStarter,"Starter",IF(A10&gt;QBStarter+QBBench,"Undrafted","Bench"))</f>
        <v>Starter</v>
      </c>
      <c r="R10">
        <f ca="1">IFERROR(MAX(P10-LARGE(QBSheetCount,QBStarter),0),0)</f>
        <v>18.017999999999972</v>
      </c>
      <c r="S10">
        <f ca="1">IFERROR(IF(AllowNegative="Yes",P10-LARGE(QBSheetCount,QBCount),MAX(P10-LARGE(QBSheetCount,QBCount),0)),0)</f>
        <v>74.380000000000052</v>
      </c>
      <c r="T10" s="85">
        <f ca="1">(S10-R10)*BenchPF+R10*StarterPF</f>
        <v>16.959397497920495</v>
      </c>
      <c r="U10" s="85">
        <f ca="1">T10*Auction!$A$2</f>
        <v>16.959397497920495</v>
      </c>
      <c r="V10" s="6" t="str">
        <f>IF(OR(INDEX(Auction!$H$13:$H$656,MATCH(B10,Auction!$A$13:$A$656,0))&gt;0,IFERROR(INDEX(CheatSheet!$D$5:$D$34,MATCH(B10,CheatSheet!$A$5:$A$34,0)),"")&lt;&gt;""),"Yes","No")</f>
        <v>No</v>
      </c>
      <c r="W10" s="179"/>
      <c r="Y10" s="78">
        <f t="shared" ca="1" si="0"/>
        <v>1</v>
      </c>
      <c r="Z10">
        <f t="shared" ca="1" si="1"/>
        <v>46.199000000000012</v>
      </c>
      <c r="AA10" t="str">
        <f t="shared" ca="1" si="2"/>
        <v>QB4</v>
      </c>
      <c r="AB10">
        <f ca="1">Z10*LeagueInfo!$H$5</f>
        <v>17.011781137224268</v>
      </c>
    </row>
    <row r="11" spans="1:28" x14ac:dyDescent="0.25">
      <c r="A11">
        <f>RANK(P11,P$3:P$81)</f>
        <v>9</v>
      </c>
      <c r="B11" t="str">
        <f>QB_Raw!A10</f>
        <v>Joe Burrow</v>
      </c>
      <c r="C11" t="s">
        <v>29</v>
      </c>
      <c r="D11" t="str">
        <f>_xlfn.IFNA(INDEX(BYEs!$E$2:$E$411,MATCH(B11,BYEs!$D$2:$D$411,0)),"N/A")</f>
        <v>N/A</v>
      </c>
      <c r="E11">
        <f>INDEX(BYEs!$B$2:$B$34,MATCH(F11,BYEs!$A$2:$A$34,0))</f>
        <v>10</v>
      </c>
      <c r="F11" t="str">
        <f>QB_Raw!B10</f>
        <v>CIN</v>
      </c>
      <c r="G11" s="206">
        <f>QB_Raw!C10</f>
        <v>570.1</v>
      </c>
      <c r="H11" s="204">
        <f>QB_Raw!D10</f>
        <v>386.5</v>
      </c>
      <c r="I11" s="204">
        <f>QB_Raw!E10</f>
        <v>4574.5</v>
      </c>
      <c r="J11" s="204">
        <f>QB_Raw!F10</f>
        <v>31.3</v>
      </c>
      <c r="K11" s="207">
        <f>QB_Raw!G10</f>
        <v>12.8</v>
      </c>
      <c r="L11" s="206">
        <f>QB_Raw!H10</f>
        <v>46.6</v>
      </c>
      <c r="M11" s="204">
        <f>QB_Raw!I10</f>
        <v>187.6</v>
      </c>
      <c r="N11" s="204">
        <f>QB_Raw!J10</f>
        <v>2.2000000000000002</v>
      </c>
      <c r="O11" s="207">
        <f>QB_Raw!K10</f>
        <v>1.8</v>
      </c>
      <c r="P11" s="209">
        <f>(G11*QBPassAtt)+(I11*PassingYds)+(J11*PassingTD)+(K11*PassingINT)+(M11*QBRushingYd)+(N11*QBRushingTD)+(O11*QBFuml)+(H11*QBCompletion)+(L11*QBRushAtt)</f>
        <v>323.73999999999995</v>
      </c>
      <c r="Q11" t="str">
        <f ca="1">IF(A11&lt;=QBStarter,"Starter",IF(A11&gt;QBStarter+QBBench,"Undrafted","Bench"))</f>
        <v>Starter</v>
      </c>
      <c r="R11">
        <f ca="1">IFERROR(MAX(P11-LARGE(QBSheetCount,QBStarter),0),0)</f>
        <v>8.3999999999999204</v>
      </c>
      <c r="S11">
        <f ca="1">IFERROR(IF(AllowNegative="Yes",P11-LARGE(QBSheetCount,QBCount),MAX(P11-LARGE(QBSheetCount,QBCount),0)),0)</f>
        <v>64.762</v>
      </c>
      <c r="T11" s="85">
        <f ca="1">(S11-R11)*BenchPF+R11*StarterPF</f>
        <v>13.361581033409056</v>
      </c>
      <c r="U11" s="85">
        <f ca="1">T11*Auction!$A$2</f>
        <v>13.361581033409056</v>
      </c>
      <c r="V11" s="6" t="str">
        <f>IF(OR(INDEX(Auction!$H$13:$H$656,MATCH(B11,Auction!$A$13:$A$656,0))&gt;0,IFERROR(INDEX(CheatSheet!$D$5:$D$34,MATCH(B11,CheatSheet!$A$5:$A$34,0)),"")&lt;&gt;""),"Yes","No")</f>
        <v>No</v>
      </c>
      <c r="W11" s="179"/>
      <c r="Y11" s="78">
        <f t="shared" ca="1" si="0"/>
        <v>1</v>
      </c>
      <c r="Z11">
        <f t="shared" ca="1" si="1"/>
        <v>36.58099999999996</v>
      </c>
      <c r="AA11" t="str">
        <f t="shared" ca="1" si="2"/>
        <v>QB4</v>
      </c>
      <c r="AB11">
        <f ca="1">Z11*LeagueInfo!$H$5</f>
        <v>13.470160951120155</v>
      </c>
    </row>
    <row r="12" spans="1:28" x14ac:dyDescent="0.25">
      <c r="A12">
        <f>RANK(P12,P$3:P$81)</f>
        <v>10</v>
      </c>
      <c r="B12" t="str">
        <f>QB_Raw!A11</f>
        <v>Aaron Rodgers</v>
      </c>
      <c r="C12" t="s">
        <v>29</v>
      </c>
      <c r="D12">
        <f>_xlfn.IFNA(INDEX(BYEs!$E$2:$E$411,MATCH(B12,BYEs!$D$2:$D$411,0)),"N/A")</f>
        <v>37</v>
      </c>
      <c r="E12">
        <f>INDEX(BYEs!$B$2:$B$34,MATCH(F12,BYEs!$A$2:$A$34,0))</f>
        <v>14</v>
      </c>
      <c r="F12" t="str">
        <f>QB_Raw!B11</f>
        <v>GB</v>
      </c>
      <c r="G12" s="206">
        <f>QB_Raw!C11</f>
        <v>558.5</v>
      </c>
      <c r="H12" s="204">
        <f>QB_Raw!D11</f>
        <v>376.8</v>
      </c>
      <c r="I12" s="204">
        <f>QB_Raw!E11</f>
        <v>4325.1000000000004</v>
      </c>
      <c r="J12" s="204">
        <f>QB_Raw!F11</f>
        <v>32.799999999999997</v>
      </c>
      <c r="K12" s="207">
        <f>QB_Raw!G11</f>
        <v>7.1</v>
      </c>
      <c r="L12" s="206">
        <f>QB_Raw!H11</f>
        <v>38.700000000000003</v>
      </c>
      <c r="M12" s="204">
        <f>QB_Raw!I11</f>
        <v>136.19999999999999</v>
      </c>
      <c r="N12" s="204">
        <f>QB_Raw!J11</f>
        <v>1.8</v>
      </c>
      <c r="O12" s="207">
        <f>QB_Raw!K11</f>
        <v>1.6</v>
      </c>
      <c r="P12" s="209">
        <f>(G12*QBPassAtt)+(I12*PassingYds)+(J12*PassingTD)+(K12*PassingINT)+(M12*QBRushingYd)+(N12*QBRushingTD)+(O12*QBFuml)+(H12*QBCompletion)+(L12*QBRushAtt)</f>
        <v>318.32400000000001</v>
      </c>
      <c r="Q12" t="str">
        <f ca="1">IF(A12&lt;=QBStarter,"Starter",IF(A12&gt;QBStarter+QBBench,"Undrafted","Bench"))</f>
        <v>Starter</v>
      </c>
      <c r="R12">
        <f ca="1">IFERROR(MAX(P12-LARGE(QBSheetCount,QBStarter),0),0)</f>
        <v>2.9839999999999804</v>
      </c>
      <c r="S12">
        <f ca="1">IFERROR(IF(AllowNegative="Yes",P12-LARGE(QBSheetCount,QBCount),MAX(P12-LARGE(QBSheetCount,QBCount),0)),0)</f>
        <v>59.34600000000006</v>
      </c>
      <c r="T12" s="85">
        <f ca="1">(S12-R12)*BenchPF+R12*StarterPF</f>
        <v>11.335611604027308</v>
      </c>
      <c r="U12" s="85">
        <f ca="1">T12*Auction!$A$2</f>
        <v>11.335611604027308</v>
      </c>
      <c r="V12" s="6" t="str">
        <f>IF(OR(INDEX(Auction!$H$13:$H$656,MATCH(B12,Auction!$A$13:$A$656,0))&gt;0,IFERROR(INDEX(CheatSheet!$D$5:$D$34,MATCH(B12,CheatSheet!$A$5:$A$34,0)),"")&lt;&gt;""),"Yes","No")</f>
        <v>No</v>
      </c>
      <c r="W12" s="179"/>
      <c r="Y12" s="78">
        <f t="shared" ca="1" si="0"/>
        <v>1</v>
      </c>
      <c r="Z12">
        <f t="shared" ca="1" si="1"/>
        <v>31.16500000000002</v>
      </c>
      <c r="AA12" t="str">
        <f t="shared" ca="1" si="2"/>
        <v>QB4</v>
      </c>
      <c r="AB12">
        <f ca="1">Z12*LeagueInfo!$H$5</f>
        <v>11.475836254931805</v>
      </c>
    </row>
    <row r="13" spans="1:28" x14ac:dyDescent="0.25">
      <c r="A13">
        <f>RANK(P13,P$3:P$81)</f>
        <v>11</v>
      </c>
      <c r="B13" t="str">
        <f>QB_Raw!A12</f>
        <v>Matthew Stafford</v>
      </c>
      <c r="C13" t="s">
        <v>29</v>
      </c>
      <c r="D13">
        <f>_xlfn.IFNA(INDEX(BYEs!$E$2:$E$411,MATCH(B13,BYEs!$D$2:$D$411,0)),"N/A")</f>
        <v>33</v>
      </c>
      <c r="E13">
        <f>INDEX(BYEs!$B$2:$B$34,MATCH(F13,BYEs!$A$2:$A$34,0))</f>
        <v>7</v>
      </c>
      <c r="F13" t="str">
        <f>QB_Raw!B12</f>
        <v>LAR</v>
      </c>
      <c r="G13" s="206">
        <f>QB_Raw!C12</f>
        <v>586.9</v>
      </c>
      <c r="H13" s="204">
        <f>QB_Raw!D12</f>
        <v>392.2</v>
      </c>
      <c r="I13" s="204">
        <f>QB_Raw!E12</f>
        <v>4587.8999999999996</v>
      </c>
      <c r="J13" s="204">
        <f>QB_Raw!F12</f>
        <v>33.6</v>
      </c>
      <c r="K13" s="207">
        <f>QB_Raw!G12</f>
        <v>13.9</v>
      </c>
      <c r="L13" s="206">
        <f>QB_Raw!H12</f>
        <v>33.299999999999997</v>
      </c>
      <c r="M13" s="204">
        <f>QB_Raw!I12</f>
        <v>99.2</v>
      </c>
      <c r="N13" s="204">
        <f>QB_Raw!J12</f>
        <v>1.2</v>
      </c>
      <c r="O13" s="207">
        <f>QB_Raw!K12</f>
        <v>2.4</v>
      </c>
      <c r="P13" s="209">
        <f>(G13*QBPassAtt)+(I13*PassingYds)+(J13*PassingTD)+(K13*PassingINT)+(M13*QBRushingYd)+(N13*QBRushingTD)+(O13*QBFuml)+(H13*QBCompletion)+(L13*QBRushAtt)</f>
        <v>316.33600000000001</v>
      </c>
      <c r="Q13" t="str">
        <f ca="1">IF(A13&lt;=QBStarter,"Starter",IF(A13&gt;QBStarter+QBBench,"Undrafted","Bench"))</f>
        <v>Starter</v>
      </c>
      <c r="R13">
        <f ca="1">IFERROR(MAX(P13-LARGE(QBSheetCount,QBStarter),0),0)</f>
        <v>0.9959999999999809</v>
      </c>
      <c r="S13">
        <f ca="1">IFERROR(IF(AllowNegative="Yes",P13-LARGE(QBSheetCount,QBCount),MAX(P13-LARGE(QBSheetCount,QBCount),0)),0)</f>
        <v>57.358000000000061</v>
      </c>
      <c r="T13" s="85">
        <f ca="1">(S13-R13)*BenchPF+R13*StarterPF</f>
        <v>10.591958128102094</v>
      </c>
      <c r="U13" s="85">
        <f ca="1">T13*Auction!$A$2</f>
        <v>10.591958128102094</v>
      </c>
      <c r="V13" s="6" t="str">
        <f>IF(OR(INDEX(Auction!$H$13:$H$656,MATCH(B13,Auction!$A$13:$A$656,0))&gt;0,IFERROR(INDEX(CheatSheet!$D$5:$D$34,MATCH(B13,CheatSheet!$A$5:$A$34,0)),"")&lt;&gt;""),"Yes","No")</f>
        <v>No</v>
      </c>
      <c r="W13" s="179"/>
      <c r="Y13" s="78">
        <f t="shared" ca="1" si="0"/>
        <v>1</v>
      </c>
      <c r="Z13">
        <f t="shared" ca="1" si="1"/>
        <v>29.177000000000021</v>
      </c>
      <c r="AA13" t="str">
        <f t="shared" ca="1" si="2"/>
        <v>QB4</v>
      </c>
      <c r="AB13">
        <f ca="1">Z13*LeagueInfo!$H$5</f>
        <v>10.743798312534745</v>
      </c>
    </row>
    <row r="14" spans="1:28" x14ac:dyDescent="0.25">
      <c r="A14">
        <f>RANK(P14,P$3:P$81)</f>
        <v>12</v>
      </c>
      <c r="B14" t="str">
        <f>QB_Raw!A13</f>
        <v>Trey Lance</v>
      </c>
      <c r="C14" t="s">
        <v>29</v>
      </c>
      <c r="D14" t="str">
        <f>_xlfn.IFNA(INDEX(BYEs!$E$2:$E$411,MATCH(B14,BYEs!$D$2:$D$411,0)),"N/A")</f>
        <v>N/A</v>
      </c>
      <c r="E14">
        <f>INDEX(BYEs!$B$2:$B$34,MATCH(F14,BYEs!$A$2:$A$34,0))</f>
        <v>9</v>
      </c>
      <c r="F14" t="str">
        <f>QB_Raw!B13</f>
        <v>SF</v>
      </c>
      <c r="G14" s="206">
        <f>QB_Raw!C13</f>
        <v>468.5</v>
      </c>
      <c r="H14" s="204">
        <f>QB_Raw!D13</f>
        <v>292.8</v>
      </c>
      <c r="I14" s="204">
        <f>QB_Raw!E13</f>
        <v>3560</v>
      </c>
      <c r="J14" s="204">
        <f>QB_Raw!F13</f>
        <v>23.8</v>
      </c>
      <c r="K14" s="207">
        <f>QB_Raw!G13</f>
        <v>12.7</v>
      </c>
      <c r="L14" s="206">
        <f>QB_Raw!H13</f>
        <v>126.2</v>
      </c>
      <c r="M14" s="204">
        <f>QB_Raw!I13</f>
        <v>644.4</v>
      </c>
      <c r="N14" s="204">
        <f>QB_Raw!J13</f>
        <v>5.2</v>
      </c>
      <c r="O14" s="207">
        <f>QB_Raw!K13</f>
        <v>2.6</v>
      </c>
      <c r="P14" s="209">
        <f>(G14*QBPassAtt)+(I14*PassingYds)+(J14*PassingTD)+(K14*PassingINT)+(M14*QBRushingYd)+(N14*QBRushingTD)+(O14*QBFuml)+(H14*QBCompletion)+(L14*QBRushAtt)</f>
        <v>315.34000000000003</v>
      </c>
      <c r="Q14" t="str">
        <f ca="1">IF(A14&lt;=QBStarter,"Starter",IF(A14&gt;QBStarter+QBBench,"Undrafted","Bench"))</f>
        <v>Starter</v>
      </c>
      <c r="R14">
        <f ca="1">IFERROR(MAX(P14-LARGE(QBSheetCount,QBStarter),0),0)</f>
        <v>0</v>
      </c>
      <c r="S14">
        <f ca="1">IFERROR(IF(AllowNegative="Yes",P14-LARGE(QBSheetCount,QBCount),MAX(P14-LARGE(QBSheetCount,QBCount),0)),0)</f>
        <v>56.36200000000008</v>
      </c>
      <c r="T14" s="85">
        <f ca="1">(S14-R14)*BenchPF+R14*StarterPF</f>
        <v>10.21938324780959</v>
      </c>
      <c r="U14" s="85">
        <f ca="1">T14*Auction!$A$2</f>
        <v>10.21938324780959</v>
      </c>
      <c r="V14" s="6" t="str">
        <f>IF(OR(INDEX(Auction!$H$13:$H$656,MATCH(B14,Auction!$A$13:$A$656,0))&gt;0,IFERROR(INDEX(CheatSheet!$D$5:$D$34,MATCH(B14,CheatSheet!$A$5:$A$34,0)),"")&lt;&gt;""),"Yes","No")</f>
        <v>No</v>
      </c>
      <c r="W14" s="179"/>
      <c r="Y14" s="78">
        <f t="shared" ca="1" si="0"/>
        <v>1</v>
      </c>
      <c r="Z14">
        <f t="shared" ca="1" si="1"/>
        <v>28.18100000000004</v>
      </c>
      <c r="AA14" t="str">
        <f t="shared" ca="1" si="2"/>
        <v>QB5</v>
      </c>
      <c r="AB14">
        <f ca="1">Z14*LeagueInfo!$H$5</f>
        <v>10.377042884653729</v>
      </c>
    </row>
    <row r="15" spans="1:28" x14ac:dyDescent="0.25">
      <c r="A15">
        <f>RANK(P15,P$3:P$81)</f>
        <v>13</v>
      </c>
      <c r="B15" t="str">
        <f>QB_Raw!A14</f>
        <v>Russell Wilson</v>
      </c>
      <c r="C15" t="s">
        <v>29</v>
      </c>
      <c r="D15">
        <f>_xlfn.IFNA(INDEX(BYEs!$E$2:$E$411,MATCH(B15,BYEs!$D$2:$D$411,0)),"N/A")</f>
        <v>32</v>
      </c>
      <c r="E15">
        <f>INDEX(BYEs!$B$2:$B$34,MATCH(F15,BYEs!$A$2:$A$34,0))</f>
        <v>9</v>
      </c>
      <c r="F15" t="str">
        <f>QB_Raw!B14</f>
        <v>DEN</v>
      </c>
      <c r="G15" s="206">
        <f>QB_Raw!C14</f>
        <v>540.20000000000005</v>
      </c>
      <c r="H15" s="204">
        <f>QB_Raw!D14</f>
        <v>356</v>
      </c>
      <c r="I15" s="204">
        <f>QB_Raw!E14</f>
        <v>4108.7</v>
      </c>
      <c r="J15" s="204">
        <f>QB_Raw!F14</f>
        <v>29</v>
      </c>
      <c r="K15" s="207">
        <f>QB_Raw!G14</f>
        <v>9.6</v>
      </c>
      <c r="L15" s="206">
        <f>QB_Raw!H14</f>
        <v>62.7</v>
      </c>
      <c r="M15" s="204">
        <f>QB_Raw!I14</f>
        <v>278.89999999999998</v>
      </c>
      <c r="N15" s="204">
        <f>QB_Raw!J14</f>
        <v>2.1</v>
      </c>
      <c r="O15" s="207">
        <f>QB_Raw!K14</f>
        <v>2.2999999999999998</v>
      </c>
      <c r="P15" s="209">
        <f>(G15*QBPassAtt)+(I15*PassingYds)+(J15*PassingTD)+(K15*PassingINT)+(M15*QBRushingYd)+(N15*QBRushingTD)+(O15*QBFuml)+(H15*QBCompletion)+(L15*QBRushAtt)</f>
        <v>306.63799999999992</v>
      </c>
      <c r="Q15" t="str">
        <f ca="1">IF(A15&lt;=QBStarter,"Starter",IF(A15&gt;QBStarter+QBBench,"Undrafted","Bench"))</f>
        <v>Bench</v>
      </c>
      <c r="R15">
        <f ca="1">IFERROR(MAX(P15-LARGE(QBSheetCount,QBStarter),0),0)</f>
        <v>0</v>
      </c>
      <c r="S15">
        <f ca="1">IFERROR(IF(AllowNegative="Yes",P15-LARGE(QBSheetCount,QBCount),MAX(P15-LARGE(QBSheetCount,QBCount),0)),0)</f>
        <v>47.659999999999968</v>
      </c>
      <c r="T15" s="85">
        <f ca="1">(S15-R15)*BenchPF+R15*StarterPF</f>
        <v>8.6415635639367672</v>
      </c>
      <c r="U15" s="85">
        <f ca="1">T15*Auction!$A$2</f>
        <v>8.6415635639367672</v>
      </c>
      <c r="V15" s="6" t="str">
        <f>IF(OR(INDEX(Auction!$H$13:$H$656,MATCH(B15,Auction!$A$13:$A$656,0))&gt;0,IFERROR(INDEX(CheatSheet!$D$5:$D$34,MATCH(B15,CheatSheet!$A$5:$A$34,0)),"")&lt;&gt;""),"Yes","No")</f>
        <v>No</v>
      </c>
      <c r="W15" s="179"/>
      <c r="Y15" s="78">
        <f t="shared" ca="1" si="0"/>
        <v>1</v>
      </c>
      <c r="Z15">
        <f t="shared" ca="1" si="1"/>
        <v>23.829999999999984</v>
      </c>
      <c r="AA15" t="str">
        <f t="shared" ca="1" si="2"/>
        <v>QB5</v>
      </c>
      <c r="AB15">
        <f ca="1">Z15*LeagueInfo!$H$5</f>
        <v>8.7748813718923326</v>
      </c>
    </row>
    <row r="16" spans="1:28" x14ac:dyDescent="0.25">
      <c r="A16">
        <f>RANK(P16,P$3:P$81)</f>
        <v>14</v>
      </c>
      <c r="B16" t="str">
        <f>QB_Raw!A15</f>
        <v>Kirk Cousins</v>
      </c>
      <c r="C16" t="s">
        <v>29</v>
      </c>
      <c r="D16">
        <f>_xlfn.IFNA(INDEX(BYEs!$E$2:$E$411,MATCH(B16,BYEs!$D$2:$D$411,0)),"N/A")</f>
        <v>32</v>
      </c>
      <c r="E16">
        <f>INDEX(BYEs!$B$2:$B$34,MATCH(F16,BYEs!$A$2:$A$34,0))</f>
        <v>7</v>
      </c>
      <c r="F16" t="str">
        <f>QB_Raw!B15</f>
        <v>MIN</v>
      </c>
      <c r="G16" s="206">
        <f>QB_Raw!C15</f>
        <v>573.9</v>
      </c>
      <c r="H16" s="204">
        <f>QB_Raw!D15</f>
        <v>378.9</v>
      </c>
      <c r="I16" s="204">
        <f>QB_Raw!E15</f>
        <v>4347.1000000000004</v>
      </c>
      <c r="J16" s="204">
        <f>QB_Raw!F15</f>
        <v>31.2</v>
      </c>
      <c r="K16" s="207">
        <f>QB_Raw!G15</f>
        <v>11.4</v>
      </c>
      <c r="L16" s="206">
        <f>QB_Raw!H15</f>
        <v>29.2</v>
      </c>
      <c r="M16" s="204">
        <f>QB_Raw!I15</f>
        <v>107.1</v>
      </c>
      <c r="N16" s="204">
        <f>QB_Raw!J15</f>
        <v>1</v>
      </c>
      <c r="O16" s="207">
        <f>QB_Raw!K15</f>
        <v>2.9</v>
      </c>
      <c r="P16" s="209">
        <f>(G16*QBPassAtt)+(I16*PassingYds)+(J16*PassingTD)+(K16*PassingINT)+(M16*QBRushingYd)+(N16*QBRushingTD)+(O16*QBFuml)+(H16*QBCompletion)+(L16*QBRushAtt)</f>
        <v>298.19400000000002</v>
      </c>
      <c r="Q16" t="str">
        <f ca="1">IF(A16&lt;=QBStarter,"Starter",IF(A16&gt;QBStarter+QBBench,"Undrafted","Bench"))</f>
        <v>Bench</v>
      </c>
      <c r="R16">
        <f ca="1">IFERROR(MAX(P16-LARGE(QBSheetCount,QBStarter),0),0)</f>
        <v>0</v>
      </c>
      <c r="S16">
        <f ca="1">IFERROR(IF(AllowNegative="Yes",P16-LARGE(QBSheetCount,QBCount),MAX(P16-LARGE(QBSheetCount,QBCount),0)),0)</f>
        <v>39.216000000000065</v>
      </c>
      <c r="T16" s="85">
        <f ca="1">(S16-R16)*BenchPF+R16*StarterPF</f>
        <v>7.1105236408591077</v>
      </c>
      <c r="U16" s="85">
        <f ca="1">T16*Auction!$A$2</f>
        <v>7.1105236408591077</v>
      </c>
      <c r="V16" s="6" t="str">
        <f>IF(OR(INDEX(Auction!$H$13:$H$656,MATCH(B16,Auction!$A$13:$A$656,0))&gt;0,IFERROR(INDEX(CheatSheet!$D$5:$D$34,MATCH(B16,CheatSheet!$A$5:$A$34,0)),"")&lt;&gt;""),"Yes","No")</f>
        <v>No</v>
      </c>
      <c r="W16" s="179"/>
      <c r="Y16" s="78">
        <f t="shared" ca="1" si="0"/>
        <v>1</v>
      </c>
      <c r="Z16">
        <f t="shared" ca="1" si="1"/>
        <v>19.608000000000033</v>
      </c>
      <c r="AA16" t="str">
        <f t="shared" ca="1" si="2"/>
        <v>QB5</v>
      </c>
      <c r="AB16">
        <f ca="1">Z16*LeagueInfo!$H$5</f>
        <v>7.2202213151517105</v>
      </c>
    </row>
    <row r="17" spans="1:28" x14ac:dyDescent="0.25">
      <c r="A17">
        <f>RANK(P17,P$3:P$81)</f>
        <v>15</v>
      </c>
      <c r="B17" t="str">
        <f>QB_Raw!A16</f>
        <v>Derek Carr</v>
      </c>
      <c r="C17" t="s">
        <v>29</v>
      </c>
      <c r="D17">
        <f>_xlfn.IFNA(INDEX(BYEs!$E$2:$E$411,MATCH(B17,BYEs!$D$2:$D$411,0)),"N/A")</f>
        <v>30</v>
      </c>
      <c r="E17">
        <f>INDEX(BYEs!$B$2:$B$34,MATCH(F17,BYEs!$A$2:$A$34,0))</f>
        <v>6</v>
      </c>
      <c r="F17" t="str">
        <f>QB_Raw!B16</f>
        <v>LV</v>
      </c>
      <c r="G17" s="206">
        <f>QB_Raw!C16</f>
        <v>597</v>
      </c>
      <c r="H17" s="204">
        <f>QB_Raw!D16</f>
        <v>399.5</v>
      </c>
      <c r="I17" s="204">
        <f>QB_Raw!E16</f>
        <v>4499.7</v>
      </c>
      <c r="J17" s="204">
        <f>QB_Raw!F16</f>
        <v>29</v>
      </c>
      <c r="K17" s="207">
        <f>QB_Raw!G16</f>
        <v>12.7</v>
      </c>
      <c r="L17" s="206">
        <f>QB_Raw!H16</f>
        <v>38.5</v>
      </c>
      <c r="M17" s="204">
        <f>QB_Raw!I16</f>
        <v>130</v>
      </c>
      <c r="N17" s="204">
        <f>QB_Raw!J16</f>
        <v>1.2</v>
      </c>
      <c r="O17" s="207">
        <f>QB_Raw!K16</f>
        <v>3.6</v>
      </c>
      <c r="P17" s="209">
        <f>(G17*QBPassAtt)+(I17*PassingYds)+(J17*PassingTD)+(K17*PassingINT)+(M17*QBRushingYd)+(N17*QBRushingTD)+(O17*QBFuml)+(H17*QBCompletion)+(L17*QBRushAtt)</f>
        <v>296.28800000000001</v>
      </c>
      <c r="Q17" t="str">
        <f ca="1">IF(A17&lt;=QBStarter,"Starter",IF(A17&gt;QBStarter+QBBench,"Undrafted","Bench"))</f>
        <v>Bench</v>
      </c>
      <c r="R17">
        <f ca="1">IFERROR(MAX(P17-LARGE(QBSheetCount,QBStarter),0),0)</f>
        <v>0</v>
      </c>
      <c r="S17">
        <f ca="1">IFERROR(IF(AllowNegative="Yes",P17-LARGE(QBSheetCount,QBCount),MAX(P17-LARGE(QBSheetCount,QBCount),0)),0)</f>
        <v>37.310000000000059</v>
      </c>
      <c r="T17" s="85">
        <f ca="1">(S17-R17)*BenchPF+R17*StarterPF</f>
        <v>6.7649336250625582</v>
      </c>
      <c r="U17" s="85">
        <f ca="1">T17*Auction!$A$2</f>
        <v>6.7649336250625582</v>
      </c>
      <c r="V17" s="6" t="str">
        <f>IF(OR(INDEX(Auction!$H$13:$H$656,MATCH(B17,Auction!$A$13:$A$656,0))&gt;0,IFERROR(INDEX(CheatSheet!$D$5:$D$34,MATCH(B17,CheatSheet!$A$5:$A$34,0)),"")&lt;&gt;""),"Yes","No")</f>
        <v>No</v>
      </c>
      <c r="W17" s="179"/>
      <c r="Y17" s="78">
        <f t="shared" ca="1" si="0"/>
        <v>1</v>
      </c>
      <c r="Z17">
        <f t="shared" ca="1" si="1"/>
        <v>18.65500000000003</v>
      </c>
      <c r="AA17" t="str">
        <f t="shared" ca="1" si="2"/>
        <v>QB5</v>
      </c>
      <c r="AB17">
        <f ca="1">Z17*LeagueInfo!$H$5</f>
        <v>6.8692997059442655</v>
      </c>
    </row>
    <row r="18" spans="1:28" x14ac:dyDescent="0.25">
      <c r="A18">
        <f>RANK(P18,P$3:P$81)</f>
        <v>16</v>
      </c>
      <c r="B18" t="str">
        <f>QB_Raw!A17</f>
        <v>Tua Tagovailoa</v>
      </c>
      <c r="C18" t="s">
        <v>29</v>
      </c>
      <c r="D18" t="str">
        <f>_xlfn.IFNA(INDEX(BYEs!$E$2:$E$411,MATCH(B18,BYEs!$D$2:$D$411,0)),"N/A")</f>
        <v>N/A</v>
      </c>
      <c r="E18">
        <f>INDEX(BYEs!$B$2:$B$34,MATCH(F18,BYEs!$A$2:$A$34,0))</f>
        <v>11</v>
      </c>
      <c r="F18" t="str">
        <f>QB_Raw!B17</f>
        <v>MIA</v>
      </c>
      <c r="G18" s="206">
        <f>QB_Raw!C17</f>
        <v>575.20000000000005</v>
      </c>
      <c r="H18" s="204">
        <f>QB_Raw!D17</f>
        <v>379.6</v>
      </c>
      <c r="I18" s="204">
        <f>QB_Raw!E17</f>
        <v>4031.3</v>
      </c>
      <c r="J18" s="204">
        <f>QB_Raw!F17</f>
        <v>25.7</v>
      </c>
      <c r="K18" s="207">
        <f>QB_Raw!G17</f>
        <v>13.3</v>
      </c>
      <c r="L18" s="206">
        <f>QB_Raw!H17</f>
        <v>56</v>
      </c>
      <c r="M18" s="204">
        <f>QB_Raw!I17</f>
        <v>206.1</v>
      </c>
      <c r="N18" s="204">
        <f>QB_Raw!J17</f>
        <v>3</v>
      </c>
      <c r="O18" s="207">
        <f>QB_Raw!K17</f>
        <v>2.4</v>
      </c>
      <c r="P18" s="209">
        <f>(G18*QBPassAtt)+(I18*PassingYds)+(J18*PassingTD)+(K18*PassingINT)+(M18*QBRushingYd)+(N18*QBRushingTD)+(O18*QBFuml)+(H18*QBCompletion)+(L18*QBRushAtt)</f>
        <v>284.56200000000001</v>
      </c>
      <c r="Q18" t="str">
        <f ca="1">IF(A18&lt;=QBStarter,"Starter",IF(A18&gt;QBStarter+QBBench,"Undrafted","Bench"))</f>
        <v>Bench</v>
      </c>
      <c r="R18">
        <f ca="1">IFERROR(MAX(P18-LARGE(QBSheetCount,QBStarter),0),0)</f>
        <v>0</v>
      </c>
      <c r="S18">
        <f ca="1">IFERROR(IF(AllowNegative="Yes",P18-LARGE(QBSheetCount,QBCount),MAX(P18-LARGE(QBSheetCount,QBCount),0)),0)</f>
        <v>25.58400000000006</v>
      </c>
      <c r="T18" s="85">
        <f ca="1">(S18-R18)*BenchPF+R18*StarterPF</f>
        <v>4.6388116286143291</v>
      </c>
      <c r="U18" s="85">
        <f ca="1">T18*Auction!$A$2</f>
        <v>4.6388116286143291</v>
      </c>
      <c r="V18" s="6" t="str">
        <f>IF(OR(INDEX(Auction!$H$13:$H$656,MATCH(B18,Auction!$A$13:$A$656,0))&gt;0,IFERROR(INDEX(CheatSheet!$D$5:$D$34,MATCH(B18,CheatSheet!$A$5:$A$34,0)),"")&lt;&gt;""),"Yes","No")</f>
        <v>No</v>
      </c>
      <c r="W18" s="179"/>
      <c r="Y18" s="78">
        <f t="shared" ca="1" si="0"/>
        <v>1</v>
      </c>
      <c r="Z18">
        <f t="shared" ca="1" si="1"/>
        <v>12.79200000000003</v>
      </c>
      <c r="AA18" t="str">
        <f t="shared" ca="1" si="2"/>
        <v>QB5</v>
      </c>
      <c r="AB18">
        <f ca="1">Z18*LeagueInfo!$H$5</f>
        <v>4.7103769412189287</v>
      </c>
    </row>
    <row r="19" spans="1:28" x14ac:dyDescent="0.25">
      <c r="A19">
        <f>RANK(P19,P$3:P$81)</f>
        <v>17</v>
      </c>
      <c r="B19" t="str">
        <f>QB_Raw!A18</f>
        <v>Ryan Tannehill</v>
      </c>
      <c r="C19" t="s">
        <v>29</v>
      </c>
      <c r="D19">
        <f>_xlfn.IFNA(INDEX(BYEs!$E$2:$E$411,MATCH(B19,BYEs!$D$2:$D$411,0)),"N/A")</f>
        <v>33</v>
      </c>
      <c r="E19">
        <f>INDEX(BYEs!$B$2:$B$34,MATCH(F19,BYEs!$A$2:$A$34,0))</f>
        <v>6</v>
      </c>
      <c r="F19" t="str">
        <f>QB_Raw!B18</f>
        <v>TEN</v>
      </c>
      <c r="G19" s="206">
        <f>QB_Raw!C18</f>
        <v>516.4</v>
      </c>
      <c r="H19" s="204">
        <f>QB_Raw!D18</f>
        <v>340.7</v>
      </c>
      <c r="I19" s="204">
        <f>QB_Raw!E18</f>
        <v>3753.9</v>
      </c>
      <c r="J19" s="204">
        <f>QB_Raw!F18</f>
        <v>24.2</v>
      </c>
      <c r="K19" s="207">
        <f>QB_Raw!G18</f>
        <v>13.2</v>
      </c>
      <c r="L19" s="206">
        <f>QB_Raw!H18</f>
        <v>55</v>
      </c>
      <c r="M19" s="204">
        <f>QB_Raw!I18</f>
        <v>253.7</v>
      </c>
      <c r="N19" s="204">
        <f>QB_Raw!J18</f>
        <v>3.9</v>
      </c>
      <c r="O19" s="207">
        <f>QB_Raw!K18</f>
        <v>2.6</v>
      </c>
      <c r="P19" s="209">
        <f>(G19*QBPassAtt)+(I19*PassingYds)+(J19*PassingTD)+(K19*PassingINT)+(M19*QBRushingYd)+(N19*QBRushingTD)+(O19*QBFuml)+(H19*QBCompletion)+(L19*QBRushAtt)</f>
        <v>277.32600000000002</v>
      </c>
      <c r="Q19" t="str">
        <f ca="1">IF(A19&lt;=QBStarter,"Starter",IF(A19&gt;QBStarter+QBBench,"Undrafted","Bench"))</f>
        <v>Bench</v>
      </c>
      <c r="R19">
        <f ca="1">IFERROR(MAX(P19-LARGE(QBSheetCount,QBStarter),0),0)</f>
        <v>0</v>
      </c>
      <c r="S19">
        <f ca="1">IFERROR(IF(AllowNegative="Yes",P19-LARGE(QBSheetCount,QBCount),MAX(P19-LARGE(QBSheetCount,QBCount),0)),0)</f>
        <v>18.34800000000007</v>
      </c>
      <c r="T19" s="85">
        <f ca="1">(S19-R19)*BenchPF+R19*StarterPF</f>
        <v>3.3268025235231331</v>
      </c>
      <c r="U19" s="85">
        <f ca="1">T19*Auction!$A$2</f>
        <v>3.3268025235231331</v>
      </c>
      <c r="V19" s="6" t="str">
        <f>IF(OR(INDEX(Auction!$H$13:$H$656,MATCH(B19,Auction!$A$13:$A$656,0))&gt;0,IFERROR(INDEX(CheatSheet!$D$5:$D$34,MATCH(B19,CheatSheet!$A$5:$A$34,0)),"")&lt;&gt;""),"Yes","No")</f>
        <v>No</v>
      </c>
      <c r="W19" s="179"/>
      <c r="Y19" s="78">
        <f t="shared" ca="1" si="0"/>
        <v>1</v>
      </c>
      <c r="Z19">
        <f t="shared" ca="1" si="1"/>
        <v>9.174000000000035</v>
      </c>
      <c r="AA19" t="str">
        <f t="shared" ca="1" si="2"/>
        <v>QB5</v>
      </c>
      <c r="AB19">
        <f ca="1">Z19*LeagueInfo!$H$5</f>
        <v>3.3781268025908782</v>
      </c>
    </row>
    <row r="20" spans="1:28" x14ac:dyDescent="0.25">
      <c r="A20">
        <f>RANK(P20,P$3:P$81)</f>
        <v>18</v>
      </c>
      <c r="B20" t="str">
        <f>QB_Raw!A19</f>
        <v>Trevor Lawrence</v>
      </c>
      <c r="C20" t="s">
        <v>29</v>
      </c>
      <c r="D20" t="str">
        <f>_xlfn.IFNA(INDEX(BYEs!$E$2:$E$411,MATCH(B20,BYEs!$D$2:$D$411,0)),"N/A")</f>
        <v>N/A</v>
      </c>
      <c r="E20">
        <f>INDEX(BYEs!$B$2:$B$34,MATCH(F20,BYEs!$A$2:$A$34,0))</f>
        <v>11</v>
      </c>
      <c r="F20" t="str">
        <f>QB_Raw!B19</f>
        <v>JAC</v>
      </c>
      <c r="G20" s="206">
        <f>QB_Raw!C19</f>
        <v>585.29999999999995</v>
      </c>
      <c r="H20" s="204">
        <f>QB_Raw!D19</f>
        <v>370.3</v>
      </c>
      <c r="I20" s="204">
        <f>QB_Raw!E19</f>
        <v>3943.5</v>
      </c>
      <c r="J20" s="204">
        <f>QB_Raw!F19</f>
        <v>22.5</v>
      </c>
      <c r="K20" s="207">
        <f>QB_Raw!G19</f>
        <v>13.9</v>
      </c>
      <c r="L20" s="206">
        <f>QB_Raw!H19</f>
        <v>70.5</v>
      </c>
      <c r="M20" s="204">
        <f>QB_Raw!I19</f>
        <v>328.7</v>
      </c>
      <c r="N20" s="204">
        <f>QB_Raw!J19</f>
        <v>2.4</v>
      </c>
      <c r="O20" s="207">
        <f>QB_Raw!K19</f>
        <v>3</v>
      </c>
      <c r="P20" s="209">
        <f>(G20*QBPassAtt)+(I20*PassingYds)+(J20*PassingTD)+(K20*PassingINT)+(M20*QBRushingYd)+(N20*QBRushingTD)+(O20*QBFuml)+(H20*QBCompletion)+(L20*QBRushAtt)</f>
        <v>275.10999999999996</v>
      </c>
      <c r="Q20" t="str">
        <f ca="1">IF(A20&lt;=QBStarter,"Starter",IF(A20&gt;QBStarter+QBBench,"Undrafted","Bench"))</f>
        <v>Bench</v>
      </c>
      <c r="R20">
        <f ca="1">IFERROR(MAX(P20-LARGE(QBSheetCount,QBStarter),0),0)</f>
        <v>0</v>
      </c>
      <c r="S20">
        <f ca="1">IFERROR(IF(AllowNegative="Yes",P20-LARGE(QBSheetCount,QBCount),MAX(P20-LARGE(QBSheetCount,QBCount),0)),0)</f>
        <v>16.132000000000005</v>
      </c>
      <c r="T20" s="85">
        <f ca="1">(S20-R20)*BenchPF+R20*StarterPF</f>
        <v>2.9250042680114996</v>
      </c>
      <c r="U20" s="85">
        <f ca="1">T20*Auction!$A$2</f>
        <v>2.9250042680114996</v>
      </c>
      <c r="V20" s="6" t="str">
        <f>IF(OR(INDEX(Auction!$H$13:$H$656,MATCH(B20,Auction!$A$13:$A$656,0))&gt;0,IFERROR(INDEX(CheatSheet!$D$5:$D$34,MATCH(B20,CheatSheet!$A$5:$A$34,0)),"")&lt;&gt;""),"Yes","No")</f>
        <v>No</v>
      </c>
      <c r="W20" s="179"/>
      <c r="Y20" s="78">
        <f t="shared" ca="1" si="0"/>
        <v>1</v>
      </c>
      <c r="Z20">
        <f t="shared" ca="1" si="1"/>
        <v>8.0660000000000025</v>
      </c>
      <c r="AA20" t="str">
        <f t="shared" ca="1" si="2"/>
        <v>QB5</v>
      </c>
      <c r="AB20">
        <f ca="1">Z20*LeagueInfo!$H$5</f>
        <v>2.970129800490291</v>
      </c>
    </row>
    <row r="21" spans="1:28" x14ac:dyDescent="0.25">
      <c r="A21">
        <f>RANK(P21,P$3:P$81)</f>
        <v>19</v>
      </c>
      <c r="B21" t="str">
        <f>QB_Raw!A20</f>
        <v>Justin Fields</v>
      </c>
      <c r="C21" t="s">
        <v>29</v>
      </c>
      <c r="D21" t="str">
        <f>_xlfn.IFNA(INDEX(BYEs!$E$2:$E$411,MATCH(B21,BYEs!$D$2:$D$411,0)),"N/A")</f>
        <v>N/A</v>
      </c>
      <c r="E21">
        <f>INDEX(BYEs!$B$2:$B$34,MATCH(F21,BYEs!$A$2:$A$34,0))</f>
        <v>14</v>
      </c>
      <c r="F21" t="str">
        <f>QB_Raw!B20</f>
        <v>CHI</v>
      </c>
      <c r="G21" s="206">
        <f>QB_Raw!C20</f>
        <v>504.9</v>
      </c>
      <c r="H21" s="204">
        <f>QB_Raw!D20</f>
        <v>311.7</v>
      </c>
      <c r="I21" s="204">
        <f>QB_Raw!E20</f>
        <v>3469.6</v>
      </c>
      <c r="J21" s="204">
        <f>QB_Raw!F20</f>
        <v>18.600000000000001</v>
      </c>
      <c r="K21" s="207">
        <f>QB_Raw!G20</f>
        <v>14.5</v>
      </c>
      <c r="L21" s="206">
        <f>QB_Raw!H20</f>
        <v>107.3</v>
      </c>
      <c r="M21" s="204">
        <f>QB_Raw!I20</f>
        <v>593.4</v>
      </c>
      <c r="N21" s="204">
        <f>QB_Raw!J20</f>
        <v>3.7</v>
      </c>
      <c r="O21" s="207">
        <f>QB_Raw!K20</f>
        <v>5</v>
      </c>
      <c r="P21" s="209">
        <f>(G21*QBPassAtt)+(I21*PassingYds)+(J21*PassingTD)+(K21*PassingINT)+(M21*QBRushingYd)+(N21*QBRushingTD)+(O21*QBFuml)+(H21*QBCompletion)+(L21*QBRushAtt)</f>
        <v>270.22399999999999</v>
      </c>
      <c r="Q21" t="str">
        <f ca="1">IF(A21&lt;=QBStarter,"Starter",IF(A21&gt;QBStarter+QBBench,"Undrafted","Bench"))</f>
        <v>Bench</v>
      </c>
      <c r="R21">
        <f ca="1">IFERROR(MAX(P21-LARGE(QBSheetCount,QBStarter),0),0)</f>
        <v>0</v>
      </c>
      <c r="S21">
        <f ca="1">IFERROR(IF(AllowNegative="Yes",P21-LARGE(QBSheetCount,QBCount),MAX(P21-LARGE(QBSheetCount,QBCount),0)),0)</f>
        <v>11.246000000000038</v>
      </c>
      <c r="T21" s="85">
        <f ca="1">(S21-R21)*BenchPF+R21*StarterPF</f>
        <v>2.0390898833410254</v>
      </c>
      <c r="U21" s="85">
        <f ca="1">T21*Auction!$A$2</f>
        <v>2.0390898833410254</v>
      </c>
      <c r="V21" s="6" t="str">
        <f>IF(OR(INDEX(Auction!$H$13:$H$656,MATCH(B21,Auction!$A$13:$A$656,0))&gt;0,IFERROR(INDEX(CheatSheet!$D$5:$D$34,MATCH(B21,CheatSheet!$A$5:$A$34,0)),"")&lt;&gt;""),"Yes","No")</f>
        <v>No</v>
      </c>
      <c r="W21" s="179"/>
      <c r="Y21" s="78">
        <f t="shared" ca="1" si="0"/>
        <v>1</v>
      </c>
      <c r="Z21">
        <f t="shared" ca="1" si="1"/>
        <v>5.6230000000000189</v>
      </c>
      <c r="AA21" t="str">
        <f t="shared" ca="1" si="2"/>
        <v>QB5</v>
      </c>
      <c r="AB21">
        <f ca="1">Z21*LeagueInfo!$H$5</f>
        <v>2.0705479628263026</v>
      </c>
    </row>
    <row r="22" spans="1:28" x14ac:dyDescent="0.25">
      <c r="A22">
        <f>RANK(P22,P$3:P$81)</f>
        <v>20</v>
      </c>
      <c r="B22" t="str">
        <f>QB_Raw!A21</f>
        <v>Daniel Jones</v>
      </c>
      <c r="C22" t="s">
        <v>29</v>
      </c>
      <c r="D22">
        <f>_xlfn.IFNA(INDEX(BYEs!$E$2:$E$411,MATCH(B22,BYEs!$D$2:$D$411,0)),"N/A")</f>
        <v>24</v>
      </c>
      <c r="E22">
        <f>INDEX(BYEs!$B$2:$B$34,MATCH(F22,BYEs!$A$2:$A$34,0))</f>
        <v>9</v>
      </c>
      <c r="F22" t="str">
        <f>QB_Raw!B21</f>
        <v>NYG</v>
      </c>
      <c r="G22" s="206">
        <f>QB_Raw!C21</f>
        <v>537.4</v>
      </c>
      <c r="H22" s="204">
        <f>QB_Raw!D21</f>
        <v>336.7</v>
      </c>
      <c r="I22" s="204">
        <f>QB_Raw!E21</f>
        <v>3615</v>
      </c>
      <c r="J22" s="204">
        <f>QB_Raw!F21</f>
        <v>20.6</v>
      </c>
      <c r="K22" s="207">
        <f>QB_Raw!G21</f>
        <v>12.5</v>
      </c>
      <c r="L22" s="206">
        <f>QB_Raw!H21</f>
        <v>81.2</v>
      </c>
      <c r="M22" s="204">
        <f>QB_Raw!I21</f>
        <v>424.3</v>
      </c>
      <c r="N22" s="204">
        <f>QB_Raw!J21</f>
        <v>2.7</v>
      </c>
      <c r="O22" s="207">
        <f>QB_Raw!K21</f>
        <v>4.7</v>
      </c>
      <c r="P22" s="209">
        <f>(G22*QBPassAtt)+(I22*PassingYds)+(J22*PassingTD)+(K22*PassingINT)+(M22*QBRushingYd)+(N22*QBRushingTD)+(O22*QBFuml)+(H22*QBCompletion)+(L22*QBRushAtt)</f>
        <v>263.73</v>
      </c>
      <c r="Q22" t="str">
        <f ca="1">IF(A22&lt;=QBStarter,"Starter",IF(A22&gt;QBStarter+QBBench,"Undrafted","Bench"))</f>
        <v>Bench</v>
      </c>
      <c r="R22">
        <f ca="1">IFERROR(MAX(P22-LARGE(QBSheetCount,QBStarter),0),0)</f>
        <v>0</v>
      </c>
      <c r="S22">
        <f ca="1">IFERROR(IF(AllowNegative="Yes",P22-LARGE(QBSheetCount,QBCount),MAX(P22-LARGE(QBSheetCount,QBCount),0)),0)</f>
        <v>4.7520000000000664</v>
      </c>
      <c r="T22" s="85">
        <f ca="1">(S22-R22)*BenchPF+R22*StarterPF</f>
        <v>0.86161791976139568</v>
      </c>
      <c r="U22" s="85">
        <f ca="1">T22*Auction!$A$2</f>
        <v>0.86161791976139568</v>
      </c>
      <c r="V22" s="6" t="str">
        <f>IF(OR(INDEX(Auction!$H$13:$H$656,MATCH(B22,Auction!$A$13:$A$656,0))&gt;0,IFERROR(INDEX(CheatSheet!$D$5:$D$34,MATCH(B22,CheatSheet!$A$5:$A$34,0)),"")&lt;&gt;""),"Yes","No")</f>
        <v>No</v>
      </c>
      <c r="W22" s="179"/>
      <c r="Y22" s="78">
        <f t="shared" ca="1" si="0"/>
        <v>1</v>
      </c>
      <c r="Z22">
        <f t="shared" ca="1" si="1"/>
        <v>2.3760000000000332</v>
      </c>
      <c r="AA22" t="str">
        <f t="shared" ca="1" si="2"/>
        <v>QB6</v>
      </c>
      <c r="AB22">
        <f ca="1">Z22*LeagueInfo!$H$5</f>
        <v>0.87491053880052405</v>
      </c>
    </row>
    <row r="23" spans="1:28" x14ac:dyDescent="0.25">
      <c r="A23">
        <f>RANK(P23,P$3:P$81)</f>
        <v>21</v>
      </c>
      <c r="B23" t="str">
        <f>QB_Raw!A22</f>
        <v>Matt Ryan</v>
      </c>
      <c r="C23" t="s">
        <v>29</v>
      </c>
      <c r="D23">
        <f>_xlfn.IFNA(INDEX(BYEs!$E$2:$E$411,MATCH(B23,BYEs!$D$2:$D$411,0)),"N/A")</f>
        <v>36</v>
      </c>
      <c r="E23">
        <f>INDEX(BYEs!$B$2:$B$34,MATCH(F23,BYEs!$A$2:$A$34,0))</f>
        <v>14</v>
      </c>
      <c r="F23" t="str">
        <f>QB_Raw!B22</f>
        <v>IND</v>
      </c>
      <c r="G23" s="206">
        <f>QB_Raw!C22</f>
        <v>539.20000000000005</v>
      </c>
      <c r="H23" s="204">
        <f>QB_Raw!D22</f>
        <v>352.7</v>
      </c>
      <c r="I23" s="204">
        <f>QB_Raw!E22</f>
        <v>3938</v>
      </c>
      <c r="J23" s="204">
        <f>QB_Raw!F22</f>
        <v>25.9</v>
      </c>
      <c r="K23" s="207">
        <f>QB_Raw!G22</f>
        <v>11.4</v>
      </c>
      <c r="L23" s="206">
        <f>QB_Raw!H22</f>
        <v>35.9</v>
      </c>
      <c r="M23" s="204">
        <f>QB_Raw!I22</f>
        <v>125.5</v>
      </c>
      <c r="N23" s="204">
        <f>QB_Raw!J22</f>
        <v>1.4</v>
      </c>
      <c r="O23" s="207">
        <f>QB_Raw!K22</f>
        <v>3.6</v>
      </c>
      <c r="P23" s="209">
        <f>(G23*QBPassAtt)+(I23*PassingYds)+(J23*PassingTD)+(K23*PassingINT)+(M23*QBRushingYd)+(N23*QBRushingTD)+(O23*QBFuml)+(H23*QBCompletion)+(L23*QBRushAtt)</f>
        <v>263.46999999999997</v>
      </c>
      <c r="Q23" t="str">
        <f ca="1">IF(A23&lt;=QBStarter,"Starter",IF(A23&gt;QBStarter+QBBench,"Undrafted","Bench"))</f>
        <v>Bench</v>
      </c>
      <c r="R23">
        <f ca="1">IFERROR(MAX(P23-LARGE(QBSheetCount,QBStarter),0),0)</f>
        <v>0</v>
      </c>
      <c r="S23">
        <f ca="1">IFERROR(IF(AllowNegative="Yes",P23-LARGE(QBSheetCount,QBCount),MAX(P23-LARGE(QBSheetCount,QBCount),0)),0)</f>
        <v>4.4920000000000186</v>
      </c>
      <c r="T23" s="85">
        <f ca="1">(S23-R23)*BenchPF+R23*StarterPF</f>
        <v>0.81447552516164801</v>
      </c>
      <c r="U23" s="85">
        <f ca="1">T23*Auction!$A$2</f>
        <v>0.81447552516164801</v>
      </c>
      <c r="V23" s="6" t="str">
        <f>IF(OR(INDEX(Auction!$H$13:$H$656,MATCH(B23,Auction!$A$13:$A$656,0))&gt;0,IFERROR(INDEX(CheatSheet!$D$5:$D$34,MATCH(B23,CheatSheet!$A$5:$A$34,0)),"")&lt;&gt;""),"Yes","No")</f>
        <v>No</v>
      </c>
      <c r="W23" s="179"/>
      <c r="Y23" s="78">
        <f t="shared" ca="1" si="0"/>
        <v>1</v>
      </c>
      <c r="Z23">
        <f t="shared" ca="1" si="1"/>
        <v>2.2460000000000093</v>
      </c>
      <c r="AA23" t="str">
        <f t="shared" ca="1" si="2"/>
        <v>QB6</v>
      </c>
      <c r="AB23">
        <f ca="1">Z23*LeagueInfo!$H$5</f>
        <v>0.82704085443853437</v>
      </c>
    </row>
    <row r="24" spans="1:28" x14ac:dyDescent="0.25">
      <c r="A24">
        <f>RANK(P24,P$3:P$81)</f>
        <v>22</v>
      </c>
      <c r="B24" t="str">
        <f>QB_Raw!A23</f>
        <v>Jameis Winston</v>
      </c>
      <c r="C24" t="s">
        <v>29</v>
      </c>
      <c r="D24">
        <f>_xlfn.IFNA(INDEX(BYEs!$E$2:$E$411,MATCH(B24,BYEs!$D$2:$D$411,0)),"N/A")</f>
        <v>27</v>
      </c>
      <c r="E24">
        <f>INDEX(BYEs!$B$2:$B$34,MATCH(F24,BYEs!$A$2:$A$34,0))</f>
        <v>14</v>
      </c>
      <c r="F24" t="str">
        <f>QB_Raw!B23</f>
        <v>NO</v>
      </c>
      <c r="G24" s="206">
        <f>QB_Raw!C23</f>
        <v>486.9</v>
      </c>
      <c r="H24" s="204">
        <f>QB_Raw!D23</f>
        <v>305.2</v>
      </c>
      <c r="I24" s="204">
        <f>QB_Raw!E23</f>
        <v>3524.4</v>
      </c>
      <c r="J24" s="204">
        <f>QB_Raw!F23</f>
        <v>24.7</v>
      </c>
      <c r="K24" s="207">
        <f>QB_Raw!G23</f>
        <v>12.6</v>
      </c>
      <c r="L24" s="206">
        <f>QB_Raw!H23</f>
        <v>53.8</v>
      </c>
      <c r="M24" s="204">
        <f>QB_Raw!I23</f>
        <v>273.60000000000002</v>
      </c>
      <c r="N24" s="204">
        <f>QB_Raw!J23</f>
        <v>1.7</v>
      </c>
      <c r="O24" s="207">
        <f>QB_Raw!K23</f>
        <v>2.8</v>
      </c>
      <c r="P24" s="209">
        <f>(G24*QBPassAtt)+(I24*PassingYds)+(J24*PassingTD)+(K24*PassingINT)+(M24*QBRushingYd)+(N24*QBRushingTD)+(O24*QBFuml)+(H24*QBCompletion)+(L24*QBRushAtt)</f>
        <v>259.13600000000002</v>
      </c>
      <c r="Q24" t="str">
        <f ca="1">IF(A24&lt;=QBStarter,"Starter",IF(A24&gt;QBStarter+QBBench,"Undrafted","Bench"))</f>
        <v>Bench</v>
      </c>
      <c r="R24">
        <f ca="1">IFERROR(MAX(P24-LARGE(QBSheetCount,QBStarter),0),0)</f>
        <v>0</v>
      </c>
      <c r="S24">
        <f ca="1">IFERROR(IF(AllowNegative="Yes",P24-LARGE(QBSheetCount,QBCount),MAX(P24-LARGE(QBSheetCount,QBCount),0)),0)</f>
        <v>0.1580000000000723</v>
      </c>
      <c r="T24" s="85">
        <f ca="1">(S24-R24)*BenchPF+R24*StarterPF</f>
        <v>2.8648070564469889E-2</v>
      </c>
      <c r="U24" s="85">
        <f ca="1">T24*Auction!$A$2</f>
        <v>2.8648070564469889E-2</v>
      </c>
      <c r="V24" s="6" t="str">
        <f>IF(OR(INDEX(Auction!$H$13:$H$656,MATCH(B24,Auction!$A$13:$A$656,0))&gt;0,IFERROR(INDEX(CheatSheet!$D$5:$D$34,MATCH(B24,CheatSheet!$A$5:$A$34,0)),"")&lt;&gt;""),"Yes","No")</f>
        <v>No</v>
      </c>
      <c r="W24" s="179"/>
      <c r="Y24" s="78">
        <f t="shared" ca="1" si="0"/>
        <v>1</v>
      </c>
      <c r="Z24">
        <f t="shared" ca="1" si="1"/>
        <v>7.9000000000036152E-2</v>
      </c>
      <c r="AA24" t="str">
        <f t="shared" ca="1" si="2"/>
        <v>QB6</v>
      </c>
      <c r="AB24">
        <f ca="1">Z24*LeagueInfo!$H$5</f>
        <v>2.9090038958447841E-2</v>
      </c>
    </row>
    <row r="25" spans="1:28" x14ac:dyDescent="0.25">
      <c r="A25">
        <f>RANK(P25,P$3:P$81)</f>
        <v>23</v>
      </c>
      <c r="B25" t="str">
        <f>QB_Raw!A24</f>
        <v>Mac Jones</v>
      </c>
      <c r="C25" t="s">
        <v>29</v>
      </c>
      <c r="D25" t="str">
        <f>_xlfn.IFNA(INDEX(BYEs!$E$2:$E$411,MATCH(B25,BYEs!$D$2:$D$411,0)),"N/A")</f>
        <v>N/A</v>
      </c>
      <c r="E25">
        <f>INDEX(BYEs!$B$2:$B$34,MATCH(F25,BYEs!$A$2:$A$34,0))</f>
        <v>10</v>
      </c>
      <c r="F25" t="str">
        <f>QB_Raw!B24</f>
        <v>NE</v>
      </c>
      <c r="G25" s="206">
        <f>QB_Raw!C24</f>
        <v>544.70000000000005</v>
      </c>
      <c r="H25" s="204">
        <f>QB_Raw!D24</f>
        <v>359.4</v>
      </c>
      <c r="I25" s="204">
        <f>QB_Raw!E24</f>
        <v>3946.2</v>
      </c>
      <c r="J25" s="204">
        <f>QB_Raw!F24</f>
        <v>24.9</v>
      </c>
      <c r="K25" s="207">
        <f>QB_Raw!G24</f>
        <v>13.9</v>
      </c>
      <c r="L25" s="206">
        <f>QB_Raw!H24</f>
        <v>41.7</v>
      </c>
      <c r="M25" s="204">
        <f>QB_Raw!I24</f>
        <v>156.30000000000001</v>
      </c>
      <c r="N25" s="204">
        <f>QB_Raw!J24</f>
        <v>0.9</v>
      </c>
      <c r="O25" s="207">
        <f>QB_Raw!K24</f>
        <v>2.8</v>
      </c>
      <c r="P25" s="209">
        <f>(G25*QBPassAtt)+(I25*PassingYds)+(J25*PassingTD)+(K25*PassingINT)+(M25*QBRushingYd)+(N25*QBRushingTD)+(O25*QBFuml)+(H25*QBCompletion)+(L25*QBRushAtt)</f>
        <v>258.97799999999995</v>
      </c>
      <c r="Q25" t="str">
        <f ca="1">IF(A25&lt;=QBStarter,"Starter",IF(A25&gt;QBStarter+QBBench,"Undrafted","Bench"))</f>
        <v>Undrafted</v>
      </c>
      <c r="R25">
        <f ca="1">IFERROR(MAX(P25-LARGE(QBSheetCount,QBStarter),0),0)</f>
        <v>0</v>
      </c>
      <c r="S25">
        <f ca="1">IFERROR(IF(AllowNegative="Yes",P25-LARGE(QBSheetCount,QBCount),MAX(P25-LARGE(QBSheetCount,QBCount),0)),0)</f>
        <v>0</v>
      </c>
      <c r="T25" s="85">
        <f ca="1">(S25-R25)*BenchPF+R25*StarterPF</f>
        <v>0</v>
      </c>
      <c r="U25" s="85">
        <f ca="1">T25*Auction!$A$2</f>
        <v>0</v>
      </c>
      <c r="V25" s="6" t="str">
        <f>IF(OR(INDEX(Auction!$H$13:$H$656,MATCH(B25,Auction!$A$13:$A$656,0))&gt;0,IFERROR(INDEX(CheatSheet!$D$5:$D$34,MATCH(B25,CheatSheet!$A$5:$A$34,0)),"")&lt;&gt;""),"Yes","No")</f>
        <v>No</v>
      </c>
      <c r="W25" s="179"/>
      <c r="Y25" s="78">
        <f t="shared" ca="1" si="0"/>
        <v>1</v>
      </c>
      <c r="Z25">
        <f t="shared" ca="1" si="1"/>
        <v>0</v>
      </c>
      <c r="AA25" t="str">
        <f t="shared" ca="1" si="2"/>
        <v>QB6</v>
      </c>
      <c r="AB25">
        <f ca="1">Z25*LeagueInfo!$H$5</f>
        <v>0</v>
      </c>
    </row>
    <row r="26" spans="1:28" x14ac:dyDescent="0.25">
      <c r="A26">
        <f>RANK(P26,P$3:P$81)</f>
        <v>24</v>
      </c>
      <c r="B26" t="str">
        <f>QB_Raw!A25</f>
        <v>Carson Wentz</v>
      </c>
      <c r="C26" t="s">
        <v>29</v>
      </c>
      <c r="D26">
        <f>_xlfn.IFNA(INDEX(BYEs!$E$2:$E$411,MATCH(B26,BYEs!$D$2:$D$411,0)),"N/A")</f>
        <v>28</v>
      </c>
      <c r="E26">
        <f>INDEX(BYEs!$B$2:$B$34,MATCH(F26,BYEs!$A$2:$A$34,0))</f>
        <v>14</v>
      </c>
      <c r="F26" t="str">
        <f>QB_Raw!B25</f>
        <v>WAS</v>
      </c>
      <c r="G26" s="206">
        <f>QB_Raw!C25</f>
        <v>538.4</v>
      </c>
      <c r="H26" s="204">
        <f>QB_Raw!D25</f>
        <v>343.4</v>
      </c>
      <c r="I26" s="204">
        <f>QB_Raw!E25</f>
        <v>3695.5</v>
      </c>
      <c r="J26" s="204">
        <f>QB_Raw!F25</f>
        <v>22.4</v>
      </c>
      <c r="K26" s="207">
        <f>QB_Raw!G25</f>
        <v>11.6</v>
      </c>
      <c r="L26" s="206">
        <f>QB_Raw!H25</f>
        <v>57.6</v>
      </c>
      <c r="M26" s="204">
        <f>QB_Raw!I25</f>
        <v>240.9</v>
      </c>
      <c r="N26" s="204">
        <f>QB_Raw!J25</f>
        <v>1.9</v>
      </c>
      <c r="O26" s="207">
        <f>QB_Raw!K25</f>
        <v>3.9</v>
      </c>
      <c r="P26" s="209">
        <f>(G26*QBPassAtt)+(I26*PassingYds)+(J26*PassingTD)+(K26*PassingINT)+(M26*QBRushingYd)+(N26*QBRushingTD)+(O26*QBFuml)+(H26*QBCompletion)+(L26*QBRushAtt)</f>
        <v>253.51</v>
      </c>
      <c r="Q26" t="str">
        <f ca="1">IF(A26&lt;=QBStarter,"Starter",IF(A26&gt;QBStarter+QBBench,"Undrafted","Bench"))</f>
        <v>Undrafted</v>
      </c>
      <c r="R26">
        <f ca="1">IFERROR(MAX(P26-LARGE(QBSheetCount,QBStarter),0),0)</f>
        <v>0</v>
      </c>
      <c r="S26">
        <f ca="1">IFERROR(IF(AllowNegative="Yes",P26-LARGE(QBSheetCount,QBCount),MAX(P26-LARGE(QBSheetCount,QBCount),0)),0)</f>
        <v>-5.4679999999999609</v>
      </c>
      <c r="T26" s="85">
        <f ca="1">(S26-R26)*BenchPF+R26*StarterPF</f>
        <v>-0.99144082181296556</v>
      </c>
      <c r="U26" s="85">
        <f ca="1">T26*Auction!$A$2</f>
        <v>-0.99144082181296556</v>
      </c>
      <c r="V26" s="6" t="str">
        <f>IF(OR(INDEX(Auction!$H$13:$H$656,MATCH(B26,Auction!$A$13:$A$656,0))&gt;0,IFERROR(INDEX(CheatSheet!$D$5:$D$34,MATCH(B26,CheatSheet!$A$5:$A$34,0)),"")&lt;&gt;""),"Yes","No")</f>
        <v>No</v>
      </c>
      <c r="W26" s="179"/>
      <c r="Y26" s="78">
        <f t="shared" ca="1" si="0"/>
        <v>1</v>
      </c>
      <c r="Z26">
        <f t="shared" ca="1" si="1"/>
        <v>-2.7339999999999804</v>
      </c>
      <c r="AA26" t="str">
        <f t="shared" ca="1" si="2"/>
        <v>QB6</v>
      </c>
      <c r="AB26">
        <f ca="1">Z26*LeagueInfo!$H$5</f>
        <v>-1.0067362849665751</v>
      </c>
    </row>
    <row r="27" spans="1:28" x14ac:dyDescent="0.25">
      <c r="A27">
        <f>RANK(P27,P$3:P$81)</f>
        <v>25</v>
      </c>
      <c r="B27" t="str">
        <f>QB_Raw!A26</f>
        <v>Jared Goff</v>
      </c>
      <c r="C27" t="s">
        <v>29</v>
      </c>
      <c r="D27">
        <f>_xlfn.IFNA(INDEX(BYEs!$E$2:$E$411,MATCH(B27,BYEs!$D$2:$D$411,0)),"N/A")</f>
        <v>26</v>
      </c>
      <c r="E27">
        <f>INDEX(BYEs!$B$2:$B$34,MATCH(F27,BYEs!$A$2:$A$34,0))</f>
        <v>6</v>
      </c>
      <c r="F27" t="str">
        <f>QB_Raw!B26</f>
        <v>DET</v>
      </c>
      <c r="G27" s="206">
        <f>QB_Raw!C26</f>
        <v>565.20000000000005</v>
      </c>
      <c r="H27" s="204">
        <f>QB_Raw!D26</f>
        <v>371</v>
      </c>
      <c r="I27" s="204">
        <f>QB_Raw!E26</f>
        <v>3923.1</v>
      </c>
      <c r="J27" s="204">
        <f>QB_Raw!F26</f>
        <v>24.9</v>
      </c>
      <c r="K27" s="207">
        <f>QB_Raw!G26</f>
        <v>12.5</v>
      </c>
      <c r="L27" s="206">
        <f>QB_Raw!H26</f>
        <v>31.7</v>
      </c>
      <c r="M27" s="204">
        <f>QB_Raw!I26</f>
        <v>80.099999999999994</v>
      </c>
      <c r="N27" s="204">
        <f>QB_Raw!J26</f>
        <v>1</v>
      </c>
      <c r="O27" s="207">
        <f>QB_Raw!K26</f>
        <v>3.8</v>
      </c>
      <c r="P27" s="209">
        <f>(G27*QBPassAtt)+(I27*PassingYds)+(J27*PassingTD)+(K27*PassingINT)+(M27*QBRushingYd)+(N27*QBRushingTD)+(O27*QBFuml)+(H27*QBCompletion)+(L27*QBRushAtt)</f>
        <v>250.434</v>
      </c>
      <c r="Q27" t="str">
        <f ca="1">IF(A27&lt;=QBStarter,"Starter",IF(A27&gt;QBStarter+QBBench,"Undrafted","Bench"))</f>
        <v>Undrafted</v>
      </c>
      <c r="R27">
        <f ca="1">IFERROR(MAX(P27-LARGE(QBSheetCount,QBStarter),0),0)</f>
        <v>0</v>
      </c>
      <c r="S27">
        <f ca="1">IFERROR(IF(AllowNegative="Yes",P27-LARGE(QBSheetCount,QBCount),MAX(P27-LARGE(QBSheetCount,QBCount),0)),0)</f>
        <v>-8.5439999999999543</v>
      </c>
      <c r="T27" s="85">
        <f ca="1">(S27-R27)*BenchPF+R27*StarterPF</f>
        <v>-1.5491716133083382</v>
      </c>
      <c r="U27" s="85">
        <f ca="1">T27*Auction!$A$2</f>
        <v>-1.5491716133083382</v>
      </c>
      <c r="V27" s="6" t="str">
        <f>IF(OR(INDEX(Auction!$H$13:$H$656,MATCH(B27,Auction!$A$13:$A$656,0))&gt;0,IFERROR(INDEX(CheatSheet!$D$5:$D$34,MATCH(B27,CheatSheet!$A$5:$A$34,0)),"")&lt;&gt;""),"Yes","No")</f>
        <v>No</v>
      </c>
      <c r="W27" s="179"/>
      <c r="Y27" s="78">
        <f t="shared" ca="1" si="0"/>
        <v>1</v>
      </c>
      <c r="Z27">
        <f t="shared" ca="1" si="1"/>
        <v>-4.2719999999999771</v>
      </c>
      <c r="AA27" t="str">
        <f t="shared" ca="1" si="2"/>
        <v>QB6</v>
      </c>
      <c r="AB27">
        <f ca="1">Z27*LeagueInfo!$H$5</f>
        <v>-1.5730714738029321</v>
      </c>
    </row>
    <row r="28" spans="1:28" x14ac:dyDescent="0.25">
      <c r="A28">
        <f>RANK(P28,P$3:P$81)</f>
        <v>26</v>
      </c>
      <c r="B28" t="str">
        <f>QB_Raw!A27</f>
        <v>Baker Mayfield</v>
      </c>
      <c r="C28" t="s">
        <v>29</v>
      </c>
      <c r="D28">
        <f>_xlfn.IFNA(INDEX(BYEs!$E$2:$E$411,MATCH(B28,BYEs!$D$2:$D$411,0)),"N/A")</f>
        <v>26</v>
      </c>
      <c r="E28">
        <f>INDEX(BYEs!$B$2:$B$34,MATCH(F28,BYEs!$A$2:$A$34,0))</f>
        <v>13</v>
      </c>
      <c r="F28" t="str">
        <f>QB_Raw!B27</f>
        <v>CAR</v>
      </c>
      <c r="G28" s="206">
        <f>QB_Raw!C27</f>
        <v>550.20000000000005</v>
      </c>
      <c r="H28" s="204">
        <f>QB_Raw!D27</f>
        <v>344.7</v>
      </c>
      <c r="I28" s="204">
        <f>QB_Raw!E27</f>
        <v>3730.6</v>
      </c>
      <c r="J28" s="204">
        <f>QB_Raw!F27</f>
        <v>21.5</v>
      </c>
      <c r="K28" s="207">
        <f>QB_Raw!G27</f>
        <v>14.5</v>
      </c>
      <c r="L28" s="206">
        <f>QB_Raw!H27</f>
        <v>44.7</v>
      </c>
      <c r="M28" s="204">
        <f>QB_Raw!I27</f>
        <v>166</v>
      </c>
      <c r="N28" s="204">
        <f>QB_Raw!J27</f>
        <v>1.5</v>
      </c>
      <c r="O28" s="207">
        <f>QB_Raw!K27</f>
        <v>2.5</v>
      </c>
      <c r="P28" s="209">
        <f>(G28*QBPassAtt)+(I28*PassingYds)+(J28*PassingTD)+(K28*PassingINT)+(M28*QBRushingYd)+(N28*QBRushingTD)+(O28*QBFuml)+(H28*QBCompletion)+(L28*QBRushAtt)</f>
        <v>241.32399999999998</v>
      </c>
      <c r="Q28" t="str">
        <f ca="1">IF(A28&lt;=QBStarter,"Starter",IF(A28&gt;QBStarter+QBBench,"Undrafted","Bench"))</f>
        <v>Undrafted</v>
      </c>
      <c r="R28">
        <f ca="1">IFERROR(MAX(P28-LARGE(QBSheetCount,QBStarter),0),0)</f>
        <v>0</v>
      </c>
      <c r="S28">
        <f ca="1">IFERROR(IF(AllowNegative="Yes",P28-LARGE(QBSheetCount,QBCount),MAX(P28-LARGE(QBSheetCount,QBCount),0)),0)</f>
        <v>-17.653999999999968</v>
      </c>
      <c r="T28" s="85">
        <f ca="1">(S28-R28)*BenchPF+R28*StarterPF</f>
        <v>-3.2009685933222727</v>
      </c>
      <c r="U28" s="85">
        <f ca="1">T28*Auction!$A$2</f>
        <v>-3.2009685933222727</v>
      </c>
      <c r="V28" s="6" t="str">
        <f>IF(OR(INDEX(Auction!$H$13:$H$656,MATCH(B28,Auction!$A$13:$A$656,0))&gt;0,IFERROR(INDEX(CheatSheet!$D$5:$D$34,MATCH(B28,CheatSheet!$A$5:$A$34,0)),"")&lt;&gt;""),"Yes","No")</f>
        <v>No</v>
      </c>
      <c r="W28" s="179"/>
      <c r="Y28" s="78">
        <f t="shared" ca="1" si="0"/>
        <v>1</v>
      </c>
      <c r="Z28">
        <f t="shared" ca="1" si="1"/>
        <v>-8.826999999999984</v>
      </c>
      <c r="AA28" t="str">
        <f t="shared" ca="1" si="2"/>
        <v>QB6</v>
      </c>
      <c r="AB28">
        <f ca="1">Z28*LeagueInfo!$H$5</f>
        <v>-3.2503515681784951</v>
      </c>
    </row>
    <row r="29" spans="1:28" x14ac:dyDescent="0.25">
      <c r="A29">
        <f>RANK(P29,P$3:P$81)</f>
        <v>27</v>
      </c>
      <c r="B29" t="str">
        <f>QB_Raw!A28</f>
        <v>Davis Mills</v>
      </c>
      <c r="C29" t="s">
        <v>29</v>
      </c>
      <c r="D29" t="str">
        <f>_xlfn.IFNA(INDEX(BYEs!$E$2:$E$411,MATCH(B29,BYEs!$D$2:$D$411,0)),"N/A")</f>
        <v>N/A</v>
      </c>
      <c r="E29">
        <f>INDEX(BYEs!$B$2:$B$34,MATCH(F29,BYEs!$A$2:$A$34,0))</f>
        <v>6</v>
      </c>
      <c r="F29" t="str">
        <f>QB_Raw!B28</f>
        <v>HOU</v>
      </c>
      <c r="G29" s="206">
        <f>QB_Raw!C28</f>
        <v>538.1</v>
      </c>
      <c r="H29" s="204">
        <f>QB_Raw!D28</f>
        <v>351.8</v>
      </c>
      <c r="I29" s="204">
        <f>QB_Raw!E28</f>
        <v>3774.4</v>
      </c>
      <c r="J29" s="204">
        <f>QB_Raw!F28</f>
        <v>20.6</v>
      </c>
      <c r="K29" s="207">
        <f>QB_Raw!G28</f>
        <v>14.1</v>
      </c>
      <c r="L29" s="206">
        <f>QB_Raw!H28</f>
        <v>34.200000000000003</v>
      </c>
      <c r="M29" s="204">
        <f>QB_Raw!I28</f>
        <v>110.7</v>
      </c>
      <c r="N29" s="204">
        <f>QB_Raw!J28</f>
        <v>0.8</v>
      </c>
      <c r="O29" s="207">
        <f>QB_Raw!K28</f>
        <v>1.9</v>
      </c>
      <c r="P29" s="209">
        <f>(G29*QBPassAtt)+(I29*PassingYds)+(J29*PassingTD)+(K29*PassingINT)+(M29*QBRushingYd)+(N29*QBRushingTD)+(O29*QBFuml)+(H29*QBCompletion)+(L29*QBRushAtt)</f>
        <v>231.346</v>
      </c>
      <c r="Q29" t="str">
        <f ca="1">IF(A29&lt;=QBStarter,"Starter",IF(A29&gt;QBStarter+QBBench,"Undrafted","Bench"))</f>
        <v>Undrafted</v>
      </c>
      <c r="R29">
        <f ca="1">IFERROR(MAX(P29-LARGE(QBSheetCount,QBStarter),0),0)</f>
        <v>0</v>
      </c>
      <c r="S29">
        <f ca="1">IFERROR(IF(AllowNegative="Yes",P29-LARGE(QBSheetCount,QBCount),MAX(P29-LARGE(QBSheetCount,QBCount),0)),0)</f>
        <v>-27.631999999999948</v>
      </c>
      <c r="T29" s="85">
        <f ca="1">(S29-R29)*BenchPF+R29*StarterPF</f>
        <v>-5.0101486445384067</v>
      </c>
      <c r="U29" s="85">
        <f ca="1">T29*Auction!$A$2</f>
        <v>-5.0101486445384067</v>
      </c>
      <c r="V29" s="6" t="str">
        <f>IF(OR(INDEX(Auction!$H$13:$H$656,MATCH(B29,Auction!$A$13:$A$656,0))&gt;0,IFERROR(INDEX(CheatSheet!$D$5:$D$34,MATCH(B29,CheatSheet!$A$5:$A$34,0)),"")&lt;&gt;""),"Yes","No")</f>
        <v>No</v>
      </c>
      <c r="W29" s="179"/>
      <c r="Y29" s="78">
        <f t="shared" ca="1" si="0"/>
        <v>1</v>
      </c>
      <c r="Z29">
        <f t="shared" ca="1" si="1"/>
        <v>-13.815999999999974</v>
      </c>
      <c r="AA29" t="str">
        <f t="shared" ca="1" si="2"/>
        <v>QB6</v>
      </c>
      <c r="AB29">
        <f ca="1">Z29*LeagueInfo!$H$5</f>
        <v>-5.0874427626548187</v>
      </c>
    </row>
    <row r="30" spans="1:28" x14ac:dyDescent="0.25">
      <c r="A30">
        <f>RANK(P30,P$3:P$81)</f>
        <v>28</v>
      </c>
      <c r="B30" t="str">
        <f>QB_Raw!A29</f>
        <v>Zach Wilson</v>
      </c>
      <c r="C30" t="s">
        <v>29</v>
      </c>
      <c r="D30" t="str">
        <f>_xlfn.IFNA(INDEX(BYEs!$E$2:$E$411,MATCH(B30,BYEs!$D$2:$D$411,0)),"N/A")</f>
        <v>N/A</v>
      </c>
      <c r="E30">
        <f>INDEX(BYEs!$B$2:$B$34,MATCH(F30,BYEs!$A$2:$A$34,0))</f>
        <v>10</v>
      </c>
      <c r="F30" t="str">
        <f>QB_Raw!B29</f>
        <v>NYJ</v>
      </c>
      <c r="G30" s="206">
        <f>QB_Raw!C29</f>
        <v>480.5</v>
      </c>
      <c r="H30" s="204">
        <f>QB_Raw!D29</f>
        <v>291.10000000000002</v>
      </c>
      <c r="I30" s="204">
        <f>QB_Raw!E29</f>
        <v>3133.2</v>
      </c>
      <c r="J30" s="204">
        <f>QB_Raw!F29</f>
        <v>19.100000000000001</v>
      </c>
      <c r="K30" s="207">
        <f>QB_Raw!G29</f>
        <v>12.4</v>
      </c>
      <c r="L30" s="206">
        <f>QB_Raw!H29</f>
        <v>41.4</v>
      </c>
      <c r="M30" s="204">
        <f>QB_Raw!I29</f>
        <v>214.7</v>
      </c>
      <c r="N30" s="204">
        <f>QB_Raw!J29</f>
        <v>2.4</v>
      </c>
      <c r="O30" s="207">
        <f>QB_Raw!K29</f>
        <v>1.7</v>
      </c>
      <c r="P30" s="209">
        <f>(G30*QBPassAtt)+(I30*PassingYds)+(J30*PassingTD)+(K30*PassingINT)+(M30*QBRushingYd)+(N30*QBRushingTD)+(O30*QBFuml)+(H30*QBCompletion)+(L30*QBRushAtt)</f>
        <v>221.798</v>
      </c>
      <c r="Q30" t="str">
        <f ca="1">IF(A30&lt;=QBStarter,"Starter",IF(A30&gt;QBStarter+QBBench,"Undrafted","Bench"))</f>
        <v>Undrafted</v>
      </c>
      <c r="R30">
        <f ca="1">IFERROR(MAX(P30-LARGE(QBSheetCount,QBStarter),0),0)</f>
        <v>0</v>
      </c>
      <c r="S30">
        <f ca="1">IFERROR(IF(AllowNegative="Yes",P30-LARGE(QBSheetCount,QBCount),MAX(P30-LARGE(QBSheetCount,QBCount),0)),0)</f>
        <v>-37.17999999999995</v>
      </c>
      <c r="T30" s="85">
        <f ca="1">(S30-R30)*BenchPF+R30*StarterPF</f>
        <v>-6.7413624277626685</v>
      </c>
      <c r="U30" s="85">
        <f ca="1">T30*Auction!$A$2</f>
        <v>-6.7413624277626685</v>
      </c>
      <c r="V30" s="6" t="str">
        <f>IF(OR(INDEX(Auction!$H$13:$H$656,MATCH(B30,Auction!$A$13:$A$656,0))&gt;0,IFERROR(INDEX(CheatSheet!$D$5:$D$34,MATCH(B30,CheatSheet!$A$5:$A$34,0)),"")&lt;&gt;""),"Yes","No")</f>
        <v>No</v>
      </c>
      <c r="W30" s="179"/>
      <c r="Y30" s="78">
        <f t="shared" ca="1" si="0"/>
        <v>1</v>
      </c>
      <c r="Z30">
        <f t="shared" ca="1" si="1"/>
        <v>-18.589999999999975</v>
      </c>
      <c r="AA30" t="str">
        <f t="shared" ca="1" si="2"/>
        <v>QB6</v>
      </c>
      <c r="AB30">
        <f ca="1">Z30*LeagueInfo!$H$5</f>
        <v>-6.8453648637632547</v>
      </c>
    </row>
    <row r="31" spans="1:28" x14ac:dyDescent="0.25">
      <c r="A31">
        <f>RANK(P31,P$3:P$81)</f>
        <v>29</v>
      </c>
      <c r="B31" t="str">
        <f>QB_Raw!A30</f>
        <v>Marcus Mariota</v>
      </c>
      <c r="C31" t="s">
        <v>29</v>
      </c>
      <c r="D31">
        <f>_xlfn.IFNA(INDEX(BYEs!$E$2:$E$411,MATCH(B31,BYEs!$D$2:$D$411,0)),"N/A")</f>
        <v>27</v>
      </c>
      <c r="E31">
        <f>INDEX(BYEs!$B$2:$B$34,MATCH(F31,BYEs!$A$2:$A$34,0))</f>
        <v>14</v>
      </c>
      <c r="F31" t="str">
        <f>QB_Raw!B30</f>
        <v>ATL</v>
      </c>
      <c r="G31" s="206">
        <f>QB_Raw!C30</f>
        <v>419.7</v>
      </c>
      <c r="H31" s="204">
        <f>QB_Raw!D30</f>
        <v>263.60000000000002</v>
      </c>
      <c r="I31" s="204">
        <f>QB_Raw!E30</f>
        <v>2898.8</v>
      </c>
      <c r="J31" s="204">
        <f>QB_Raw!F30</f>
        <v>15.8</v>
      </c>
      <c r="K31" s="207">
        <f>QB_Raw!G30</f>
        <v>11.3</v>
      </c>
      <c r="L31" s="206">
        <f>QB_Raw!H30</f>
        <v>54.6</v>
      </c>
      <c r="M31" s="204">
        <f>QB_Raw!I30</f>
        <v>328.7</v>
      </c>
      <c r="N31" s="204">
        <f>QB_Raw!J30</f>
        <v>2.4</v>
      </c>
      <c r="O31" s="207">
        <f>QB_Raw!K30</f>
        <v>1.2</v>
      </c>
      <c r="P31" s="209">
        <f>(G31*QBPassAtt)+(I31*PassingYds)+(J31*PassingTD)+(K31*PassingINT)+(M31*QBRushingYd)+(N31*QBRushingTD)+(O31*QBFuml)+(H31*QBCompletion)+(L31*QBRushAtt)</f>
        <v>212.72200000000001</v>
      </c>
      <c r="Q31" t="str">
        <f ca="1">IF(A31&lt;=QBStarter,"Starter",IF(A31&gt;QBStarter+QBBench,"Undrafted","Bench"))</f>
        <v>Undrafted</v>
      </c>
      <c r="R31">
        <f ca="1">IFERROR(MAX(P31-LARGE(QBSheetCount,QBStarter),0),0)</f>
        <v>0</v>
      </c>
      <c r="S31">
        <f ca="1">IFERROR(IF(AllowNegative="Yes",P31-LARGE(QBSheetCount,QBCount),MAX(P31-LARGE(QBSheetCount,QBCount),0)),0)</f>
        <v>-46.255999999999943</v>
      </c>
      <c r="T31" s="85">
        <f ca="1">(S31-R31)*BenchPF+R31*StarterPF</f>
        <v>-8.3869946330981726</v>
      </c>
      <c r="U31" s="85">
        <f ca="1">T31*Auction!$A$2</f>
        <v>-8.3869946330981726</v>
      </c>
      <c r="V31" s="6" t="str">
        <f>IF(OR(INDEX(Auction!$H$13:$H$656,MATCH(B31,Auction!$A$13:$A$656,0))&gt;0,IFERROR(INDEX(CheatSheet!$D$5:$D$34,MATCH(B31,CheatSheet!$A$5:$A$34,0)),"")&lt;&gt;""),"Yes","No")</f>
        <v>No</v>
      </c>
      <c r="W31" s="179"/>
      <c r="Y31" s="78">
        <f t="shared" ca="1" si="0"/>
        <v>1</v>
      </c>
      <c r="Z31">
        <f t="shared" ca="1" si="1"/>
        <v>-23.127999999999972</v>
      </c>
      <c r="AA31" t="str">
        <f t="shared" ca="1" si="2"/>
        <v>QB7</v>
      </c>
      <c r="AB31">
        <f ca="1">Z31*LeagueInfo!$H$5</f>
        <v>-8.5163850763376328</v>
      </c>
    </row>
    <row r="32" spans="1:28" x14ac:dyDescent="0.25">
      <c r="A32">
        <f>RANK(P32,P$3:P$81)</f>
        <v>30</v>
      </c>
      <c r="B32" t="str">
        <f>QB_Raw!A31</f>
        <v>Mitch Trubisky</v>
      </c>
      <c r="C32" t="s">
        <v>29</v>
      </c>
      <c r="D32">
        <f>_xlfn.IFNA(INDEX(BYEs!$E$2:$E$411,MATCH(B32,BYEs!$D$2:$D$411,0)),"N/A")</f>
        <v>26</v>
      </c>
      <c r="E32">
        <f>INDEX(BYEs!$B$2:$B$34,MATCH(F32,BYEs!$A$2:$A$34,0))</f>
        <v>9</v>
      </c>
      <c r="F32" t="str">
        <f>QB_Raw!B31</f>
        <v>PIT</v>
      </c>
      <c r="G32" s="206">
        <f>QB_Raw!C31</f>
        <v>417.3</v>
      </c>
      <c r="H32" s="204">
        <f>QB_Raw!D31</f>
        <v>265.8</v>
      </c>
      <c r="I32" s="204">
        <f>QB_Raw!E31</f>
        <v>2666.7</v>
      </c>
      <c r="J32" s="204">
        <f>QB_Raw!F31</f>
        <v>15.9</v>
      </c>
      <c r="K32" s="207">
        <f>QB_Raw!G31</f>
        <v>10.4</v>
      </c>
      <c r="L32" s="206">
        <f>QB_Raw!H31</f>
        <v>44.3</v>
      </c>
      <c r="M32" s="204">
        <f>QB_Raw!I31</f>
        <v>213.9</v>
      </c>
      <c r="N32" s="204">
        <f>QB_Raw!J31</f>
        <v>1.8</v>
      </c>
      <c r="O32" s="207">
        <f>QB_Raw!K31</f>
        <v>1.3</v>
      </c>
      <c r="P32" s="209">
        <f>(G32*QBPassAtt)+(I32*PassingYds)+(J32*PassingTD)+(K32*PassingINT)+(M32*QBRushingYd)+(N32*QBRushingTD)+(O32*QBFuml)+(H32*QBCompletion)+(L32*QBRushAtt)</f>
        <v>189.458</v>
      </c>
      <c r="Q32" t="str">
        <f ca="1">IF(A32&lt;=QBStarter,"Starter",IF(A32&gt;QBStarter+QBBench,"Undrafted","Bench"))</f>
        <v>Undrafted</v>
      </c>
      <c r="R32">
        <f ca="1">IFERROR(MAX(P32-LARGE(QBSheetCount,QBStarter),0),0)</f>
        <v>0</v>
      </c>
      <c r="S32">
        <f ca="1">IFERROR(IF(AllowNegative="Yes",P32-LARGE(QBSheetCount,QBCount),MAX(P32-LARGE(QBSheetCount,QBCount),0)),0)</f>
        <v>-69.519999999999953</v>
      </c>
      <c r="T32" s="85">
        <f ca="1">(S32-R32)*BenchPF+R32*StarterPF</f>
        <v>-12.605151048360975</v>
      </c>
      <c r="U32" s="85">
        <f ca="1">T32*Auction!$A$2</f>
        <v>-12.605151048360975</v>
      </c>
      <c r="V32" s="6" t="str">
        <f>IF(OR(INDEX(Auction!$H$13:$H$656,MATCH(B32,Auction!$A$13:$A$656,0))&gt;0,IFERROR(INDEX(CheatSheet!$D$5:$D$34,MATCH(B32,CheatSheet!$A$5:$A$34,0)),"")&lt;&gt;""),"Yes","No")</f>
        <v>No</v>
      </c>
      <c r="W32" s="179"/>
      <c r="Y32" s="78">
        <f t="shared" ca="1" si="0"/>
        <v>1</v>
      </c>
      <c r="Z32">
        <f t="shared" ca="1" si="1"/>
        <v>-34.759999999999977</v>
      </c>
      <c r="AA32" t="str">
        <f t="shared" ca="1" si="2"/>
        <v>QB7</v>
      </c>
      <c r="AB32">
        <f ca="1">Z32*LeagueInfo!$H$5</f>
        <v>-12.799617141711183</v>
      </c>
    </row>
    <row r="33" spans="1:28" x14ac:dyDescent="0.25">
      <c r="A33">
        <f>RANK(P33,P$3:P$81)</f>
        <v>31</v>
      </c>
      <c r="B33" t="str">
        <f>QB_Raw!A32</f>
        <v>Jacoby Brissett</v>
      </c>
      <c r="C33" t="s">
        <v>29</v>
      </c>
      <c r="D33">
        <f>_xlfn.IFNA(INDEX(BYEs!$E$2:$E$411,MATCH(B33,BYEs!$D$2:$D$411,0)),"N/A")</f>
        <v>28</v>
      </c>
      <c r="E33">
        <f>INDEX(BYEs!$B$2:$B$34,MATCH(F33,BYEs!$A$2:$A$34,0))</f>
        <v>9</v>
      </c>
      <c r="F33" t="str">
        <f>QB_Raw!B32</f>
        <v>CLE</v>
      </c>
      <c r="G33" s="206">
        <f>QB_Raw!C32</f>
        <v>376.2</v>
      </c>
      <c r="H33" s="204">
        <f>QB_Raw!D32</f>
        <v>235.2</v>
      </c>
      <c r="I33" s="204">
        <f>QB_Raw!E32</f>
        <v>2745.9</v>
      </c>
      <c r="J33" s="204">
        <f>QB_Raw!F32</f>
        <v>15.5</v>
      </c>
      <c r="K33" s="207">
        <f>QB_Raw!G32</f>
        <v>9.4</v>
      </c>
      <c r="L33" s="206">
        <f>QB_Raw!H32</f>
        <v>30.8</v>
      </c>
      <c r="M33" s="204">
        <f>QB_Raw!I32</f>
        <v>136.69999999999999</v>
      </c>
      <c r="N33" s="204">
        <f>QB_Raw!J32</f>
        <v>1.5</v>
      </c>
      <c r="O33" s="207">
        <f>QB_Raw!K32</f>
        <v>2.6</v>
      </c>
      <c r="P33" s="209">
        <f>(G33*QBPassAtt)+(I33*PassingYds)+(J33*PassingTD)+(K33*PassingINT)+(M33*QBRushingYd)+(N33*QBRushingTD)+(O33*QBFuml)+(H33*QBCompletion)+(L33*QBRushAtt)</f>
        <v>179.90600000000001</v>
      </c>
      <c r="Q33" t="str">
        <f ca="1">IF(A33&lt;=QBStarter,"Starter",IF(A33&gt;QBStarter+QBBench,"Undrafted","Bench"))</f>
        <v>Undrafted</v>
      </c>
      <c r="R33">
        <f ca="1">IFERROR(MAX(P33-LARGE(QBSheetCount,QBStarter),0),0)</f>
        <v>0</v>
      </c>
      <c r="S33">
        <f ca="1">IFERROR(IF(AllowNegative="Yes",P33-LARGE(QBSheetCount,QBCount),MAX(P33-LARGE(QBSheetCount,QBCount),0)),0)</f>
        <v>-79.071999999999946</v>
      </c>
      <c r="T33" s="85">
        <f ca="1">(S33-R33)*BenchPF+R33*StarterPF</f>
        <v>-14.337090099194462</v>
      </c>
      <c r="U33" s="85">
        <f ca="1">T33*Auction!$A$2</f>
        <v>-14.337090099194462</v>
      </c>
      <c r="V33" s="6" t="str">
        <f>IF(OR(INDEX(Auction!$H$13:$H$656,MATCH(B33,Auction!$A$13:$A$656,0))&gt;0,IFERROR(INDEX(CheatSheet!$D$5:$D$34,MATCH(B33,CheatSheet!$A$5:$A$34,0)),"")&lt;&gt;""),"Yes","No")</f>
        <v>No</v>
      </c>
      <c r="W33" s="179"/>
      <c r="Y33" s="78">
        <f t="shared" ca="1" si="0"/>
        <v>1</v>
      </c>
      <c r="Z33">
        <f t="shared" ca="1" si="1"/>
        <v>-39.535999999999973</v>
      </c>
      <c r="AA33" t="str">
        <f t="shared" ca="1" si="2"/>
        <v>QB7</v>
      </c>
      <c r="AB33">
        <f ca="1">Z33*LeagueInfo!$H$5</f>
        <v>-14.55827569950211</v>
      </c>
    </row>
    <row r="34" spans="1:28" x14ac:dyDescent="0.25">
      <c r="A34">
        <f>RANK(P34,P$3:P$81)</f>
        <v>32</v>
      </c>
      <c r="B34" t="str">
        <f>QB_Raw!A33</f>
        <v>Geno Smith</v>
      </c>
      <c r="C34" t="s">
        <v>29</v>
      </c>
      <c r="D34" t="str">
        <f>_xlfn.IFNA(INDEX(BYEs!$E$2:$E$411,MATCH(B34,BYEs!$D$2:$D$411,0)),"N/A")</f>
        <v>N/A</v>
      </c>
      <c r="E34">
        <f>INDEX(BYEs!$B$2:$B$34,MATCH(F34,BYEs!$A$2:$A$34,0))</f>
        <v>11</v>
      </c>
      <c r="F34" t="str">
        <f>QB_Raw!B33</f>
        <v>SEA</v>
      </c>
      <c r="G34" s="206">
        <f>QB_Raw!C33</f>
        <v>349.8</v>
      </c>
      <c r="H34" s="204">
        <f>QB_Raw!D33</f>
        <v>222.5</v>
      </c>
      <c r="I34" s="204">
        <f>QB_Raw!E33</f>
        <v>2694.3</v>
      </c>
      <c r="J34" s="204">
        <f>QB_Raw!F33</f>
        <v>15.6</v>
      </c>
      <c r="K34" s="207">
        <f>QB_Raw!G33</f>
        <v>9.8000000000000007</v>
      </c>
      <c r="L34" s="206">
        <f>QB_Raw!H33</f>
        <v>25.9</v>
      </c>
      <c r="M34" s="204">
        <f>QB_Raw!I33</f>
        <v>121.7</v>
      </c>
      <c r="N34" s="204">
        <f>QB_Raw!J33</f>
        <v>1.2</v>
      </c>
      <c r="O34" s="207">
        <f>QB_Raw!K33</f>
        <v>2.5</v>
      </c>
      <c r="P34" s="209">
        <f>(G34*QBPassAtt)+(I34*PassingYds)+(J34*PassingTD)+(K34*PassingINT)+(M34*QBRushingYd)+(N34*QBRushingTD)+(O34*QBFuml)+(H34*QBCompletion)+(L34*QBRushAtt)</f>
        <v>174.74199999999996</v>
      </c>
      <c r="Q34" t="str">
        <f ca="1">IF(A34&lt;=QBStarter,"Starter",IF(A34&gt;QBStarter+QBBench,"Undrafted","Bench"))</f>
        <v>Undrafted</v>
      </c>
      <c r="R34">
        <f ca="1">IFERROR(MAX(P34-LARGE(QBSheetCount,QBStarter),0),0)</f>
        <v>0</v>
      </c>
      <c r="S34">
        <f ca="1">IFERROR(IF(AllowNegative="Yes",P34-LARGE(QBSheetCount,QBCount),MAX(P34-LARGE(QBSheetCount,QBCount),0)),0)</f>
        <v>-84.23599999999999</v>
      </c>
      <c r="T34" s="85">
        <f ca="1">(S34-R34)*BenchPF+R34*StarterPF</f>
        <v>-15.273410582706209</v>
      </c>
      <c r="U34" s="85">
        <f ca="1">T34*Auction!$A$2</f>
        <v>-15.273410582706209</v>
      </c>
      <c r="V34" s="6" t="str">
        <f>IF(OR(INDEX(Auction!$H$13:$H$656,MATCH(B34,Auction!$A$13:$A$656,0))&gt;0,IFERROR(INDEX(CheatSheet!$D$5:$D$34,MATCH(B34,CheatSheet!$A$5:$A$34,0)),"")&lt;&gt;""),"Yes","No")</f>
        <v>No</v>
      </c>
      <c r="W34" s="179"/>
      <c r="Y34" s="78">
        <f t="shared" ca="1" si="0"/>
        <v>1</v>
      </c>
      <c r="Z34">
        <f t="shared" ca="1" si="1"/>
        <v>-42.117999999999995</v>
      </c>
      <c r="AA34" t="str">
        <f t="shared" ca="1" si="2"/>
        <v>QB7</v>
      </c>
      <c r="AB34">
        <f ca="1">Z34*LeagueInfo!$H$5</f>
        <v>-15.509041276599307</v>
      </c>
    </row>
    <row r="35" spans="1:28" x14ac:dyDescent="0.25">
      <c r="A35">
        <f>RANK(P35,P$3:P$81)</f>
        <v>33</v>
      </c>
      <c r="B35" t="str">
        <f>QB_Raw!A34</f>
        <v>Deshaun Watson</v>
      </c>
      <c r="C35" t="s">
        <v>29</v>
      </c>
      <c r="D35">
        <f>_xlfn.IFNA(INDEX(BYEs!$E$2:$E$411,MATCH(B35,BYEs!$D$2:$D$411,0)),"N/A")</f>
        <v>25</v>
      </c>
      <c r="E35">
        <f>INDEX(BYEs!$B$2:$B$34,MATCH(F35,BYEs!$A$2:$A$34,0))</f>
        <v>9</v>
      </c>
      <c r="F35" t="str">
        <f>QB_Raw!B34</f>
        <v>CLE</v>
      </c>
      <c r="G35" s="206">
        <f>QB_Raw!C34</f>
        <v>146.19999999999999</v>
      </c>
      <c r="H35" s="204">
        <f>QB_Raw!D34</f>
        <v>98.2</v>
      </c>
      <c r="I35" s="204">
        <f>QB_Raw!E34</f>
        <v>1133.0999999999999</v>
      </c>
      <c r="J35" s="204">
        <f>QB_Raw!F34</f>
        <v>7.9</v>
      </c>
      <c r="K35" s="207">
        <f>QB_Raw!G34</f>
        <v>3.2</v>
      </c>
      <c r="L35" s="206">
        <f>QB_Raw!H34</f>
        <v>26.2</v>
      </c>
      <c r="M35" s="204">
        <f>QB_Raw!I34</f>
        <v>138.1</v>
      </c>
      <c r="N35" s="204">
        <f>QB_Raw!J34</f>
        <v>1.6</v>
      </c>
      <c r="O35" s="207">
        <f>QB_Raw!K34</f>
        <v>1.2</v>
      </c>
      <c r="P35" s="209">
        <f>(G35*QBPassAtt)+(I35*PassingYds)+(J35*PassingTD)+(K35*PassingINT)+(M35*QBRushingYd)+(N35*QBRushingTD)+(O35*QBFuml)+(H35*QBCompletion)+(L35*QBRushAtt)</f>
        <v>94.734000000000009</v>
      </c>
      <c r="Q35" t="str">
        <f ca="1">IF(A35&lt;=QBStarter,"Starter",IF(A35&gt;QBStarter+QBBench,"Undrafted","Bench"))</f>
        <v>Undrafted</v>
      </c>
      <c r="R35">
        <f ca="1">IFERROR(MAX(P35-LARGE(QBSheetCount,QBStarter),0),0)</f>
        <v>0</v>
      </c>
      <c r="S35">
        <f ca="1">IFERROR(IF(AllowNegative="Yes",P35-LARGE(QBSheetCount,QBCount),MAX(P35-LARGE(QBSheetCount,QBCount),0)),0)</f>
        <v>-164.24399999999994</v>
      </c>
      <c r="T35" s="85">
        <f ca="1">(S35-R35)*BenchPF+R35*StarterPF</f>
        <v>-29.780213302459732</v>
      </c>
      <c r="U35" s="85">
        <f ca="1">T35*Auction!$A$2</f>
        <v>-29.780213302459732</v>
      </c>
      <c r="V35" s="6" t="str">
        <f>IF(OR(INDEX(Auction!$H$13:$H$656,MATCH(B35,Auction!$A$13:$A$656,0))&gt;0,IFERROR(INDEX(CheatSheet!$D$5:$D$34,MATCH(B35,CheatSheet!$A$5:$A$34,0)),"")&lt;&gt;""),"Yes","No")</f>
        <v>No</v>
      </c>
      <c r="W35" s="179"/>
      <c r="Y35" s="78">
        <f t="shared" ref="Y35:Y66" ca="1" si="3">SUMIFS($Z$3:$Z$38,$Z$3:$Z$38,"&gt;0",$V$3:$V$38,"No")/SUMIF($Z$3:$Z$38,"&gt;0")</f>
        <v>1</v>
      </c>
      <c r="Z35">
        <f t="shared" ref="Z35:Z66" ca="1" si="4">AVERAGE(R35:S35)</f>
        <v>-82.121999999999971</v>
      </c>
      <c r="AA35" t="str">
        <f t="shared" ref="AA35:AA66" ca="1" si="5">CONCATENATE("QB",ROUND((LARGE($Z$3:$Z$38,1)-$Z35)/(STDEVA($Z$3:$Z$38)/2)+1,0))</f>
        <v>QB9</v>
      </c>
      <c r="AB35">
        <f ca="1">Z35*LeagueInfo!$H$5</f>
        <v>-30.239647839804551</v>
      </c>
    </row>
    <row r="36" spans="1:28" x14ac:dyDescent="0.25">
      <c r="A36">
        <f>RANK(P36,P$3:P$81)</f>
        <v>34</v>
      </c>
      <c r="B36" t="str">
        <f>QB_Raw!A35</f>
        <v>Kenny Pickett</v>
      </c>
      <c r="C36" t="s">
        <v>29</v>
      </c>
      <c r="D36" t="str">
        <f>_xlfn.IFNA(INDEX(BYEs!$E$2:$E$411,MATCH(B36,BYEs!$D$2:$D$411,0)),"N/A")</f>
        <v>N/A</v>
      </c>
      <c r="E36">
        <f>INDEX(BYEs!$B$2:$B$34,MATCH(F36,BYEs!$A$2:$A$34,0))</f>
        <v>9</v>
      </c>
      <c r="F36" t="str">
        <f>QB_Raw!B35</f>
        <v>PIT</v>
      </c>
      <c r="G36" s="206">
        <f>QB_Raw!C35</f>
        <v>190.2</v>
      </c>
      <c r="H36" s="204">
        <f>QB_Raw!D35</f>
        <v>116.8</v>
      </c>
      <c r="I36" s="204">
        <f>QB_Raw!E35</f>
        <v>1385.8</v>
      </c>
      <c r="J36" s="204">
        <f>QB_Raw!F35</f>
        <v>8</v>
      </c>
      <c r="K36" s="207">
        <f>QB_Raw!G35</f>
        <v>5.6</v>
      </c>
      <c r="L36" s="206">
        <f>QB_Raw!H35</f>
        <v>14.5</v>
      </c>
      <c r="M36" s="204">
        <f>QB_Raw!I35</f>
        <v>69.400000000000006</v>
      </c>
      <c r="N36" s="204">
        <f>QB_Raw!J35</f>
        <v>0.6</v>
      </c>
      <c r="O36" s="207">
        <f>QB_Raw!K35</f>
        <v>1</v>
      </c>
      <c r="P36" s="209">
        <f>(G36*QBPassAtt)+(I36*PassingYds)+(J36*PassingTD)+(K36*PassingINT)+(M36*QBRushingYd)+(N36*QBRushingTD)+(O36*QBFuml)+(H36*QBCompletion)+(L36*QBRushAtt)</f>
        <v>90.372</v>
      </c>
      <c r="Q36" t="str">
        <f ca="1">IF(A36&lt;=QBStarter,"Starter",IF(A36&gt;QBStarter+QBBench,"Undrafted","Bench"))</f>
        <v>Undrafted</v>
      </c>
      <c r="R36">
        <f ca="1">IFERROR(MAX(P36-LARGE(QBSheetCount,QBStarter),0),0)</f>
        <v>0</v>
      </c>
      <c r="S36">
        <f ca="1">IFERROR(IF(AllowNegative="Yes",P36-LARGE(QBSheetCount,QBCount),MAX(P36-LARGE(QBSheetCount,QBCount),0)),0)</f>
        <v>-168.60599999999994</v>
      </c>
      <c r="T36" s="85">
        <f ca="1">(S36-R36)*BenchPF+R36*StarterPF</f>
        <v>-30.571117630321506</v>
      </c>
      <c r="U36" s="85">
        <f ca="1">T36*Auction!$A$2</f>
        <v>-30.571117630321506</v>
      </c>
      <c r="V36" s="6" t="str">
        <f>IF(OR(INDEX(Auction!$H$13:$H$656,MATCH(B36,Auction!$A$13:$A$656,0))&gt;0,IFERROR(INDEX(CheatSheet!$D$5:$D$34,MATCH(B36,CheatSheet!$A$5:$A$34,0)),"")&lt;&gt;""),"Yes","No")</f>
        <v>No</v>
      </c>
      <c r="W36" s="179"/>
      <c r="Y36" s="78">
        <f t="shared" ca="1" si="3"/>
        <v>1</v>
      </c>
      <c r="Z36">
        <f t="shared" ca="1" si="4"/>
        <v>-84.302999999999969</v>
      </c>
      <c r="AA36" t="str">
        <f t="shared" ca="1" si="5"/>
        <v>QB9</v>
      </c>
      <c r="AB36">
        <f ca="1">Z36*LeagueInfo!$H$5</f>
        <v>-31.042753852062088</v>
      </c>
    </row>
    <row r="37" spans="1:28" x14ac:dyDescent="0.25">
      <c r="A37">
        <f>RANK(P37,P$3:P$81)</f>
        <v>35</v>
      </c>
      <c r="B37" t="str">
        <f>QB_Raw!A36</f>
        <v>Drew Lock</v>
      </c>
      <c r="C37" t="s">
        <v>29</v>
      </c>
      <c r="D37">
        <f>_xlfn.IFNA(INDEX(BYEs!$E$2:$E$411,MATCH(B37,BYEs!$D$2:$D$411,0)),"N/A")</f>
        <v>24</v>
      </c>
      <c r="E37">
        <f>INDEX(BYEs!$B$2:$B$34,MATCH(F37,BYEs!$A$2:$A$34,0))</f>
        <v>11</v>
      </c>
      <c r="F37" t="str">
        <f>QB_Raw!B36</f>
        <v>SEA</v>
      </c>
      <c r="G37" s="206">
        <f>QB_Raw!C36</f>
        <v>184.2</v>
      </c>
      <c r="H37" s="204">
        <f>QB_Raw!D36</f>
        <v>114.6</v>
      </c>
      <c r="I37" s="204">
        <f>QB_Raw!E36</f>
        <v>1128.9000000000001</v>
      </c>
      <c r="J37" s="204">
        <f>QB_Raw!F36</f>
        <v>6.2</v>
      </c>
      <c r="K37" s="207">
        <f>QB_Raw!G36</f>
        <v>4.0999999999999996</v>
      </c>
      <c r="L37" s="206">
        <f>QB_Raw!H36</f>
        <v>17.100000000000001</v>
      </c>
      <c r="M37" s="204">
        <f>QB_Raw!I36</f>
        <v>56.5</v>
      </c>
      <c r="N37" s="204">
        <f>QB_Raw!J36</f>
        <v>0.6</v>
      </c>
      <c r="O37" s="207">
        <f>QB_Raw!K36</f>
        <v>0.7</v>
      </c>
      <c r="P37" s="209">
        <f>(G37*QBPassAtt)+(I37*PassingYds)+(J37*PassingTD)+(K37*PassingINT)+(M37*QBRushingYd)+(N37*QBRushingTD)+(O37*QBFuml)+(H37*QBCompletion)+(L37*QBRushAtt)</f>
        <v>73.706000000000003</v>
      </c>
      <c r="Q37" t="str">
        <f ca="1">IF(A37&lt;=QBStarter,"Starter",IF(A37&gt;QBStarter+QBBench,"Undrafted","Bench"))</f>
        <v>Undrafted</v>
      </c>
      <c r="R37">
        <f ca="1">IFERROR(MAX(P37-LARGE(QBSheetCount,QBStarter),0),0)</f>
        <v>0</v>
      </c>
      <c r="S37">
        <f ca="1">IFERROR(IF(AllowNegative="Yes",P37-LARGE(QBSheetCount,QBCount),MAX(P37-LARGE(QBSheetCount,QBCount),0)),0)</f>
        <v>-185.27199999999993</v>
      </c>
      <c r="T37" s="85">
        <f ca="1">(S37-R37)*BenchPF+R37*StarterPF</f>
        <v>-33.592945124164778</v>
      </c>
      <c r="U37" s="85">
        <f ca="1">T37*Auction!$A$2</f>
        <v>-33.592945124164778</v>
      </c>
      <c r="V37" s="6" t="str">
        <f>IF(OR(INDEX(Auction!$H$13:$H$656,MATCH(B37,Auction!$A$13:$A$656,0))&gt;0,IFERROR(INDEX(CheatSheet!$D$5:$D$34,MATCH(B37,CheatSheet!$A$5:$A$34,0)),"")&lt;&gt;""),"Yes","No")</f>
        <v>No</v>
      </c>
      <c r="W37" s="179"/>
      <c r="Y37" s="78">
        <f t="shared" ca="1" si="3"/>
        <v>1</v>
      </c>
      <c r="Z37">
        <f t="shared" ca="1" si="4"/>
        <v>-92.635999999999967</v>
      </c>
      <c r="AA37" t="str">
        <f t="shared" ca="1" si="5"/>
        <v>QB9</v>
      </c>
      <c r="AB37">
        <f ca="1">Z37*LeagueInfo!$H$5</f>
        <v>-34.111200619665063</v>
      </c>
    </row>
    <row r="38" spans="1:28" x14ac:dyDescent="0.25">
      <c r="A38">
        <f>RANK(P38,P$3:P$81)</f>
        <v>36</v>
      </c>
      <c r="B38" t="str">
        <f>QB_Raw!A37</f>
        <v>Desmond Ridder</v>
      </c>
      <c r="C38" t="s">
        <v>29</v>
      </c>
      <c r="D38" t="str">
        <f>_xlfn.IFNA(INDEX(BYEs!$E$2:$E$411,MATCH(B38,BYEs!$D$2:$D$411,0)),"N/A")</f>
        <v>N/A</v>
      </c>
      <c r="E38">
        <f>INDEX(BYEs!$B$2:$B$34,MATCH(F38,BYEs!$A$2:$A$34,0))</f>
        <v>14</v>
      </c>
      <c r="F38" t="str">
        <f>QB_Raw!B37</f>
        <v>ATL</v>
      </c>
      <c r="G38" s="206">
        <f>QB_Raw!C37</f>
        <v>157.19999999999999</v>
      </c>
      <c r="H38" s="204">
        <f>QB_Raw!D37</f>
        <v>97.2</v>
      </c>
      <c r="I38" s="204">
        <f>QB_Raw!E37</f>
        <v>1131.0999999999999</v>
      </c>
      <c r="J38" s="204">
        <f>QB_Raw!F37</f>
        <v>5.0999999999999996</v>
      </c>
      <c r="K38" s="207">
        <f>QB_Raw!G37</f>
        <v>4.5999999999999996</v>
      </c>
      <c r="L38" s="206">
        <f>QB_Raw!H37</f>
        <v>13.7</v>
      </c>
      <c r="M38" s="204">
        <f>QB_Raw!I37</f>
        <v>66.5</v>
      </c>
      <c r="N38" s="204">
        <f>QB_Raw!J37</f>
        <v>0.5</v>
      </c>
      <c r="O38" s="207">
        <f>QB_Raw!K37</f>
        <v>0.8</v>
      </c>
      <c r="P38" s="209">
        <f>(G38*QBPassAtt)+(I38*PassingYds)+(J38*PassingTD)+(K38*PassingINT)+(M38*QBRushingYd)+(N38*QBRushingTD)+(O38*QBFuml)+(H38*QBCompletion)+(L38*QBRushAtt)</f>
        <v>69.094000000000008</v>
      </c>
      <c r="Q38" t="str">
        <f ca="1">IF(A38&lt;=QBStarter,"Starter",IF(A38&gt;QBStarter+QBBench,"Undrafted","Bench"))</f>
        <v>Undrafted</v>
      </c>
      <c r="R38">
        <f ca="1">IFERROR(MAX(P38-LARGE(QBSheetCount,QBStarter),0),0)</f>
        <v>0</v>
      </c>
      <c r="S38">
        <f ca="1">IFERROR(IF(AllowNegative="Yes",P38-LARGE(QBSheetCount,QBCount),MAX(P38-LARGE(QBSheetCount,QBCount),0)),0)</f>
        <v>-189.88399999999996</v>
      </c>
      <c r="T38" s="85">
        <f ca="1">(S38-R38)*BenchPF+R38*StarterPF</f>
        <v>-34.429178677603225</v>
      </c>
      <c r="U38" s="85">
        <f ca="1">T38*Auction!$A$2</f>
        <v>-34.429178677603225</v>
      </c>
      <c r="V38" s="6" t="str">
        <f>IF(OR(INDEX(Auction!$H$13:$H$656,MATCH(B38,Auction!$A$13:$A$656,0))&gt;0,IFERROR(INDEX(CheatSheet!$D$5:$D$34,MATCH(B38,CheatSheet!$A$5:$A$34,0)),"")&lt;&gt;""),"Yes","No")</f>
        <v>No</v>
      </c>
      <c r="W38" s="179"/>
      <c r="Y38" s="78">
        <f t="shared" ca="1" si="3"/>
        <v>1</v>
      </c>
      <c r="Z38">
        <f t="shared" ca="1" si="4"/>
        <v>-94.941999999999979</v>
      </c>
      <c r="AA38" t="str">
        <f t="shared" ca="1" si="5"/>
        <v>QB10</v>
      </c>
      <c r="AB38">
        <f ca="1">Z38*LeagueInfo!$H$5</f>
        <v>-34.960335174578361</v>
      </c>
    </row>
    <row r="39" spans="1:28" x14ac:dyDescent="0.25">
      <c r="A39">
        <f>RANK(P39,P$3:P$81)</f>
        <v>37</v>
      </c>
      <c r="B39" t="str">
        <f>QB_Raw!A38</f>
        <v>Joe Flacco</v>
      </c>
      <c r="C39" t="s">
        <v>29</v>
      </c>
      <c r="D39">
        <f>_xlfn.IFNA(INDEX(BYEs!$E$2:$E$411,MATCH(B39,BYEs!$D$2:$D$411,0)),"N/A")</f>
        <v>36</v>
      </c>
      <c r="E39">
        <f>INDEX(BYEs!$B$2:$B$34,MATCH(F39,BYEs!$A$2:$A$34,0))</f>
        <v>10</v>
      </c>
      <c r="F39" t="str">
        <f>QB_Raw!B38</f>
        <v>NYJ</v>
      </c>
      <c r="G39" s="206">
        <f>QB_Raw!C38</f>
        <v>108.9</v>
      </c>
      <c r="H39" s="204">
        <f>QB_Raw!D38</f>
        <v>66.7</v>
      </c>
      <c r="I39" s="204">
        <f>QB_Raw!E38</f>
        <v>754.1</v>
      </c>
      <c r="J39" s="204">
        <f>QB_Raw!F38</f>
        <v>4.0999999999999996</v>
      </c>
      <c r="K39" s="207">
        <f>QB_Raw!G38</f>
        <v>2.5</v>
      </c>
      <c r="L39" s="206">
        <f>QB_Raw!H38</f>
        <v>4</v>
      </c>
      <c r="M39" s="204">
        <f>QB_Raw!I38</f>
        <v>13.7</v>
      </c>
      <c r="N39" s="204">
        <f>QB_Raw!J38</f>
        <v>0.1</v>
      </c>
      <c r="O39" s="207">
        <f>QB_Raw!K38</f>
        <v>0.6</v>
      </c>
      <c r="P39" s="209">
        <f>(G39*QBPassAtt)+(I39*PassingYds)+(J39*PassingTD)+(K39*PassingINT)+(M39*QBRushingYd)+(N39*QBRushingTD)+(O39*QBFuml)+(H39*QBCompletion)+(L39*QBRushAtt)</f>
        <v>44.833999999999996</v>
      </c>
      <c r="Q39" t="str">
        <f ca="1">IF(A39&lt;=QBStarter,"Starter",IF(A39&gt;QBStarter+QBBench,"Undrafted","Bench"))</f>
        <v>Undrafted</v>
      </c>
      <c r="R39">
        <f ca="1">IFERROR(MAX(P39-LARGE(QBSheetCount,QBStarter),0),0)</f>
        <v>0</v>
      </c>
      <c r="S39">
        <f ca="1">IFERROR(IF(AllowNegative="Yes",P39-LARGE(QBSheetCount,QBCount),MAX(P39-LARGE(QBSheetCount,QBCount),0)),0)</f>
        <v>-214.14399999999995</v>
      </c>
      <c r="T39" s="85">
        <f ca="1">(S39-R39)*BenchPF+R39*StarterPF</f>
        <v>-38.827926727563487</v>
      </c>
      <c r="U39" s="85">
        <f ca="1">T39*Auction!$A$2</f>
        <v>-38.827926727563487</v>
      </c>
      <c r="V39" s="6" t="str">
        <f>IF(OR(INDEX(Auction!$H$13:$H$656,MATCH(B39,Auction!$A$13:$A$656,0))&gt;0,IFERROR(INDEX(CheatSheet!$D$5:$D$34,MATCH(B39,CheatSheet!$A$5:$A$34,0)),"")&lt;&gt;""),"Yes","No")</f>
        <v>No</v>
      </c>
      <c r="W39" s="179"/>
      <c r="Y39" s="78">
        <f t="shared" ca="1" si="3"/>
        <v>1</v>
      </c>
      <c r="Z39">
        <f t="shared" ca="1" si="4"/>
        <v>-107.07199999999997</v>
      </c>
      <c r="AA39" t="str">
        <f t="shared" ca="1" si="5"/>
        <v>QB10</v>
      </c>
      <c r="AB39">
        <f ca="1">Z39*LeagueInfo!$H$5</f>
        <v>-39.426944953892416</v>
      </c>
    </row>
    <row r="40" spans="1:28" x14ac:dyDescent="0.25">
      <c r="A40">
        <f>RANK(P40,P$3:P$81)</f>
        <v>38</v>
      </c>
      <c r="B40" t="str">
        <f>QB_Raw!A39</f>
        <v>Andy Dalton</v>
      </c>
      <c r="C40" t="s">
        <v>29</v>
      </c>
      <c r="D40">
        <f>_xlfn.IFNA(INDEX(BYEs!$E$2:$E$411,MATCH(B40,BYEs!$D$2:$D$411,0)),"N/A")</f>
        <v>33</v>
      </c>
      <c r="E40">
        <f>INDEX(BYEs!$B$2:$B$34,MATCH(F40,BYEs!$A$2:$A$34,0))</f>
        <v>14</v>
      </c>
      <c r="F40" t="str">
        <f>QB_Raw!B39</f>
        <v>NO</v>
      </c>
      <c r="G40" s="206">
        <f>QB_Raw!C39</f>
        <v>57.7</v>
      </c>
      <c r="H40" s="204">
        <f>QB_Raw!D39</f>
        <v>36.4</v>
      </c>
      <c r="I40" s="204">
        <f>QB_Raw!E39</f>
        <v>409.8</v>
      </c>
      <c r="J40" s="204">
        <f>QB_Raw!F39</f>
        <v>2.9</v>
      </c>
      <c r="K40" s="207">
        <f>QB_Raw!G39</f>
        <v>1.7</v>
      </c>
      <c r="L40" s="206">
        <f>QB_Raw!H39</f>
        <v>3.9</v>
      </c>
      <c r="M40" s="204">
        <f>QB_Raw!I39</f>
        <v>13.6</v>
      </c>
      <c r="N40" s="204">
        <f>QB_Raw!J39</f>
        <v>0.1</v>
      </c>
      <c r="O40" s="207">
        <f>QB_Raw!K39</f>
        <v>0.2</v>
      </c>
      <c r="P40" s="209">
        <f>(G40*QBPassAtt)+(I40*PassingYds)+(J40*PassingTD)+(K40*PassingINT)+(M40*QBRushingYd)+(N40*QBRushingTD)+(O40*QBFuml)+(H40*QBCompletion)+(L40*QBRushAtt)</f>
        <v>27.852</v>
      </c>
      <c r="Q40" t="str">
        <f ca="1">IF(A40&lt;=QBStarter,"Starter",IF(A40&gt;QBStarter+QBBench,"Undrafted","Bench"))</f>
        <v>Undrafted</v>
      </c>
      <c r="R40">
        <f ca="1">IFERROR(MAX(P40-LARGE(QBSheetCount,QBStarter),0),0)</f>
        <v>0</v>
      </c>
      <c r="S40">
        <f ca="1">IFERROR(IF(AllowNegative="Yes",P40-LARGE(QBSheetCount,QBCount),MAX(P40-LARGE(QBSheetCount,QBCount),0)),0)</f>
        <v>-231.12599999999995</v>
      </c>
      <c r="T40" s="85">
        <f ca="1">(S40-R40)*BenchPF+R40*StarterPF</f>
        <v>-41.907050362535671</v>
      </c>
      <c r="U40" s="85">
        <f ca="1">T40*Auction!$A$2</f>
        <v>-41.907050362535671</v>
      </c>
      <c r="V40" s="6" t="str">
        <f>IF(OR(INDEX(Auction!$H$13:$H$656,MATCH(B40,Auction!$A$13:$A$656,0))&gt;0,IFERROR(INDEX(CheatSheet!$D$5:$D$34,MATCH(B40,CheatSheet!$A$5:$A$34,0)),"")&lt;&gt;""),"Yes","No")</f>
        <v>No</v>
      </c>
      <c r="W40" s="179"/>
      <c r="Y40" s="78">
        <f t="shared" ca="1" si="3"/>
        <v>1</v>
      </c>
      <c r="Z40">
        <f t="shared" ca="1" si="4"/>
        <v>-115.56299999999997</v>
      </c>
      <c r="AA40" t="str">
        <f t="shared" ca="1" si="5"/>
        <v>QB10</v>
      </c>
      <c r="AB40">
        <f ca="1">Z40*LeagueInfo!$H$5</f>
        <v>-42.553571799412261</v>
      </c>
    </row>
    <row r="41" spans="1:28" x14ac:dyDescent="0.25">
      <c r="A41">
        <f>RANK(P41,P$3:P$81)</f>
        <v>39</v>
      </c>
      <c r="B41" t="str">
        <f>QB_Raw!A40</f>
        <v>Tyrod Taylor</v>
      </c>
      <c r="C41" t="s">
        <v>29</v>
      </c>
      <c r="D41">
        <f>_xlfn.IFNA(INDEX(BYEs!$E$2:$E$411,MATCH(B41,BYEs!$D$2:$D$411,0)),"N/A")</f>
        <v>32</v>
      </c>
      <c r="E41">
        <f>INDEX(BYEs!$B$2:$B$34,MATCH(F41,BYEs!$A$2:$A$34,0))</f>
        <v>9</v>
      </c>
      <c r="F41" t="str">
        <f>QB_Raw!B40</f>
        <v>NYG</v>
      </c>
      <c r="G41" s="206">
        <f>QB_Raw!C40</f>
        <v>43</v>
      </c>
      <c r="H41" s="204">
        <f>QB_Raw!D40</f>
        <v>26.2</v>
      </c>
      <c r="I41" s="204">
        <f>QB_Raw!E40</f>
        <v>290.2</v>
      </c>
      <c r="J41" s="204">
        <f>QB_Raw!F40</f>
        <v>1.7</v>
      </c>
      <c r="K41" s="207">
        <f>QB_Raw!G40</f>
        <v>1</v>
      </c>
      <c r="L41" s="206">
        <f>QB_Raw!H40</f>
        <v>4.3</v>
      </c>
      <c r="M41" s="204">
        <f>QB_Raw!I40</f>
        <v>25.1</v>
      </c>
      <c r="N41" s="204">
        <f>QB_Raw!J40</f>
        <v>0.1</v>
      </c>
      <c r="O41" s="207">
        <f>QB_Raw!K40</f>
        <v>0.3</v>
      </c>
      <c r="P41" s="209">
        <f>(G41*QBPassAtt)+(I41*PassingYds)+(J41*PassingTD)+(K41*PassingINT)+(M41*QBRushingYd)+(N41*QBRushingTD)+(O41*QBFuml)+(H41*QBCompletion)+(L41*QBRushAtt)</f>
        <v>19.918000000000003</v>
      </c>
      <c r="Q41" t="str">
        <f ca="1">IF(A41&lt;=QBStarter,"Starter",IF(A41&gt;QBStarter+QBBench,"Undrafted","Bench"))</f>
        <v>Undrafted</v>
      </c>
      <c r="R41">
        <f ca="1">IFERROR(MAX(P41-LARGE(QBSheetCount,QBStarter),0),0)</f>
        <v>0</v>
      </c>
      <c r="S41">
        <f ca="1">IFERROR(IF(AllowNegative="Yes",P41-LARGE(QBSheetCount,QBCount),MAX(P41-LARGE(QBSheetCount,QBCount),0)),0)</f>
        <v>-239.05999999999995</v>
      </c>
      <c r="T41" s="85">
        <f ca="1">(S41-R41)*BenchPF+R41*StarterPF</f>
        <v>-43.345618665436938</v>
      </c>
      <c r="U41" s="85">
        <f ca="1">T41*Auction!$A$2</f>
        <v>-43.345618665436938</v>
      </c>
      <c r="V41" s="6" t="str">
        <f>IF(OR(INDEX(Auction!$H$13:$H$656,MATCH(B41,Auction!$A$13:$A$656,0))&gt;0,IFERROR(INDEX(CheatSheet!$D$5:$D$34,MATCH(B41,CheatSheet!$A$5:$A$34,0)),"")&lt;&gt;""),"Yes","No")</f>
        <v>No</v>
      </c>
      <c r="W41" s="179"/>
      <c r="Y41" s="78">
        <f t="shared" ca="1" si="3"/>
        <v>1</v>
      </c>
      <c r="Z41">
        <f t="shared" ca="1" si="4"/>
        <v>-119.52999999999997</v>
      </c>
      <c r="AA41" t="str">
        <f t="shared" ca="1" si="5"/>
        <v>QB11</v>
      </c>
      <c r="AB41">
        <f ca="1">Z41*LeagueInfo!$H$5</f>
        <v>-44.014333629135166</v>
      </c>
    </row>
    <row r="42" spans="1:28" x14ac:dyDescent="0.25">
      <c r="A42">
        <f>RANK(P42,P$3:P$81)</f>
        <v>40</v>
      </c>
      <c r="B42" t="str">
        <f>QB_Raw!A42</f>
        <v>Sam Darnold</v>
      </c>
      <c r="C42" t="s">
        <v>29</v>
      </c>
      <c r="D42">
        <f>_xlfn.IFNA(INDEX(BYEs!$E$2:$E$411,MATCH(B42,BYEs!$D$2:$D$411,0)),"N/A")</f>
        <v>24</v>
      </c>
      <c r="E42">
        <f>INDEX(BYEs!$B$2:$B$34,MATCH(F42,BYEs!$A$2:$A$34,0))</f>
        <v>13</v>
      </c>
      <c r="F42" t="str">
        <f>QB_Raw!B42</f>
        <v>CAR</v>
      </c>
      <c r="G42" s="206">
        <f>QB_Raw!C42</f>
        <v>25</v>
      </c>
      <c r="H42" s="204">
        <f>QB_Raw!D42</f>
        <v>15.3</v>
      </c>
      <c r="I42" s="204">
        <f>QB_Raw!E42</f>
        <v>301.60000000000002</v>
      </c>
      <c r="J42" s="204">
        <f>QB_Raw!F42</f>
        <v>1.6</v>
      </c>
      <c r="K42" s="207">
        <f>QB_Raw!G42</f>
        <v>1.3</v>
      </c>
      <c r="L42" s="206">
        <f>QB_Raw!H42</f>
        <v>1.3</v>
      </c>
      <c r="M42" s="204">
        <f>QB_Raw!I42</f>
        <v>16.899999999999999</v>
      </c>
      <c r="N42" s="204">
        <f>QB_Raw!J42</f>
        <v>0.2</v>
      </c>
      <c r="O42" s="207">
        <f>QB_Raw!K42</f>
        <v>0.2</v>
      </c>
      <c r="P42" s="209">
        <f>(G42*QBPassAtt)+(I42*PassingYds)+(J42*PassingTD)+(K42*PassingINT)+(M42*QBRushingYd)+(N42*QBRushingTD)+(O42*QBFuml)+(H42*QBCompletion)+(L42*QBRushAtt)</f>
        <v>19.654000000000003</v>
      </c>
      <c r="Q42" t="str">
        <f ca="1">IF(A42&lt;=QBStarter,"Starter",IF(A42&gt;QBStarter+QBBench,"Undrafted","Bench"))</f>
        <v>Undrafted</v>
      </c>
      <c r="R42">
        <f ca="1">IFERROR(MAX(P42-LARGE(QBSheetCount,QBStarter),0),0)</f>
        <v>0</v>
      </c>
      <c r="S42">
        <f ca="1">IFERROR(IF(AllowNegative="Yes",P42-LARGE(QBSheetCount,QBCount),MAX(P42-LARGE(QBSheetCount,QBCount),0)),0)</f>
        <v>-239.32399999999996</v>
      </c>
      <c r="T42" s="85">
        <f ca="1">(S42-R42)*BenchPF+R42*StarterPF</f>
        <v>-43.39348632764591</v>
      </c>
      <c r="U42" s="85">
        <f ca="1">T42*Auction!$A$2</f>
        <v>-43.39348632764591</v>
      </c>
      <c r="V42" s="6" t="str">
        <f>IF(OR(INDEX(Auction!$H$13:$H$656,MATCH(B42,Auction!$A$13:$A$656,0))&gt;0,IFERROR(INDEX(CheatSheet!$D$5:$D$34,MATCH(B42,CheatSheet!$A$5:$A$34,0)),"")&lt;&gt;""),"Yes","No")</f>
        <v>No</v>
      </c>
      <c r="W42" s="179"/>
      <c r="Y42" s="78">
        <f t="shared" ca="1" si="3"/>
        <v>1</v>
      </c>
      <c r="Z42">
        <f t="shared" ca="1" si="4"/>
        <v>-119.66199999999998</v>
      </c>
      <c r="AA42" t="str">
        <f t="shared" ca="1" si="5"/>
        <v>QB11</v>
      </c>
      <c r="AB42">
        <f ca="1">Z42*LeagueInfo!$H$5</f>
        <v>-44.062939770179639</v>
      </c>
    </row>
    <row r="43" spans="1:28" x14ac:dyDescent="0.25">
      <c r="A43">
        <f>RANK(P43,P$3:P$81)</f>
        <v>41</v>
      </c>
      <c r="B43" t="str">
        <f>QB_Raw!A41</f>
        <v>Taysom Hill</v>
      </c>
      <c r="C43" t="s">
        <v>29</v>
      </c>
      <c r="D43" t="str">
        <f>_xlfn.IFNA(INDEX(BYEs!$E$2:$E$411,MATCH(B43,BYEs!$D$2:$D$411,0)),"N/A")</f>
        <v>N/A</v>
      </c>
      <c r="E43">
        <f>INDEX(BYEs!$B$2:$B$34,MATCH(F43,BYEs!$A$2:$A$34,0))</f>
        <v>14</v>
      </c>
      <c r="F43" t="str">
        <f>QB_Raw!B41</f>
        <v>NO</v>
      </c>
      <c r="G43" s="206">
        <f>QB_Raw!C41</f>
        <v>11</v>
      </c>
      <c r="H43" s="204">
        <f>QB_Raw!D41</f>
        <v>7.2</v>
      </c>
      <c r="I43" s="204">
        <f>QB_Raw!E41</f>
        <v>77.8</v>
      </c>
      <c r="J43" s="204">
        <f>QB_Raw!F41</f>
        <v>0.3</v>
      </c>
      <c r="K43" s="207">
        <f>QB_Raw!G41</f>
        <v>0.3</v>
      </c>
      <c r="L43" s="206">
        <f>QB_Raw!H41</f>
        <v>21.7</v>
      </c>
      <c r="M43" s="204">
        <f>QB_Raw!I41</f>
        <v>99.6</v>
      </c>
      <c r="N43" s="204">
        <f>QB_Raw!J41</f>
        <v>0.9</v>
      </c>
      <c r="O43" s="207">
        <f>QB_Raw!K41</f>
        <v>0</v>
      </c>
      <c r="P43" s="209">
        <f>(G43*QBPassAtt)+(I43*PassingYds)+(J43*PassingTD)+(K43*PassingINT)+(M43*QBRushingYd)+(N43*QBRushingTD)+(O43*QBFuml)+(H43*QBCompletion)+(L43*QBRushAtt)</f>
        <v>19.372</v>
      </c>
      <c r="Q43" t="str">
        <f ca="1">IF(A43&lt;=QBStarter,"Starter",IF(A43&gt;QBStarter+QBBench,"Undrafted","Bench"))</f>
        <v>Undrafted</v>
      </c>
      <c r="R43">
        <f ca="1">IFERROR(MAX(P43-LARGE(QBSheetCount,QBStarter),0),0)</f>
        <v>0</v>
      </c>
      <c r="S43">
        <f ca="1">IFERROR(IF(AllowNegative="Yes",P43-LARGE(QBSheetCount,QBCount),MAX(P43-LARGE(QBSheetCount,QBCount),0)),0)</f>
        <v>-239.60599999999994</v>
      </c>
      <c r="T43" s="85">
        <f ca="1">(S43-R43)*BenchPF+R43*StarterPF</f>
        <v>-43.444617694096387</v>
      </c>
      <c r="U43" s="85">
        <f ca="1">T43*Auction!$A$2</f>
        <v>-43.444617694096387</v>
      </c>
      <c r="V43" s="6" t="str">
        <f>IF(OR(INDEX(Auction!$H$13:$H$656,MATCH(B43,Auction!$A$13:$A$656,0))&gt;0,IFERROR(INDEX(CheatSheet!$D$5:$D$34,MATCH(B43,CheatSheet!$A$5:$A$34,0)),"")&lt;&gt;""),"Yes","No")</f>
        <v>No</v>
      </c>
      <c r="W43" s="179"/>
      <c r="Y43" s="78">
        <f t="shared" ca="1" si="3"/>
        <v>1</v>
      </c>
      <c r="Z43">
        <f t="shared" ca="1" si="4"/>
        <v>-119.80299999999997</v>
      </c>
      <c r="AA43" t="str">
        <f t="shared" ca="1" si="5"/>
        <v>QB11</v>
      </c>
      <c r="AB43">
        <f ca="1">Z43*LeagueInfo!$H$5</f>
        <v>-44.114859966295327</v>
      </c>
    </row>
    <row r="44" spans="1:28" x14ac:dyDescent="0.25">
      <c r="A44">
        <f>RANK(P44,P$3:P$81)</f>
        <v>42</v>
      </c>
      <c r="B44" t="str">
        <f>QB_Raw!A43</f>
        <v>Tyler Huntley</v>
      </c>
      <c r="C44" t="s">
        <v>29</v>
      </c>
      <c r="D44" t="str">
        <f>_xlfn.IFNA(INDEX(BYEs!$E$2:$E$411,MATCH(B44,BYEs!$D$2:$D$411,0)),"N/A")</f>
        <v>N/A</v>
      </c>
      <c r="E44">
        <f>INDEX(BYEs!$B$2:$B$34,MATCH(F44,BYEs!$A$2:$A$34,0))</f>
        <v>10</v>
      </c>
      <c r="F44" t="str">
        <f>QB_Raw!B43</f>
        <v>BAL</v>
      </c>
      <c r="G44" s="206">
        <f>QB_Raw!C43</f>
        <v>31.2</v>
      </c>
      <c r="H44" s="204">
        <f>QB_Raw!D43</f>
        <v>20.3</v>
      </c>
      <c r="I44" s="204">
        <f>QB_Raw!E43</f>
        <v>238.5</v>
      </c>
      <c r="J44" s="204">
        <f>QB_Raw!F43</f>
        <v>1.6</v>
      </c>
      <c r="K44" s="207">
        <f>QB_Raw!G43</f>
        <v>1.3</v>
      </c>
      <c r="L44" s="206">
        <f>QB_Raw!H43</f>
        <v>6.4</v>
      </c>
      <c r="M44" s="204">
        <f>QB_Raw!I43</f>
        <v>34.700000000000003</v>
      </c>
      <c r="N44" s="204">
        <f>QB_Raw!J43</f>
        <v>0.2</v>
      </c>
      <c r="O44" s="207">
        <f>QB_Raw!K43</f>
        <v>0.2</v>
      </c>
      <c r="P44" s="209">
        <f>(G44*QBPassAtt)+(I44*PassingYds)+(J44*PassingTD)+(K44*PassingINT)+(M44*QBRushingYd)+(N44*QBRushingTD)+(O44*QBFuml)+(H44*QBCompletion)+(L44*QBRushAtt)</f>
        <v>18.91</v>
      </c>
      <c r="Q44" t="str">
        <f ca="1">IF(A44&lt;=QBStarter,"Starter",IF(A44&gt;QBStarter+QBBench,"Undrafted","Bench"))</f>
        <v>Undrafted</v>
      </c>
      <c r="R44">
        <f ca="1">IFERROR(MAX(P44-LARGE(QBSheetCount,QBStarter),0),0)</f>
        <v>0</v>
      </c>
      <c r="S44">
        <f ca="1">IFERROR(IF(AllowNegative="Yes",P44-LARGE(QBSheetCount,QBCount),MAX(P44-LARGE(QBSheetCount,QBCount),0)),0)</f>
        <v>-240.06799999999996</v>
      </c>
      <c r="T44" s="85">
        <f ca="1">(S44-R44)*BenchPF+R44*StarterPF</f>
        <v>-43.528386102962081</v>
      </c>
      <c r="U44" s="85">
        <f ca="1">T44*Auction!$A$2</f>
        <v>-43.528386102962081</v>
      </c>
      <c r="V44" s="6" t="str">
        <f>IF(OR(INDEX(Auction!$H$13:$H$656,MATCH(B44,Auction!$A$13:$A$656,0))&gt;0,IFERROR(INDEX(CheatSheet!$D$5:$D$34,MATCH(B44,CheatSheet!$A$5:$A$34,0)),"")&lt;&gt;""),"Yes","No")</f>
        <v>No</v>
      </c>
      <c r="W44" s="179"/>
      <c r="Y44" s="78">
        <f t="shared" ca="1" si="3"/>
        <v>1</v>
      </c>
      <c r="Z44">
        <f t="shared" ca="1" si="4"/>
        <v>-120.03399999999998</v>
      </c>
      <c r="AA44" t="str">
        <f t="shared" ca="1" si="5"/>
        <v>QB11</v>
      </c>
      <c r="AB44">
        <f ca="1">Z44*LeagueInfo!$H$5</f>
        <v>-44.199920713123156</v>
      </c>
    </row>
    <row r="45" spans="1:28" x14ac:dyDescent="0.25">
      <c r="A45">
        <f>RANK(P45,P$3:P$81)</f>
        <v>43</v>
      </c>
      <c r="B45" t="str">
        <f>QB_Raw!A44</f>
        <v>Joshua Dobbs</v>
      </c>
      <c r="C45" t="s">
        <v>29</v>
      </c>
      <c r="D45" t="str">
        <f>_xlfn.IFNA(INDEX(BYEs!$E$2:$E$411,MATCH(B45,BYEs!$D$2:$D$411,0)),"N/A")</f>
        <v>N/A</v>
      </c>
      <c r="E45">
        <f>INDEX(BYEs!$B$2:$B$34,MATCH(F45,BYEs!$A$2:$A$34,0))</f>
        <v>9</v>
      </c>
      <c r="F45" t="str">
        <f>QB_Raw!B44</f>
        <v>CLE</v>
      </c>
      <c r="G45" s="206">
        <f>QB_Raw!C44</f>
        <v>26.6</v>
      </c>
      <c r="H45" s="204">
        <f>QB_Raw!D44</f>
        <v>17.3</v>
      </c>
      <c r="I45" s="204">
        <f>QB_Raw!E44</f>
        <v>253.2</v>
      </c>
      <c r="J45" s="204">
        <f>QB_Raw!F44</f>
        <v>1.1000000000000001</v>
      </c>
      <c r="K45" s="207">
        <f>QB_Raw!G44</f>
        <v>1.2</v>
      </c>
      <c r="L45" s="206">
        <f>QB_Raw!H44</f>
        <v>3.8</v>
      </c>
      <c r="M45" s="204">
        <f>QB_Raw!I44</f>
        <v>32.299999999999997</v>
      </c>
      <c r="N45" s="204">
        <f>QB_Raw!J44</f>
        <v>0.2</v>
      </c>
      <c r="O45" s="207">
        <f>QB_Raw!K44</f>
        <v>0.1</v>
      </c>
      <c r="P45" s="209">
        <f>(G45*QBPassAtt)+(I45*PassingYds)+(J45*PassingTD)+(K45*PassingINT)+(M45*QBRushingYd)+(N45*QBRushingTD)+(O45*QBFuml)+(H45*QBCompletion)+(L45*QBRushAtt)</f>
        <v>17.558</v>
      </c>
      <c r="Q45" t="str">
        <f ca="1">IF(A45&lt;=QBStarter,"Starter",IF(A45&gt;QBStarter+QBBench,"Undrafted","Bench"))</f>
        <v>Undrafted</v>
      </c>
      <c r="R45">
        <f ca="1">IFERROR(MAX(P45-LARGE(QBSheetCount,QBStarter),0),0)</f>
        <v>0</v>
      </c>
      <c r="S45">
        <f ca="1">IFERROR(IF(AllowNegative="Yes",P45-LARGE(QBSheetCount,QBCount),MAX(P45-LARGE(QBSheetCount,QBCount),0)),0)</f>
        <v>-241.41999999999996</v>
      </c>
      <c r="T45" s="85">
        <f ca="1">(S45-R45)*BenchPF+R45*StarterPF</f>
        <v>-43.773526554880725</v>
      </c>
      <c r="U45" s="85">
        <f ca="1">T45*Auction!$A$2</f>
        <v>-43.773526554880725</v>
      </c>
      <c r="V45" s="6" t="str">
        <f>IF(OR(INDEX(Auction!$H$13:$H$656,MATCH(B45,Auction!$A$13:$A$656,0))&gt;0,IFERROR(INDEX(CheatSheet!$D$5:$D$34,MATCH(B45,CheatSheet!$A$5:$A$34,0)),"")&lt;&gt;""),"Yes","No")</f>
        <v>No</v>
      </c>
      <c r="W45" s="179"/>
      <c r="Y45" s="78">
        <f t="shared" ca="1" si="3"/>
        <v>1</v>
      </c>
      <c r="Z45">
        <f t="shared" ca="1" si="4"/>
        <v>-120.70999999999998</v>
      </c>
      <c r="AA45" t="str">
        <f t="shared" ca="1" si="5"/>
        <v>QB11</v>
      </c>
      <c r="AB45">
        <f ca="1">Z45*LeagueInfo!$H$5</f>
        <v>-44.448843071805456</v>
      </c>
    </row>
    <row r="46" spans="1:28" x14ac:dyDescent="0.25">
      <c r="A46">
        <f>RANK(P46,P$3:P$81)</f>
        <v>44</v>
      </c>
      <c r="B46" t="str">
        <f>QB_Raw!A45</f>
        <v>Shane Buechele</v>
      </c>
      <c r="C46" t="s">
        <v>29</v>
      </c>
      <c r="D46" t="str">
        <f>_xlfn.IFNA(INDEX(BYEs!$E$2:$E$411,MATCH(B46,BYEs!$D$2:$D$411,0)),"N/A")</f>
        <v>N/A</v>
      </c>
      <c r="E46">
        <f>INDEX(BYEs!$B$2:$B$34,MATCH(F46,BYEs!$A$2:$A$34,0))</f>
        <v>8</v>
      </c>
      <c r="F46" t="str">
        <f>QB_Raw!B45</f>
        <v>KC</v>
      </c>
      <c r="G46" s="206">
        <f>QB_Raw!C45</f>
        <v>0</v>
      </c>
      <c r="H46" s="204">
        <f>QB_Raw!D45</f>
        <v>0</v>
      </c>
      <c r="I46" s="204">
        <f>QB_Raw!E45</f>
        <v>287.10000000000002</v>
      </c>
      <c r="J46" s="204">
        <f>QB_Raw!F45</f>
        <v>0.9</v>
      </c>
      <c r="K46" s="207">
        <f>QB_Raw!G45</f>
        <v>1.7</v>
      </c>
      <c r="L46" s="206">
        <f>QB_Raw!H45</f>
        <v>0</v>
      </c>
      <c r="M46" s="204">
        <f>QB_Raw!I45</f>
        <v>8.3000000000000007</v>
      </c>
      <c r="N46" s="204">
        <f>QB_Raw!J45</f>
        <v>0.4</v>
      </c>
      <c r="O46" s="207">
        <f>QB_Raw!K45</f>
        <v>0.2</v>
      </c>
      <c r="P46" s="209">
        <f>(G46*QBPassAtt)+(I46*PassingYds)+(J46*PassingTD)+(K46*PassingINT)+(M46*QBRushingYd)+(N46*QBRushingTD)+(O46*QBFuml)+(H46*QBCompletion)+(L46*QBRushAtt)</f>
        <v>16.214000000000006</v>
      </c>
      <c r="Q46" t="str">
        <f ca="1">IF(A46&lt;=QBStarter,"Starter",IF(A46&gt;QBStarter+QBBench,"Undrafted","Bench"))</f>
        <v>Undrafted</v>
      </c>
      <c r="R46">
        <f ca="1">IFERROR(MAX(P46-LARGE(QBSheetCount,QBStarter),0),0)</f>
        <v>0</v>
      </c>
      <c r="S46">
        <f ca="1">IFERROR(IF(AllowNegative="Yes",P46-LARGE(QBSheetCount,QBCount),MAX(P46-LARGE(QBSheetCount,QBCount),0)),0)</f>
        <v>-242.76399999999995</v>
      </c>
      <c r="T46" s="85">
        <f ca="1">(S46-R46)*BenchPF+R46*StarterPF</f>
        <v>-44.017216471580916</v>
      </c>
      <c r="U46" s="85">
        <f ca="1">T46*Auction!$A$2</f>
        <v>-44.017216471580916</v>
      </c>
      <c r="V46" s="6" t="str">
        <f>IF(OR(INDEX(Auction!$H$13:$H$656,MATCH(B46,Auction!$A$13:$A$656,0))&gt;0,IFERROR(INDEX(CheatSheet!$D$5:$D$34,MATCH(B46,CheatSheet!$A$5:$A$34,0)),"")&lt;&gt;""),"Yes","No")</f>
        <v>No</v>
      </c>
      <c r="W46" s="179"/>
      <c r="Y46" s="78">
        <f t="shared" ca="1" si="3"/>
        <v>1</v>
      </c>
      <c r="Z46">
        <f t="shared" ca="1" si="4"/>
        <v>-121.38199999999998</v>
      </c>
      <c r="AA46" t="str">
        <f t="shared" ca="1" si="5"/>
        <v>QB11</v>
      </c>
      <c r="AB46">
        <f ca="1">Z46*LeagueInfo!$H$5</f>
        <v>-44.696292517122771</v>
      </c>
    </row>
    <row r="47" spans="1:28" x14ac:dyDescent="0.25">
      <c r="A47">
        <f>RANK(P47,P$3:P$81)</f>
        <v>45</v>
      </c>
      <c r="B47" t="str">
        <f>QB_Raw!A46</f>
        <v>Jimmy Garoppolo</v>
      </c>
      <c r="C47" t="s">
        <v>29</v>
      </c>
      <c r="D47">
        <f>_xlfn.IFNA(INDEX(BYEs!$E$2:$E$411,MATCH(B47,BYEs!$D$2:$D$411,0)),"N/A")</f>
        <v>29</v>
      </c>
      <c r="E47">
        <f>INDEX(BYEs!$B$2:$B$34,MATCH(F47,BYEs!$A$2:$A$34,0))</f>
        <v>9</v>
      </c>
      <c r="F47" t="str">
        <f>QB_Raw!B46</f>
        <v>SF</v>
      </c>
      <c r="G47" s="206">
        <f>QB_Raw!C46</f>
        <v>32</v>
      </c>
      <c r="H47" s="204">
        <f>QB_Raw!D46</f>
        <v>20.7</v>
      </c>
      <c r="I47" s="204">
        <f>QB_Raw!E46</f>
        <v>267.39999999999998</v>
      </c>
      <c r="J47" s="204">
        <f>QB_Raw!F46</f>
        <v>1.6</v>
      </c>
      <c r="K47" s="207">
        <f>QB_Raw!G46</f>
        <v>1.1000000000000001</v>
      </c>
      <c r="L47" s="206">
        <f>QB_Raw!H46</f>
        <v>0.9</v>
      </c>
      <c r="M47" s="204">
        <f>QB_Raw!I46</f>
        <v>1.4</v>
      </c>
      <c r="N47" s="204">
        <f>QB_Raw!J46</f>
        <v>0</v>
      </c>
      <c r="O47" s="207">
        <f>QB_Raw!K46</f>
        <v>0.1</v>
      </c>
      <c r="P47" s="209">
        <f>(G47*QBPassAtt)+(I47*PassingYds)+(J47*PassingTD)+(K47*PassingINT)+(M47*QBRushingYd)+(N47*QBRushingTD)+(O47*QBFuml)+(H47*QBCompletion)+(L47*QBRushAtt)</f>
        <v>15.936</v>
      </c>
      <c r="Q47" t="str">
        <f ca="1">IF(A47&lt;=QBStarter,"Starter",IF(A47&gt;QBStarter+QBBench,"Undrafted","Bench"))</f>
        <v>Undrafted</v>
      </c>
      <c r="R47">
        <f ca="1">IFERROR(MAX(P47-LARGE(QBSheetCount,QBStarter),0),0)</f>
        <v>0</v>
      </c>
      <c r="S47">
        <f ca="1">IFERROR(IF(AllowNegative="Yes",P47-LARGE(QBSheetCount,QBCount),MAX(P47-LARGE(QBSheetCount,QBCount),0)),0)</f>
        <v>-243.04199999999994</v>
      </c>
      <c r="T47" s="85">
        <f ca="1">(S47-R47)*BenchPF+R47*StarterPF</f>
        <v>-44.067622570422174</v>
      </c>
      <c r="U47" s="85">
        <f ca="1">T47*Auction!$A$2</f>
        <v>-44.067622570422174</v>
      </c>
      <c r="V47" s="6" t="str">
        <f>IF(OR(INDEX(Auction!$H$13:$H$656,MATCH(B47,Auction!$A$13:$A$656,0))&gt;0,IFERROR(INDEX(CheatSheet!$D$5:$D$34,MATCH(B47,CheatSheet!$A$5:$A$34,0)),"")&lt;&gt;""),"Yes","No")</f>
        <v>No</v>
      </c>
      <c r="W47" s="179"/>
      <c r="Y47" s="78">
        <f t="shared" ca="1" si="3"/>
        <v>1</v>
      </c>
      <c r="Z47">
        <f t="shared" ca="1" si="4"/>
        <v>-121.52099999999997</v>
      </c>
      <c r="AA47" t="str">
        <f t="shared" ca="1" si="5"/>
        <v>QB11</v>
      </c>
      <c r="AB47">
        <f ca="1">Z47*LeagueInfo!$H$5</f>
        <v>-44.74747625655597</v>
      </c>
    </row>
    <row r="48" spans="1:28" x14ac:dyDescent="0.25">
      <c r="A48">
        <f>RANK(P48,P$3:P$81)</f>
        <v>46</v>
      </c>
      <c r="B48" t="str">
        <f>QB_Raw!A47</f>
        <v>Josh Johnson</v>
      </c>
      <c r="C48" t="s">
        <v>29</v>
      </c>
      <c r="D48" t="str">
        <f>_xlfn.IFNA(INDEX(BYEs!$E$2:$E$411,MATCH(B48,BYEs!$D$2:$D$411,0)),"N/A")</f>
        <v>N/A</v>
      </c>
      <c r="E48">
        <f>INDEX(BYEs!$B$2:$B$34,MATCH(F48,BYEs!$A$2:$A$34,0))</f>
        <v>9</v>
      </c>
      <c r="F48" t="str">
        <f>QB_Raw!B47</f>
        <v>DEN</v>
      </c>
      <c r="G48" s="206">
        <f>QB_Raw!C47</f>
        <v>0</v>
      </c>
      <c r="H48" s="204">
        <f>QB_Raw!D47</f>
        <v>0</v>
      </c>
      <c r="I48" s="204">
        <f>QB_Raw!E47</f>
        <v>260.7</v>
      </c>
      <c r="J48" s="204">
        <f>QB_Raw!F47</f>
        <v>1.6</v>
      </c>
      <c r="K48" s="207">
        <f>QB_Raw!G47</f>
        <v>2.1</v>
      </c>
      <c r="L48" s="206">
        <f>QB_Raw!H47</f>
        <v>0</v>
      </c>
      <c r="M48" s="204">
        <f>QB_Raw!I47</f>
        <v>0.3</v>
      </c>
      <c r="N48" s="204">
        <f>QB_Raw!J47</f>
        <v>0.2</v>
      </c>
      <c r="O48" s="207">
        <f>QB_Raw!K47</f>
        <v>0.2</v>
      </c>
      <c r="P48" s="209">
        <f>(G48*QBPassAtt)+(I48*PassingYds)+(J48*PassingTD)+(K48*PassingINT)+(M48*QBRushingYd)+(N48*QBRushingTD)+(O48*QBFuml)+(H48*QBCompletion)+(L48*QBRushAtt)</f>
        <v>15.557999999999998</v>
      </c>
      <c r="Q48" t="str">
        <f ca="1">IF(A48&lt;=QBStarter,"Starter",IF(A48&gt;QBStarter+QBBench,"Undrafted","Bench"))</f>
        <v>Undrafted</v>
      </c>
      <c r="R48">
        <f ca="1">IFERROR(MAX(P48-LARGE(QBSheetCount,QBStarter),0),0)</f>
        <v>0</v>
      </c>
      <c r="S48">
        <f ca="1">IFERROR(IF(AllowNegative="Yes",P48-LARGE(QBSheetCount,QBCount),MAX(P48-LARGE(QBSheetCount,QBCount),0)),0)</f>
        <v>-243.41999999999996</v>
      </c>
      <c r="T48" s="85">
        <f ca="1">(S48-R48)*BenchPF+R48*StarterPF</f>
        <v>-44.136160359494106</v>
      </c>
      <c r="U48" s="85">
        <f ca="1">T48*Auction!$A$2</f>
        <v>-44.136160359494106</v>
      </c>
      <c r="V48" s="6" t="str">
        <f>IF(OR(INDEX(Auction!$H$13:$H$656,MATCH(B48,Auction!$A$13:$A$656,0))&gt;0,IFERROR(INDEX(CheatSheet!$D$5:$D$34,MATCH(B48,CheatSheet!$A$5:$A$34,0)),"")&lt;&gt;""),"Yes","No")</f>
        <v>No</v>
      </c>
      <c r="W48" s="179"/>
      <c r="Y48" s="78">
        <f t="shared" ca="1" si="3"/>
        <v>1</v>
      </c>
      <c r="Z48">
        <f t="shared" ca="1" si="4"/>
        <v>-121.70999999999998</v>
      </c>
      <c r="AA48" t="str">
        <f t="shared" ca="1" si="5"/>
        <v>QB11</v>
      </c>
      <c r="AB48">
        <f ca="1">Z48*LeagueInfo!$H$5</f>
        <v>-44.817071413051465</v>
      </c>
    </row>
    <row r="49" spans="1:28" x14ac:dyDescent="0.25">
      <c r="A49">
        <f>RANK(P49,P$3:P$81)</f>
        <v>47</v>
      </c>
      <c r="B49" t="str">
        <f>QB_Raw!A48</f>
        <v>Cooper Rush</v>
      </c>
      <c r="C49" t="s">
        <v>29</v>
      </c>
      <c r="D49" t="str">
        <f>_xlfn.IFNA(INDEX(BYEs!$E$2:$E$411,MATCH(B49,BYEs!$D$2:$D$411,0)),"N/A")</f>
        <v>N/A</v>
      </c>
      <c r="E49">
        <f>INDEX(BYEs!$B$2:$B$34,MATCH(F49,BYEs!$A$2:$A$34,0))</f>
        <v>9</v>
      </c>
      <c r="F49" t="str">
        <f>QB_Raw!B48</f>
        <v>DAL</v>
      </c>
      <c r="G49" s="206">
        <f>QB_Raw!C48</f>
        <v>33.200000000000003</v>
      </c>
      <c r="H49" s="204">
        <f>QB_Raw!D48</f>
        <v>20.8</v>
      </c>
      <c r="I49" s="204">
        <f>QB_Raw!E48</f>
        <v>234</v>
      </c>
      <c r="J49" s="204">
        <f>QB_Raw!F48</f>
        <v>1.5</v>
      </c>
      <c r="K49" s="207">
        <f>QB_Raw!G48</f>
        <v>0.5</v>
      </c>
      <c r="L49" s="206">
        <f>QB_Raw!H48</f>
        <v>2.6</v>
      </c>
      <c r="M49" s="204">
        <f>QB_Raw!I48</f>
        <v>4.5</v>
      </c>
      <c r="N49" s="204">
        <f>QB_Raw!J48</f>
        <v>0</v>
      </c>
      <c r="O49" s="207">
        <f>QB_Raw!K48</f>
        <v>0.1</v>
      </c>
      <c r="P49" s="209">
        <f>(G49*QBPassAtt)+(I49*PassingYds)+(J49*PassingTD)+(K49*PassingINT)+(M49*QBRushingYd)+(N49*QBRushingTD)+(O49*QBFuml)+(H49*QBCompletion)+(L49*QBRushAtt)</f>
        <v>15.11</v>
      </c>
      <c r="Q49" t="str">
        <f ca="1">IF(A49&lt;=QBStarter,"Starter",IF(A49&gt;QBStarter+QBBench,"Undrafted","Bench"))</f>
        <v>Undrafted</v>
      </c>
      <c r="R49">
        <f ca="1">IFERROR(MAX(P49-LARGE(QBSheetCount,QBStarter),0),0)</f>
        <v>0</v>
      </c>
      <c r="S49">
        <f ca="1">IFERROR(IF(AllowNegative="Yes",P49-LARGE(QBSheetCount,QBCount),MAX(P49-LARGE(QBSheetCount,QBCount),0)),0)</f>
        <v>-243.86799999999994</v>
      </c>
      <c r="T49" s="85">
        <f ca="1">(S49-R49)*BenchPF+R49*StarterPF</f>
        <v>-44.217390331727493</v>
      </c>
      <c r="U49" s="85">
        <f ca="1">T49*Auction!$A$2</f>
        <v>-44.217390331727493</v>
      </c>
      <c r="V49" s="6" t="str">
        <f>IF(OR(INDEX(Auction!$H$13:$H$656,MATCH(B49,Auction!$A$13:$A$656,0))&gt;0,IFERROR(INDEX(CheatSheet!$D$5:$D$34,MATCH(B49,CheatSheet!$A$5:$A$34,0)),"")&lt;&gt;""),"Yes","No")</f>
        <v>No</v>
      </c>
      <c r="W49" s="179"/>
      <c r="Y49" s="78">
        <f t="shared" ca="1" si="3"/>
        <v>1</v>
      </c>
      <c r="Z49">
        <f t="shared" ca="1" si="4"/>
        <v>-121.93399999999997</v>
      </c>
      <c r="AA49" t="str">
        <f t="shared" ca="1" si="5"/>
        <v>QB11</v>
      </c>
      <c r="AB49">
        <f ca="1">Z49*LeagueInfo!$H$5</f>
        <v>-44.899554561490568</v>
      </c>
    </row>
    <row r="50" spans="1:28" x14ac:dyDescent="0.25">
      <c r="A50">
        <f>RANK(P50,P$3:P$81)</f>
        <v>48</v>
      </c>
      <c r="B50" t="str">
        <f>QB_Raw!A50</f>
        <v>Gardner Minshew II</v>
      </c>
      <c r="C50" t="s">
        <v>29</v>
      </c>
      <c r="D50" t="str">
        <f>_xlfn.IFNA(INDEX(BYEs!$E$2:$E$411,MATCH(B50,BYEs!$D$2:$D$411,0)),"N/A")</f>
        <v>N/A</v>
      </c>
      <c r="E50">
        <f>INDEX(BYEs!$B$2:$B$34,MATCH(F50,BYEs!$A$2:$A$34,0))</f>
        <v>7</v>
      </c>
      <c r="F50" t="str">
        <f>QB_Raw!B50</f>
        <v>PHI</v>
      </c>
      <c r="G50" s="206">
        <f>QB_Raw!C50</f>
        <v>29.9</v>
      </c>
      <c r="H50" s="204">
        <f>QB_Raw!D50</f>
        <v>19.2</v>
      </c>
      <c r="I50" s="204">
        <f>QB_Raw!E50</f>
        <v>206.3</v>
      </c>
      <c r="J50" s="204">
        <f>QB_Raw!F50</f>
        <v>1.4</v>
      </c>
      <c r="K50" s="207">
        <f>QB_Raw!G50</f>
        <v>0.7</v>
      </c>
      <c r="L50" s="206">
        <f>QB_Raw!H50</f>
        <v>4.3</v>
      </c>
      <c r="M50" s="204">
        <f>QB_Raw!I50</f>
        <v>16.600000000000001</v>
      </c>
      <c r="N50" s="204">
        <f>QB_Raw!J50</f>
        <v>0.1</v>
      </c>
      <c r="O50" s="207">
        <f>QB_Raw!K50</f>
        <v>0.2</v>
      </c>
      <c r="P50" s="209">
        <f>(G50*QBPassAtt)+(I50*PassingYds)+(J50*PassingTD)+(K50*PassingINT)+(M50*QBRushingYd)+(N50*QBRushingTD)+(O50*QBFuml)+(H50*QBCompletion)+(L50*QBRushAtt)</f>
        <v>15.012</v>
      </c>
      <c r="Q50" t="str">
        <f ca="1">IF(A50&lt;=QBStarter,"Starter",IF(A50&gt;QBStarter+QBBench,"Undrafted","Bench"))</f>
        <v>Undrafted</v>
      </c>
      <c r="R50">
        <f ca="1">IFERROR(MAX(P50-LARGE(QBSheetCount,QBStarter),0),0)</f>
        <v>0</v>
      </c>
      <c r="S50">
        <f ca="1">IFERROR(IF(AllowNegative="Yes",P50-LARGE(QBSheetCount,QBCount),MAX(P50-LARGE(QBSheetCount,QBCount),0)),0)</f>
        <v>-243.96599999999995</v>
      </c>
      <c r="T50" s="85">
        <f ca="1">(S50-R50)*BenchPF+R50*StarterPF</f>
        <v>-44.235159388153555</v>
      </c>
      <c r="U50" s="85">
        <f ca="1">T50*Auction!$A$2</f>
        <v>-44.235159388153555</v>
      </c>
      <c r="V50" s="6" t="str">
        <f>IF(OR(INDEX(Auction!$H$13:$H$656,MATCH(B50,Auction!$A$13:$A$656,0))&gt;0,IFERROR(INDEX(CheatSheet!$D$5:$D$34,MATCH(B50,CheatSheet!$A$5:$A$34,0)),"")&lt;&gt;""),"Yes","No")</f>
        <v>No</v>
      </c>
      <c r="W50" s="179"/>
      <c r="Y50" s="78">
        <f t="shared" ca="1" si="3"/>
        <v>1</v>
      </c>
      <c r="Z50">
        <f t="shared" ca="1" si="4"/>
        <v>-121.98299999999998</v>
      </c>
      <c r="AA50" t="str">
        <f t="shared" ca="1" si="5"/>
        <v>QB11</v>
      </c>
      <c r="AB50">
        <f ca="1">Z50*LeagueInfo!$H$5</f>
        <v>-44.91759775021162</v>
      </c>
    </row>
    <row r="51" spans="1:28" x14ac:dyDescent="0.25">
      <c r="A51">
        <f>RANK(P51,P$3:P$81)</f>
        <v>49</v>
      </c>
      <c r="B51" t="str">
        <f>QB_Raw!A49</f>
        <v>Trevor Siemian</v>
      </c>
      <c r="C51" t="s">
        <v>29</v>
      </c>
      <c r="D51" t="str">
        <f>_xlfn.IFNA(INDEX(BYEs!$E$2:$E$411,MATCH(B51,BYEs!$D$2:$D$411,0)),"N/A")</f>
        <v>N/A</v>
      </c>
      <c r="E51">
        <f>INDEX(BYEs!$B$2:$B$34,MATCH(F51,BYEs!$A$2:$A$34,0))</f>
        <v>14</v>
      </c>
      <c r="F51" t="str">
        <f>QB_Raw!B49</f>
        <v>CHI</v>
      </c>
      <c r="G51" s="206">
        <f>QB_Raw!C49</f>
        <v>33.9</v>
      </c>
      <c r="H51" s="204">
        <f>QB_Raw!D49</f>
        <v>20.2</v>
      </c>
      <c r="I51" s="204">
        <f>QB_Raw!E49</f>
        <v>267.39999999999998</v>
      </c>
      <c r="J51" s="204">
        <f>QB_Raw!F49</f>
        <v>1.1000000000000001</v>
      </c>
      <c r="K51" s="207">
        <f>QB_Raw!G49</f>
        <v>1</v>
      </c>
      <c r="L51" s="206">
        <f>QB_Raw!H49</f>
        <v>2.5</v>
      </c>
      <c r="M51" s="204">
        <f>QB_Raw!I49</f>
        <v>7.3</v>
      </c>
      <c r="N51" s="204">
        <f>QB_Raw!J49</f>
        <v>0</v>
      </c>
      <c r="O51" s="207">
        <f>QB_Raw!K49</f>
        <v>0.1</v>
      </c>
      <c r="P51" s="209">
        <f>(G51*QBPassAtt)+(I51*PassingYds)+(J51*PassingTD)+(K51*PassingINT)+(M51*QBRushingYd)+(N51*QBRushingTD)+(O51*QBFuml)+(H51*QBCompletion)+(L51*QBRushAtt)</f>
        <v>14.626000000000001</v>
      </c>
      <c r="Q51" t="str">
        <f ca="1">IF(A51&lt;=QBStarter,"Starter",IF(A51&gt;QBStarter+QBBench,"Undrafted","Bench"))</f>
        <v>Undrafted</v>
      </c>
      <c r="R51">
        <f ca="1">IFERROR(MAX(P51-LARGE(QBSheetCount,QBStarter),0),0)</f>
        <v>0</v>
      </c>
      <c r="S51">
        <f ca="1">IFERROR(IF(AllowNegative="Yes",P51-LARGE(QBSheetCount,QBCount),MAX(P51-LARGE(QBSheetCount,QBCount),0)),0)</f>
        <v>-244.35199999999995</v>
      </c>
      <c r="T51" s="85">
        <f ca="1">(S51-R51)*BenchPF+R51*StarterPF</f>
        <v>-44.305147712443933</v>
      </c>
      <c r="U51" s="85">
        <f ca="1">T51*Auction!$A$2</f>
        <v>-44.305147712443933</v>
      </c>
      <c r="V51" s="6" t="str">
        <f>IF(OR(INDEX(Auction!$H$13:$H$656,MATCH(B51,Auction!$A$13:$A$656,0))&gt;0,IFERROR(INDEX(CheatSheet!$D$5:$D$34,MATCH(B51,CheatSheet!$A$5:$A$34,0)),"")&lt;&gt;""),"Yes","No")</f>
        <v>No</v>
      </c>
      <c r="W51" s="179"/>
      <c r="Y51" s="78">
        <f t="shared" ca="1" si="3"/>
        <v>1</v>
      </c>
      <c r="Z51">
        <f t="shared" ca="1" si="4"/>
        <v>-122.17599999999997</v>
      </c>
      <c r="AA51" t="str">
        <f t="shared" ca="1" si="5"/>
        <v>QB11</v>
      </c>
      <c r="AB51">
        <f ca="1">Z51*LeagueInfo!$H$5</f>
        <v>-44.9886658200721</v>
      </c>
    </row>
    <row r="52" spans="1:28" x14ac:dyDescent="0.25">
      <c r="A52">
        <f>RANK(P52,P$3:P$81)</f>
        <v>50</v>
      </c>
      <c r="B52" t="str">
        <f>QB_Raw!A51</f>
        <v>Teddy Bridgewater</v>
      </c>
      <c r="C52" t="s">
        <v>29</v>
      </c>
      <c r="D52">
        <f>_xlfn.IFNA(INDEX(BYEs!$E$2:$E$411,MATCH(B52,BYEs!$D$2:$D$411,0)),"N/A")</f>
        <v>28</v>
      </c>
      <c r="E52">
        <f>INDEX(BYEs!$B$2:$B$34,MATCH(F52,BYEs!$A$2:$A$34,0))</f>
        <v>11</v>
      </c>
      <c r="F52" t="str">
        <f>QB_Raw!B51</f>
        <v>MIA</v>
      </c>
      <c r="G52" s="206">
        <f>QB_Raw!C51</f>
        <v>28.5</v>
      </c>
      <c r="H52" s="204">
        <f>QB_Raw!D51</f>
        <v>18.600000000000001</v>
      </c>
      <c r="I52" s="204">
        <f>QB_Raw!E51</f>
        <v>199.1</v>
      </c>
      <c r="J52" s="204">
        <f>QB_Raw!F51</f>
        <v>1.2</v>
      </c>
      <c r="K52" s="207">
        <f>QB_Raw!G51</f>
        <v>0.5</v>
      </c>
      <c r="L52" s="206">
        <f>QB_Raw!H51</f>
        <v>2.1</v>
      </c>
      <c r="M52" s="204">
        <f>QB_Raw!I51</f>
        <v>7.3</v>
      </c>
      <c r="N52" s="204">
        <f>QB_Raw!J51</f>
        <v>0</v>
      </c>
      <c r="O52" s="207">
        <f>QB_Raw!K51</f>
        <v>0.1</v>
      </c>
      <c r="P52" s="209">
        <f>(G52*QBPassAtt)+(I52*PassingYds)+(J52*PassingTD)+(K52*PassingINT)+(M52*QBRushingYd)+(N52*QBRushingTD)+(O52*QBFuml)+(H52*QBCompletion)+(L52*QBRushAtt)</f>
        <v>12.794</v>
      </c>
      <c r="Q52" t="str">
        <f ca="1">IF(A52&lt;=QBStarter,"Starter",IF(A52&gt;QBStarter+QBBench,"Undrafted","Bench"))</f>
        <v>Undrafted</v>
      </c>
      <c r="R52">
        <f ca="1">IFERROR(MAX(P52-LARGE(QBSheetCount,QBStarter),0),0)</f>
        <v>0</v>
      </c>
      <c r="S52">
        <f ca="1">IFERROR(IF(AllowNegative="Yes",P52-LARGE(QBSheetCount,QBCount),MAX(P52-LARGE(QBSheetCount,QBCount),0)),0)</f>
        <v>-246.18399999999994</v>
      </c>
      <c r="T52" s="85">
        <f ca="1">(S52-R52)*BenchPF+R52*StarterPF</f>
        <v>-44.637320277469783</v>
      </c>
      <c r="U52" s="85">
        <f ca="1">T52*Auction!$A$2</f>
        <v>-44.637320277469783</v>
      </c>
      <c r="V52" s="6" t="str">
        <f>IF(OR(INDEX(Auction!$H$13:$H$656,MATCH(B52,Auction!$A$13:$A$656,0))&gt;0,IFERROR(INDEX(CheatSheet!$D$5:$D$34,MATCH(B52,CheatSheet!$A$5:$A$34,0)),"")&lt;&gt;""),"Yes","No")</f>
        <v>No</v>
      </c>
      <c r="W52" s="179"/>
      <c r="Y52" s="78">
        <f t="shared" ca="1" si="3"/>
        <v>1</v>
      </c>
      <c r="Z52">
        <f t="shared" ca="1" si="4"/>
        <v>-123.09199999999997</v>
      </c>
      <c r="AA52" t="str">
        <f t="shared" ca="1" si="5"/>
        <v>QB11</v>
      </c>
      <c r="AB52">
        <f ca="1">Z52*LeagueInfo!$H$5</f>
        <v>-45.325962980653443</v>
      </c>
    </row>
    <row r="53" spans="1:28" x14ac:dyDescent="0.25">
      <c r="A53">
        <f>RANK(P53,P$3:P$81)</f>
        <v>51</v>
      </c>
      <c r="B53" t="str">
        <f>QB_Raw!A52</f>
        <v>Taylor Heinicke</v>
      </c>
      <c r="C53" t="s">
        <v>29</v>
      </c>
      <c r="D53" t="str">
        <f>_xlfn.IFNA(INDEX(BYEs!$E$2:$E$411,MATCH(B53,BYEs!$D$2:$D$411,0)),"N/A")</f>
        <v>N/A</v>
      </c>
      <c r="E53">
        <f>INDEX(BYEs!$B$2:$B$34,MATCH(F53,BYEs!$A$2:$A$34,0))</f>
        <v>14</v>
      </c>
      <c r="F53" t="str">
        <f>QB_Raw!B52</f>
        <v>WAS</v>
      </c>
      <c r="G53" s="206">
        <f>QB_Raw!C52</f>
        <v>23.9</v>
      </c>
      <c r="H53" s="204">
        <f>QB_Raw!D52</f>
        <v>15.1</v>
      </c>
      <c r="I53" s="204">
        <f>QB_Raw!E52</f>
        <v>164.8</v>
      </c>
      <c r="J53" s="204">
        <f>QB_Raw!F52</f>
        <v>1.4</v>
      </c>
      <c r="K53" s="207">
        <f>QB_Raw!G52</f>
        <v>0.7</v>
      </c>
      <c r="L53" s="206">
        <f>QB_Raw!H52</f>
        <v>2.6</v>
      </c>
      <c r="M53" s="204">
        <f>QB_Raw!I52</f>
        <v>12.4</v>
      </c>
      <c r="N53" s="204">
        <f>QB_Raw!J52</f>
        <v>0</v>
      </c>
      <c r="O53" s="207">
        <f>QB_Raw!K52</f>
        <v>0.1</v>
      </c>
      <c r="P53" s="209">
        <f>(G53*QBPassAtt)+(I53*PassingYds)+(J53*PassingTD)+(K53*PassingINT)+(M53*QBRushingYd)+(N53*QBRushingTD)+(O53*QBFuml)+(H53*QBCompletion)+(L53*QBRushAtt)</f>
        <v>12.532000000000002</v>
      </c>
      <c r="Q53" t="str">
        <f ca="1">IF(A53&lt;=QBStarter,"Starter",IF(A53&gt;QBStarter+QBBench,"Undrafted","Bench"))</f>
        <v>Undrafted</v>
      </c>
      <c r="R53">
        <f ca="1">IFERROR(MAX(P53-LARGE(QBSheetCount,QBStarter),0),0)</f>
        <v>0</v>
      </c>
      <c r="S53">
        <f ca="1">IFERROR(IF(AllowNegative="Yes",P53-LARGE(QBSheetCount,QBCount),MAX(P53-LARGE(QBSheetCount,QBCount),0)),0)</f>
        <v>-246.44599999999994</v>
      </c>
      <c r="T53" s="85">
        <f ca="1">(S53-R53)*BenchPF+R53*StarterPF</f>
        <v>-44.684825305874142</v>
      </c>
      <c r="U53" s="85">
        <f ca="1">T53*Auction!$A$2</f>
        <v>-44.684825305874142</v>
      </c>
      <c r="V53" s="6" t="str">
        <f>IF(OR(INDEX(Auction!$H$13:$H$656,MATCH(B53,Auction!$A$13:$A$656,0))&gt;0,IFERROR(INDEX(CheatSheet!$D$5:$D$34,MATCH(B53,CheatSheet!$A$5:$A$34,0)),"")&lt;&gt;""),"Yes","No")</f>
        <v>No</v>
      </c>
      <c r="W53" s="179"/>
      <c r="Y53" s="78">
        <f t="shared" ca="1" si="3"/>
        <v>1</v>
      </c>
      <c r="Z53">
        <f t="shared" ca="1" si="4"/>
        <v>-123.22299999999997</v>
      </c>
      <c r="AA53" t="str">
        <f t="shared" ca="1" si="5"/>
        <v>QB11</v>
      </c>
      <c r="AB53">
        <f ca="1">Z53*LeagueInfo!$H$5</f>
        <v>-45.374200893356672</v>
      </c>
    </row>
    <row r="54" spans="1:28" x14ac:dyDescent="0.25">
      <c r="A54">
        <f>RANK(P54,P$3:P$81)</f>
        <v>52</v>
      </c>
      <c r="B54" t="str">
        <f>QB_Raw!A53</f>
        <v>Malik Willis</v>
      </c>
      <c r="C54" t="s">
        <v>29</v>
      </c>
      <c r="D54" t="str">
        <f>_xlfn.IFNA(INDEX(BYEs!$E$2:$E$411,MATCH(B54,BYEs!$D$2:$D$411,0)),"N/A")</f>
        <v>N/A</v>
      </c>
      <c r="E54">
        <f>INDEX(BYEs!$B$2:$B$34,MATCH(F54,BYEs!$A$2:$A$34,0))</f>
        <v>6</v>
      </c>
      <c r="F54" t="str">
        <f>QB_Raw!B53</f>
        <v>TEN</v>
      </c>
      <c r="G54" s="206">
        <f>QB_Raw!C53</f>
        <v>22.3</v>
      </c>
      <c r="H54" s="204">
        <f>QB_Raw!D53</f>
        <v>13.8</v>
      </c>
      <c r="I54" s="204">
        <f>QB_Raw!E53</f>
        <v>188.6</v>
      </c>
      <c r="J54" s="204">
        <f>QB_Raw!F53</f>
        <v>1</v>
      </c>
      <c r="K54" s="207">
        <f>QB_Raw!G53</f>
        <v>1.2</v>
      </c>
      <c r="L54" s="206">
        <f>QB_Raw!H53</f>
        <v>2</v>
      </c>
      <c r="M54" s="204">
        <f>QB_Raw!I53</f>
        <v>11.3</v>
      </c>
      <c r="N54" s="204">
        <f>QB_Raw!J53</f>
        <v>0.1</v>
      </c>
      <c r="O54" s="207">
        <f>QB_Raw!K53</f>
        <v>0.1</v>
      </c>
      <c r="P54" s="209">
        <f>(G54*QBPassAtt)+(I54*PassingYds)+(J54*PassingTD)+(K54*PassingINT)+(M54*QBRushingYd)+(N54*QBRushingTD)+(O54*QBFuml)+(H54*QBCompletion)+(L54*QBRushAtt)</f>
        <v>11.874000000000002</v>
      </c>
      <c r="Q54" t="str">
        <f ca="1">IF(A54&lt;=QBStarter,"Starter",IF(A54&gt;QBStarter+QBBench,"Undrafted","Bench"))</f>
        <v>Undrafted</v>
      </c>
      <c r="R54">
        <f ca="1">IFERROR(MAX(P54-LARGE(QBSheetCount,QBStarter),0),0)</f>
        <v>0</v>
      </c>
      <c r="S54">
        <f ca="1">IFERROR(IF(AllowNegative="Yes",P54-LARGE(QBSheetCount,QBCount),MAX(P54-LARGE(QBSheetCount,QBCount),0)),0)</f>
        <v>-247.10399999999996</v>
      </c>
      <c r="T54" s="85">
        <f ca="1">(S54-R54)*BenchPF+R54*StarterPF</f>
        <v>-44.804131827591945</v>
      </c>
      <c r="U54" s="85">
        <f ca="1">T54*Auction!$A$2</f>
        <v>-44.804131827591945</v>
      </c>
      <c r="V54" s="6" t="str">
        <f>IF(OR(INDEX(Auction!$H$13:$H$656,MATCH(B54,Auction!$A$13:$A$656,0))&gt;0,IFERROR(INDEX(CheatSheet!$D$5:$D$34,MATCH(B54,CheatSheet!$A$5:$A$34,0)),"")&lt;&gt;""),"Yes","No")</f>
        <v>No</v>
      </c>
      <c r="W54" s="179"/>
      <c r="Y54" s="78">
        <f t="shared" ca="1" si="3"/>
        <v>1</v>
      </c>
      <c r="Z54">
        <f t="shared" ca="1" si="4"/>
        <v>-123.55199999999998</v>
      </c>
      <c r="AA54" t="str">
        <f t="shared" ca="1" si="5"/>
        <v>QB11</v>
      </c>
      <c r="AB54">
        <f ca="1">Z54*LeagueInfo!$H$5</f>
        <v>-45.495348017626611</v>
      </c>
    </row>
    <row r="55" spans="1:28" x14ac:dyDescent="0.25">
      <c r="A55">
        <f>RANK(P55,P$3:P$81)</f>
        <v>53</v>
      </c>
      <c r="B55" t="str">
        <f>QB_Raw!A54</f>
        <v>Colt McCoy</v>
      </c>
      <c r="C55" t="s">
        <v>29</v>
      </c>
      <c r="D55" t="str">
        <f>_xlfn.IFNA(INDEX(BYEs!$E$2:$E$411,MATCH(B55,BYEs!$D$2:$D$411,0)),"N/A")</f>
        <v>N/A</v>
      </c>
      <c r="E55">
        <f>INDEX(BYEs!$B$2:$B$34,MATCH(F55,BYEs!$A$2:$A$34,0))</f>
        <v>13</v>
      </c>
      <c r="F55" t="str">
        <f>QB_Raw!B54</f>
        <v>ARI</v>
      </c>
      <c r="G55" s="206">
        <f>QB_Raw!C54</f>
        <v>26.6</v>
      </c>
      <c r="H55" s="204">
        <f>QB_Raw!D54</f>
        <v>17.2</v>
      </c>
      <c r="I55" s="204">
        <f>QB_Raw!E54</f>
        <v>185.5</v>
      </c>
      <c r="J55" s="204">
        <f>QB_Raw!F54</f>
        <v>1.1000000000000001</v>
      </c>
      <c r="K55" s="207">
        <f>QB_Raw!G54</f>
        <v>0.6</v>
      </c>
      <c r="L55" s="206">
        <f>QB_Raw!H54</f>
        <v>2.8</v>
      </c>
      <c r="M55" s="204">
        <f>QB_Raw!I54</f>
        <v>8.6999999999999993</v>
      </c>
      <c r="N55" s="204">
        <f>QB_Raw!J54</f>
        <v>0</v>
      </c>
      <c r="O55" s="207">
        <f>QB_Raw!K54</f>
        <v>0.2</v>
      </c>
      <c r="P55" s="209">
        <f>(G55*QBPassAtt)+(I55*PassingYds)+(J55*PassingTD)+(K55*PassingINT)+(M55*QBRushingYd)+(N55*QBRushingTD)+(O55*QBFuml)+(H55*QBCompletion)+(L55*QBRushAtt)</f>
        <v>11.69</v>
      </c>
      <c r="Q55" t="str">
        <f ca="1">IF(A55&lt;=QBStarter,"Starter",IF(A55&gt;QBStarter+QBBench,"Undrafted","Bench"))</f>
        <v>Undrafted</v>
      </c>
      <c r="R55">
        <f ca="1">IFERROR(MAX(P55-LARGE(QBSheetCount,QBStarter),0),0)</f>
        <v>0</v>
      </c>
      <c r="S55">
        <f ca="1">IFERROR(IF(AllowNegative="Yes",P55-LARGE(QBSheetCount,QBCount),MAX(P55-LARGE(QBSheetCount,QBCount),0)),0)</f>
        <v>-247.28799999999995</v>
      </c>
      <c r="T55" s="85">
        <f ca="1">(S55-R55)*BenchPF+R55*StarterPF</f>
        <v>-44.837494137616375</v>
      </c>
      <c r="U55" s="85">
        <f ca="1">T55*Auction!$A$2</f>
        <v>-44.837494137616375</v>
      </c>
      <c r="V55" s="6" t="str">
        <f>IF(OR(INDEX(Auction!$H$13:$H$656,MATCH(B55,Auction!$A$13:$A$656,0))&gt;0,IFERROR(INDEX(CheatSheet!$D$5:$D$34,MATCH(B55,CheatSheet!$A$5:$A$34,0)),"")&lt;&gt;""),"Yes","No")</f>
        <v>No</v>
      </c>
      <c r="W55" s="179"/>
      <c r="Y55" s="78">
        <f t="shared" ca="1" si="3"/>
        <v>1</v>
      </c>
      <c r="Z55">
        <f t="shared" ca="1" si="4"/>
        <v>-123.64399999999998</v>
      </c>
      <c r="AA55" t="str">
        <f t="shared" ca="1" si="5"/>
        <v>QB11</v>
      </c>
      <c r="AB55">
        <f ca="1">Z55*LeagueInfo!$H$5</f>
        <v>-45.52922502502124</v>
      </c>
    </row>
    <row r="56" spans="1:28" x14ac:dyDescent="0.25">
      <c r="A56">
        <f>RANK(P56,P$3:P$81)</f>
        <v>54</v>
      </c>
      <c r="B56" t="str">
        <f>QB_Raw!A55</f>
        <v>Jordan Love</v>
      </c>
      <c r="C56" t="s">
        <v>29</v>
      </c>
      <c r="D56" t="str">
        <f>_xlfn.IFNA(INDEX(BYEs!$E$2:$E$411,MATCH(B56,BYEs!$D$2:$D$411,0)),"N/A")</f>
        <v>N/A</v>
      </c>
      <c r="E56">
        <f>INDEX(BYEs!$B$2:$B$34,MATCH(F56,BYEs!$A$2:$A$34,0))</f>
        <v>14</v>
      </c>
      <c r="F56" t="str">
        <f>QB_Raw!B55</f>
        <v>GB</v>
      </c>
      <c r="G56" s="206">
        <f>QB_Raw!C55</f>
        <v>20.7</v>
      </c>
      <c r="H56" s="204">
        <f>QB_Raw!D55</f>
        <v>12.4</v>
      </c>
      <c r="I56" s="204">
        <f>QB_Raw!E55</f>
        <v>172.3</v>
      </c>
      <c r="J56" s="204">
        <f>QB_Raw!F55</f>
        <v>1.1000000000000001</v>
      </c>
      <c r="K56" s="207">
        <f>QB_Raw!G55</f>
        <v>0.9</v>
      </c>
      <c r="L56" s="206">
        <f>QB_Raw!H55</f>
        <v>2.4</v>
      </c>
      <c r="M56" s="204">
        <f>QB_Raw!I55</f>
        <v>8.5</v>
      </c>
      <c r="N56" s="204">
        <f>QB_Raw!J55</f>
        <v>0.1</v>
      </c>
      <c r="O56" s="207">
        <f>QB_Raw!K55</f>
        <v>0.1</v>
      </c>
      <c r="P56" s="209">
        <f>(G56*QBPassAtt)+(I56*PassingYds)+(J56*PassingTD)+(K56*PassingINT)+(M56*QBRushingYd)+(N56*QBRushingTD)+(O56*QBFuml)+(H56*QBCompletion)+(L56*QBRushAtt)</f>
        <v>11.642000000000001</v>
      </c>
      <c r="Q56" t="str">
        <f ca="1">IF(A56&lt;=QBStarter,"Starter",IF(A56&gt;QBStarter+QBBench,"Undrafted","Bench"))</f>
        <v>Undrafted</v>
      </c>
      <c r="R56">
        <f ca="1">IFERROR(MAX(P56-LARGE(QBSheetCount,QBStarter),0),0)</f>
        <v>0</v>
      </c>
      <c r="S56">
        <f ca="1">IFERROR(IF(AllowNegative="Yes",P56-LARGE(QBSheetCount,QBCount),MAX(P56-LARGE(QBSheetCount,QBCount),0)),0)</f>
        <v>-247.33599999999996</v>
      </c>
      <c r="T56" s="85">
        <f ca="1">(S56-R56)*BenchPF+R56*StarterPF</f>
        <v>-44.846197348927092</v>
      </c>
      <c r="U56" s="85">
        <f ca="1">T56*Auction!$A$2</f>
        <v>-44.846197348927092</v>
      </c>
      <c r="V56" s="6" t="str">
        <f>IF(OR(INDEX(Auction!$H$13:$H$656,MATCH(B56,Auction!$A$13:$A$656,0))&gt;0,IFERROR(INDEX(CheatSheet!$D$5:$D$34,MATCH(B56,CheatSheet!$A$5:$A$34,0)),"")&lt;&gt;""),"Yes","No")</f>
        <v>No</v>
      </c>
      <c r="W56" s="179"/>
      <c r="Y56" s="78">
        <f t="shared" ca="1" si="3"/>
        <v>1</v>
      </c>
      <c r="Z56">
        <f t="shared" ca="1" si="4"/>
        <v>-123.66799999999998</v>
      </c>
      <c r="AA56" t="str">
        <f t="shared" ca="1" si="5"/>
        <v>QB11</v>
      </c>
      <c r="AB56">
        <f ca="1">Z56*LeagueInfo!$H$5</f>
        <v>-45.538062505211144</v>
      </c>
    </row>
    <row r="57" spans="1:28" x14ac:dyDescent="0.25">
      <c r="A57">
        <f>RANK(P57,P$3:P$81)</f>
        <v>55</v>
      </c>
      <c r="B57" t="str">
        <f>QB_Raw!A56</f>
        <v>Kyle Allen</v>
      </c>
      <c r="C57" t="s">
        <v>29</v>
      </c>
      <c r="D57" t="str">
        <f>_xlfn.IFNA(INDEX(BYEs!$E$2:$E$411,MATCH(B57,BYEs!$D$2:$D$411,0)),"N/A")</f>
        <v>N/A</v>
      </c>
      <c r="E57">
        <f>INDEX(BYEs!$B$2:$B$34,MATCH(F57,BYEs!$A$2:$A$34,0))</f>
        <v>6</v>
      </c>
      <c r="F57" t="str">
        <f>QB_Raw!B56</f>
        <v>HOU</v>
      </c>
      <c r="G57" s="206">
        <f>QB_Raw!C56</f>
        <v>27.3</v>
      </c>
      <c r="H57" s="204">
        <f>QB_Raw!D56</f>
        <v>17.3</v>
      </c>
      <c r="I57" s="204">
        <f>QB_Raw!E56</f>
        <v>187.4</v>
      </c>
      <c r="J57" s="204">
        <f>QB_Raw!F56</f>
        <v>1.1000000000000001</v>
      </c>
      <c r="K57" s="207">
        <f>QB_Raw!G56</f>
        <v>0.7</v>
      </c>
      <c r="L57" s="206">
        <f>QB_Raw!H56</f>
        <v>1.6</v>
      </c>
      <c r="M57" s="204">
        <f>QB_Raw!I56</f>
        <v>6.2</v>
      </c>
      <c r="N57" s="204">
        <f>QB_Raw!J56</f>
        <v>0.1</v>
      </c>
      <c r="O57" s="207">
        <f>QB_Raw!K56</f>
        <v>0.8</v>
      </c>
      <c r="P57" s="209">
        <f>(G57*QBPassAtt)+(I57*PassingYds)+(J57*PassingTD)+(K57*PassingINT)+(M57*QBRushingYd)+(N57*QBRushingTD)+(O57*QBFuml)+(H57*QBCompletion)+(L57*QBRushAtt)</f>
        <v>10.816000000000003</v>
      </c>
      <c r="Q57" t="str">
        <f ca="1">IF(A57&lt;=QBStarter,"Starter",IF(A57&gt;QBStarter+QBBench,"Undrafted","Bench"))</f>
        <v>Undrafted</v>
      </c>
      <c r="R57">
        <f ca="1">IFERROR(MAX(P57-LARGE(QBSheetCount,QBStarter),0),0)</f>
        <v>0</v>
      </c>
      <c r="S57">
        <f ca="1">IFERROR(IF(AllowNegative="Yes",P57-LARGE(QBSheetCount,QBCount),MAX(P57-LARGE(QBSheetCount,QBCount),0)),0)</f>
        <v>-248.16199999999995</v>
      </c>
      <c r="T57" s="85">
        <f ca="1">(S57-R57)*BenchPF+R57*StarterPF</f>
        <v>-44.995965110232419</v>
      </c>
      <c r="U57" s="85">
        <f ca="1">T57*Auction!$A$2</f>
        <v>-44.995965110232419</v>
      </c>
      <c r="V57" s="6" t="str">
        <f>IF(OR(INDEX(Auction!$H$13:$H$656,MATCH(B57,Auction!$A$13:$A$656,0))&gt;0,IFERROR(INDEX(CheatSheet!$D$5:$D$34,MATCH(B57,CheatSheet!$A$5:$A$34,0)),"")&lt;&gt;""),"Yes","No")</f>
        <v>No</v>
      </c>
      <c r="W57" s="179"/>
      <c r="Y57" s="78">
        <f t="shared" ca="1" si="3"/>
        <v>1</v>
      </c>
      <c r="Z57">
        <f t="shared" ca="1" si="4"/>
        <v>-124.08099999999997</v>
      </c>
      <c r="AA57" t="str">
        <f t="shared" ca="1" si="5"/>
        <v>QB11</v>
      </c>
      <c r="AB57">
        <f ca="1">Z57*LeagueInfo!$H$5</f>
        <v>-45.690140810145742</v>
      </c>
    </row>
    <row r="58" spans="1:28" x14ac:dyDescent="0.25">
      <c r="A58">
        <f>RANK(P58,P$3:P$81)</f>
        <v>56</v>
      </c>
      <c r="B58" t="str">
        <f>QB_Raw!A57</f>
        <v>Brian Hoyer</v>
      </c>
      <c r="C58" t="s">
        <v>29</v>
      </c>
      <c r="D58" t="str">
        <f>_xlfn.IFNA(INDEX(BYEs!$E$2:$E$411,MATCH(B58,BYEs!$D$2:$D$411,0)),"N/A")</f>
        <v>N/A</v>
      </c>
      <c r="E58">
        <f>INDEX(BYEs!$B$2:$B$34,MATCH(F58,BYEs!$A$2:$A$34,0))</f>
        <v>10</v>
      </c>
      <c r="F58" t="str">
        <f>QB_Raw!B57</f>
        <v>NE</v>
      </c>
      <c r="G58" s="206">
        <f>QB_Raw!C57</f>
        <v>21.5</v>
      </c>
      <c r="H58" s="204">
        <f>QB_Raw!D57</f>
        <v>13.4</v>
      </c>
      <c r="I58" s="204">
        <f>QB_Raw!E57</f>
        <v>169.5</v>
      </c>
      <c r="J58" s="204">
        <f>QB_Raw!F57</f>
        <v>1</v>
      </c>
      <c r="K58" s="207">
        <f>QB_Raw!G57</f>
        <v>0.8</v>
      </c>
      <c r="L58" s="206">
        <f>QB_Raw!H57</f>
        <v>1.6</v>
      </c>
      <c r="M58" s="204">
        <f>QB_Raw!I57</f>
        <v>1.9</v>
      </c>
      <c r="N58" s="204">
        <f>QB_Raw!J57</f>
        <v>0.1</v>
      </c>
      <c r="O58" s="207">
        <f>QB_Raw!K57</f>
        <v>0.1</v>
      </c>
      <c r="P58" s="209">
        <f>(G58*QBPassAtt)+(I58*PassingYds)+(J58*PassingTD)+(K58*PassingINT)+(M58*QBRushingYd)+(N58*QBRushingTD)+(O58*QBFuml)+(H58*QBCompletion)+(L58*QBRushAtt)</f>
        <v>10.57</v>
      </c>
      <c r="Q58" t="str">
        <f ca="1">IF(A58&lt;=QBStarter,"Starter",IF(A58&gt;QBStarter+QBBench,"Undrafted","Bench"))</f>
        <v>Undrafted</v>
      </c>
      <c r="R58">
        <f ca="1">IFERROR(MAX(P58-LARGE(QBSheetCount,QBStarter),0),0)</f>
        <v>0</v>
      </c>
      <c r="S58">
        <f ca="1">IFERROR(IF(AllowNegative="Yes",P58-LARGE(QBSheetCount,QBCount),MAX(P58-LARGE(QBSheetCount,QBCount),0)),0)</f>
        <v>-248.40799999999996</v>
      </c>
      <c r="T58" s="85">
        <f ca="1">(S58-R58)*BenchPF+R58*StarterPF</f>
        <v>-45.040569068199865</v>
      </c>
      <c r="U58" s="85">
        <f ca="1">T58*Auction!$A$2</f>
        <v>-45.040569068199865</v>
      </c>
      <c r="V58" s="6" t="str">
        <f>IF(OR(INDEX(Auction!$H$13:$H$656,MATCH(B58,Auction!$A$13:$A$656,0))&gt;0,IFERROR(INDEX(CheatSheet!$D$5:$D$34,MATCH(B58,CheatSheet!$A$5:$A$34,0)),"")&lt;&gt;""),"Yes","No")</f>
        <v>No</v>
      </c>
      <c r="W58" s="179"/>
      <c r="Y58" s="78">
        <f t="shared" ca="1" si="3"/>
        <v>1</v>
      </c>
      <c r="Z58">
        <f t="shared" ca="1" si="4"/>
        <v>-124.20399999999998</v>
      </c>
      <c r="AA58" t="str">
        <f t="shared" ca="1" si="5"/>
        <v>QB11</v>
      </c>
      <c r="AB58">
        <f ca="1">Z58*LeagueInfo!$H$5</f>
        <v>-45.735432896119008</v>
      </c>
    </row>
    <row r="59" spans="1:28" x14ac:dyDescent="0.25">
      <c r="A59">
        <f>RANK(P59,P$3:P$81)</f>
        <v>57</v>
      </c>
      <c r="B59" t="str">
        <f>QB_Raw!A58</f>
        <v>Blaine Gabbert</v>
      </c>
      <c r="C59" t="s">
        <v>29</v>
      </c>
      <c r="D59" t="str">
        <f>_xlfn.IFNA(INDEX(BYEs!$E$2:$E$411,MATCH(B59,BYEs!$D$2:$D$411,0)),"N/A")</f>
        <v>N/A</v>
      </c>
      <c r="E59">
        <f>INDEX(BYEs!$B$2:$B$34,MATCH(F59,BYEs!$A$2:$A$34,0))</f>
        <v>11</v>
      </c>
      <c r="F59" t="str">
        <f>QB_Raw!B58</f>
        <v>TB</v>
      </c>
      <c r="G59" s="206">
        <f>QB_Raw!C58</f>
        <v>19.2</v>
      </c>
      <c r="H59" s="204">
        <f>QB_Raw!D58</f>
        <v>12</v>
      </c>
      <c r="I59" s="204">
        <f>QB_Raw!E58</f>
        <v>160.19999999999999</v>
      </c>
      <c r="J59" s="204">
        <f>QB_Raw!F58</f>
        <v>1</v>
      </c>
      <c r="K59" s="207">
        <f>QB_Raw!G58</f>
        <v>0.5</v>
      </c>
      <c r="L59" s="206">
        <f>QB_Raw!H58</f>
        <v>1.1000000000000001</v>
      </c>
      <c r="M59" s="204">
        <f>QB_Raw!I58</f>
        <v>3.1</v>
      </c>
      <c r="N59" s="204">
        <f>QB_Raw!J58</f>
        <v>0.1</v>
      </c>
      <c r="O59" s="207">
        <f>QB_Raw!K58</f>
        <v>0.2</v>
      </c>
      <c r="P59" s="209">
        <f>(G59*QBPassAtt)+(I59*PassingYds)+(J59*PassingTD)+(K59*PassingINT)+(M59*QBRushingYd)+(N59*QBRushingTD)+(O59*QBFuml)+(H59*QBCompletion)+(L59*QBRushAtt)</f>
        <v>10.417999999999999</v>
      </c>
      <c r="Q59" t="str">
        <f ca="1">IF(A59&lt;=QBStarter,"Starter",IF(A59&gt;QBStarter+QBBench,"Undrafted","Bench"))</f>
        <v>Undrafted</v>
      </c>
      <c r="R59">
        <f ca="1">IFERROR(MAX(P59-LARGE(QBSheetCount,QBStarter),0),0)</f>
        <v>0</v>
      </c>
      <c r="S59">
        <f ca="1">IFERROR(IF(AllowNegative="Yes",P59-LARGE(QBSheetCount,QBCount),MAX(P59-LARGE(QBSheetCount,QBCount),0)),0)</f>
        <v>-248.55999999999995</v>
      </c>
      <c r="T59" s="85">
        <f ca="1">(S59-R59)*BenchPF+R59*StarterPF</f>
        <v>-45.068129237350476</v>
      </c>
      <c r="U59" s="85">
        <f ca="1">T59*Auction!$A$2</f>
        <v>-45.068129237350476</v>
      </c>
      <c r="V59" s="6" t="str">
        <f>IF(OR(INDEX(Auction!$H$13:$H$656,MATCH(B59,Auction!$A$13:$A$656,0))&gt;0,IFERROR(INDEX(CheatSheet!$D$5:$D$34,MATCH(B59,CheatSheet!$A$5:$A$34,0)),"")&lt;&gt;""),"Yes","No")</f>
        <v>No</v>
      </c>
      <c r="W59" s="179"/>
      <c r="Y59" s="78">
        <f t="shared" ca="1" si="3"/>
        <v>1</v>
      </c>
      <c r="Z59">
        <f t="shared" ca="1" si="4"/>
        <v>-124.27999999999997</v>
      </c>
      <c r="AA59" t="str">
        <f t="shared" ca="1" si="5"/>
        <v>QB11</v>
      </c>
      <c r="AB59">
        <f ca="1">Z59*LeagueInfo!$H$5</f>
        <v>-45.763418250053697</v>
      </c>
    </row>
    <row r="60" spans="1:28" x14ac:dyDescent="0.25">
      <c r="A60">
        <f>RANK(P60,P$3:P$81)</f>
        <v>58</v>
      </c>
      <c r="B60" t="str">
        <f>QB_Raw!A59</f>
        <v>Brett Rypien</v>
      </c>
      <c r="C60" t="s">
        <v>29</v>
      </c>
      <c r="D60" t="str">
        <f>_xlfn.IFNA(INDEX(BYEs!$E$2:$E$411,MATCH(B60,BYEs!$D$2:$D$411,0)),"N/A")</f>
        <v>N/A</v>
      </c>
      <c r="E60">
        <f>INDEX(BYEs!$B$2:$B$34,MATCH(F60,BYEs!$A$2:$A$34,0))</f>
        <v>9</v>
      </c>
      <c r="F60" t="str">
        <f>QB_Raw!B59</f>
        <v>DEN</v>
      </c>
      <c r="G60" s="206">
        <f>QB_Raw!C59</f>
        <v>20.5</v>
      </c>
      <c r="H60" s="204">
        <f>QB_Raw!D59</f>
        <v>12.4</v>
      </c>
      <c r="I60" s="204">
        <f>QB_Raw!E59</f>
        <v>140</v>
      </c>
      <c r="J60" s="204">
        <f>QB_Raw!F59</f>
        <v>1.2</v>
      </c>
      <c r="K60" s="207">
        <f>QB_Raw!G59</f>
        <v>0.5</v>
      </c>
      <c r="L60" s="206">
        <f>QB_Raw!H59</f>
        <v>1.5</v>
      </c>
      <c r="M60" s="204">
        <f>QB_Raw!I59</f>
        <v>4.8</v>
      </c>
      <c r="N60" s="204">
        <f>QB_Raw!J59</f>
        <v>0</v>
      </c>
      <c r="O60" s="207">
        <f>QB_Raw!K59</f>
        <v>0.3</v>
      </c>
      <c r="P60" s="209">
        <f>(G60*QBPassAtt)+(I60*PassingYds)+(J60*PassingTD)+(K60*PassingINT)+(M60*QBRushingYd)+(N60*QBRushingTD)+(O60*QBFuml)+(H60*QBCompletion)+(L60*QBRushAtt)</f>
        <v>9.7800000000000011</v>
      </c>
      <c r="Q60" t="str">
        <f ca="1">IF(A60&lt;=QBStarter,"Starter",IF(A60&gt;QBStarter+QBBench,"Undrafted","Bench"))</f>
        <v>Undrafted</v>
      </c>
      <c r="R60">
        <f ca="1">IFERROR(MAX(P60-LARGE(QBSheetCount,QBStarter),0),0)</f>
        <v>0</v>
      </c>
      <c r="S60">
        <f ca="1">IFERROR(IF(AllowNegative="Yes",P60-LARGE(QBSheetCount,QBCount),MAX(P60-LARGE(QBSheetCount,QBCount),0)),0)</f>
        <v>-249.19799999999995</v>
      </c>
      <c r="T60" s="85">
        <f ca="1">(S60-R60)*BenchPF+R60*StarterPF</f>
        <v>-45.183809421022147</v>
      </c>
      <c r="U60" s="85">
        <f ca="1">T60*Auction!$A$2</f>
        <v>-45.183809421022147</v>
      </c>
      <c r="V60" s="6" t="str">
        <f>IF(OR(INDEX(Auction!$H$13:$H$656,MATCH(B60,Auction!$A$13:$A$656,0))&gt;0,IFERROR(INDEX(CheatSheet!$D$5:$D$34,MATCH(B60,CheatSheet!$A$5:$A$34,0)),"")&lt;&gt;""),"Yes","No")</f>
        <v>No</v>
      </c>
      <c r="W60" s="179"/>
      <c r="Y60" s="78">
        <f t="shared" ca="1" si="3"/>
        <v>1</v>
      </c>
      <c r="Z60">
        <f t="shared" ca="1" si="4"/>
        <v>-124.59899999999998</v>
      </c>
      <c r="AA60" t="str">
        <f t="shared" ca="1" si="5"/>
        <v>QB11</v>
      </c>
      <c r="AB60">
        <f ca="1">Z60*LeagueInfo!$H$5</f>
        <v>-45.880883090911176</v>
      </c>
    </row>
    <row r="61" spans="1:28" x14ac:dyDescent="0.25">
      <c r="A61">
        <f>RANK(P61,P$3:P$81)</f>
        <v>59</v>
      </c>
      <c r="B61" t="str">
        <f>QB_Raw!A62</f>
        <v>Kyle Trask</v>
      </c>
      <c r="C61" t="s">
        <v>29</v>
      </c>
      <c r="D61" t="str">
        <f>_xlfn.IFNA(INDEX(BYEs!$E$2:$E$411,MATCH(B61,BYEs!$D$2:$D$411,0)),"N/A")</f>
        <v>N/A</v>
      </c>
      <c r="E61">
        <f>INDEX(BYEs!$B$2:$B$34,MATCH(F61,BYEs!$A$2:$A$34,0))</f>
        <v>11</v>
      </c>
      <c r="F61" t="str">
        <f>QB_Raw!B62</f>
        <v>TB</v>
      </c>
      <c r="G61" s="206">
        <f>QB_Raw!C62</f>
        <v>22</v>
      </c>
      <c r="H61" s="204">
        <f>QB_Raw!D62</f>
        <v>13</v>
      </c>
      <c r="I61" s="204">
        <f>QB_Raw!E62</f>
        <v>135</v>
      </c>
      <c r="J61" s="204">
        <f>QB_Raw!F62</f>
        <v>1</v>
      </c>
      <c r="K61" s="207">
        <f>QB_Raw!G62</f>
        <v>0</v>
      </c>
      <c r="L61" s="206">
        <f>QB_Raw!H62</f>
        <v>1</v>
      </c>
      <c r="M61" s="204">
        <f>QB_Raw!I62</f>
        <v>3</v>
      </c>
      <c r="N61" s="204">
        <f>QB_Raw!J62</f>
        <v>0</v>
      </c>
      <c r="O61" s="207">
        <f>QB_Raw!K62</f>
        <v>0</v>
      </c>
      <c r="P61" s="209">
        <f>(G61*QBPassAtt)+(I61*PassingYds)+(J61*PassingTD)+(K61*PassingINT)+(M61*QBRushingYd)+(N61*QBRushingTD)+(O61*QBFuml)+(H61*QBCompletion)+(L61*QBRushAtt)</f>
        <v>9.7000000000000011</v>
      </c>
      <c r="Q61" t="str">
        <f ca="1">IF(A61&lt;=QBStarter,"Starter",IF(A61&gt;QBStarter+QBBench,"Undrafted","Bench"))</f>
        <v>Undrafted</v>
      </c>
      <c r="R61">
        <f ca="1">IFERROR(MAX(P61-LARGE(QBSheetCount,QBStarter),0),0)</f>
        <v>0</v>
      </c>
      <c r="S61">
        <f ca="1">IFERROR(IF(AllowNegative="Yes",P61-LARGE(QBSheetCount,QBCount),MAX(P61-LARGE(QBSheetCount,QBCount),0)),0)</f>
        <v>-249.27799999999996</v>
      </c>
      <c r="T61" s="85">
        <f ca="1">(S61-R61)*BenchPF+R61*StarterPF</f>
        <v>-45.198314773206683</v>
      </c>
      <c r="U61" s="85">
        <f ca="1">T61*Auction!$A$2</f>
        <v>-45.198314773206683</v>
      </c>
      <c r="V61" s="6" t="str">
        <f>IF(OR(INDEX(Auction!$H$13:$H$656,MATCH(B61,Auction!$A$13:$A$656,0))&gt;0,IFERROR(INDEX(CheatSheet!$D$5:$D$34,MATCH(B61,CheatSheet!$A$5:$A$34,0)),"")&lt;&gt;""),"Yes","No")</f>
        <v>No</v>
      </c>
      <c r="W61" s="179"/>
      <c r="Y61" s="78">
        <f t="shared" ca="1" si="3"/>
        <v>1</v>
      </c>
      <c r="Z61">
        <f t="shared" ca="1" si="4"/>
        <v>-124.63899999999998</v>
      </c>
      <c r="AA61" t="str">
        <f t="shared" ca="1" si="5"/>
        <v>QB11</v>
      </c>
      <c r="AB61">
        <f ca="1">Z61*LeagueInfo!$H$5</f>
        <v>-45.89561222456102</v>
      </c>
    </row>
    <row r="62" spans="1:28" x14ac:dyDescent="0.25">
      <c r="A62">
        <f>RANK(P62,P$3:P$81)</f>
        <v>60</v>
      </c>
      <c r="B62" t="str">
        <f>QB_Raw!A63</f>
        <v>Nate Sudfeld</v>
      </c>
      <c r="C62" t="s">
        <v>29</v>
      </c>
      <c r="D62" t="str">
        <f>_xlfn.IFNA(INDEX(BYEs!$E$2:$E$411,MATCH(B62,BYEs!$D$2:$D$411,0)),"N/A")</f>
        <v>N/A</v>
      </c>
      <c r="E62">
        <f>INDEX(BYEs!$B$2:$B$34,MATCH(F62,BYEs!$A$2:$A$34,0))</f>
        <v>6</v>
      </c>
      <c r="F62" t="str">
        <f>QB_Raw!B63</f>
        <v>DET</v>
      </c>
      <c r="G62" s="206">
        <f>QB_Raw!C63</f>
        <v>23.2</v>
      </c>
      <c r="H62" s="204">
        <f>QB_Raw!D63</f>
        <v>14.1</v>
      </c>
      <c r="I62" s="204">
        <f>QB_Raw!E63</f>
        <v>160.1</v>
      </c>
      <c r="J62" s="204">
        <f>QB_Raw!F63</f>
        <v>0.8</v>
      </c>
      <c r="K62" s="207">
        <f>QB_Raw!G63</f>
        <v>0.9</v>
      </c>
      <c r="L62" s="206">
        <f>QB_Raw!H63</f>
        <v>1.5</v>
      </c>
      <c r="M62" s="204">
        <f>QB_Raw!I63</f>
        <v>6.7</v>
      </c>
      <c r="N62" s="204">
        <f>QB_Raw!J63</f>
        <v>0.1</v>
      </c>
      <c r="O62" s="207">
        <f>QB_Raw!K63</f>
        <v>0.2</v>
      </c>
      <c r="P62" s="209">
        <f>(G62*QBPassAtt)+(I62*PassingYds)+(J62*PassingTD)+(K62*PassingINT)+(M62*QBRushingYd)+(N62*QBRushingTD)+(O62*QBFuml)+(H62*QBCompletion)+(L62*QBRushAtt)</f>
        <v>9.5739999999999981</v>
      </c>
      <c r="Q62" t="str">
        <f ca="1">IF(A62&lt;=QBStarter,"Starter",IF(A62&gt;QBStarter+QBBench,"Undrafted","Bench"))</f>
        <v>Undrafted</v>
      </c>
      <c r="R62">
        <f ca="1">IFERROR(MAX(P62-LARGE(QBSheetCount,QBStarter),0),0)</f>
        <v>0</v>
      </c>
      <c r="S62">
        <f ca="1">IFERROR(IF(AllowNegative="Yes",P62-LARGE(QBSheetCount,QBCount),MAX(P62-LARGE(QBSheetCount,QBCount),0)),0)</f>
        <v>-249.40399999999994</v>
      </c>
      <c r="T62" s="85">
        <f ca="1">(S62-R62)*BenchPF+R62*StarterPF</f>
        <v>-45.221160702897322</v>
      </c>
      <c r="U62" s="85">
        <f ca="1">T62*Auction!$A$2</f>
        <v>-45.221160702897322</v>
      </c>
      <c r="V62" s="6" t="str">
        <f>IF(OR(INDEX(Auction!$H$13:$H$656,MATCH(B62,Auction!$A$13:$A$656,0))&gt;0,IFERROR(INDEX(CheatSheet!$D$5:$D$34,MATCH(B62,CheatSheet!$A$5:$A$34,0)),"")&lt;&gt;""),"Yes","No")</f>
        <v>No</v>
      </c>
      <c r="W62" s="179"/>
      <c r="Y62" s="78">
        <f t="shared" ca="1" si="3"/>
        <v>1</v>
      </c>
      <c r="Z62">
        <f t="shared" ca="1" si="4"/>
        <v>-124.70199999999997</v>
      </c>
      <c r="AA62" t="str">
        <f t="shared" ca="1" si="5"/>
        <v>QB11</v>
      </c>
      <c r="AB62">
        <f ca="1">Z62*LeagueInfo!$H$5</f>
        <v>-45.918810610059516</v>
      </c>
    </row>
    <row r="63" spans="1:28" x14ac:dyDescent="0.25">
      <c r="A63">
        <f>RANK(P63,P$3:P$81)</f>
        <v>61</v>
      </c>
      <c r="B63" t="str">
        <f>QB_Raw!A60</f>
        <v>C.J. Beathard</v>
      </c>
      <c r="C63" t="s">
        <v>29</v>
      </c>
      <c r="D63" t="str">
        <f>_xlfn.IFNA(INDEX(BYEs!$E$2:$E$411,MATCH(B63,BYEs!$D$2:$D$411,0)),"N/A")</f>
        <v>N/A</v>
      </c>
      <c r="E63">
        <f>INDEX(BYEs!$B$2:$B$34,MATCH(F63,BYEs!$A$2:$A$34,0))</f>
        <v>11</v>
      </c>
      <c r="F63" t="str">
        <f>QB_Raw!B60</f>
        <v>JAC</v>
      </c>
      <c r="G63" s="206">
        <f>QB_Raw!C60</f>
        <v>23.6</v>
      </c>
      <c r="H63" s="204">
        <f>QB_Raw!D60</f>
        <v>14.7</v>
      </c>
      <c r="I63" s="204">
        <f>QB_Raw!E60</f>
        <v>162.6</v>
      </c>
      <c r="J63" s="204">
        <f>QB_Raw!F60</f>
        <v>1.1000000000000001</v>
      </c>
      <c r="K63" s="207">
        <f>QB_Raw!G60</f>
        <v>0.6</v>
      </c>
      <c r="L63" s="206">
        <f>QB_Raw!H60</f>
        <v>1.5</v>
      </c>
      <c r="M63" s="204">
        <f>QB_Raw!I60</f>
        <v>6.2</v>
      </c>
      <c r="N63" s="204">
        <f>QB_Raw!J60</f>
        <v>0</v>
      </c>
      <c r="O63" s="207">
        <f>QB_Raw!K60</f>
        <v>0.7</v>
      </c>
      <c r="P63" s="209">
        <f>(G63*QBPassAtt)+(I63*PassingYds)+(J63*PassingTD)+(K63*PassingINT)+(M63*QBRushingYd)+(N63*QBRushingTD)+(O63*QBFuml)+(H63*QBCompletion)+(L63*QBRushAtt)</f>
        <v>9.5239999999999991</v>
      </c>
      <c r="Q63" t="str">
        <f ca="1">IF(A63&lt;=QBStarter,"Starter",IF(A63&gt;QBStarter+QBBench,"Undrafted","Bench"))</f>
        <v>Undrafted</v>
      </c>
      <c r="R63">
        <f ca="1">IFERROR(MAX(P63-LARGE(QBSheetCount,QBStarter),0),0)</f>
        <v>0</v>
      </c>
      <c r="S63">
        <f ca="1">IFERROR(IF(AllowNegative="Yes",P63-LARGE(QBSheetCount,QBCount),MAX(P63-LARGE(QBSheetCount,QBCount),0)),0)</f>
        <v>-249.45399999999995</v>
      </c>
      <c r="T63" s="85">
        <f ca="1">(S63-R63)*BenchPF+R63*StarterPF</f>
        <v>-45.230226548012659</v>
      </c>
      <c r="U63" s="85">
        <f ca="1">T63*Auction!$A$2</f>
        <v>-45.230226548012659</v>
      </c>
      <c r="V63" s="6" t="str">
        <f>IF(OR(INDEX(Auction!$H$13:$H$656,MATCH(B63,Auction!$A$13:$A$656,0))&gt;0,IFERROR(INDEX(CheatSheet!$D$5:$D$34,MATCH(B63,CheatSheet!$A$5:$A$34,0)),"")&lt;&gt;""),"Yes","No")</f>
        <v>No</v>
      </c>
      <c r="W63" s="179"/>
      <c r="Y63" s="78">
        <f t="shared" ca="1" si="3"/>
        <v>1</v>
      </c>
      <c r="Z63">
        <f t="shared" ca="1" si="4"/>
        <v>-124.72699999999998</v>
      </c>
      <c r="AA63" t="str">
        <f t="shared" ca="1" si="5"/>
        <v>QB11</v>
      </c>
      <c r="AB63">
        <f ca="1">Z63*LeagueInfo!$H$5</f>
        <v>-45.928016318590664</v>
      </c>
    </row>
    <row r="64" spans="1:28" x14ac:dyDescent="0.25">
      <c r="A64">
        <f>RANK(P64,P$3:P$81)</f>
        <v>62</v>
      </c>
      <c r="B64" t="str">
        <f>QB_Raw!A61</f>
        <v>Case Keenum</v>
      </c>
      <c r="C64" t="s">
        <v>29</v>
      </c>
      <c r="D64">
        <f>_xlfn.IFNA(INDEX(BYEs!$E$2:$E$411,MATCH(B64,BYEs!$D$2:$D$411,0)),"N/A")</f>
        <v>33</v>
      </c>
      <c r="E64">
        <f>INDEX(BYEs!$B$2:$B$34,MATCH(F64,BYEs!$A$2:$A$34,0))</f>
        <v>7</v>
      </c>
      <c r="F64" t="str">
        <f>QB_Raw!B61</f>
        <v>BUF</v>
      </c>
      <c r="G64" s="206">
        <f>QB_Raw!C61</f>
        <v>19.2</v>
      </c>
      <c r="H64" s="204">
        <f>QB_Raw!D61</f>
        <v>12.1</v>
      </c>
      <c r="I64" s="204">
        <f>QB_Raw!E61</f>
        <v>136.6</v>
      </c>
      <c r="J64" s="204">
        <f>QB_Raw!F61</f>
        <v>1</v>
      </c>
      <c r="K64" s="207">
        <f>QB_Raw!G61</f>
        <v>0.4</v>
      </c>
      <c r="L64" s="206">
        <f>QB_Raw!H61</f>
        <v>1.2</v>
      </c>
      <c r="M64" s="204">
        <f>QB_Raw!I61</f>
        <v>4.5999999999999996</v>
      </c>
      <c r="N64" s="204">
        <f>QB_Raw!J61</f>
        <v>0</v>
      </c>
      <c r="O64" s="207">
        <f>QB_Raw!K61</f>
        <v>0.1</v>
      </c>
      <c r="P64" s="209">
        <f>(G64*QBPassAtt)+(I64*PassingYds)+(J64*PassingTD)+(K64*PassingINT)+(M64*QBRushingYd)+(N64*QBRushingTD)+(O64*QBFuml)+(H64*QBCompletion)+(L64*QBRushAtt)</f>
        <v>9.3239999999999981</v>
      </c>
      <c r="Q64" t="str">
        <f ca="1">IF(A64&lt;=QBStarter,"Starter",IF(A64&gt;QBStarter+QBBench,"Undrafted","Bench"))</f>
        <v>Undrafted</v>
      </c>
      <c r="R64">
        <f ca="1">IFERROR(MAX(P64-LARGE(QBSheetCount,QBStarter),0),0)</f>
        <v>0</v>
      </c>
      <c r="S64">
        <f ca="1">IFERROR(IF(AllowNegative="Yes",P64-LARGE(QBSheetCount,QBCount),MAX(P64-LARGE(QBSheetCount,QBCount),0)),0)</f>
        <v>-249.65399999999994</v>
      </c>
      <c r="T64" s="85">
        <f ca="1">(S64-R64)*BenchPF+R64*StarterPF</f>
        <v>-45.266489928473995</v>
      </c>
      <c r="U64" s="85">
        <f ca="1">T64*Auction!$A$2</f>
        <v>-45.266489928473995</v>
      </c>
      <c r="V64" s="6" t="str">
        <f>IF(OR(INDEX(Auction!$H$13:$H$656,MATCH(B64,Auction!$A$13:$A$656,0))&gt;0,IFERROR(INDEX(CheatSheet!$D$5:$D$34,MATCH(B64,CheatSheet!$A$5:$A$34,0)),"")&lt;&gt;""),"Yes","No")</f>
        <v>No</v>
      </c>
      <c r="W64" s="179"/>
      <c r="Y64" s="78">
        <f t="shared" ca="1" si="3"/>
        <v>1</v>
      </c>
      <c r="Z64">
        <f t="shared" ca="1" si="4"/>
        <v>-124.82699999999997</v>
      </c>
      <c r="AA64" t="str">
        <f t="shared" ca="1" si="5"/>
        <v>QB11</v>
      </c>
      <c r="AB64">
        <f ca="1">Z64*LeagueInfo!$H$5</f>
        <v>-45.964839152715264</v>
      </c>
    </row>
    <row r="65" spans="1:28" x14ac:dyDescent="0.25">
      <c r="A65">
        <f>RANK(P65,P$3:P$81)</f>
        <v>63</v>
      </c>
      <c r="B65" t="str">
        <f>QB_Raw!A64</f>
        <v>Jarrett Stidham</v>
      </c>
      <c r="C65" t="s">
        <v>29</v>
      </c>
      <c r="D65">
        <f>_xlfn.IFNA(INDEX(BYEs!$E$2:$E$411,MATCH(B65,BYEs!$D$2:$D$411,0)),"N/A")</f>
        <v>25</v>
      </c>
      <c r="E65">
        <f>INDEX(BYEs!$B$2:$B$34,MATCH(F65,BYEs!$A$2:$A$34,0))</f>
        <v>6</v>
      </c>
      <c r="F65" t="str">
        <f>QB_Raw!B64</f>
        <v>LV</v>
      </c>
      <c r="G65" s="206">
        <f>QB_Raw!C64</f>
        <v>20.8</v>
      </c>
      <c r="H65" s="204">
        <f>QB_Raw!D64</f>
        <v>13.2</v>
      </c>
      <c r="I65" s="204">
        <f>QB_Raw!E64</f>
        <v>146.9</v>
      </c>
      <c r="J65" s="204">
        <f>QB_Raw!F64</f>
        <v>1</v>
      </c>
      <c r="K65" s="207">
        <f>QB_Raw!G64</f>
        <v>0.8</v>
      </c>
      <c r="L65" s="206">
        <f>QB_Raw!H64</f>
        <v>1.6</v>
      </c>
      <c r="M65" s="204">
        <f>QB_Raw!I64</f>
        <v>4</v>
      </c>
      <c r="N65" s="204">
        <f>QB_Raw!J64</f>
        <v>0</v>
      </c>
      <c r="O65" s="207">
        <f>QB_Raw!K64</f>
        <v>0.1</v>
      </c>
      <c r="P65" s="209">
        <f>(G65*QBPassAtt)+(I65*PassingYds)+(J65*PassingTD)+(K65*PassingINT)+(M65*QBRushingYd)+(N65*QBRushingTD)+(O65*QBFuml)+(H65*QBCompletion)+(L65*QBRushAtt)</f>
        <v>9.2760000000000016</v>
      </c>
      <c r="Q65" t="str">
        <f ca="1">IF(A65&lt;=QBStarter,"Starter",IF(A65&gt;QBStarter+QBBench,"Undrafted","Bench"))</f>
        <v>Undrafted</v>
      </c>
      <c r="R65">
        <f ca="1">IFERROR(MAX(P65-LARGE(QBSheetCount,QBStarter),0),0)</f>
        <v>0</v>
      </c>
      <c r="S65">
        <f ca="1">IFERROR(IF(AllowNegative="Yes",P65-LARGE(QBSheetCount,QBCount),MAX(P65-LARGE(QBSheetCount,QBCount),0)),0)</f>
        <v>-249.70199999999994</v>
      </c>
      <c r="T65" s="85">
        <f ca="1">(S65-R65)*BenchPF+R65*StarterPF</f>
        <v>-45.275193139784719</v>
      </c>
      <c r="U65" s="85">
        <f ca="1">T65*Auction!$A$2</f>
        <v>-45.275193139784719</v>
      </c>
      <c r="V65" s="6" t="str">
        <f>IF(OR(INDEX(Auction!$H$13:$H$656,MATCH(B65,Auction!$A$13:$A$656,0))&gt;0,IFERROR(INDEX(CheatSheet!$D$5:$D$34,MATCH(B65,CheatSheet!$A$5:$A$34,0)),"")&lt;&gt;""),"Yes","No")</f>
        <v>No</v>
      </c>
      <c r="W65" s="179"/>
      <c r="Y65" s="78">
        <f t="shared" ca="1" si="3"/>
        <v>1</v>
      </c>
      <c r="Z65">
        <f t="shared" ca="1" si="4"/>
        <v>-124.85099999999997</v>
      </c>
      <c r="AA65" t="str">
        <f t="shared" ca="1" si="5"/>
        <v>QB11</v>
      </c>
      <c r="AB65">
        <f ca="1">Z65*LeagueInfo!$H$5</f>
        <v>-45.973676632905168</v>
      </c>
    </row>
    <row r="66" spans="1:28" x14ac:dyDescent="0.25">
      <c r="A66">
        <f>RANK(P66,P$3:P$81)</f>
        <v>64</v>
      </c>
      <c r="B66" t="str">
        <f>QB_Raw!A65</f>
        <v>John Wolford</v>
      </c>
      <c r="C66" t="s">
        <v>29</v>
      </c>
      <c r="D66" t="str">
        <f>_xlfn.IFNA(INDEX(BYEs!$E$2:$E$411,MATCH(B66,BYEs!$D$2:$D$411,0)),"N/A")</f>
        <v>N/A</v>
      </c>
      <c r="E66">
        <f>INDEX(BYEs!$B$2:$B$34,MATCH(F66,BYEs!$A$2:$A$34,0))</f>
        <v>7</v>
      </c>
      <c r="F66" t="str">
        <f>QB_Raw!B65</f>
        <v>LAR</v>
      </c>
      <c r="G66" s="206">
        <f>QB_Raw!C65</f>
        <v>19.3</v>
      </c>
      <c r="H66" s="204">
        <f>QB_Raw!D65</f>
        <v>12</v>
      </c>
      <c r="I66" s="204">
        <f>QB_Raw!E65</f>
        <v>135</v>
      </c>
      <c r="J66" s="204">
        <f>QB_Raw!F65</f>
        <v>0.8</v>
      </c>
      <c r="K66" s="207">
        <f>QB_Raw!G65</f>
        <v>0.4</v>
      </c>
      <c r="L66" s="206">
        <f>QB_Raw!H65</f>
        <v>2</v>
      </c>
      <c r="M66" s="204">
        <f>QB_Raw!I65</f>
        <v>8.4</v>
      </c>
      <c r="N66" s="204">
        <f>QB_Raw!J65</f>
        <v>0</v>
      </c>
      <c r="O66" s="207">
        <f>QB_Raw!K65</f>
        <v>0.1</v>
      </c>
      <c r="P66" s="209">
        <f>(G66*QBPassAtt)+(I66*PassingYds)+(J66*PassingTD)+(K66*PassingINT)+(M66*QBRushingYd)+(N66*QBRushingTD)+(O66*QBFuml)+(H66*QBCompletion)+(L66*QBRushAtt)</f>
        <v>8.8400000000000016</v>
      </c>
      <c r="Q66" t="str">
        <f ca="1">IF(A66&lt;=QBStarter,"Starter",IF(A66&gt;QBStarter+QBBench,"Undrafted","Bench"))</f>
        <v>Undrafted</v>
      </c>
      <c r="R66">
        <f ca="1">IFERROR(MAX(P66-LARGE(QBSheetCount,QBStarter),0),0)</f>
        <v>0</v>
      </c>
      <c r="S66">
        <f ca="1">IFERROR(IF(AllowNegative="Yes",P66-LARGE(QBSheetCount,QBCount),MAX(P66-LARGE(QBSheetCount,QBCount),0)),0)</f>
        <v>-250.13799999999995</v>
      </c>
      <c r="T66" s="85">
        <f ca="1">(S66-R66)*BenchPF+R66*StarterPF</f>
        <v>-45.354247309190434</v>
      </c>
      <c r="U66" s="85">
        <f ca="1">T66*Auction!$A$2</f>
        <v>-45.354247309190434</v>
      </c>
      <c r="V66" s="6" t="str">
        <f>IF(OR(INDEX(Auction!$H$13:$H$656,MATCH(B66,Auction!$A$13:$A$656,0))&gt;0,IFERROR(INDEX(CheatSheet!$D$5:$D$34,MATCH(B66,CheatSheet!$A$5:$A$34,0)),"")&lt;&gt;""),"Yes","No")</f>
        <v>No</v>
      </c>
      <c r="W66" s="179"/>
      <c r="Y66" s="78">
        <f t="shared" ca="1" si="3"/>
        <v>1</v>
      </c>
      <c r="Z66">
        <f t="shared" ca="1" si="4"/>
        <v>-125.06899999999997</v>
      </c>
      <c r="AA66" t="str">
        <f t="shared" ca="1" si="5"/>
        <v>QB11</v>
      </c>
      <c r="AB66">
        <f ca="1">Z66*LeagueInfo!$H$5</f>
        <v>-46.053950411296796</v>
      </c>
    </row>
    <row r="67" spans="1:28" x14ac:dyDescent="0.25">
      <c r="A67">
        <f>RANK(P67,P$3:P$81)</f>
        <v>65</v>
      </c>
      <c r="B67" t="str">
        <f>QB_Raw!A66</f>
        <v>Nick Foles</v>
      </c>
      <c r="C67" t="s">
        <v>29</v>
      </c>
      <c r="D67">
        <f>_xlfn.IFNA(INDEX(BYEs!$E$2:$E$411,MATCH(B67,BYEs!$D$2:$D$411,0)),"N/A")</f>
        <v>32</v>
      </c>
      <c r="E67">
        <f>INDEX(BYEs!$B$2:$B$34,MATCH(F67,BYEs!$A$2:$A$34,0))</f>
        <v>14</v>
      </c>
      <c r="F67" t="str">
        <f>QB_Raw!B66</f>
        <v>IND</v>
      </c>
      <c r="G67" s="206">
        <f>QB_Raw!C66</f>
        <v>17.3</v>
      </c>
      <c r="H67" s="204">
        <f>QB_Raw!D66</f>
        <v>11.1</v>
      </c>
      <c r="I67" s="204">
        <f>QB_Raw!E66</f>
        <v>121.7</v>
      </c>
      <c r="J67" s="204">
        <f>QB_Raw!F66</f>
        <v>1</v>
      </c>
      <c r="K67" s="207">
        <f>QB_Raw!G66</f>
        <v>0.6</v>
      </c>
      <c r="L67" s="206">
        <f>QB_Raw!H66</f>
        <v>1.6</v>
      </c>
      <c r="M67" s="204">
        <f>QB_Raw!I66</f>
        <v>7</v>
      </c>
      <c r="N67" s="204">
        <f>QB_Raw!J66</f>
        <v>0</v>
      </c>
      <c r="O67" s="207">
        <f>QB_Raw!K66</f>
        <v>0.1</v>
      </c>
      <c r="P67" s="209">
        <f>(G67*QBPassAtt)+(I67*PassingYds)+(J67*PassingTD)+(K67*PassingINT)+(M67*QBRushingYd)+(N67*QBRushingTD)+(O67*QBFuml)+(H67*QBCompletion)+(L67*QBRushAtt)</f>
        <v>8.7680000000000007</v>
      </c>
      <c r="Q67" t="str">
        <f ca="1">IF(A67&lt;=QBStarter,"Starter",IF(A67&gt;QBStarter+QBBench,"Undrafted","Bench"))</f>
        <v>Undrafted</v>
      </c>
      <c r="R67">
        <f ca="1">IFERROR(MAX(P67-LARGE(QBSheetCount,QBStarter),0),0)</f>
        <v>0</v>
      </c>
      <c r="S67">
        <f ca="1">IFERROR(IF(AllowNegative="Yes",P67-LARGE(QBSheetCount,QBCount),MAX(P67-LARGE(QBSheetCount,QBCount),0)),0)</f>
        <v>-250.20999999999995</v>
      </c>
      <c r="T67" s="85">
        <f ca="1">(S67-R67)*BenchPF+R67*StarterPF</f>
        <v>-45.367302126156517</v>
      </c>
      <c r="U67" s="85">
        <f ca="1">T67*Auction!$A$2</f>
        <v>-45.367302126156517</v>
      </c>
      <c r="V67" s="6" t="str">
        <f>IF(OR(INDEX(Auction!$H$13:$H$656,MATCH(B67,Auction!$A$13:$A$656,0))&gt;0,IFERROR(INDEX(CheatSheet!$D$5:$D$34,MATCH(B67,CheatSheet!$A$5:$A$34,0)),"")&lt;&gt;""),"Yes","No")</f>
        <v>No</v>
      </c>
      <c r="W67" s="179"/>
      <c r="Y67" s="78">
        <f t="shared" ref="Y67:Y81" ca="1" si="6">SUMIFS($Z$3:$Z$38,$Z$3:$Z$38,"&gt;0",$V$3:$V$38,"No")/SUMIF($Z$3:$Z$38,"&gt;0")</f>
        <v>1</v>
      </c>
      <c r="Z67">
        <f t="shared" ref="Z67:Z81" ca="1" si="7">AVERAGE(R67:S67)</f>
        <v>-125.10499999999998</v>
      </c>
      <c r="AA67" t="str">
        <f t="shared" ref="AA67:AA81" ca="1" si="8">CONCATENATE("QB",ROUND((LARGE($Z$3:$Z$38,1)-$Z67)/(STDEVA($Z$3:$Z$38)/2)+1,0))</f>
        <v>QB11</v>
      </c>
      <c r="AB67">
        <f ca="1">Z67*LeagueInfo!$H$5</f>
        <v>-46.067206631581655</v>
      </c>
    </row>
    <row r="68" spans="1:28" x14ac:dyDescent="0.25">
      <c r="A68">
        <f>RANK(P68,P$3:P$81)</f>
        <v>66</v>
      </c>
      <c r="B68" t="str">
        <f>QB_Raw!A67</f>
        <v>Nick Mullens</v>
      </c>
      <c r="C68" t="s">
        <v>29</v>
      </c>
      <c r="D68">
        <f>_xlfn.IFNA(INDEX(BYEs!$E$2:$E$411,MATCH(B68,BYEs!$D$2:$D$411,0)),"N/A")</f>
        <v>26</v>
      </c>
      <c r="E68">
        <f>INDEX(BYEs!$B$2:$B$34,MATCH(F68,BYEs!$A$2:$A$34,0))</f>
        <v>7</v>
      </c>
      <c r="F68" t="str">
        <f>QB_Raw!B67</f>
        <v>MIN</v>
      </c>
      <c r="G68" s="206">
        <f>QB_Raw!C67</f>
        <v>19.3</v>
      </c>
      <c r="H68" s="204">
        <f>QB_Raw!D67</f>
        <v>12.3</v>
      </c>
      <c r="I68" s="204">
        <f>QB_Raw!E67</f>
        <v>144.5</v>
      </c>
      <c r="J68" s="204">
        <f>QB_Raw!F67</f>
        <v>1</v>
      </c>
      <c r="K68" s="207">
        <f>QB_Raw!G67</f>
        <v>0.4</v>
      </c>
      <c r="L68" s="206">
        <f>QB_Raw!H67</f>
        <v>1.4</v>
      </c>
      <c r="M68" s="204">
        <f>QB_Raw!I67</f>
        <v>2.5</v>
      </c>
      <c r="N68" s="204">
        <f>QB_Raw!J67</f>
        <v>0</v>
      </c>
      <c r="O68" s="207">
        <f>QB_Raw!K67</f>
        <v>0.6</v>
      </c>
      <c r="P68" s="209">
        <f>(G68*QBPassAtt)+(I68*PassingYds)+(J68*PassingTD)+(K68*PassingINT)+(M68*QBRushingYd)+(N68*QBRushingTD)+(O68*QBFuml)+(H68*QBCompletion)+(L68*QBRushAtt)</f>
        <v>8.4300000000000015</v>
      </c>
      <c r="Q68" t="str">
        <f ca="1">IF(A68&lt;=QBStarter,"Starter",IF(A68&gt;QBStarter+QBBench,"Undrafted","Bench"))</f>
        <v>Undrafted</v>
      </c>
      <c r="R68">
        <f ca="1">IFERROR(MAX(P68-LARGE(QBSheetCount,QBStarter),0),0)</f>
        <v>0</v>
      </c>
      <c r="S68">
        <f ca="1">IFERROR(IF(AllowNegative="Yes",P68-LARGE(QBSheetCount,QBCount),MAX(P68-LARGE(QBSheetCount,QBCount),0)),0)</f>
        <v>-250.54799999999994</v>
      </c>
      <c r="T68" s="85">
        <f ca="1">(S68-R68)*BenchPF+R68*StarterPF</f>
        <v>-45.428587239136178</v>
      </c>
      <c r="U68" s="85">
        <f ca="1">T68*Auction!$A$2</f>
        <v>-45.428587239136178</v>
      </c>
      <c r="V68" s="6" t="str">
        <f>IF(OR(INDEX(Auction!$H$13:$H$656,MATCH(B68,Auction!$A$13:$A$656,0))&gt;0,IFERROR(INDEX(CheatSheet!$D$5:$D$34,MATCH(B68,CheatSheet!$A$5:$A$34,0)),"")&lt;&gt;""),"Yes","No")</f>
        <v>No</v>
      </c>
      <c r="W68" s="179"/>
      <c r="Y68" s="78">
        <f t="shared" ca="1" si="6"/>
        <v>1</v>
      </c>
      <c r="Z68">
        <f t="shared" ca="1" si="7"/>
        <v>-125.27399999999997</v>
      </c>
      <c r="AA68" t="str">
        <f t="shared" ca="1" si="8"/>
        <v>QB11</v>
      </c>
      <c r="AB68">
        <f ca="1">Z68*LeagueInfo!$H$5</f>
        <v>-46.129437221252232</v>
      </c>
    </row>
    <row r="69" spans="1:28" x14ac:dyDescent="0.25">
      <c r="A69">
        <f>RANK(P69,P$3:P$81)</f>
        <v>67</v>
      </c>
      <c r="B69" t="str">
        <f>QB_Raw!A69</f>
        <v>Sam Howell</v>
      </c>
      <c r="C69" t="s">
        <v>29</v>
      </c>
      <c r="D69" t="str">
        <f>_xlfn.IFNA(INDEX(BYEs!$E$2:$E$411,MATCH(B69,BYEs!$D$2:$D$411,0)),"N/A")</f>
        <v>N/A</v>
      </c>
      <c r="E69">
        <f>INDEX(BYEs!$B$2:$B$34,MATCH(F69,BYEs!$A$2:$A$34,0))</f>
        <v>14</v>
      </c>
      <c r="F69" t="str">
        <f>QB_Raw!B69</f>
        <v>WAS</v>
      </c>
      <c r="G69" s="206">
        <f>QB_Raw!C69</f>
        <v>16.399999999999999</v>
      </c>
      <c r="H69" s="204">
        <f>QB_Raw!D69</f>
        <v>10</v>
      </c>
      <c r="I69" s="204">
        <f>QB_Raw!E69</f>
        <v>108.9</v>
      </c>
      <c r="J69" s="204">
        <f>QB_Raw!F69</f>
        <v>0.7</v>
      </c>
      <c r="K69" s="207">
        <f>QB_Raw!G69</f>
        <v>0.5</v>
      </c>
      <c r="L69" s="206">
        <f>QB_Raw!H69</f>
        <v>2</v>
      </c>
      <c r="M69" s="204">
        <f>QB_Raw!I69</f>
        <v>8.8000000000000007</v>
      </c>
      <c r="N69" s="204">
        <f>QB_Raw!J69</f>
        <v>0.1</v>
      </c>
      <c r="O69" s="207">
        <f>QB_Raw!K69</f>
        <v>0.1</v>
      </c>
      <c r="P69" s="209">
        <f>(G69*QBPassAtt)+(I69*PassingYds)+(J69*PassingTD)+(K69*PassingINT)+(M69*QBRushingYd)+(N69*QBRushingTD)+(O69*QBFuml)+(H69*QBCompletion)+(L69*QBRushAtt)</f>
        <v>7.9360000000000008</v>
      </c>
      <c r="Q69" t="str">
        <f ca="1">IF(A69&lt;=QBStarter,"Starter",IF(A69&gt;QBStarter+QBBench,"Undrafted","Bench"))</f>
        <v>Undrafted</v>
      </c>
      <c r="R69">
        <f ca="1">IFERROR(MAX(P69-LARGE(QBSheetCount,QBStarter),0),0)</f>
        <v>0</v>
      </c>
      <c r="S69">
        <f ca="1">IFERROR(IF(AllowNegative="Yes",P69-LARGE(QBSheetCount,QBCount),MAX(P69-LARGE(QBSheetCount,QBCount),0)),0)</f>
        <v>-251.04199999999994</v>
      </c>
      <c r="T69" s="85">
        <f ca="1">(S69-R69)*BenchPF+R69*StarterPF</f>
        <v>-45.518157788875683</v>
      </c>
      <c r="U69" s="85">
        <f ca="1">T69*Auction!$A$2</f>
        <v>-45.518157788875683</v>
      </c>
      <c r="V69" s="6" t="str">
        <f>IF(OR(INDEX(Auction!$H$13:$H$656,MATCH(B69,Auction!$A$13:$A$656,0))&gt;0,IFERROR(INDEX(CheatSheet!$D$5:$D$34,MATCH(B69,CheatSheet!$A$5:$A$34,0)),"")&lt;&gt;""),"Yes","No")</f>
        <v>No</v>
      </c>
      <c r="W69" s="179"/>
      <c r="Y69" s="78">
        <f t="shared" ca="1" si="6"/>
        <v>1</v>
      </c>
      <c r="Z69">
        <f t="shared" ca="1" si="7"/>
        <v>-125.52099999999997</v>
      </c>
      <c r="AA69" t="str">
        <f t="shared" ca="1" si="8"/>
        <v>QB11</v>
      </c>
      <c r="AB69">
        <f ca="1">Z69*LeagueInfo!$H$5</f>
        <v>-46.220389621539994</v>
      </c>
    </row>
    <row r="70" spans="1:28" x14ac:dyDescent="0.25">
      <c r="A70">
        <f>RANK(P70,P$3:P$81)</f>
        <v>68</v>
      </c>
      <c r="B70" t="str">
        <f>QB_Raw!A68</f>
        <v>Chase Daniel</v>
      </c>
      <c r="C70" t="s">
        <v>29</v>
      </c>
      <c r="D70" t="str">
        <f>_xlfn.IFNA(INDEX(BYEs!$E$2:$E$411,MATCH(B70,BYEs!$D$2:$D$411,0)),"N/A")</f>
        <v>N/A</v>
      </c>
      <c r="E70">
        <f>INDEX(BYEs!$B$2:$B$34,MATCH(F70,BYEs!$A$2:$A$34,0))</f>
        <v>8</v>
      </c>
      <c r="F70" t="str">
        <f>QB_Raw!B68</f>
        <v>LAC</v>
      </c>
      <c r="G70" s="206">
        <f>QB_Raw!C68</f>
        <v>18.5</v>
      </c>
      <c r="H70" s="204">
        <f>QB_Raw!D68</f>
        <v>11.4</v>
      </c>
      <c r="I70" s="204">
        <f>QB_Raw!E68</f>
        <v>125.7</v>
      </c>
      <c r="J70" s="204">
        <f>QB_Raw!F68</f>
        <v>0.8</v>
      </c>
      <c r="K70" s="207">
        <f>QB_Raw!G68</f>
        <v>0.4</v>
      </c>
      <c r="L70" s="206">
        <f>QB_Raw!H68</f>
        <v>1.5</v>
      </c>
      <c r="M70" s="204">
        <f>QB_Raw!I68</f>
        <v>4.5999999999999996</v>
      </c>
      <c r="N70" s="204">
        <f>QB_Raw!J68</f>
        <v>0</v>
      </c>
      <c r="O70" s="207">
        <f>QB_Raw!K68</f>
        <v>0.2</v>
      </c>
      <c r="P70" s="209">
        <f>(G70*QBPassAtt)+(I70*PassingYds)+(J70*PassingTD)+(K70*PassingINT)+(M70*QBRushingYd)+(N70*QBRushingTD)+(O70*QBFuml)+(H70*QBCompletion)+(L70*QBRushAtt)</f>
        <v>7.8879999999999999</v>
      </c>
      <c r="Q70" t="str">
        <f ca="1">IF(A70&lt;=QBStarter,"Starter",IF(A70&gt;QBStarter+QBBench,"Undrafted","Bench"))</f>
        <v>Undrafted</v>
      </c>
      <c r="R70">
        <f ca="1">IFERROR(MAX(P70-LARGE(QBSheetCount,QBStarter),0),0)</f>
        <v>0</v>
      </c>
      <c r="S70">
        <f ca="1">IFERROR(IF(AllowNegative="Yes",P70-LARGE(QBSheetCount,QBCount),MAX(P70-LARGE(QBSheetCount,QBCount),0)),0)</f>
        <v>-251.08999999999995</v>
      </c>
      <c r="T70" s="85">
        <f ca="1">(S70-R70)*BenchPF+R70*StarterPF</f>
        <v>-45.5268610001864</v>
      </c>
      <c r="U70" s="85">
        <f ca="1">T70*Auction!$A$2</f>
        <v>-45.5268610001864</v>
      </c>
      <c r="V70" s="6" t="str">
        <f>IF(OR(INDEX(Auction!$H$13:$H$656,MATCH(B70,Auction!$A$13:$A$656,0))&gt;0,IFERROR(INDEX(CheatSheet!$D$5:$D$34,MATCH(B70,CheatSheet!$A$5:$A$34,0)),"")&lt;&gt;""),"Yes","No")</f>
        <v>No</v>
      </c>
      <c r="W70" s="179"/>
      <c r="Y70" s="78">
        <f t="shared" ca="1" si="6"/>
        <v>1</v>
      </c>
      <c r="Z70">
        <f t="shared" ca="1" si="7"/>
        <v>-125.54499999999997</v>
      </c>
      <c r="AA70" t="str">
        <f t="shared" ca="1" si="8"/>
        <v>QB11</v>
      </c>
      <c r="AB70">
        <f ca="1">Z70*LeagueInfo!$H$5</f>
        <v>-46.229227101729897</v>
      </c>
    </row>
    <row r="71" spans="1:28" x14ac:dyDescent="0.25">
      <c r="A71">
        <f>RANK(P71,P$3:P$81)</f>
        <v>69</v>
      </c>
      <c r="B71" t="str">
        <f>QB_Raw!A70</f>
        <v>Chad Henne</v>
      </c>
      <c r="C71" t="s">
        <v>29</v>
      </c>
      <c r="D71" t="str">
        <f>_xlfn.IFNA(INDEX(BYEs!$E$2:$E$411,MATCH(B71,BYEs!$D$2:$D$411,0)),"N/A")</f>
        <v>N/A</v>
      </c>
      <c r="E71">
        <f>INDEX(BYEs!$B$2:$B$34,MATCH(F71,BYEs!$A$2:$A$34,0))</f>
        <v>8</v>
      </c>
      <c r="F71" t="str">
        <f>QB_Raw!B70</f>
        <v>KC</v>
      </c>
      <c r="G71" s="206">
        <f>QB_Raw!C70</f>
        <v>15.9</v>
      </c>
      <c r="H71" s="204">
        <f>QB_Raw!D70</f>
        <v>10.1</v>
      </c>
      <c r="I71" s="204">
        <f>QB_Raw!E70</f>
        <v>112.8</v>
      </c>
      <c r="J71" s="204">
        <f>QB_Raw!F70</f>
        <v>0.9</v>
      </c>
      <c r="K71" s="207">
        <f>QB_Raw!G70</f>
        <v>0.6</v>
      </c>
      <c r="L71" s="206">
        <f>QB_Raw!H70</f>
        <v>1.8</v>
      </c>
      <c r="M71" s="204">
        <f>QB_Raw!I70</f>
        <v>4.3</v>
      </c>
      <c r="N71" s="204">
        <f>QB_Raw!J70</f>
        <v>0</v>
      </c>
      <c r="O71" s="207">
        <f>QB_Raw!K70</f>
        <v>0.2</v>
      </c>
      <c r="P71" s="209">
        <f>(G71*QBPassAtt)+(I71*PassingYds)+(J71*PassingTD)+(K71*PassingINT)+(M71*QBRushingYd)+(N71*QBRushingTD)+(O71*QBFuml)+(H71*QBCompletion)+(L71*QBRushAtt)</f>
        <v>7.5419999999999998</v>
      </c>
      <c r="Q71" t="str">
        <f ca="1">IF(A71&lt;=QBStarter,"Starter",IF(A71&gt;QBStarter+QBBench,"Undrafted","Bench"))</f>
        <v>Undrafted</v>
      </c>
      <c r="R71">
        <f ca="1">IFERROR(MAX(P71-LARGE(QBSheetCount,QBStarter),0),0)</f>
        <v>0</v>
      </c>
      <c r="S71">
        <f ca="1">IFERROR(IF(AllowNegative="Yes",P71-LARGE(QBSheetCount,QBCount),MAX(P71-LARGE(QBSheetCount,QBCount),0)),0)</f>
        <v>-251.43599999999995</v>
      </c>
      <c r="T71" s="85">
        <f ca="1">(S71-R71)*BenchPF+R71*StarterPF</f>
        <v>-45.589596648384514</v>
      </c>
      <c r="U71" s="85">
        <f ca="1">T71*Auction!$A$2</f>
        <v>-45.589596648384514</v>
      </c>
      <c r="V71" s="6" t="str">
        <f>IF(OR(INDEX(Auction!$H$13:$H$656,MATCH(B71,Auction!$A$13:$A$656,0))&gt;0,IFERROR(INDEX(CheatSheet!$D$5:$D$34,MATCH(B71,CheatSheet!$A$5:$A$34,0)),"")&lt;&gt;""),"Yes","No")</f>
        <v>No</v>
      </c>
      <c r="W71" s="179"/>
      <c r="Y71" s="78">
        <f t="shared" ca="1" si="6"/>
        <v>1</v>
      </c>
      <c r="Z71">
        <f t="shared" ca="1" si="7"/>
        <v>-125.71799999999998</v>
      </c>
      <c r="AA71" t="str">
        <f t="shared" ca="1" si="8"/>
        <v>QB11</v>
      </c>
      <c r="AB71">
        <f ca="1">Z71*LeagueInfo!$H$5</f>
        <v>-46.292930604765459</v>
      </c>
    </row>
    <row r="72" spans="1:28" x14ac:dyDescent="0.25">
      <c r="A72">
        <f>RANK(P72,P$3:P$81)</f>
        <v>70</v>
      </c>
      <c r="B72" t="str">
        <f>QB_Raw!A71</f>
        <v>Tim Boyle</v>
      </c>
      <c r="C72" t="s">
        <v>29</v>
      </c>
      <c r="D72" t="str">
        <f>_xlfn.IFNA(INDEX(BYEs!$E$2:$E$411,MATCH(B72,BYEs!$D$2:$D$411,0)),"N/A")</f>
        <v>N/A</v>
      </c>
      <c r="E72">
        <f>INDEX(BYEs!$B$2:$B$34,MATCH(F72,BYEs!$A$2:$A$34,0))</f>
        <v>6</v>
      </c>
      <c r="F72" t="str">
        <f>QB_Raw!B71</f>
        <v>DET</v>
      </c>
      <c r="G72" s="206">
        <f>QB_Raw!C71</f>
        <v>12</v>
      </c>
      <c r="H72" s="204">
        <f>QB_Raw!D71</f>
        <v>7</v>
      </c>
      <c r="I72" s="204">
        <f>QB_Raw!E71</f>
        <v>81</v>
      </c>
      <c r="J72" s="204">
        <f>QB_Raw!F71</f>
        <v>1</v>
      </c>
      <c r="K72" s="207">
        <f>QB_Raw!G71</f>
        <v>0</v>
      </c>
      <c r="L72" s="206">
        <f>QB_Raw!H71</f>
        <v>0</v>
      </c>
      <c r="M72" s="204">
        <f>QB_Raw!I71</f>
        <v>0</v>
      </c>
      <c r="N72" s="204">
        <f>QB_Raw!J71</f>
        <v>0</v>
      </c>
      <c r="O72" s="207">
        <f>QB_Raw!K71</f>
        <v>0</v>
      </c>
      <c r="P72" s="209">
        <f>(G72*QBPassAtt)+(I72*PassingYds)+(J72*PassingTD)+(K72*PassingINT)+(M72*QBRushingYd)+(N72*QBRushingTD)+(O72*QBFuml)+(H72*QBCompletion)+(L72*QBRushAtt)</f>
        <v>7.24</v>
      </c>
      <c r="Q72" t="str">
        <f ca="1">IF(A72&lt;=QBStarter,"Starter",IF(A72&gt;QBStarter+QBBench,"Undrafted","Bench"))</f>
        <v>Undrafted</v>
      </c>
      <c r="R72">
        <f ca="1">IFERROR(MAX(P72-LARGE(QBSheetCount,QBStarter),0),0)</f>
        <v>0</v>
      </c>
      <c r="S72">
        <f ca="1">IFERROR(IF(AllowNegative="Yes",P72-LARGE(QBSheetCount,QBCount),MAX(P72-LARGE(QBSheetCount,QBCount),0)),0)</f>
        <v>-251.73799999999994</v>
      </c>
      <c r="T72" s="85">
        <f ca="1">(S72-R72)*BenchPF+R72*StarterPF</f>
        <v>-45.644354352881138</v>
      </c>
      <c r="U72" s="85">
        <f ca="1">T72*Auction!$A$2</f>
        <v>-45.644354352881138</v>
      </c>
      <c r="V72" s="6" t="str">
        <f>IF(OR(INDEX(Auction!$H$13:$H$656,MATCH(B72,Auction!$A$13:$A$656,0))&gt;0,IFERROR(INDEX(CheatSheet!$D$5:$D$34,MATCH(B72,CheatSheet!$A$5:$A$34,0)),"")&lt;&gt;""),"Yes","No")</f>
        <v>No</v>
      </c>
      <c r="W72" s="179"/>
      <c r="Y72" s="78">
        <f t="shared" ca="1" si="6"/>
        <v>1</v>
      </c>
      <c r="Z72">
        <f t="shared" ca="1" si="7"/>
        <v>-125.86899999999997</v>
      </c>
      <c r="AA72" t="str">
        <f t="shared" ca="1" si="8"/>
        <v>QB11</v>
      </c>
      <c r="AB72">
        <f ca="1">Z72*LeagueInfo!$H$5</f>
        <v>-46.348533084293607</v>
      </c>
    </row>
    <row r="73" spans="1:28" x14ac:dyDescent="0.25">
      <c r="A73">
        <f>RANK(P73,P$3:P$81)</f>
        <v>71</v>
      </c>
      <c r="B73" t="str">
        <f>QB_Raw!A72</f>
        <v>Brandon Allen</v>
      </c>
      <c r="C73" t="s">
        <v>29</v>
      </c>
      <c r="D73" t="str">
        <f>_xlfn.IFNA(INDEX(BYEs!$E$2:$E$411,MATCH(B73,BYEs!$D$2:$D$411,0)),"N/A")</f>
        <v>N/A</v>
      </c>
      <c r="E73">
        <f>INDEX(BYEs!$B$2:$B$34,MATCH(F73,BYEs!$A$2:$A$34,0))</f>
        <v>10</v>
      </c>
      <c r="F73" t="str">
        <f>QB_Raw!B72</f>
        <v>CIN</v>
      </c>
      <c r="G73" s="206">
        <f>QB_Raw!C72</f>
        <v>16</v>
      </c>
      <c r="H73" s="204">
        <f>QB_Raw!D72</f>
        <v>10</v>
      </c>
      <c r="I73" s="204">
        <f>QB_Raw!E72</f>
        <v>111.8</v>
      </c>
      <c r="J73" s="204">
        <f>QB_Raw!F72</f>
        <v>0.7</v>
      </c>
      <c r="K73" s="207">
        <f>QB_Raw!G72</f>
        <v>0.2</v>
      </c>
      <c r="L73" s="206">
        <f>QB_Raw!H72</f>
        <v>0.8</v>
      </c>
      <c r="M73" s="204">
        <f>QB_Raw!I72</f>
        <v>3.2</v>
      </c>
      <c r="N73" s="204">
        <f>QB_Raw!J72</f>
        <v>0</v>
      </c>
      <c r="O73" s="207">
        <f>QB_Raw!K72</f>
        <v>0.2</v>
      </c>
      <c r="P73" s="209">
        <f>(G73*QBPassAtt)+(I73*PassingYds)+(J73*PassingTD)+(K73*PassingINT)+(M73*QBRushingYd)+(N73*QBRushingTD)+(O73*QBFuml)+(H73*QBCompletion)+(L73*QBRushAtt)</f>
        <v>6.992</v>
      </c>
      <c r="Q73" t="str">
        <f ca="1">IF(A73&lt;=QBStarter,"Starter",IF(A73&gt;QBStarter+QBBench,"Undrafted","Bench"))</f>
        <v>Undrafted</v>
      </c>
      <c r="R73">
        <f ca="1">IFERROR(MAX(P73-LARGE(QBSheetCount,QBStarter),0),0)</f>
        <v>0</v>
      </c>
      <c r="S73">
        <f ca="1">IFERROR(IF(AllowNegative="Yes",P73-LARGE(QBSheetCount,QBCount),MAX(P73-LARGE(QBSheetCount,QBCount),0)),0)</f>
        <v>-251.98599999999996</v>
      </c>
      <c r="T73" s="85">
        <f ca="1">(S73-R73)*BenchPF+R73*StarterPF</f>
        <v>-45.689320944653197</v>
      </c>
      <c r="U73" s="85">
        <f ca="1">T73*Auction!$A$2</f>
        <v>-45.689320944653197</v>
      </c>
      <c r="V73" s="6" t="str">
        <f>IF(OR(INDEX(Auction!$H$13:$H$656,MATCH(B73,Auction!$A$13:$A$656,0))&gt;0,IFERROR(INDEX(CheatSheet!$D$5:$D$34,MATCH(B73,CheatSheet!$A$5:$A$34,0)),"")&lt;&gt;""),"Yes","No")</f>
        <v>No</v>
      </c>
      <c r="W73" s="179"/>
      <c r="Y73" s="78">
        <f t="shared" ca="1" si="6"/>
        <v>1</v>
      </c>
      <c r="Z73">
        <f t="shared" ca="1" si="7"/>
        <v>-125.99299999999998</v>
      </c>
      <c r="AA73" t="str">
        <f t="shared" ca="1" si="8"/>
        <v>QB11</v>
      </c>
      <c r="AB73">
        <f ca="1">Z73*LeagueInfo!$H$5</f>
        <v>-46.39419339860811</v>
      </c>
    </row>
    <row r="74" spans="1:28" x14ac:dyDescent="0.25">
      <c r="A74">
        <f>RANK(P74,P$3:P$81)</f>
        <v>72</v>
      </c>
      <c r="B74" t="str">
        <f>QB_Raw!A73</f>
        <v>PJ Walker</v>
      </c>
      <c r="C74" t="s">
        <v>29</v>
      </c>
      <c r="D74" t="str">
        <f>_xlfn.IFNA(INDEX(BYEs!$E$2:$E$411,MATCH(B74,BYEs!$D$2:$D$411,0)),"N/A")</f>
        <v>N/A</v>
      </c>
      <c r="E74">
        <f>INDEX(BYEs!$B$2:$B$34,MATCH(F74,BYEs!$A$2:$A$34,0))</f>
        <v>13</v>
      </c>
      <c r="F74" t="str">
        <f>QB_Raw!B73</f>
        <v>CAR</v>
      </c>
      <c r="G74" s="206">
        <f>QB_Raw!C73</f>
        <v>18.2</v>
      </c>
      <c r="H74" s="204">
        <f>QB_Raw!D73</f>
        <v>11.3</v>
      </c>
      <c r="I74" s="204">
        <f>QB_Raw!E73</f>
        <v>116.3</v>
      </c>
      <c r="J74" s="204">
        <f>QB_Raw!F73</f>
        <v>0.5</v>
      </c>
      <c r="K74" s="207">
        <f>QB_Raw!G73</f>
        <v>0.6</v>
      </c>
      <c r="L74" s="206">
        <f>QB_Raw!H73</f>
        <v>1.2</v>
      </c>
      <c r="M74" s="204">
        <f>QB_Raw!I73</f>
        <v>3.2</v>
      </c>
      <c r="N74" s="204">
        <f>QB_Raw!J73</f>
        <v>0</v>
      </c>
      <c r="O74" s="207">
        <f>QB_Raw!K73</f>
        <v>0.4</v>
      </c>
      <c r="P74" s="209">
        <f>(G74*QBPassAtt)+(I74*PassingYds)+(J74*PassingTD)+(K74*PassingINT)+(M74*QBRushingYd)+(N74*QBRushingTD)+(O74*QBFuml)+(H74*QBCompletion)+(L74*QBRushAtt)</f>
        <v>5.572000000000001</v>
      </c>
      <c r="Q74" t="str">
        <f ca="1">IF(A74&lt;=QBStarter,"Starter",IF(A74&gt;QBStarter+QBBench,"Undrafted","Bench"))</f>
        <v>Undrafted</v>
      </c>
      <c r="R74">
        <f ca="1">IFERROR(MAX(P74-LARGE(QBSheetCount,QBStarter),0),0)</f>
        <v>0</v>
      </c>
      <c r="S74">
        <f ca="1">IFERROR(IF(AllowNegative="Yes",P74-LARGE(QBSheetCount,QBCount),MAX(P74-LARGE(QBSheetCount,QBCount),0)),0)</f>
        <v>-253.40599999999995</v>
      </c>
      <c r="T74" s="85">
        <f ca="1">(S74-R74)*BenchPF+R74*StarterPF</f>
        <v>-45.94679094592869</v>
      </c>
      <c r="U74" s="85">
        <f ca="1">T74*Auction!$A$2</f>
        <v>-45.94679094592869</v>
      </c>
      <c r="V74" s="6" t="str">
        <f>IF(OR(INDEX(Auction!$H$13:$H$656,MATCH(B74,Auction!$A$13:$A$656,0))&gt;0,IFERROR(INDEX(CheatSheet!$D$5:$D$34,MATCH(B74,CheatSheet!$A$5:$A$34,0)),"")&lt;&gt;""),"Yes","No")</f>
        <v>No</v>
      </c>
      <c r="W74" s="179"/>
      <c r="Y74" s="78">
        <f t="shared" ca="1" si="6"/>
        <v>1</v>
      </c>
      <c r="Z74">
        <f t="shared" ca="1" si="7"/>
        <v>-126.70299999999997</v>
      </c>
      <c r="AA74" t="str">
        <f t="shared" ca="1" si="8"/>
        <v>QB11</v>
      </c>
      <c r="AB74">
        <f ca="1">Z74*LeagueInfo!$H$5</f>
        <v>-46.655635520892773</v>
      </c>
    </row>
    <row r="75" spans="1:28" x14ac:dyDescent="0.25">
      <c r="A75">
        <f>RANK(P75,P$3:P$81)</f>
        <v>73</v>
      </c>
      <c r="B75" t="str">
        <f>QB_Raw!A74</f>
        <v>Mason Rudolph</v>
      </c>
      <c r="C75" t="s">
        <v>29</v>
      </c>
      <c r="D75">
        <f>_xlfn.IFNA(INDEX(BYEs!$E$2:$E$411,MATCH(B75,BYEs!$D$2:$D$411,0)),"N/A")</f>
        <v>26</v>
      </c>
      <c r="E75">
        <f>INDEX(BYEs!$B$2:$B$34,MATCH(F75,BYEs!$A$2:$A$34,0))</f>
        <v>9</v>
      </c>
      <c r="F75" t="str">
        <f>QB_Raw!B74</f>
        <v>PIT</v>
      </c>
      <c r="G75" s="206">
        <f>QB_Raw!C74</f>
        <v>13</v>
      </c>
      <c r="H75" s="204">
        <f>QB_Raw!D74</f>
        <v>8.5</v>
      </c>
      <c r="I75" s="204">
        <f>QB_Raw!E74</f>
        <v>77</v>
      </c>
      <c r="J75" s="204">
        <f>QB_Raw!F74</f>
        <v>0.5</v>
      </c>
      <c r="K75" s="207">
        <f>QB_Raw!G74</f>
        <v>0.5</v>
      </c>
      <c r="L75" s="206">
        <f>QB_Raw!H74</f>
        <v>2</v>
      </c>
      <c r="M75" s="204">
        <f>QB_Raw!I74</f>
        <v>7.5</v>
      </c>
      <c r="N75" s="204">
        <f>QB_Raw!J74</f>
        <v>0</v>
      </c>
      <c r="O75" s="207">
        <f>QB_Raw!K74</f>
        <v>0</v>
      </c>
      <c r="P75" s="209">
        <f>(G75*QBPassAtt)+(I75*PassingYds)+(J75*PassingTD)+(K75*PassingINT)+(M75*QBRushingYd)+(N75*QBRushingTD)+(O75*QBFuml)+(H75*QBCompletion)+(L75*QBRushAtt)</f>
        <v>5.33</v>
      </c>
      <c r="Q75" t="str">
        <f ca="1">IF(A75&lt;=QBStarter,"Starter",IF(A75&gt;QBStarter+QBBench,"Undrafted","Bench"))</f>
        <v>Undrafted</v>
      </c>
      <c r="R75">
        <f ca="1">IFERROR(MAX(P75-LARGE(QBSheetCount,QBStarter),0),0)</f>
        <v>0</v>
      </c>
      <c r="S75">
        <f ca="1">IFERROR(IF(AllowNegative="Yes",P75-LARGE(QBSheetCount,QBCount),MAX(P75-LARGE(QBSheetCount,QBCount),0)),0)</f>
        <v>-253.64799999999994</v>
      </c>
      <c r="T75" s="85">
        <f ca="1">(S75-R75)*BenchPF+R75*StarterPF</f>
        <v>-45.99066963628691</v>
      </c>
      <c r="U75" s="85">
        <f ca="1">T75*Auction!$A$2</f>
        <v>-45.99066963628691</v>
      </c>
      <c r="V75" s="6" t="str">
        <f>IF(OR(INDEX(Auction!$H$13:$H$656,MATCH(B75,Auction!$A$13:$A$656,0))&gt;0,IFERROR(INDEX(CheatSheet!$D$5:$D$34,MATCH(B75,CheatSheet!$A$5:$A$34,0)),"")&lt;&gt;""),"Yes","No")</f>
        <v>No</v>
      </c>
      <c r="W75" s="179"/>
      <c r="Y75" s="78">
        <f t="shared" ca="1" si="6"/>
        <v>1</v>
      </c>
      <c r="Z75">
        <f t="shared" ca="1" si="7"/>
        <v>-126.82399999999997</v>
      </c>
      <c r="AA75" t="str">
        <f t="shared" ca="1" si="8"/>
        <v>QB11</v>
      </c>
      <c r="AB75">
        <f ca="1">Z75*LeagueInfo!$H$5</f>
        <v>-46.700191150183542</v>
      </c>
    </row>
    <row r="76" spans="1:28" x14ac:dyDescent="0.25">
      <c r="A76">
        <f>RANK(P76,P$3:P$81)</f>
        <v>74</v>
      </c>
      <c r="B76" t="str">
        <f>QB_Raw!A75</f>
        <v>Mike White</v>
      </c>
      <c r="C76" t="s">
        <v>29</v>
      </c>
      <c r="D76" t="str">
        <f>_xlfn.IFNA(INDEX(BYEs!$E$2:$E$411,MATCH(B76,BYEs!$D$2:$D$411,0)),"N/A")</f>
        <v>N/A</v>
      </c>
      <c r="E76">
        <f>INDEX(BYEs!$B$2:$B$34,MATCH(F76,BYEs!$A$2:$A$34,0))</f>
        <v>10</v>
      </c>
      <c r="F76" t="str">
        <f>QB_Raw!B75</f>
        <v>NYJ</v>
      </c>
      <c r="G76" s="206">
        <f>QB_Raw!C75</f>
        <v>11</v>
      </c>
      <c r="H76" s="204">
        <f>QB_Raw!D75</f>
        <v>6.5</v>
      </c>
      <c r="I76" s="204">
        <f>QB_Raw!E75</f>
        <v>72.5</v>
      </c>
      <c r="J76" s="204">
        <f>QB_Raw!F75</f>
        <v>0.5</v>
      </c>
      <c r="K76" s="207">
        <f>QB_Raw!G75</f>
        <v>0.5</v>
      </c>
      <c r="L76" s="206">
        <f>QB_Raw!H75</f>
        <v>2</v>
      </c>
      <c r="M76" s="204">
        <f>QB_Raw!I75</f>
        <v>1.5</v>
      </c>
      <c r="N76" s="204">
        <f>QB_Raw!J75</f>
        <v>0</v>
      </c>
      <c r="O76" s="207">
        <f>QB_Raw!K75</f>
        <v>0</v>
      </c>
      <c r="P76" s="209">
        <f>(G76*QBPassAtt)+(I76*PassingYds)+(J76*PassingTD)+(K76*PassingINT)+(M76*QBRushingYd)+(N76*QBRushingTD)+(O76*QBFuml)+(H76*QBCompletion)+(L76*QBRushAtt)</f>
        <v>4.5500000000000007</v>
      </c>
      <c r="Q76" t="str">
        <f ca="1">IF(A76&lt;=QBStarter,"Starter",IF(A76&gt;QBStarter+QBBench,"Undrafted","Bench"))</f>
        <v>Undrafted</v>
      </c>
      <c r="R76">
        <f ca="1">IFERROR(MAX(P76-LARGE(QBSheetCount,QBStarter),0),0)</f>
        <v>0</v>
      </c>
      <c r="S76">
        <f ca="1">IFERROR(IF(AllowNegative="Yes",P76-LARGE(QBSheetCount,QBCount),MAX(P76-LARGE(QBSheetCount,QBCount),0)),0)</f>
        <v>-254.42799999999994</v>
      </c>
      <c r="T76" s="85">
        <f ca="1">(S76-R76)*BenchPF+R76*StarterPF</f>
        <v>-46.132096820086126</v>
      </c>
      <c r="U76" s="85">
        <f ca="1">T76*Auction!$A$2</f>
        <v>-46.132096820086126</v>
      </c>
      <c r="V76" s="6" t="str">
        <f>IF(OR(INDEX(Auction!$H$13:$H$656,MATCH(B76,Auction!$A$13:$A$656,0))&gt;0,IFERROR(INDEX(CheatSheet!$D$5:$D$34,MATCH(B76,CheatSheet!$A$5:$A$34,0)),"")&lt;&gt;""),"Yes","No")</f>
        <v>No</v>
      </c>
      <c r="W76" s="179"/>
      <c r="Y76" s="78">
        <f t="shared" ca="1" si="6"/>
        <v>1</v>
      </c>
      <c r="Z76">
        <f t="shared" ca="1" si="7"/>
        <v>-127.21399999999997</v>
      </c>
      <c r="AA76" t="str">
        <f t="shared" ca="1" si="8"/>
        <v>QB11</v>
      </c>
      <c r="AB76">
        <f ca="1">Z76*LeagueInfo!$H$5</f>
        <v>-46.843800203269481</v>
      </c>
    </row>
    <row r="77" spans="1:28" x14ac:dyDescent="0.25">
      <c r="A77">
        <f>RANK(P77,P$3:P$81)</f>
        <v>75</v>
      </c>
      <c r="B77" t="str">
        <f>QB_Raw!A76</f>
        <v>Sean Mannion</v>
      </c>
      <c r="C77" t="s">
        <v>29</v>
      </c>
      <c r="D77" t="str">
        <f>_xlfn.IFNA(INDEX(BYEs!$E$2:$E$411,MATCH(B77,BYEs!$D$2:$D$411,0)),"N/A")</f>
        <v>N/A</v>
      </c>
      <c r="E77">
        <f>INDEX(BYEs!$B$2:$B$34,MATCH(F77,BYEs!$A$2:$A$34,0))</f>
        <v>11</v>
      </c>
      <c r="F77" t="str">
        <f>QB_Raw!B76</f>
        <v>SEA</v>
      </c>
      <c r="G77" s="206">
        <f>QB_Raw!C76</f>
        <v>5.7</v>
      </c>
      <c r="H77" s="204">
        <f>QB_Raw!D76</f>
        <v>3.7</v>
      </c>
      <c r="I77" s="204">
        <f>QB_Raw!E76</f>
        <v>40.299999999999997</v>
      </c>
      <c r="J77" s="204">
        <f>QB_Raw!F76</f>
        <v>0.3</v>
      </c>
      <c r="K77" s="207">
        <f>QB_Raw!G76</f>
        <v>0</v>
      </c>
      <c r="L77" s="206">
        <f>QB_Raw!H76</f>
        <v>0</v>
      </c>
      <c r="M77" s="204">
        <f>QB_Raw!I76</f>
        <v>0</v>
      </c>
      <c r="N77" s="204">
        <f>QB_Raw!J76</f>
        <v>0</v>
      </c>
      <c r="O77" s="207">
        <f>QB_Raw!K76</f>
        <v>0</v>
      </c>
      <c r="P77" s="209">
        <f>(G77*QBPassAtt)+(I77*PassingYds)+(J77*PassingTD)+(K77*PassingINT)+(M77*QBRushingYd)+(N77*QBRushingTD)+(O77*QBFuml)+(H77*QBCompletion)+(L77*QBRushAtt)</f>
        <v>2.8119999999999998</v>
      </c>
      <c r="Q77" t="str">
        <f ca="1">IF(A77&lt;=QBStarter,"Starter",IF(A77&gt;QBStarter+QBBench,"Undrafted","Bench"))</f>
        <v>Undrafted</v>
      </c>
      <c r="R77">
        <f ca="1">IFERROR(MAX(P77-LARGE(QBSheetCount,QBStarter),0),0)</f>
        <v>0</v>
      </c>
      <c r="S77">
        <f ca="1">IFERROR(IF(AllowNegative="Yes",P77-LARGE(QBSheetCount,QBCount),MAX(P77-LARGE(QBSheetCount,QBCount),0)),0)</f>
        <v>-256.16599999999994</v>
      </c>
      <c r="T77" s="85">
        <f ca="1">(S77-R77)*BenchPF+R77*StarterPF</f>
        <v>-46.447225596295148</v>
      </c>
      <c r="U77" s="85">
        <f ca="1">T77*Auction!$A$2</f>
        <v>-46.447225596295148</v>
      </c>
      <c r="V77" s="6" t="str">
        <f>IF(OR(INDEX(Auction!$H$13:$H$656,MATCH(B77,Auction!$A$13:$A$656,0))&gt;0,IFERROR(INDEX(CheatSheet!$D$5:$D$34,MATCH(B77,CheatSheet!$A$5:$A$34,0)),"")&lt;&gt;""),"Yes","No")</f>
        <v>No</v>
      </c>
      <c r="W77" s="179"/>
      <c r="Y77" s="78">
        <f t="shared" ca="1" si="6"/>
        <v>1</v>
      </c>
      <c r="Z77">
        <f t="shared" ca="1" si="7"/>
        <v>-128.08299999999997</v>
      </c>
      <c r="AA77" t="str">
        <f t="shared" ca="1" si="8"/>
        <v>QB11</v>
      </c>
      <c r="AB77">
        <f ca="1">Z77*LeagueInfo!$H$5</f>
        <v>-47.163790631812262</v>
      </c>
    </row>
    <row r="78" spans="1:28" x14ac:dyDescent="0.25">
      <c r="A78">
        <f>RANK(P78,P$3:P$81)</f>
        <v>76</v>
      </c>
      <c r="B78" t="str">
        <f>QB_Raw!A77</f>
        <v>Jared Bernhardt</v>
      </c>
      <c r="C78" t="s">
        <v>29</v>
      </c>
      <c r="D78" t="str">
        <f>_xlfn.IFNA(INDEX(BYEs!$E$2:$E$411,MATCH(B78,BYEs!$D$2:$D$411,0)),"N/A")</f>
        <v>N/A</v>
      </c>
      <c r="E78">
        <f>INDEX(BYEs!$B$2:$B$34,MATCH(F78,BYEs!$A$2:$A$34,0))</f>
        <v>14</v>
      </c>
      <c r="F78" t="str">
        <f>QB_Raw!B77</f>
        <v>ATL</v>
      </c>
      <c r="G78" s="206">
        <f>QB_Raw!C77</f>
        <v>0</v>
      </c>
      <c r="H78" s="204">
        <f>QB_Raw!D77</f>
        <v>0</v>
      </c>
      <c r="I78" s="204">
        <f>QB_Raw!E77</f>
        <v>0</v>
      </c>
      <c r="J78" s="204">
        <f>QB_Raw!F77</f>
        <v>0</v>
      </c>
      <c r="K78" s="207">
        <f>QB_Raw!G77</f>
        <v>0</v>
      </c>
      <c r="L78" s="206">
        <f>QB_Raw!H77</f>
        <v>1</v>
      </c>
      <c r="M78" s="204">
        <f>QB_Raw!I77</f>
        <v>4</v>
      </c>
      <c r="N78" s="204">
        <f>QB_Raw!J77</f>
        <v>0</v>
      </c>
      <c r="O78" s="207">
        <f>QB_Raw!K77</f>
        <v>0</v>
      </c>
      <c r="P78" s="209">
        <f>(G78*QBPassAtt)+(I78*PassingYds)+(J78*PassingTD)+(K78*PassingINT)+(M78*QBRushingYd)+(N78*QBRushingTD)+(O78*QBFuml)+(H78*QBCompletion)+(L78*QBRushAtt)</f>
        <v>0.4</v>
      </c>
      <c r="Q78" t="str">
        <f ca="1">IF(A78&lt;=QBStarter,"Starter",IF(A78&gt;QBStarter+QBBench,"Undrafted","Bench"))</f>
        <v>Undrafted</v>
      </c>
      <c r="R78">
        <f ca="1">IFERROR(MAX(P78-LARGE(QBSheetCount,QBStarter),0),0)</f>
        <v>0</v>
      </c>
      <c r="S78">
        <f ca="1">IFERROR(IF(AllowNegative="Yes",P78-LARGE(QBSheetCount,QBCount),MAX(P78-LARGE(QBSheetCount,QBCount),0)),0)</f>
        <v>-258.57799999999997</v>
      </c>
      <c r="T78" s="85">
        <f ca="1">(S78-R78)*BenchPF+R78*StarterPF</f>
        <v>-46.884561964658893</v>
      </c>
      <c r="U78" s="85">
        <f ca="1">T78*Auction!$A$2</f>
        <v>-46.884561964658893</v>
      </c>
      <c r="V78" s="6" t="str">
        <f>IF(OR(INDEX(Auction!$H$13:$H$656,MATCH(B78,Auction!$A$13:$A$656,0))&gt;0,IFERROR(INDEX(CheatSheet!$D$5:$D$34,MATCH(B78,CheatSheet!$A$5:$A$34,0)),"")&lt;&gt;""),"Yes","No")</f>
        <v>No</v>
      </c>
      <c r="W78" s="179"/>
      <c r="Y78" s="78">
        <f t="shared" ca="1" si="6"/>
        <v>1</v>
      </c>
      <c r="Z78">
        <f t="shared" ca="1" si="7"/>
        <v>-129.28899999999999</v>
      </c>
      <c r="AA78" t="str">
        <f t="shared" ca="1" si="8"/>
        <v>QB11</v>
      </c>
      <c r="AB78">
        <f ca="1">Z78*LeagueInfo!$H$5</f>
        <v>-47.607874011354951</v>
      </c>
    </row>
    <row r="79" spans="1:28" x14ac:dyDescent="0.25">
      <c r="A79">
        <f>RANK(P79,P$3:P$81)</f>
        <v>77</v>
      </c>
      <c r="B79" t="str">
        <f>QB_Raw!A78</f>
        <v>Feleipe Franks</v>
      </c>
      <c r="C79" t="s">
        <v>29</v>
      </c>
      <c r="D79" t="str">
        <f>_xlfn.IFNA(INDEX(BYEs!$E$2:$E$411,MATCH(B79,BYEs!$D$2:$D$411,0)),"N/A")</f>
        <v>N/A</v>
      </c>
      <c r="E79">
        <f>INDEX(BYEs!$B$2:$B$34,MATCH(F79,BYEs!$A$2:$A$34,0))</f>
        <v>14</v>
      </c>
      <c r="F79" t="str">
        <f>QB_Raw!B78</f>
        <v>ATL</v>
      </c>
      <c r="G79" s="206">
        <f>QB_Raw!C78</f>
        <v>0</v>
      </c>
      <c r="H79" s="204">
        <f>QB_Raw!D78</f>
        <v>0</v>
      </c>
      <c r="I79" s="204">
        <f>QB_Raw!E78</f>
        <v>0</v>
      </c>
      <c r="J79" s="204">
        <f>QB_Raw!F78</f>
        <v>0</v>
      </c>
      <c r="K79" s="207">
        <f>QB_Raw!G78</f>
        <v>0</v>
      </c>
      <c r="L79" s="206">
        <f>QB_Raw!H78</f>
        <v>0</v>
      </c>
      <c r="M79" s="204">
        <f>QB_Raw!I78</f>
        <v>0</v>
      </c>
      <c r="N79" s="204">
        <f>QB_Raw!J78</f>
        <v>0</v>
      </c>
      <c r="O79" s="207">
        <f>QB_Raw!K78</f>
        <v>0</v>
      </c>
      <c r="P79" s="209">
        <f>(G79*QBPassAtt)+(I79*PassingYds)+(J79*PassingTD)+(K79*PassingINT)+(M79*QBRushingYd)+(N79*QBRushingTD)+(O79*QBFuml)+(H79*QBCompletion)+(L79*QBRushAtt)</f>
        <v>0</v>
      </c>
      <c r="Q79" t="str">
        <f ca="1">IF(A79&lt;=QBStarter,"Starter",IF(A79&gt;QBStarter+QBBench,"Undrafted","Bench"))</f>
        <v>Undrafted</v>
      </c>
      <c r="R79">
        <f ca="1">IFERROR(MAX(P79-LARGE(QBSheetCount,QBStarter),0),0)</f>
        <v>0</v>
      </c>
      <c r="S79">
        <f ca="1">IFERROR(IF(AllowNegative="Yes",P79-LARGE(QBSheetCount,QBCount),MAX(P79-LARGE(QBSheetCount,QBCount),0)),0)</f>
        <v>-258.97799999999995</v>
      </c>
      <c r="T79" s="85">
        <f ca="1">(S79-R79)*BenchPF+R79*StarterPF</f>
        <v>-46.957088725581563</v>
      </c>
      <c r="U79" s="85">
        <f ca="1">T79*Auction!$A$2</f>
        <v>-46.957088725581563</v>
      </c>
      <c r="V79" s="6" t="str">
        <f>IF(OR(INDEX(Auction!$H$13:$H$656,MATCH(B79,Auction!$A$13:$A$656,0))&gt;0,IFERROR(INDEX(CheatSheet!$D$5:$D$34,MATCH(B79,CheatSheet!$A$5:$A$34,0)),"")&lt;&gt;""),"Yes","No")</f>
        <v>No</v>
      </c>
      <c r="W79" s="179"/>
      <c r="Y79" s="78">
        <f t="shared" ca="1" si="6"/>
        <v>1</v>
      </c>
      <c r="Z79">
        <f t="shared" ca="1" si="7"/>
        <v>-129.48899999999998</v>
      </c>
      <c r="AA79" t="str">
        <f t="shared" ca="1" si="8"/>
        <v>QB11</v>
      </c>
      <c r="AB79">
        <f ca="1">Z79*LeagueInfo!$H$5</f>
        <v>-47.68151967960415</v>
      </c>
    </row>
    <row r="80" spans="1:28" x14ac:dyDescent="0.25">
      <c r="A80">
        <f>RANK(P80,P$3:P$81)</f>
        <v>77</v>
      </c>
      <c r="B80" t="str">
        <f>QB_Raw!A79</f>
        <v>Sam Ehlinger</v>
      </c>
      <c r="C80" t="s">
        <v>29</v>
      </c>
      <c r="D80" t="str">
        <f>_xlfn.IFNA(INDEX(BYEs!$E$2:$E$411,MATCH(B80,BYEs!$D$2:$D$411,0)),"N/A")</f>
        <v>N/A</v>
      </c>
      <c r="E80">
        <f>INDEX(BYEs!$B$2:$B$34,MATCH(F80,BYEs!$A$2:$A$34,0))</f>
        <v>14</v>
      </c>
      <c r="F80" t="str">
        <f>QB_Raw!B79</f>
        <v>IND</v>
      </c>
      <c r="G80" s="206">
        <f>QB_Raw!C79</f>
        <v>0</v>
      </c>
      <c r="H80" s="204">
        <f>QB_Raw!D79</f>
        <v>0</v>
      </c>
      <c r="I80" s="204">
        <f>QB_Raw!E79</f>
        <v>0</v>
      </c>
      <c r="J80" s="204">
        <f>QB_Raw!F79</f>
        <v>0</v>
      </c>
      <c r="K80" s="207">
        <f>QB_Raw!G79</f>
        <v>0</v>
      </c>
      <c r="L80" s="206">
        <f>QB_Raw!H79</f>
        <v>0</v>
      </c>
      <c r="M80" s="204">
        <f>QB_Raw!I79</f>
        <v>0</v>
      </c>
      <c r="N80" s="204">
        <f>QB_Raw!J79</f>
        <v>0</v>
      </c>
      <c r="O80" s="207">
        <f>QB_Raw!K79</f>
        <v>0</v>
      </c>
      <c r="P80" s="209">
        <f>(G80*QBPassAtt)+(I80*PassingYds)+(J80*PassingTD)+(K80*PassingINT)+(M80*QBRushingYd)+(N80*QBRushingTD)+(O80*QBFuml)+(H80*QBCompletion)+(L80*QBRushAtt)</f>
        <v>0</v>
      </c>
      <c r="Q80" t="str">
        <f ca="1">IF(A80&lt;=QBStarter,"Starter",IF(A80&gt;QBStarter+QBBench,"Undrafted","Bench"))</f>
        <v>Undrafted</v>
      </c>
      <c r="R80">
        <f ca="1">IFERROR(MAX(P80-LARGE(QBSheetCount,QBStarter),0),0)</f>
        <v>0</v>
      </c>
      <c r="S80">
        <f ca="1">IFERROR(IF(AllowNegative="Yes",P80-LARGE(QBSheetCount,QBCount),MAX(P80-LARGE(QBSheetCount,QBCount),0)),0)</f>
        <v>-258.97799999999995</v>
      </c>
      <c r="T80" s="85">
        <f ca="1">(S80-R80)*BenchPF+R80*StarterPF</f>
        <v>-46.957088725581563</v>
      </c>
      <c r="U80" s="85">
        <f ca="1">T80*Auction!$A$2</f>
        <v>-46.957088725581563</v>
      </c>
      <c r="V80" s="6" t="str">
        <f>IF(OR(INDEX(Auction!$H$13:$H$656,MATCH(B80,Auction!$A$13:$A$656,0))&gt;0,IFERROR(INDEX(CheatSheet!$D$5:$D$34,MATCH(B80,CheatSheet!$A$5:$A$34,0)),"")&lt;&gt;""),"Yes","No")</f>
        <v>No</v>
      </c>
      <c r="W80" s="179"/>
      <c r="Y80" s="78">
        <f t="shared" ca="1" si="6"/>
        <v>1</v>
      </c>
      <c r="Z80">
        <f t="shared" ca="1" si="7"/>
        <v>-129.48899999999998</v>
      </c>
      <c r="AA80" t="str">
        <f t="shared" ca="1" si="8"/>
        <v>QB11</v>
      </c>
      <c r="AB80">
        <f ca="1">Z80*LeagueInfo!$H$5</f>
        <v>-47.68151967960415</v>
      </c>
    </row>
    <row r="81" spans="1:28" x14ac:dyDescent="0.25">
      <c r="A81">
        <f>RANK(P81,P$3:P$81)</f>
        <v>77</v>
      </c>
      <c r="B81" t="str">
        <f>QB_Raw!A80</f>
        <v>Ian Book</v>
      </c>
      <c r="C81" t="s">
        <v>29</v>
      </c>
      <c r="D81" t="str">
        <f>_xlfn.IFNA(INDEX(BYEs!$E$2:$E$411,MATCH(B81,BYEs!$D$2:$D$411,0)),"N/A")</f>
        <v>N/A</v>
      </c>
      <c r="E81">
        <f>INDEX(BYEs!$B$2:$B$34,MATCH(F81,BYEs!$A$2:$A$34,0))</f>
        <v>7</v>
      </c>
      <c r="F81" t="str">
        <f>QB_Raw!B80</f>
        <v>PHI</v>
      </c>
      <c r="G81" s="206">
        <f>QB_Raw!C80</f>
        <v>0</v>
      </c>
      <c r="H81" s="204">
        <f>QB_Raw!D80</f>
        <v>0</v>
      </c>
      <c r="I81" s="204">
        <f>QB_Raw!E80</f>
        <v>0</v>
      </c>
      <c r="J81" s="204">
        <f>QB_Raw!F80</f>
        <v>0</v>
      </c>
      <c r="K81" s="207">
        <f>QB_Raw!G80</f>
        <v>0</v>
      </c>
      <c r="L81" s="206">
        <f>QB_Raw!H80</f>
        <v>0</v>
      </c>
      <c r="M81" s="204">
        <f>QB_Raw!I80</f>
        <v>0</v>
      </c>
      <c r="N81" s="204">
        <f>QB_Raw!J80</f>
        <v>0</v>
      </c>
      <c r="O81" s="207">
        <f>QB_Raw!K80</f>
        <v>0</v>
      </c>
      <c r="P81" s="209">
        <f>(G81*QBPassAtt)+(I81*PassingYds)+(J81*PassingTD)+(K81*PassingINT)+(M81*QBRushingYd)+(N81*QBRushingTD)+(O81*QBFuml)+(H81*QBCompletion)+(L81*QBRushAtt)</f>
        <v>0</v>
      </c>
      <c r="Q81" t="str">
        <f ca="1">IF(A81&lt;=QBStarter,"Starter",IF(A81&gt;QBStarter+QBBench,"Undrafted","Bench"))</f>
        <v>Undrafted</v>
      </c>
      <c r="R81">
        <f ca="1">IFERROR(MAX(P81-LARGE(QBSheetCount,QBStarter),0),0)</f>
        <v>0</v>
      </c>
      <c r="S81">
        <f ca="1">IFERROR(IF(AllowNegative="Yes",P81-LARGE(QBSheetCount,QBCount),MAX(P81-LARGE(QBSheetCount,QBCount),0)),0)</f>
        <v>-258.97799999999995</v>
      </c>
      <c r="T81" s="85">
        <f ca="1">(S81-R81)*BenchPF+R81*StarterPF</f>
        <v>-46.957088725581563</v>
      </c>
      <c r="U81" s="85">
        <f ca="1">T81*Auction!$A$2</f>
        <v>-46.957088725581563</v>
      </c>
      <c r="V81" s="6" t="str">
        <f>IF(OR(INDEX(Auction!$H$13:$H$656,MATCH(B81,Auction!$A$13:$A$656,0))&gt;0,IFERROR(INDEX(CheatSheet!$D$5:$D$34,MATCH(B81,CheatSheet!$A$5:$A$34,0)),"")&lt;&gt;""),"Yes","No")</f>
        <v>No</v>
      </c>
      <c r="W81" s="179"/>
      <c r="Y81" s="78">
        <f t="shared" ca="1" si="6"/>
        <v>1</v>
      </c>
      <c r="Z81">
        <f t="shared" ca="1" si="7"/>
        <v>-129.48899999999998</v>
      </c>
      <c r="AA81" t="str">
        <f t="shared" ca="1" si="8"/>
        <v>QB11</v>
      </c>
      <c r="AB81">
        <f ca="1">Z81*LeagueInfo!$H$5</f>
        <v>-47.68151967960415</v>
      </c>
    </row>
  </sheetData>
  <autoFilter ref="A2:AB2" xr:uid="{ED774EE4-A98B-4D19-9060-CABBB9E0372F}">
    <sortState xmlns:xlrd2="http://schemas.microsoft.com/office/spreadsheetml/2017/richdata2" ref="A3:AB106">
      <sortCondition ref="A2"/>
    </sortState>
  </autoFilter>
  <sortState xmlns:xlrd2="http://schemas.microsoft.com/office/spreadsheetml/2017/richdata2" ref="A3:V81">
    <sortCondition ref="A2:A81"/>
  </sortState>
  <mergeCells count="2">
    <mergeCell ref="G1:K1"/>
    <mergeCell ref="L1:O1"/>
  </mergeCells>
  <conditionalFormatting sqref="B3:D3 F3:V3 A3:A81 B4:V81">
    <cfRule type="expression" dxfId="94" priority="18">
      <formula>$V3="Yes"</formula>
    </cfRule>
  </conditionalFormatting>
  <conditionalFormatting sqref="H3">
    <cfRule type="expression" dxfId="93" priority="17">
      <formula>$V3="Yes"</formula>
    </cfRule>
  </conditionalFormatting>
  <conditionalFormatting sqref="L3:O3">
    <cfRule type="expression" dxfId="92" priority="16">
      <formula>$V3="Yes"</formula>
    </cfRule>
  </conditionalFormatting>
  <conditionalFormatting sqref="E3">
    <cfRule type="expression" dxfId="91" priority="6">
      <formula>$V3="Yes"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LeagueInfo!$H$97:$H$100</xm:f>
          </x14:formula1>
          <xm:sqref>W3:W81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88"/>
  <sheetViews>
    <sheetView workbookViewId="0">
      <selection sqref="A1:L93"/>
    </sheetView>
  </sheetViews>
  <sheetFormatPr defaultColWidth="8.85546875" defaultRowHeight="15" x14ac:dyDescent="0.25"/>
  <cols>
    <col min="1" max="1" width="18.5703125" bestFit="1" customWidth="1"/>
    <col min="2" max="2" width="8.140625" bestFit="1" customWidth="1"/>
    <col min="3" max="3" width="14.85546875" bestFit="1" customWidth="1"/>
    <col min="4" max="4" width="15.85546875" bestFit="1" customWidth="1"/>
    <col min="5" max="5" width="15" bestFit="1" customWidth="1"/>
    <col min="6" max="6" width="14.85546875" bestFit="1" customWidth="1"/>
    <col min="7" max="7" width="15.7109375" bestFit="1" customWidth="1"/>
    <col min="8" max="8" width="15.42578125" bestFit="1" customWidth="1"/>
    <col min="9" max="9" width="15.5703125" bestFit="1" customWidth="1"/>
    <col min="10" max="10" width="15.42578125" bestFit="1" customWidth="1"/>
    <col min="11" max="11" width="10.140625" bestFit="1" customWidth="1"/>
    <col min="12" max="12" width="12.42578125" bestFit="1" customWidth="1"/>
  </cols>
  <sheetData>
    <row r="1" spans="1:12" x14ac:dyDescent="0.25">
      <c r="A1" t="s">
        <v>85</v>
      </c>
      <c r="B1" t="s">
        <v>452</v>
      </c>
      <c r="C1" t="s">
        <v>604</v>
      </c>
      <c r="D1" t="s">
        <v>605</v>
      </c>
      <c r="E1" t="s">
        <v>606</v>
      </c>
      <c r="F1" t="s">
        <v>607</v>
      </c>
      <c r="G1" t="s">
        <v>608</v>
      </c>
      <c r="H1" t="s">
        <v>609</v>
      </c>
      <c r="I1" t="s">
        <v>610</v>
      </c>
      <c r="J1" t="s">
        <v>611</v>
      </c>
      <c r="K1" t="s">
        <v>612</v>
      </c>
      <c r="L1" t="s">
        <v>613</v>
      </c>
    </row>
    <row r="2" spans="1:12" x14ac:dyDescent="0.25">
      <c r="A2" t="s">
        <v>531</v>
      </c>
      <c r="B2" t="s">
        <v>289</v>
      </c>
      <c r="C2">
        <v>607.5</v>
      </c>
      <c r="D2">
        <v>390.2</v>
      </c>
      <c r="E2">
        <v>4406</v>
      </c>
      <c r="F2">
        <v>34.6</v>
      </c>
      <c r="G2">
        <v>13.9</v>
      </c>
      <c r="H2">
        <v>117.3</v>
      </c>
      <c r="I2">
        <v>663.5</v>
      </c>
      <c r="J2">
        <v>6.9</v>
      </c>
      <c r="K2">
        <v>3.8</v>
      </c>
      <c r="L2">
        <v>400.7</v>
      </c>
    </row>
    <row r="3" spans="1:12" x14ac:dyDescent="0.25">
      <c r="A3" t="s">
        <v>914</v>
      </c>
      <c r="B3" t="s">
        <v>296</v>
      </c>
      <c r="C3">
        <v>634.29999999999995</v>
      </c>
      <c r="D3">
        <v>417.8</v>
      </c>
      <c r="E3">
        <v>4842.2</v>
      </c>
      <c r="F3">
        <v>35.9</v>
      </c>
      <c r="G3">
        <v>11.6</v>
      </c>
      <c r="H3">
        <v>66.5</v>
      </c>
      <c r="I3">
        <v>359.6</v>
      </c>
      <c r="J3">
        <v>2.8</v>
      </c>
      <c r="K3">
        <v>2.8</v>
      </c>
      <c r="L3">
        <v>372.9</v>
      </c>
    </row>
    <row r="4" spans="1:12" x14ac:dyDescent="0.25">
      <c r="A4" t="s">
        <v>873</v>
      </c>
      <c r="B4" t="s">
        <v>286</v>
      </c>
      <c r="C4">
        <v>625.4</v>
      </c>
      <c r="D4">
        <v>415.3</v>
      </c>
      <c r="E4">
        <v>4682.2</v>
      </c>
      <c r="F4">
        <v>34</v>
      </c>
      <c r="G4">
        <v>13.3</v>
      </c>
      <c r="H4">
        <v>63.9</v>
      </c>
      <c r="I4">
        <v>294.60000000000002</v>
      </c>
      <c r="J4">
        <v>3.2</v>
      </c>
      <c r="K4">
        <v>1.4</v>
      </c>
      <c r="L4">
        <v>355.6</v>
      </c>
    </row>
    <row r="5" spans="1:12" x14ac:dyDescent="0.25">
      <c r="A5" t="s">
        <v>534</v>
      </c>
      <c r="B5" t="s">
        <v>295</v>
      </c>
      <c r="C5">
        <v>520.5</v>
      </c>
      <c r="D5">
        <v>336.7</v>
      </c>
      <c r="E5">
        <v>3732.7</v>
      </c>
      <c r="F5">
        <v>24.5</v>
      </c>
      <c r="G5">
        <v>13.2</v>
      </c>
      <c r="H5">
        <v>158.69999999999999</v>
      </c>
      <c r="I5">
        <v>956.2</v>
      </c>
      <c r="J5">
        <v>4.9000000000000004</v>
      </c>
      <c r="K5">
        <v>3.5</v>
      </c>
      <c r="L5">
        <v>352.3</v>
      </c>
    </row>
    <row r="6" spans="1:12" x14ac:dyDescent="0.25">
      <c r="A6" t="s">
        <v>646</v>
      </c>
      <c r="B6" t="s">
        <v>294</v>
      </c>
      <c r="C6">
        <v>570.70000000000005</v>
      </c>
      <c r="D6">
        <v>384.1</v>
      </c>
      <c r="E6">
        <v>4256.8999999999996</v>
      </c>
      <c r="F6">
        <v>27.3</v>
      </c>
      <c r="G6">
        <v>12.4</v>
      </c>
      <c r="H6">
        <v>107.3</v>
      </c>
      <c r="I6">
        <v>552.1</v>
      </c>
      <c r="J6">
        <v>5.5</v>
      </c>
      <c r="K6">
        <v>2.2999999999999998</v>
      </c>
      <c r="L6">
        <v>350.9</v>
      </c>
    </row>
    <row r="7" spans="1:12" x14ac:dyDescent="0.25">
      <c r="A7" t="s">
        <v>874</v>
      </c>
      <c r="B7" t="s">
        <v>293</v>
      </c>
      <c r="C7">
        <v>494.9</v>
      </c>
      <c r="D7">
        <v>307.10000000000002</v>
      </c>
      <c r="E7">
        <v>3644.9</v>
      </c>
      <c r="F7">
        <v>24.4</v>
      </c>
      <c r="G7">
        <v>12.6</v>
      </c>
      <c r="H7">
        <v>144.6</v>
      </c>
      <c r="I7">
        <v>772.9</v>
      </c>
      <c r="J7">
        <v>7.9</v>
      </c>
      <c r="K7">
        <v>2.9</v>
      </c>
      <c r="L7">
        <v>349.8</v>
      </c>
    </row>
    <row r="8" spans="1:12" x14ac:dyDescent="0.25">
      <c r="A8" t="s">
        <v>115</v>
      </c>
      <c r="B8" t="s">
        <v>281</v>
      </c>
      <c r="C8">
        <v>651.9</v>
      </c>
      <c r="D8">
        <v>433.5</v>
      </c>
      <c r="E8">
        <v>4841.2</v>
      </c>
      <c r="F8">
        <v>36.299999999999997</v>
      </c>
      <c r="G8">
        <v>11.9</v>
      </c>
      <c r="H8">
        <v>27.9</v>
      </c>
      <c r="I8">
        <v>45.7</v>
      </c>
      <c r="J8">
        <v>1.7</v>
      </c>
      <c r="K8">
        <v>2.4</v>
      </c>
      <c r="L8">
        <v>336.9</v>
      </c>
    </row>
    <row r="9" spans="1:12" x14ac:dyDescent="0.25">
      <c r="A9" t="s">
        <v>164</v>
      </c>
      <c r="B9" t="s">
        <v>285</v>
      </c>
      <c r="C9">
        <v>594</v>
      </c>
      <c r="D9">
        <v>399.6</v>
      </c>
      <c r="E9">
        <v>4549.7</v>
      </c>
      <c r="F9">
        <v>32.700000000000003</v>
      </c>
      <c r="G9">
        <v>11.7</v>
      </c>
      <c r="H9">
        <v>55.8</v>
      </c>
      <c r="I9">
        <v>230.7</v>
      </c>
      <c r="J9">
        <v>2.9</v>
      </c>
      <c r="K9">
        <v>4.0999999999999996</v>
      </c>
      <c r="L9">
        <v>333.2</v>
      </c>
    </row>
    <row r="10" spans="1:12" x14ac:dyDescent="0.25">
      <c r="A10" t="s">
        <v>871</v>
      </c>
      <c r="B10" t="s">
        <v>290</v>
      </c>
      <c r="C10">
        <v>570.1</v>
      </c>
      <c r="D10">
        <v>386.5</v>
      </c>
      <c r="E10">
        <v>4574.5</v>
      </c>
      <c r="F10">
        <v>31.3</v>
      </c>
      <c r="G10">
        <v>12.8</v>
      </c>
      <c r="H10">
        <v>46.6</v>
      </c>
      <c r="I10">
        <v>187.6</v>
      </c>
      <c r="J10">
        <v>2.2000000000000002</v>
      </c>
      <c r="K10">
        <v>1.8</v>
      </c>
      <c r="L10">
        <v>323.7</v>
      </c>
    </row>
    <row r="11" spans="1:12" x14ac:dyDescent="0.25">
      <c r="A11" t="s">
        <v>112</v>
      </c>
      <c r="B11" t="s">
        <v>275</v>
      </c>
      <c r="C11">
        <v>558.5</v>
      </c>
      <c r="D11">
        <v>376.8</v>
      </c>
      <c r="E11">
        <v>4325.1000000000004</v>
      </c>
      <c r="F11">
        <v>32.799999999999997</v>
      </c>
      <c r="G11">
        <v>7.1</v>
      </c>
      <c r="H11">
        <v>38.700000000000003</v>
      </c>
      <c r="I11">
        <v>136.19999999999999</v>
      </c>
      <c r="J11">
        <v>1.8</v>
      </c>
      <c r="K11">
        <v>1.6</v>
      </c>
      <c r="L11">
        <v>318.39999999999998</v>
      </c>
    </row>
    <row r="12" spans="1:12" x14ac:dyDescent="0.25">
      <c r="A12" t="s">
        <v>187</v>
      </c>
      <c r="B12" t="s">
        <v>303</v>
      </c>
      <c r="C12">
        <v>586.9</v>
      </c>
      <c r="D12">
        <v>392.2</v>
      </c>
      <c r="E12">
        <v>4587.8999999999996</v>
      </c>
      <c r="F12">
        <v>33.6</v>
      </c>
      <c r="G12">
        <v>13.9</v>
      </c>
      <c r="H12">
        <v>33.299999999999997</v>
      </c>
      <c r="I12">
        <v>99.2</v>
      </c>
      <c r="J12">
        <v>1.2</v>
      </c>
      <c r="K12">
        <v>2.4</v>
      </c>
      <c r="L12">
        <v>316.10000000000002</v>
      </c>
    </row>
    <row r="13" spans="1:12" x14ac:dyDescent="0.25">
      <c r="A13" t="s">
        <v>918</v>
      </c>
      <c r="B13" t="s">
        <v>301</v>
      </c>
      <c r="C13">
        <v>468.5</v>
      </c>
      <c r="D13">
        <v>292.8</v>
      </c>
      <c r="E13">
        <v>3560</v>
      </c>
      <c r="F13">
        <v>23.8</v>
      </c>
      <c r="G13">
        <v>12.7</v>
      </c>
      <c r="H13">
        <v>126.2</v>
      </c>
      <c r="I13">
        <v>644.4</v>
      </c>
      <c r="J13">
        <v>5.2</v>
      </c>
      <c r="K13">
        <v>2.6</v>
      </c>
      <c r="L13">
        <v>315.2</v>
      </c>
    </row>
    <row r="14" spans="1:12" x14ac:dyDescent="0.25">
      <c r="A14" t="s">
        <v>145</v>
      </c>
      <c r="B14" t="s">
        <v>306</v>
      </c>
      <c r="C14">
        <v>540.20000000000005</v>
      </c>
      <c r="D14">
        <v>356</v>
      </c>
      <c r="E14">
        <v>4108.7</v>
      </c>
      <c r="F14">
        <v>29</v>
      </c>
      <c r="G14">
        <v>9.6</v>
      </c>
      <c r="H14">
        <v>62.7</v>
      </c>
      <c r="I14">
        <v>278.89999999999998</v>
      </c>
      <c r="J14">
        <v>2.1</v>
      </c>
      <c r="K14">
        <v>2.2999999999999998</v>
      </c>
      <c r="L14">
        <v>306.8</v>
      </c>
    </row>
    <row r="15" spans="1:12" x14ac:dyDescent="0.25">
      <c r="A15" t="s">
        <v>168</v>
      </c>
      <c r="B15" t="s">
        <v>297</v>
      </c>
      <c r="C15">
        <v>573.9</v>
      </c>
      <c r="D15">
        <v>378.9</v>
      </c>
      <c r="E15">
        <v>4347.1000000000004</v>
      </c>
      <c r="F15">
        <v>31.2</v>
      </c>
      <c r="G15">
        <v>11.4</v>
      </c>
      <c r="H15">
        <v>29.2</v>
      </c>
      <c r="I15">
        <v>107.1</v>
      </c>
      <c r="J15">
        <v>1</v>
      </c>
      <c r="K15">
        <v>2.9</v>
      </c>
      <c r="L15">
        <v>298.7</v>
      </c>
    </row>
    <row r="16" spans="1:12" x14ac:dyDescent="0.25">
      <c r="A16" t="s">
        <v>166</v>
      </c>
      <c r="B16" t="s">
        <v>814</v>
      </c>
      <c r="C16">
        <v>597</v>
      </c>
      <c r="D16">
        <v>399.5</v>
      </c>
      <c r="E16">
        <v>4499.7</v>
      </c>
      <c r="F16">
        <v>29</v>
      </c>
      <c r="G16">
        <v>12.7</v>
      </c>
      <c r="H16">
        <v>38.5</v>
      </c>
      <c r="I16">
        <v>130</v>
      </c>
      <c r="J16">
        <v>1.2</v>
      </c>
      <c r="K16">
        <v>3.6</v>
      </c>
      <c r="L16">
        <v>296.2</v>
      </c>
    </row>
    <row r="17" spans="1:12" x14ac:dyDescent="0.25">
      <c r="A17" t="s">
        <v>872</v>
      </c>
      <c r="B17" t="s">
        <v>298</v>
      </c>
      <c r="C17">
        <v>575.20000000000005</v>
      </c>
      <c r="D17">
        <v>379.6</v>
      </c>
      <c r="E17">
        <v>4031.3</v>
      </c>
      <c r="F17">
        <v>25.7</v>
      </c>
      <c r="G17">
        <v>13.3</v>
      </c>
      <c r="H17">
        <v>56</v>
      </c>
      <c r="I17">
        <v>206.1</v>
      </c>
      <c r="J17">
        <v>3</v>
      </c>
      <c r="K17">
        <v>2.4</v>
      </c>
      <c r="L17">
        <v>284.39999999999998</v>
      </c>
    </row>
    <row r="18" spans="1:12" x14ac:dyDescent="0.25">
      <c r="A18" t="s">
        <v>214</v>
      </c>
      <c r="B18" t="s">
        <v>284</v>
      </c>
      <c r="C18">
        <v>516.4</v>
      </c>
      <c r="D18">
        <v>340.7</v>
      </c>
      <c r="E18">
        <v>3753.9</v>
      </c>
      <c r="F18">
        <v>24.2</v>
      </c>
      <c r="G18">
        <v>13.2</v>
      </c>
      <c r="H18">
        <v>55</v>
      </c>
      <c r="I18">
        <v>253.7</v>
      </c>
      <c r="J18">
        <v>3.9</v>
      </c>
      <c r="K18">
        <v>2.6</v>
      </c>
      <c r="L18">
        <v>277.10000000000002</v>
      </c>
    </row>
    <row r="19" spans="1:12" x14ac:dyDescent="0.25">
      <c r="A19" t="s">
        <v>915</v>
      </c>
      <c r="B19" t="s">
        <v>291</v>
      </c>
      <c r="C19">
        <v>585.29999999999995</v>
      </c>
      <c r="D19">
        <v>370.3</v>
      </c>
      <c r="E19">
        <v>3943.5</v>
      </c>
      <c r="F19">
        <v>22.5</v>
      </c>
      <c r="G19">
        <v>13.9</v>
      </c>
      <c r="H19">
        <v>70.5</v>
      </c>
      <c r="I19">
        <v>328.7</v>
      </c>
      <c r="J19">
        <v>2.4</v>
      </c>
      <c r="K19">
        <v>3</v>
      </c>
      <c r="L19">
        <v>275.2</v>
      </c>
    </row>
    <row r="20" spans="1:12" x14ac:dyDescent="0.25">
      <c r="A20" t="s">
        <v>917</v>
      </c>
      <c r="B20" t="s">
        <v>299</v>
      </c>
      <c r="C20">
        <v>504.9</v>
      </c>
      <c r="D20">
        <v>311.7</v>
      </c>
      <c r="E20">
        <v>3469.6</v>
      </c>
      <c r="F20">
        <v>18.600000000000001</v>
      </c>
      <c r="G20">
        <v>14.5</v>
      </c>
      <c r="H20">
        <v>107.3</v>
      </c>
      <c r="I20">
        <v>593.4</v>
      </c>
      <c r="J20">
        <v>3.7</v>
      </c>
      <c r="K20">
        <v>5</v>
      </c>
      <c r="L20">
        <v>270</v>
      </c>
    </row>
    <row r="21" spans="1:12" x14ac:dyDescent="0.25">
      <c r="A21" t="s">
        <v>649</v>
      </c>
      <c r="B21" t="s">
        <v>292</v>
      </c>
      <c r="C21">
        <v>537.4</v>
      </c>
      <c r="D21">
        <v>336.7</v>
      </c>
      <c r="E21">
        <v>3615</v>
      </c>
      <c r="F21">
        <v>20.6</v>
      </c>
      <c r="G21">
        <v>12.5</v>
      </c>
      <c r="H21">
        <v>81.2</v>
      </c>
      <c r="I21">
        <v>424.3</v>
      </c>
      <c r="J21">
        <v>2.7</v>
      </c>
      <c r="K21">
        <v>4.7</v>
      </c>
      <c r="L21">
        <v>263.60000000000002</v>
      </c>
    </row>
    <row r="22" spans="1:12" x14ac:dyDescent="0.25">
      <c r="A22" t="s">
        <v>136</v>
      </c>
      <c r="B22" t="s">
        <v>280</v>
      </c>
      <c r="C22">
        <v>539.20000000000005</v>
      </c>
      <c r="D22">
        <v>352.7</v>
      </c>
      <c r="E22">
        <v>3938</v>
      </c>
      <c r="F22">
        <v>25.9</v>
      </c>
      <c r="G22">
        <v>11.4</v>
      </c>
      <c r="H22">
        <v>35.9</v>
      </c>
      <c r="I22">
        <v>125.5</v>
      </c>
      <c r="J22">
        <v>1.4</v>
      </c>
      <c r="K22">
        <v>3.6</v>
      </c>
      <c r="L22">
        <v>263.5</v>
      </c>
    </row>
    <row r="23" spans="1:12" x14ac:dyDescent="0.25">
      <c r="A23" t="s">
        <v>162</v>
      </c>
      <c r="B23" t="s">
        <v>277</v>
      </c>
      <c r="C23">
        <v>486.9</v>
      </c>
      <c r="D23">
        <v>305.2</v>
      </c>
      <c r="E23">
        <v>3524.4</v>
      </c>
      <c r="F23">
        <v>24.7</v>
      </c>
      <c r="G23">
        <v>12.6</v>
      </c>
      <c r="H23">
        <v>53.8</v>
      </c>
      <c r="I23">
        <v>273.60000000000002</v>
      </c>
      <c r="J23">
        <v>1.7</v>
      </c>
      <c r="K23">
        <v>2.8</v>
      </c>
      <c r="L23">
        <v>259.39999999999998</v>
      </c>
    </row>
    <row r="24" spans="1:12" x14ac:dyDescent="0.25">
      <c r="A24" t="s">
        <v>919</v>
      </c>
      <c r="B24" t="s">
        <v>276</v>
      </c>
      <c r="C24">
        <v>544.70000000000005</v>
      </c>
      <c r="D24">
        <v>359.4</v>
      </c>
      <c r="E24">
        <v>3946.2</v>
      </c>
      <c r="F24">
        <v>24.9</v>
      </c>
      <c r="G24">
        <v>13.9</v>
      </c>
      <c r="H24">
        <v>41.7</v>
      </c>
      <c r="I24">
        <v>156.30000000000001</v>
      </c>
      <c r="J24">
        <v>0.9</v>
      </c>
      <c r="K24">
        <v>2.8</v>
      </c>
      <c r="L24">
        <v>258.89999999999998</v>
      </c>
    </row>
    <row r="25" spans="1:12" x14ac:dyDescent="0.25">
      <c r="A25" t="s">
        <v>203</v>
      </c>
      <c r="B25" t="s">
        <v>283</v>
      </c>
      <c r="C25">
        <v>538.4</v>
      </c>
      <c r="D25">
        <v>343.4</v>
      </c>
      <c r="E25">
        <v>3695.5</v>
      </c>
      <c r="F25">
        <v>22.4</v>
      </c>
      <c r="G25">
        <v>11.6</v>
      </c>
      <c r="H25">
        <v>57.6</v>
      </c>
      <c r="I25">
        <v>240.9</v>
      </c>
      <c r="J25">
        <v>1.9</v>
      </c>
      <c r="K25">
        <v>3.9</v>
      </c>
      <c r="L25">
        <v>253.1</v>
      </c>
    </row>
    <row r="26" spans="1:12" x14ac:dyDescent="0.25">
      <c r="A26" t="s">
        <v>302</v>
      </c>
      <c r="B26" t="s">
        <v>287</v>
      </c>
      <c r="C26">
        <v>565.20000000000005</v>
      </c>
      <c r="D26">
        <v>371</v>
      </c>
      <c r="E26">
        <v>3923.1</v>
      </c>
      <c r="F26">
        <v>24.9</v>
      </c>
      <c r="G26">
        <v>12.5</v>
      </c>
      <c r="H26">
        <v>31.7</v>
      </c>
      <c r="I26">
        <v>80.099999999999994</v>
      </c>
      <c r="J26">
        <v>1</v>
      </c>
      <c r="K26">
        <v>3.8</v>
      </c>
      <c r="L26">
        <v>250.7</v>
      </c>
    </row>
    <row r="27" spans="1:12" x14ac:dyDescent="0.25">
      <c r="A27" t="s">
        <v>533</v>
      </c>
      <c r="B27" t="s">
        <v>282</v>
      </c>
      <c r="C27">
        <v>550.20000000000005</v>
      </c>
      <c r="D27">
        <v>344.7</v>
      </c>
      <c r="E27">
        <v>3730.6</v>
      </c>
      <c r="F27">
        <v>21.5</v>
      </c>
      <c r="G27">
        <v>14.5</v>
      </c>
      <c r="H27">
        <v>44.7</v>
      </c>
      <c r="I27">
        <v>166</v>
      </c>
      <c r="J27">
        <v>1.5</v>
      </c>
      <c r="K27">
        <v>2.5</v>
      </c>
      <c r="L27">
        <v>241</v>
      </c>
    </row>
    <row r="28" spans="1:12" x14ac:dyDescent="0.25">
      <c r="A28" t="s">
        <v>920</v>
      </c>
      <c r="B28" t="s">
        <v>307</v>
      </c>
      <c r="C28">
        <v>538.1</v>
      </c>
      <c r="D28">
        <v>351.8</v>
      </c>
      <c r="E28">
        <v>3774.4</v>
      </c>
      <c r="F28">
        <v>20.6</v>
      </c>
      <c r="G28">
        <v>14.1</v>
      </c>
      <c r="H28">
        <v>34.200000000000003</v>
      </c>
      <c r="I28">
        <v>110.7</v>
      </c>
      <c r="J28">
        <v>0.8</v>
      </c>
      <c r="K28">
        <v>1.9</v>
      </c>
      <c r="L28">
        <v>231.3</v>
      </c>
    </row>
    <row r="29" spans="1:12" x14ac:dyDescent="0.25">
      <c r="A29" t="s">
        <v>916</v>
      </c>
      <c r="B29" t="s">
        <v>304</v>
      </c>
      <c r="C29">
        <v>480.5</v>
      </c>
      <c r="D29">
        <v>291.10000000000002</v>
      </c>
      <c r="E29">
        <v>3133.2</v>
      </c>
      <c r="F29">
        <v>19.100000000000001</v>
      </c>
      <c r="G29">
        <v>12.4</v>
      </c>
      <c r="H29">
        <v>41.4</v>
      </c>
      <c r="I29">
        <v>214.7</v>
      </c>
      <c r="J29">
        <v>2.4</v>
      </c>
      <c r="K29">
        <v>1.7</v>
      </c>
      <c r="L29">
        <v>221.5</v>
      </c>
    </row>
    <row r="30" spans="1:12" x14ac:dyDescent="0.25">
      <c r="A30" t="s">
        <v>144</v>
      </c>
      <c r="B30" t="s">
        <v>278</v>
      </c>
      <c r="C30">
        <v>419.7</v>
      </c>
      <c r="D30">
        <v>263.60000000000002</v>
      </c>
      <c r="E30">
        <v>2898.8</v>
      </c>
      <c r="F30">
        <v>15.8</v>
      </c>
      <c r="G30">
        <v>11.3</v>
      </c>
      <c r="H30">
        <v>54.6</v>
      </c>
      <c r="I30">
        <v>328.7</v>
      </c>
      <c r="J30">
        <v>2.4</v>
      </c>
      <c r="K30">
        <v>1.2</v>
      </c>
      <c r="L30">
        <v>212.8</v>
      </c>
    </row>
    <row r="31" spans="1:12" x14ac:dyDescent="0.25">
      <c r="A31" t="s">
        <v>309</v>
      </c>
      <c r="B31" t="s">
        <v>288</v>
      </c>
      <c r="C31">
        <v>417.3</v>
      </c>
      <c r="D31">
        <v>265.8</v>
      </c>
      <c r="E31">
        <v>2666.7</v>
      </c>
      <c r="F31">
        <v>15.9</v>
      </c>
      <c r="G31">
        <v>10.4</v>
      </c>
      <c r="H31">
        <v>44.3</v>
      </c>
      <c r="I31">
        <v>213.9</v>
      </c>
      <c r="J31">
        <v>1.8</v>
      </c>
      <c r="K31">
        <v>1.3</v>
      </c>
      <c r="L31">
        <v>189.1</v>
      </c>
    </row>
    <row r="32" spans="1:12" x14ac:dyDescent="0.25">
      <c r="A32" t="s">
        <v>535</v>
      </c>
      <c r="B32" t="s">
        <v>308</v>
      </c>
      <c r="C32">
        <v>376.2</v>
      </c>
      <c r="D32">
        <v>235.2</v>
      </c>
      <c r="E32">
        <v>2745.9</v>
      </c>
      <c r="F32">
        <v>15.5</v>
      </c>
      <c r="G32">
        <v>9.4</v>
      </c>
      <c r="H32">
        <v>30.8</v>
      </c>
      <c r="I32">
        <v>136.69999999999999</v>
      </c>
      <c r="J32">
        <v>1.5</v>
      </c>
      <c r="K32">
        <v>2.6</v>
      </c>
      <c r="L32">
        <v>179.6</v>
      </c>
    </row>
    <row r="33" spans="1:12" x14ac:dyDescent="0.25">
      <c r="A33" t="s">
        <v>317</v>
      </c>
      <c r="B33" t="s">
        <v>279</v>
      </c>
      <c r="C33">
        <v>349.8</v>
      </c>
      <c r="D33">
        <v>222.5</v>
      </c>
      <c r="E33">
        <v>2694.3</v>
      </c>
      <c r="F33">
        <v>15.6</v>
      </c>
      <c r="G33">
        <v>9.8000000000000007</v>
      </c>
      <c r="H33">
        <v>25.9</v>
      </c>
      <c r="I33">
        <v>121.7</v>
      </c>
      <c r="J33">
        <v>1.2</v>
      </c>
      <c r="K33">
        <v>2.5</v>
      </c>
      <c r="L33">
        <v>174.9</v>
      </c>
    </row>
    <row r="34" spans="1:12" x14ac:dyDescent="0.25">
      <c r="A34" t="s">
        <v>208</v>
      </c>
      <c r="B34" t="s">
        <v>308</v>
      </c>
      <c r="C34">
        <v>146.19999999999999</v>
      </c>
      <c r="D34">
        <v>98.2</v>
      </c>
      <c r="E34">
        <v>1133.0999999999999</v>
      </c>
      <c r="F34">
        <v>7.9</v>
      </c>
      <c r="G34">
        <v>3.2</v>
      </c>
      <c r="H34">
        <v>26.2</v>
      </c>
      <c r="I34">
        <v>138.1</v>
      </c>
      <c r="J34">
        <v>1.6</v>
      </c>
      <c r="K34">
        <v>1.2</v>
      </c>
      <c r="L34">
        <v>94.3</v>
      </c>
    </row>
    <row r="35" spans="1:12" x14ac:dyDescent="0.25">
      <c r="A35" t="s">
        <v>1031</v>
      </c>
      <c r="B35" t="s">
        <v>288</v>
      </c>
      <c r="C35">
        <v>190.2</v>
      </c>
      <c r="D35">
        <v>116.8</v>
      </c>
      <c r="E35">
        <v>1385.8</v>
      </c>
      <c r="F35">
        <v>8</v>
      </c>
      <c r="G35">
        <v>5.6</v>
      </c>
      <c r="H35">
        <v>14.5</v>
      </c>
      <c r="I35">
        <v>69.400000000000006</v>
      </c>
      <c r="J35">
        <v>0.6</v>
      </c>
      <c r="K35">
        <v>1</v>
      </c>
      <c r="L35">
        <v>90.1</v>
      </c>
    </row>
    <row r="36" spans="1:12" x14ac:dyDescent="0.25">
      <c r="A36" t="s">
        <v>648</v>
      </c>
      <c r="B36" t="s">
        <v>279</v>
      </c>
      <c r="C36">
        <v>184.2</v>
      </c>
      <c r="D36">
        <v>114.6</v>
      </c>
      <c r="E36">
        <v>1128.9000000000001</v>
      </c>
      <c r="F36">
        <v>6.2</v>
      </c>
      <c r="G36">
        <v>4.0999999999999996</v>
      </c>
      <c r="H36">
        <v>17.100000000000001</v>
      </c>
      <c r="I36">
        <v>56.5</v>
      </c>
      <c r="J36">
        <v>0.6</v>
      </c>
      <c r="K36">
        <v>0.7</v>
      </c>
      <c r="L36">
        <v>73.599999999999994</v>
      </c>
    </row>
    <row r="37" spans="1:12" x14ac:dyDescent="0.25">
      <c r="A37" t="s">
        <v>1032</v>
      </c>
      <c r="B37" t="s">
        <v>278</v>
      </c>
      <c r="C37">
        <v>157.19999999999999</v>
      </c>
      <c r="D37">
        <v>97.2</v>
      </c>
      <c r="E37">
        <v>1131.0999999999999</v>
      </c>
      <c r="F37">
        <v>5.0999999999999996</v>
      </c>
      <c r="G37">
        <v>4.5999999999999996</v>
      </c>
      <c r="H37">
        <v>13.7</v>
      </c>
      <c r="I37">
        <v>66.5</v>
      </c>
      <c r="J37">
        <v>0.5</v>
      </c>
      <c r="K37">
        <v>0.8</v>
      </c>
      <c r="L37">
        <v>69.400000000000006</v>
      </c>
    </row>
    <row r="38" spans="1:12" x14ac:dyDescent="0.25">
      <c r="A38" t="s">
        <v>191</v>
      </c>
      <c r="B38" t="s">
        <v>304</v>
      </c>
      <c r="C38">
        <v>108.9</v>
      </c>
      <c r="D38">
        <v>66.7</v>
      </c>
      <c r="E38">
        <v>754.1</v>
      </c>
      <c r="F38">
        <v>4.0999999999999996</v>
      </c>
      <c r="G38">
        <v>2.5</v>
      </c>
      <c r="H38">
        <v>4</v>
      </c>
      <c r="I38">
        <v>13.7</v>
      </c>
      <c r="J38">
        <v>0.1</v>
      </c>
      <c r="K38">
        <v>0.6</v>
      </c>
      <c r="L38">
        <v>45</v>
      </c>
    </row>
    <row r="39" spans="1:12" x14ac:dyDescent="0.25">
      <c r="A39" t="s">
        <v>197</v>
      </c>
      <c r="B39" t="s">
        <v>277</v>
      </c>
      <c r="C39">
        <v>57.7</v>
      </c>
      <c r="D39">
        <v>36.4</v>
      </c>
      <c r="E39">
        <v>409.8</v>
      </c>
      <c r="F39">
        <v>2.9</v>
      </c>
      <c r="G39">
        <v>1.7</v>
      </c>
      <c r="H39">
        <v>3.9</v>
      </c>
      <c r="I39">
        <v>13.6</v>
      </c>
      <c r="J39">
        <v>0.1</v>
      </c>
      <c r="K39">
        <v>0.2</v>
      </c>
      <c r="L39">
        <v>27.6</v>
      </c>
    </row>
    <row r="40" spans="1:12" x14ac:dyDescent="0.25">
      <c r="A40" t="s">
        <v>198</v>
      </c>
      <c r="B40" t="s">
        <v>292</v>
      </c>
      <c r="C40">
        <v>43</v>
      </c>
      <c r="D40">
        <v>26.2</v>
      </c>
      <c r="E40">
        <v>290.2</v>
      </c>
      <c r="F40">
        <v>1.7</v>
      </c>
      <c r="G40">
        <v>1</v>
      </c>
      <c r="H40">
        <v>4.3</v>
      </c>
      <c r="I40">
        <v>25.1</v>
      </c>
      <c r="J40">
        <v>0.1</v>
      </c>
      <c r="K40">
        <v>0.3</v>
      </c>
      <c r="L40">
        <v>20.100000000000001</v>
      </c>
    </row>
    <row r="41" spans="1:12" x14ac:dyDescent="0.25">
      <c r="A41" t="s">
        <v>539</v>
      </c>
      <c r="B41" t="s">
        <v>277</v>
      </c>
      <c r="C41">
        <v>11</v>
      </c>
      <c r="D41">
        <v>7.2</v>
      </c>
      <c r="E41">
        <v>77.8</v>
      </c>
      <c r="F41">
        <v>0.3</v>
      </c>
      <c r="G41">
        <v>0.3</v>
      </c>
      <c r="H41">
        <v>21.7</v>
      </c>
      <c r="I41">
        <v>99.6</v>
      </c>
      <c r="J41">
        <v>0.9</v>
      </c>
      <c r="K41">
        <v>0</v>
      </c>
      <c r="L41">
        <v>19.7</v>
      </c>
    </row>
    <row r="42" spans="1:12" x14ac:dyDescent="0.25">
      <c r="A42" t="s">
        <v>532</v>
      </c>
      <c r="B42" t="s">
        <v>282</v>
      </c>
      <c r="C42">
        <v>25</v>
      </c>
      <c r="D42">
        <v>15.3</v>
      </c>
      <c r="E42">
        <v>301.60000000000002</v>
      </c>
      <c r="F42">
        <v>1.6</v>
      </c>
      <c r="G42">
        <v>1.3</v>
      </c>
      <c r="H42">
        <v>1.3</v>
      </c>
      <c r="I42">
        <v>16.899999999999999</v>
      </c>
      <c r="J42">
        <v>0.2</v>
      </c>
      <c r="K42">
        <v>0.2</v>
      </c>
      <c r="L42">
        <v>19.600000000000001</v>
      </c>
    </row>
    <row r="43" spans="1:12" x14ac:dyDescent="0.25">
      <c r="A43" t="s">
        <v>925</v>
      </c>
      <c r="B43" t="s">
        <v>295</v>
      </c>
      <c r="C43">
        <v>31.2</v>
      </c>
      <c r="D43">
        <v>20.3</v>
      </c>
      <c r="E43">
        <v>238.5</v>
      </c>
      <c r="F43">
        <v>1.6</v>
      </c>
      <c r="G43">
        <v>1.3</v>
      </c>
      <c r="H43">
        <v>6.4</v>
      </c>
      <c r="I43">
        <v>34.700000000000003</v>
      </c>
      <c r="J43">
        <v>0.2</v>
      </c>
      <c r="K43">
        <v>0.2</v>
      </c>
      <c r="L43">
        <v>18.8</v>
      </c>
    </row>
    <row r="44" spans="1:12" x14ac:dyDescent="0.25">
      <c r="A44" t="s">
        <v>652</v>
      </c>
      <c r="B44" t="s">
        <v>308</v>
      </c>
      <c r="C44">
        <v>26.6</v>
      </c>
      <c r="D44">
        <v>17.3</v>
      </c>
      <c r="E44">
        <v>253.2</v>
      </c>
      <c r="F44">
        <v>1.1000000000000001</v>
      </c>
      <c r="G44">
        <v>1.2</v>
      </c>
      <c r="H44">
        <v>3.8</v>
      </c>
      <c r="I44">
        <v>32.299999999999997</v>
      </c>
      <c r="J44">
        <v>0.2</v>
      </c>
      <c r="K44">
        <v>0.1</v>
      </c>
      <c r="L44">
        <v>17.600000000000001</v>
      </c>
    </row>
    <row r="45" spans="1:12" x14ac:dyDescent="0.25">
      <c r="A45" t="s">
        <v>2666</v>
      </c>
      <c r="B45" t="s">
        <v>296</v>
      </c>
      <c r="C45">
        <v>0</v>
      </c>
      <c r="D45">
        <v>0</v>
      </c>
      <c r="E45">
        <v>287.10000000000002</v>
      </c>
      <c r="F45">
        <v>0.9</v>
      </c>
      <c r="G45">
        <v>1.7</v>
      </c>
      <c r="H45">
        <v>0</v>
      </c>
      <c r="I45">
        <v>8.3000000000000007</v>
      </c>
      <c r="J45">
        <v>0.4</v>
      </c>
      <c r="K45">
        <v>0.2</v>
      </c>
      <c r="L45">
        <v>16.2</v>
      </c>
    </row>
    <row r="46" spans="1:12" x14ac:dyDescent="0.25">
      <c r="A46" t="s">
        <v>319</v>
      </c>
      <c r="B46" t="s">
        <v>301</v>
      </c>
      <c r="C46">
        <v>32</v>
      </c>
      <c r="D46">
        <v>20.7</v>
      </c>
      <c r="E46">
        <v>267.39999999999998</v>
      </c>
      <c r="F46">
        <v>1.6</v>
      </c>
      <c r="G46">
        <v>1.1000000000000001</v>
      </c>
      <c r="H46">
        <v>0.9</v>
      </c>
      <c r="I46">
        <v>1.4</v>
      </c>
      <c r="J46">
        <v>0</v>
      </c>
      <c r="K46">
        <v>0.1</v>
      </c>
      <c r="L46">
        <v>16.2</v>
      </c>
    </row>
    <row r="47" spans="1:12" x14ac:dyDescent="0.25">
      <c r="A47" t="s">
        <v>805</v>
      </c>
      <c r="B47" t="s">
        <v>306</v>
      </c>
      <c r="C47">
        <v>0</v>
      </c>
      <c r="D47">
        <v>0</v>
      </c>
      <c r="E47">
        <v>260.7</v>
      </c>
      <c r="F47">
        <v>1.6</v>
      </c>
      <c r="G47">
        <v>2.1</v>
      </c>
      <c r="H47">
        <v>0</v>
      </c>
      <c r="I47">
        <v>0.3</v>
      </c>
      <c r="J47">
        <v>0.2</v>
      </c>
      <c r="K47">
        <v>0.2</v>
      </c>
      <c r="L47">
        <v>15.2</v>
      </c>
    </row>
    <row r="48" spans="1:12" x14ac:dyDescent="0.25">
      <c r="A48" t="s">
        <v>536</v>
      </c>
      <c r="B48" t="s">
        <v>285</v>
      </c>
      <c r="C48">
        <v>33.200000000000003</v>
      </c>
      <c r="D48">
        <v>20.8</v>
      </c>
      <c r="E48">
        <v>234</v>
      </c>
      <c r="F48">
        <v>1.5</v>
      </c>
      <c r="G48">
        <v>0.5</v>
      </c>
      <c r="H48">
        <v>2.6</v>
      </c>
      <c r="I48">
        <v>4.5</v>
      </c>
      <c r="J48">
        <v>0</v>
      </c>
      <c r="K48">
        <v>0.1</v>
      </c>
      <c r="L48">
        <v>15.1</v>
      </c>
    </row>
    <row r="49" spans="1:12" x14ac:dyDescent="0.25">
      <c r="A49" t="s">
        <v>305</v>
      </c>
      <c r="B49" t="s">
        <v>299</v>
      </c>
      <c r="C49">
        <v>33.9</v>
      </c>
      <c r="D49">
        <v>20.2</v>
      </c>
      <c r="E49">
        <v>267.39999999999998</v>
      </c>
      <c r="F49">
        <v>1.1000000000000001</v>
      </c>
      <c r="G49">
        <v>1</v>
      </c>
      <c r="H49">
        <v>2.5</v>
      </c>
      <c r="I49">
        <v>7.3</v>
      </c>
      <c r="J49">
        <v>0</v>
      </c>
      <c r="K49">
        <v>0.1</v>
      </c>
      <c r="L49">
        <v>15</v>
      </c>
    </row>
    <row r="50" spans="1:12" x14ac:dyDescent="0.25">
      <c r="A50" t="s">
        <v>870</v>
      </c>
      <c r="B50" t="s">
        <v>293</v>
      </c>
      <c r="C50">
        <v>29.9</v>
      </c>
      <c r="D50">
        <v>19.2</v>
      </c>
      <c r="E50">
        <v>206.3</v>
      </c>
      <c r="F50">
        <v>1.4</v>
      </c>
      <c r="G50">
        <v>0.7</v>
      </c>
      <c r="H50">
        <v>4.3</v>
      </c>
      <c r="I50">
        <v>16.600000000000001</v>
      </c>
      <c r="J50">
        <v>0.1</v>
      </c>
      <c r="K50">
        <v>0.2</v>
      </c>
      <c r="L50">
        <v>14.8</v>
      </c>
    </row>
    <row r="51" spans="1:12" x14ac:dyDescent="0.25">
      <c r="A51" t="s">
        <v>312</v>
      </c>
      <c r="B51" t="s">
        <v>298</v>
      </c>
      <c r="C51">
        <v>28.5</v>
      </c>
      <c r="D51">
        <v>18.600000000000001</v>
      </c>
      <c r="E51">
        <v>199.1</v>
      </c>
      <c r="F51">
        <v>1.2</v>
      </c>
      <c r="G51">
        <v>0.5</v>
      </c>
      <c r="H51">
        <v>2.1</v>
      </c>
      <c r="I51">
        <v>7.3</v>
      </c>
      <c r="J51">
        <v>0</v>
      </c>
      <c r="K51">
        <v>0.1</v>
      </c>
      <c r="L51">
        <v>12.9</v>
      </c>
    </row>
    <row r="52" spans="1:12" x14ac:dyDescent="0.25">
      <c r="A52" t="s">
        <v>538</v>
      </c>
      <c r="B52" t="s">
        <v>283</v>
      </c>
      <c r="C52">
        <v>23.9</v>
      </c>
      <c r="D52">
        <v>15.1</v>
      </c>
      <c r="E52">
        <v>164.8</v>
      </c>
      <c r="F52">
        <v>1.4</v>
      </c>
      <c r="G52">
        <v>0.7</v>
      </c>
      <c r="H52">
        <v>2.6</v>
      </c>
      <c r="I52">
        <v>12.4</v>
      </c>
      <c r="J52">
        <v>0</v>
      </c>
      <c r="K52">
        <v>0.1</v>
      </c>
      <c r="L52">
        <v>12.5</v>
      </c>
    </row>
    <row r="53" spans="1:12" x14ac:dyDescent="0.25">
      <c r="A53" t="s">
        <v>1033</v>
      </c>
      <c r="B53" t="s">
        <v>284</v>
      </c>
      <c r="C53">
        <v>22.3</v>
      </c>
      <c r="D53">
        <v>13.8</v>
      </c>
      <c r="E53">
        <v>188.6</v>
      </c>
      <c r="F53">
        <v>1</v>
      </c>
      <c r="G53">
        <v>1.2</v>
      </c>
      <c r="H53">
        <v>2</v>
      </c>
      <c r="I53">
        <v>11.3</v>
      </c>
      <c r="J53">
        <v>0.1</v>
      </c>
      <c r="K53">
        <v>0.1</v>
      </c>
      <c r="L53">
        <v>12.1</v>
      </c>
    </row>
    <row r="54" spans="1:12" x14ac:dyDescent="0.25">
      <c r="A54" t="s">
        <v>320</v>
      </c>
      <c r="B54" t="s">
        <v>294</v>
      </c>
      <c r="C54">
        <v>26.6</v>
      </c>
      <c r="D54">
        <v>17.2</v>
      </c>
      <c r="E54">
        <v>185.5</v>
      </c>
      <c r="F54">
        <v>1.1000000000000001</v>
      </c>
      <c r="G54">
        <v>0.6</v>
      </c>
      <c r="H54">
        <v>2.8</v>
      </c>
      <c r="I54">
        <v>8.6999999999999993</v>
      </c>
      <c r="J54">
        <v>0</v>
      </c>
      <c r="K54">
        <v>0.2</v>
      </c>
      <c r="L54">
        <v>11.8</v>
      </c>
    </row>
    <row r="55" spans="1:12" x14ac:dyDescent="0.25">
      <c r="A55" t="s">
        <v>876</v>
      </c>
      <c r="B55" t="s">
        <v>275</v>
      </c>
      <c r="C55">
        <v>20.7</v>
      </c>
      <c r="D55">
        <v>12.4</v>
      </c>
      <c r="E55">
        <v>172.3</v>
      </c>
      <c r="F55">
        <v>1.1000000000000001</v>
      </c>
      <c r="G55">
        <v>0.9</v>
      </c>
      <c r="H55">
        <v>2.4</v>
      </c>
      <c r="I55">
        <v>8.5</v>
      </c>
      <c r="J55">
        <v>0.1</v>
      </c>
      <c r="K55">
        <v>0.1</v>
      </c>
      <c r="L55">
        <v>11.2</v>
      </c>
    </row>
    <row r="56" spans="1:12" x14ac:dyDescent="0.25">
      <c r="A56" t="s">
        <v>656</v>
      </c>
      <c r="B56" t="s">
        <v>307</v>
      </c>
      <c r="C56">
        <v>27.3</v>
      </c>
      <c r="D56">
        <v>17.3</v>
      </c>
      <c r="E56">
        <v>187.4</v>
      </c>
      <c r="F56">
        <v>1.1000000000000001</v>
      </c>
      <c r="G56">
        <v>0.7</v>
      </c>
      <c r="H56">
        <v>1.6</v>
      </c>
      <c r="I56">
        <v>6.2</v>
      </c>
      <c r="J56">
        <v>0.1</v>
      </c>
      <c r="K56">
        <v>0.8</v>
      </c>
      <c r="L56">
        <v>10.5</v>
      </c>
    </row>
    <row r="57" spans="1:12" x14ac:dyDescent="0.25">
      <c r="A57" t="s">
        <v>300</v>
      </c>
      <c r="B57" t="s">
        <v>276</v>
      </c>
      <c r="C57">
        <v>21.5</v>
      </c>
      <c r="D57">
        <v>13.4</v>
      </c>
      <c r="E57">
        <v>169.5</v>
      </c>
      <c r="F57">
        <v>1</v>
      </c>
      <c r="G57">
        <v>0.8</v>
      </c>
      <c r="H57">
        <v>1.6</v>
      </c>
      <c r="I57">
        <v>1.9</v>
      </c>
      <c r="J57">
        <v>0.1</v>
      </c>
      <c r="K57">
        <v>0.1</v>
      </c>
      <c r="L57">
        <v>10.4</v>
      </c>
    </row>
    <row r="58" spans="1:12" x14ac:dyDescent="0.25">
      <c r="A58" t="s">
        <v>313</v>
      </c>
      <c r="B58" t="s">
        <v>281</v>
      </c>
      <c r="C58">
        <v>19.2</v>
      </c>
      <c r="D58">
        <v>12</v>
      </c>
      <c r="E58">
        <v>160.19999999999999</v>
      </c>
      <c r="F58">
        <v>1</v>
      </c>
      <c r="G58">
        <v>0.5</v>
      </c>
      <c r="H58">
        <v>1.1000000000000001</v>
      </c>
      <c r="I58">
        <v>3.1</v>
      </c>
      <c r="J58">
        <v>0.1</v>
      </c>
      <c r="K58">
        <v>0.2</v>
      </c>
      <c r="L58">
        <v>10.4</v>
      </c>
    </row>
    <row r="59" spans="1:12" x14ac:dyDescent="0.25">
      <c r="A59" t="s">
        <v>655</v>
      </c>
      <c r="B59" t="s">
        <v>306</v>
      </c>
      <c r="C59">
        <v>20.5</v>
      </c>
      <c r="D59">
        <v>12.4</v>
      </c>
      <c r="E59">
        <v>140</v>
      </c>
      <c r="F59">
        <v>1.2</v>
      </c>
      <c r="G59">
        <v>0.5</v>
      </c>
      <c r="H59">
        <v>1.5</v>
      </c>
      <c r="I59">
        <v>4.8</v>
      </c>
      <c r="J59">
        <v>0</v>
      </c>
      <c r="K59">
        <v>0.3</v>
      </c>
      <c r="L59">
        <v>9.9</v>
      </c>
    </row>
    <row r="60" spans="1:12" x14ac:dyDescent="0.25">
      <c r="A60" t="s">
        <v>314</v>
      </c>
      <c r="B60" t="s">
        <v>291</v>
      </c>
      <c r="C60">
        <v>23.6</v>
      </c>
      <c r="D60">
        <v>14.7</v>
      </c>
      <c r="E60">
        <v>162.6</v>
      </c>
      <c r="F60">
        <v>1.1000000000000001</v>
      </c>
      <c r="G60">
        <v>0.6</v>
      </c>
      <c r="H60">
        <v>1.5</v>
      </c>
      <c r="I60">
        <v>6.2</v>
      </c>
      <c r="J60">
        <v>0</v>
      </c>
      <c r="K60">
        <v>0.7</v>
      </c>
      <c r="L60">
        <v>9.8000000000000007</v>
      </c>
    </row>
    <row r="61" spans="1:12" x14ac:dyDescent="0.25">
      <c r="A61" t="s">
        <v>318</v>
      </c>
      <c r="B61" t="s">
        <v>289</v>
      </c>
      <c r="C61">
        <v>19.2</v>
      </c>
      <c r="D61">
        <v>12.1</v>
      </c>
      <c r="E61">
        <v>136.6</v>
      </c>
      <c r="F61">
        <v>1</v>
      </c>
      <c r="G61">
        <v>0.4</v>
      </c>
      <c r="H61">
        <v>1.2</v>
      </c>
      <c r="I61">
        <v>4.5999999999999996</v>
      </c>
      <c r="J61">
        <v>0</v>
      </c>
      <c r="K61">
        <v>0.1</v>
      </c>
      <c r="L61">
        <v>9.6999999999999993</v>
      </c>
    </row>
    <row r="62" spans="1:12" x14ac:dyDescent="0.25">
      <c r="A62" t="s">
        <v>921</v>
      </c>
      <c r="B62" t="s">
        <v>281</v>
      </c>
      <c r="C62">
        <v>22</v>
      </c>
      <c r="D62">
        <v>13</v>
      </c>
      <c r="E62">
        <v>135</v>
      </c>
      <c r="F62">
        <v>1</v>
      </c>
      <c r="G62">
        <v>0</v>
      </c>
      <c r="H62">
        <v>1</v>
      </c>
      <c r="I62">
        <v>3</v>
      </c>
      <c r="J62">
        <v>0</v>
      </c>
      <c r="K62">
        <v>0</v>
      </c>
      <c r="L62">
        <v>9.6999999999999993</v>
      </c>
    </row>
    <row r="63" spans="1:12" x14ac:dyDescent="0.25">
      <c r="A63" t="s">
        <v>540</v>
      </c>
      <c r="B63" t="s">
        <v>287</v>
      </c>
      <c r="C63">
        <v>23.2</v>
      </c>
      <c r="D63">
        <v>14.1</v>
      </c>
      <c r="E63">
        <v>160.1</v>
      </c>
      <c r="F63">
        <v>0.8</v>
      </c>
      <c r="G63">
        <v>0.9</v>
      </c>
      <c r="H63">
        <v>1.5</v>
      </c>
      <c r="I63">
        <v>6.7</v>
      </c>
      <c r="J63">
        <v>0.1</v>
      </c>
      <c r="K63">
        <v>0.2</v>
      </c>
      <c r="L63">
        <v>9.6</v>
      </c>
    </row>
    <row r="64" spans="1:12" x14ac:dyDescent="0.25">
      <c r="A64" t="s">
        <v>654</v>
      </c>
      <c r="B64" t="s">
        <v>814</v>
      </c>
      <c r="C64">
        <v>20.8</v>
      </c>
      <c r="D64">
        <v>13.2</v>
      </c>
      <c r="E64">
        <v>146.9</v>
      </c>
      <c r="F64">
        <v>1</v>
      </c>
      <c r="G64">
        <v>0.8</v>
      </c>
      <c r="H64">
        <v>1.6</v>
      </c>
      <c r="I64">
        <v>4</v>
      </c>
      <c r="J64">
        <v>0</v>
      </c>
      <c r="K64">
        <v>0.1</v>
      </c>
      <c r="L64">
        <v>9.3000000000000007</v>
      </c>
    </row>
    <row r="65" spans="1:12" x14ac:dyDescent="0.25">
      <c r="A65" t="s">
        <v>875</v>
      </c>
      <c r="B65" t="s">
        <v>303</v>
      </c>
      <c r="C65">
        <v>19.3</v>
      </c>
      <c r="D65">
        <v>12</v>
      </c>
      <c r="E65">
        <v>135</v>
      </c>
      <c r="F65">
        <v>0.8</v>
      </c>
      <c r="G65">
        <v>0.4</v>
      </c>
      <c r="H65">
        <v>2</v>
      </c>
      <c r="I65">
        <v>8.4</v>
      </c>
      <c r="J65">
        <v>0</v>
      </c>
      <c r="K65">
        <v>0.1</v>
      </c>
      <c r="L65">
        <v>9</v>
      </c>
    </row>
    <row r="66" spans="1:12" x14ac:dyDescent="0.25">
      <c r="A66" t="s">
        <v>316</v>
      </c>
      <c r="B66" t="s">
        <v>280</v>
      </c>
      <c r="C66">
        <v>17.3</v>
      </c>
      <c r="D66">
        <v>11.1</v>
      </c>
      <c r="E66">
        <v>121.7</v>
      </c>
      <c r="F66">
        <v>1</v>
      </c>
      <c r="G66">
        <v>0.6</v>
      </c>
      <c r="H66">
        <v>1.6</v>
      </c>
      <c r="I66">
        <v>7</v>
      </c>
      <c r="J66">
        <v>0</v>
      </c>
      <c r="K66">
        <v>0.1</v>
      </c>
      <c r="L66">
        <v>8.6999999999999993</v>
      </c>
    </row>
    <row r="67" spans="1:12" x14ac:dyDescent="0.25">
      <c r="A67" t="s">
        <v>651</v>
      </c>
      <c r="B67" t="s">
        <v>297</v>
      </c>
      <c r="C67">
        <v>19.3</v>
      </c>
      <c r="D67">
        <v>12.3</v>
      </c>
      <c r="E67">
        <v>144.5</v>
      </c>
      <c r="F67">
        <v>1</v>
      </c>
      <c r="G67">
        <v>0.4</v>
      </c>
      <c r="H67">
        <v>1.4</v>
      </c>
      <c r="I67">
        <v>2.5</v>
      </c>
      <c r="J67">
        <v>0</v>
      </c>
      <c r="K67">
        <v>0.6</v>
      </c>
      <c r="L67">
        <v>8.4</v>
      </c>
    </row>
    <row r="68" spans="1:12" x14ac:dyDescent="0.25">
      <c r="A68" t="s">
        <v>323</v>
      </c>
      <c r="B68" t="s">
        <v>286</v>
      </c>
      <c r="C68">
        <v>18.5</v>
      </c>
      <c r="D68">
        <v>11.4</v>
      </c>
      <c r="E68">
        <v>125.7</v>
      </c>
      <c r="F68">
        <v>0.8</v>
      </c>
      <c r="G68">
        <v>0.4</v>
      </c>
      <c r="H68">
        <v>1.5</v>
      </c>
      <c r="I68">
        <v>4.5999999999999996</v>
      </c>
      <c r="J68">
        <v>0</v>
      </c>
      <c r="K68">
        <v>0.2</v>
      </c>
      <c r="L68">
        <v>8.1</v>
      </c>
    </row>
    <row r="69" spans="1:12" x14ac:dyDescent="0.25">
      <c r="A69" t="s">
        <v>1034</v>
      </c>
      <c r="B69" t="s">
        <v>283</v>
      </c>
      <c r="C69">
        <v>16.399999999999999</v>
      </c>
      <c r="D69">
        <v>10</v>
      </c>
      <c r="E69">
        <v>108.9</v>
      </c>
      <c r="F69">
        <v>0.7</v>
      </c>
      <c r="G69">
        <v>0.5</v>
      </c>
      <c r="H69">
        <v>2</v>
      </c>
      <c r="I69">
        <v>8.8000000000000007</v>
      </c>
      <c r="J69">
        <v>0.1</v>
      </c>
      <c r="K69">
        <v>0.1</v>
      </c>
      <c r="L69">
        <v>7.9</v>
      </c>
    </row>
    <row r="70" spans="1:12" x14ac:dyDescent="0.25">
      <c r="A70" t="s">
        <v>315</v>
      </c>
      <c r="B70" t="s">
        <v>296</v>
      </c>
      <c r="C70">
        <v>15.9</v>
      </c>
      <c r="D70">
        <v>10.1</v>
      </c>
      <c r="E70">
        <v>112.8</v>
      </c>
      <c r="F70">
        <v>0.9</v>
      </c>
      <c r="G70">
        <v>0.6</v>
      </c>
      <c r="H70">
        <v>1.8</v>
      </c>
      <c r="I70">
        <v>4.3</v>
      </c>
      <c r="J70">
        <v>0</v>
      </c>
      <c r="K70">
        <v>0.2</v>
      </c>
      <c r="L70">
        <v>7.6</v>
      </c>
    </row>
    <row r="71" spans="1:12" x14ac:dyDescent="0.25">
      <c r="A71" t="s">
        <v>2734</v>
      </c>
      <c r="B71" t="s">
        <v>287</v>
      </c>
      <c r="C71">
        <v>12</v>
      </c>
      <c r="D71">
        <v>7</v>
      </c>
      <c r="E71">
        <v>81</v>
      </c>
      <c r="F71">
        <v>1</v>
      </c>
      <c r="G71">
        <v>0</v>
      </c>
      <c r="H71">
        <v>0</v>
      </c>
      <c r="I71">
        <v>0</v>
      </c>
      <c r="J71">
        <v>0</v>
      </c>
      <c r="K71">
        <v>0</v>
      </c>
      <c r="L71">
        <v>7.2</v>
      </c>
    </row>
    <row r="72" spans="1:12" x14ac:dyDescent="0.25">
      <c r="A72" t="s">
        <v>653</v>
      </c>
      <c r="B72" t="s">
        <v>290</v>
      </c>
      <c r="C72">
        <v>16</v>
      </c>
      <c r="D72">
        <v>10</v>
      </c>
      <c r="E72">
        <v>111.8</v>
      </c>
      <c r="F72">
        <v>0.7</v>
      </c>
      <c r="G72">
        <v>0.2</v>
      </c>
      <c r="H72">
        <v>0.8</v>
      </c>
      <c r="I72">
        <v>3.2</v>
      </c>
      <c r="J72">
        <v>0</v>
      </c>
      <c r="K72">
        <v>0.2</v>
      </c>
      <c r="L72">
        <v>7.2</v>
      </c>
    </row>
    <row r="73" spans="1:12" x14ac:dyDescent="0.25">
      <c r="A73" t="s">
        <v>2619</v>
      </c>
      <c r="B73" t="s">
        <v>282</v>
      </c>
      <c r="C73">
        <v>18.2</v>
      </c>
      <c r="D73">
        <v>11.3</v>
      </c>
      <c r="E73">
        <v>116.3</v>
      </c>
      <c r="F73">
        <v>0.5</v>
      </c>
      <c r="G73">
        <v>0.6</v>
      </c>
      <c r="H73">
        <v>1.2</v>
      </c>
      <c r="I73">
        <v>3.2</v>
      </c>
      <c r="J73">
        <v>0</v>
      </c>
      <c r="K73">
        <v>0.4</v>
      </c>
      <c r="L73">
        <v>5.8</v>
      </c>
    </row>
    <row r="74" spans="1:12" x14ac:dyDescent="0.25">
      <c r="A74" t="s">
        <v>537</v>
      </c>
      <c r="B74" t="s">
        <v>288</v>
      </c>
      <c r="C74">
        <v>13</v>
      </c>
      <c r="D74">
        <v>8.5</v>
      </c>
      <c r="E74">
        <v>77</v>
      </c>
      <c r="F74">
        <v>0.5</v>
      </c>
      <c r="G74">
        <v>0.5</v>
      </c>
      <c r="H74">
        <v>2</v>
      </c>
      <c r="I74">
        <v>7.5</v>
      </c>
      <c r="J74">
        <v>0</v>
      </c>
      <c r="K74">
        <v>0</v>
      </c>
      <c r="L74">
        <v>5.3</v>
      </c>
    </row>
    <row r="75" spans="1:12" x14ac:dyDescent="0.25">
      <c r="A75" t="s">
        <v>659</v>
      </c>
      <c r="B75" t="s">
        <v>304</v>
      </c>
      <c r="C75">
        <v>11</v>
      </c>
      <c r="D75">
        <v>6.5</v>
      </c>
      <c r="E75">
        <v>72.5</v>
      </c>
      <c r="F75">
        <v>0.5</v>
      </c>
      <c r="G75">
        <v>0.5</v>
      </c>
      <c r="H75">
        <v>2</v>
      </c>
      <c r="I75">
        <v>1.5</v>
      </c>
      <c r="J75">
        <v>0</v>
      </c>
      <c r="K75">
        <v>0</v>
      </c>
      <c r="L75">
        <v>4.5999999999999996</v>
      </c>
    </row>
    <row r="76" spans="1:12" x14ac:dyDescent="0.25">
      <c r="A76" t="s">
        <v>310</v>
      </c>
      <c r="B76" t="s">
        <v>279</v>
      </c>
      <c r="C76">
        <v>5.7</v>
      </c>
      <c r="D76">
        <v>3.7</v>
      </c>
      <c r="E76">
        <v>40.299999999999997</v>
      </c>
      <c r="F76">
        <v>0.3</v>
      </c>
      <c r="G76">
        <v>0</v>
      </c>
      <c r="H76">
        <v>0</v>
      </c>
      <c r="I76">
        <v>0</v>
      </c>
      <c r="J76">
        <v>0</v>
      </c>
      <c r="K76">
        <v>0</v>
      </c>
      <c r="L76">
        <v>2.9</v>
      </c>
    </row>
    <row r="77" spans="1:12" x14ac:dyDescent="0.25">
      <c r="A77" t="s">
        <v>2667</v>
      </c>
      <c r="B77" t="s">
        <v>278</v>
      </c>
      <c r="C77">
        <v>0</v>
      </c>
      <c r="D77">
        <v>0</v>
      </c>
      <c r="E77">
        <v>0</v>
      </c>
      <c r="F77">
        <v>0</v>
      </c>
      <c r="G77">
        <v>0</v>
      </c>
      <c r="H77">
        <v>1</v>
      </c>
      <c r="I77">
        <v>4</v>
      </c>
      <c r="J77">
        <v>0</v>
      </c>
      <c r="K77">
        <v>0</v>
      </c>
      <c r="L77">
        <v>0.4</v>
      </c>
    </row>
    <row r="78" spans="1:12" x14ac:dyDescent="0.25">
      <c r="A78" t="s">
        <v>1003</v>
      </c>
      <c r="B78" t="s">
        <v>278</v>
      </c>
      <c r="C78">
        <v>0</v>
      </c>
      <c r="D78">
        <v>0</v>
      </c>
      <c r="E78">
        <v>0</v>
      </c>
      <c r="F78">
        <v>0</v>
      </c>
      <c r="G78">
        <v>0</v>
      </c>
      <c r="H78">
        <v>0</v>
      </c>
      <c r="I78">
        <v>0</v>
      </c>
      <c r="J78">
        <v>0</v>
      </c>
      <c r="K78">
        <v>0</v>
      </c>
      <c r="L78">
        <v>0</v>
      </c>
    </row>
    <row r="79" spans="1:12" x14ac:dyDescent="0.25">
      <c r="A79" t="s">
        <v>923</v>
      </c>
      <c r="B79" t="s">
        <v>280</v>
      </c>
      <c r="C79">
        <v>0</v>
      </c>
      <c r="D79">
        <v>0</v>
      </c>
      <c r="E79">
        <v>0</v>
      </c>
      <c r="F79">
        <v>0</v>
      </c>
      <c r="G79">
        <v>0</v>
      </c>
      <c r="H79">
        <v>0</v>
      </c>
      <c r="I79">
        <v>0</v>
      </c>
      <c r="J79">
        <v>0</v>
      </c>
      <c r="K79">
        <v>0</v>
      </c>
      <c r="L79">
        <v>0</v>
      </c>
    </row>
    <row r="80" spans="1:12" x14ac:dyDescent="0.25">
      <c r="A80" t="s">
        <v>924</v>
      </c>
      <c r="B80" t="s">
        <v>293</v>
      </c>
      <c r="C80">
        <v>0</v>
      </c>
      <c r="D80">
        <v>0</v>
      </c>
      <c r="E80">
        <v>0</v>
      </c>
      <c r="F80">
        <v>0</v>
      </c>
      <c r="G80">
        <v>0</v>
      </c>
      <c r="H80">
        <v>0</v>
      </c>
      <c r="I80">
        <v>0</v>
      </c>
      <c r="J80">
        <v>0</v>
      </c>
      <c r="K80">
        <v>0</v>
      </c>
      <c r="L80">
        <v>0</v>
      </c>
    </row>
    <row r="81" spans="1:12" x14ac:dyDescent="0.25">
      <c r="A81" t="s">
        <v>922</v>
      </c>
      <c r="B81" t="s">
        <v>308</v>
      </c>
      <c r="C81">
        <v>0</v>
      </c>
      <c r="D81">
        <v>0</v>
      </c>
      <c r="E81">
        <v>0</v>
      </c>
      <c r="F81">
        <v>0</v>
      </c>
      <c r="G81">
        <v>0</v>
      </c>
      <c r="H81">
        <v>0</v>
      </c>
      <c r="I81">
        <v>0</v>
      </c>
      <c r="J81">
        <v>0</v>
      </c>
      <c r="K81">
        <v>0</v>
      </c>
      <c r="L81">
        <v>0</v>
      </c>
    </row>
    <row r="82" spans="1:12" x14ac:dyDescent="0.25">
      <c r="A82" t="s">
        <v>2669</v>
      </c>
      <c r="B82" t="s">
        <v>286</v>
      </c>
      <c r="C82">
        <v>0</v>
      </c>
      <c r="D82">
        <v>0</v>
      </c>
      <c r="E82">
        <v>0</v>
      </c>
      <c r="F82">
        <v>0</v>
      </c>
      <c r="G82">
        <v>0</v>
      </c>
      <c r="H82">
        <v>0</v>
      </c>
      <c r="I82">
        <v>0</v>
      </c>
      <c r="J82">
        <v>0</v>
      </c>
      <c r="K82">
        <v>0</v>
      </c>
      <c r="L82">
        <v>0</v>
      </c>
    </row>
    <row r="83" spans="1:12" x14ac:dyDescent="0.25">
      <c r="A83" t="s">
        <v>517</v>
      </c>
      <c r="B83" t="s">
        <v>299</v>
      </c>
      <c r="C83">
        <v>0</v>
      </c>
      <c r="D83">
        <v>0</v>
      </c>
      <c r="E83">
        <v>0</v>
      </c>
      <c r="F83">
        <v>0</v>
      </c>
      <c r="G83">
        <v>0</v>
      </c>
      <c r="H83">
        <v>0</v>
      </c>
      <c r="I83">
        <v>0</v>
      </c>
      <c r="J83">
        <v>0</v>
      </c>
      <c r="K83">
        <v>0</v>
      </c>
      <c r="L83">
        <v>0</v>
      </c>
    </row>
    <row r="84" spans="1:12" x14ac:dyDescent="0.25">
      <c r="A84" t="s">
        <v>636</v>
      </c>
      <c r="B84" t="s">
        <v>307</v>
      </c>
      <c r="C84">
        <v>0</v>
      </c>
      <c r="D84">
        <v>0</v>
      </c>
      <c r="E84">
        <v>0</v>
      </c>
      <c r="F84">
        <v>0</v>
      </c>
      <c r="G84">
        <v>0</v>
      </c>
      <c r="H84">
        <v>0</v>
      </c>
      <c r="I84">
        <v>0</v>
      </c>
      <c r="J84">
        <v>0</v>
      </c>
      <c r="K84">
        <v>0</v>
      </c>
      <c r="L84">
        <v>0</v>
      </c>
    </row>
    <row r="85" spans="1:12" x14ac:dyDescent="0.25">
      <c r="A85" t="s">
        <v>321</v>
      </c>
      <c r="B85" t="s">
        <v>281</v>
      </c>
      <c r="C85">
        <v>0</v>
      </c>
      <c r="D85">
        <v>0</v>
      </c>
      <c r="E85">
        <v>0</v>
      </c>
      <c r="F85">
        <v>0</v>
      </c>
      <c r="G85">
        <v>0</v>
      </c>
      <c r="H85">
        <v>0</v>
      </c>
      <c r="I85">
        <v>0</v>
      </c>
      <c r="J85">
        <v>0</v>
      </c>
      <c r="K85">
        <v>0</v>
      </c>
      <c r="L85">
        <v>0</v>
      </c>
    </row>
    <row r="86" spans="1:12" x14ac:dyDescent="0.25">
      <c r="A86" t="s">
        <v>2668</v>
      </c>
      <c r="B86" t="s">
        <v>283</v>
      </c>
      <c r="C86">
        <v>0</v>
      </c>
      <c r="D86">
        <v>0</v>
      </c>
      <c r="E86">
        <v>0</v>
      </c>
      <c r="F86">
        <v>0</v>
      </c>
      <c r="G86">
        <v>0</v>
      </c>
      <c r="H86">
        <v>0</v>
      </c>
      <c r="I86">
        <v>0</v>
      </c>
      <c r="J86">
        <v>0</v>
      </c>
      <c r="K86">
        <v>0</v>
      </c>
      <c r="L86">
        <v>0</v>
      </c>
    </row>
    <row r="87" spans="1:12" x14ac:dyDescent="0.25">
      <c r="A87" t="s">
        <v>658</v>
      </c>
      <c r="B87" t="s">
        <v>286</v>
      </c>
      <c r="C87">
        <v>0</v>
      </c>
      <c r="D87">
        <v>0</v>
      </c>
      <c r="E87">
        <v>0</v>
      </c>
      <c r="F87">
        <v>0</v>
      </c>
      <c r="G87">
        <v>0</v>
      </c>
      <c r="H87">
        <v>0</v>
      </c>
      <c r="I87">
        <v>0</v>
      </c>
      <c r="J87">
        <v>0</v>
      </c>
      <c r="K87">
        <v>0</v>
      </c>
      <c r="L87">
        <v>0</v>
      </c>
    </row>
    <row r="88" spans="1:12" x14ac:dyDescent="0.25">
      <c r="A88" t="s">
        <v>877</v>
      </c>
      <c r="B88" t="s">
        <v>282</v>
      </c>
      <c r="C88">
        <v>0</v>
      </c>
      <c r="D88">
        <v>0</v>
      </c>
      <c r="E88">
        <v>0</v>
      </c>
      <c r="F88">
        <v>0</v>
      </c>
      <c r="G88">
        <v>0</v>
      </c>
      <c r="H88">
        <v>0</v>
      </c>
      <c r="I88">
        <v>0</v>
      </c>
      <c r="J88">
        <v>0</v>
      </c>
      <c r="K88">
        <v>0</v>
      </c>
      <c r="L88">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B139"/>
  <sheetViews>
    <sheetView workbookViewId="0">
      <selection activeCell="A3" sqref="A3:V139"/>
    </sheetView>
  </sheetViews>
  <sheetFormatPr defaultColWidth="8.85546875" defaultRowHeight="15" x14ac:dyDescent="0.25"/>
  <cols>
    <col min="1" max="1" width="7.140625" bestFit="1" customWidth="1"/>
    <col min="2" max="2" width="21.42578125" bestFit="1" customWidth="1"/>
    <col min="3" max="4" width="6.42578125" bestFit="1" customWidth="1"/>
    <col min="5" max="5" width="6.140625" bestFit="1" customWidth="1"/>
    <col min="6" max="6" width="5.7109375" bestFit="1" customWidth="1"/>
    <col min="7" max="7" width="6.42578125" bestFit="1" customWidth="1"/>
    <col min="8" max="8" width="6.85546875" bestFit="1" customWidth="1"/>
    <col min="9" max="9" width="6.42578125" bestFit="1" customWidth="1"/>
    <col min="10" max="10" width="6.5703125" bestFit="1" customWidth="1"/>
    <col min="11" max="14" width="6.28515625" bestFit="1" customWidth="1"/>
    <col min="15" max="15" width="5.140625" bestFit="1" customWidth="1"/>
    <col min="16" max="16" width="7.140625" bestFit="1" customWidth="1"/>
    <col min="17" max="17" width="13.140625" bestFit="1" customWidth="1"/>
    <col min="18" max="18" width="10.140625" bestFit="1" customWidth="1"/>
    <col min="19" max="19" width="10.28515625" bestFit="1" customWidth="1"/>
    <col min="20" max="20" width="7.28515625" bestFit="1" customWidth="1"/>
    <col min="21" max="21" width="10.42578125" bestFit="1" customWidth="1"/>
    <col min="22" max="22" width="9" style="6" bestFit="1" customWidth="1"/>
    <col min="23" max="23" width="9.42578125" bestFit="1" customWidth="1"/>
    <col min="24" max="24" width="8.85546875" hidden="1" customWidth="1"/>
    <col min="25" max="25" width="8.140625" bestFit="1" customWidth="1"/>
    <col min="26" max="26" width="9.42578125" bestFit="1" customWidth="1"/>
    <col min="27" max="27" width="6.42578125" bestFit="1" customWidth="1"/>
    <col min="28" max="28" width="12.7109375" bestFit="1" customWidth="1"/>
  </cols>
  <sheetData>
    <row r="1" spans="1:28" x14ac:dyDescent="0.25">
      <c r="G1" s="265" t="s">
        <v>251</v>
      </c>
      <c r="H1" s="265"/>
      <c r="I1" s="265" t="s">
        <v>252</v>
      </c>
      <c r="J1" s="265"/>
      <c r="K1" s="265"/>
      <c r="L1" s="265" t="s">
        <v>324</v>
      </c>
      <c r="M1" s="265"/>
      <c r="N1" s="265"/>
    </row>
    <row r="2" spans="1:28" x14ac:dyDescent="0.25">
      <c r="A2" s="100" t="s">
        <v>253</v>
      </c>
      <c r="B2" s="100" t="s">
        <v>85</v>
      </c>
      <c r="C2" s="100" t="s">
        <v>254</v>
      </c>
      <c r="D2" s="100" t="s">
        <v>795</v>
      </c>
      <c r="E2" s="100" t="s">
        <v>255</v>
      </c>
      <c r="F2" s="100" t="s">
        <v>256</v>
      </c>
      <c r="G2" s="100" t="s">
        <v>257</v>
      </c>
      <c r="H2" s="100" t="s">
        <v>258</v>
      </c>
      <c r="I2" s="100" t="s">
        <v>257</v>
      </c>
      <c r="J2" s="100" t="s">
        <v>259</v>
      </c>
      <c r="K2" s="100" t="s">
        <v>260</v>
      </c>
      <c r="L2" s="100" t="s">
        <v>325</v>
      </c>
      <c r="M2" s="100" t="s">
        <v>259</v>
      </c>
      <c r="N2" s="100" t="s">
        <v>260</v>
      </c>
      <c r="O2" s="100" t="s">
        <v>262</v>
      </c>
      <c r="P2" s="100" t="s">
        <v>263</v>
      </c>
      <c r="Q2" s="100" t="s">
        <v>264</v>
      </c>
      <c r="R2" s="100" t="s">
        <v>265</v>
      </c>
      <c r="S2" s="100" t="s">
        <v>266</v>
      </c>
      <c r="T2" s="100" t="s">
        <v>267</v>
      </c>
      <c r="U2" s="100" t="s">
        <v>268</v>
      </c>
      <c r="V2" s="100" t="s">
        <v>269</v>
      </c>
      <c r="W2" s="100" t="s">
        <v>270</v>
      </c>
      <c r="Y2" s="100" t="s">
        <v>271</v>
      </c>
      <c r="Z2" s="100" t="s">
        <v>272</v>
      </c>
      <c r="AA2" s="100" t="s">
        <v>273</v>
      </c>
      <c r="AB2" s="100" t="s">
        <v>274</v>
      </c>
    </row>
    <row r="3" spans="1:28" x14ac:dyDescent="0.25">
      <c r="A3" cm="1">
        <f t="array" aca="1" ref="A3" ca="1">RANK(P3,RBSheetCount)</f>
        <v>1</v>
      </c>
      <c r="B3" t="str">
        <f>RB_Raw!A2</f>
        <v>Jonathan Taylor</v>
      </c>
      <c r="C3" t="s">
        <v>28</v>
      </c>
      <c r="D3" t="str">
        <f>_xlfn.IFNA(INDEX(BYEs!$E$2:$E$411,MATCH(B3,BYEs!$D$2:$D$411,0)),"N/A")</f>
        <v>N/A</v>
      </c>
      <c r="E3">
        <f>INDEX(BYEs!$B$2:$B$34,MATCH(F3,BYEs!$A$2:$A$34,0))</f>
        <v>14</v>
      </c>
      <c r="F3" t="str">
        <f>RB_Raw!B2</f>
        <v>IND</v>
      </c>
      <c r="G3" s="206">
        <v>0</v>
      </c>
      <c r="H3" s="207">
        <v>0</v>
      </c>
      <c r="I3" s="206">
        <f>RB_Raw!C2</f>
        <v>327.2</v>
      </c>
      <c r="J3" s="204">
        <f>RB_Raw!D2</f>
        <v>1631.9</v>
      </c>
      <c r="K3" s="207">
        <f>RB_Raw!E2</f>
        <v>15</v>
      </c>
      <c r="L3" s="206">
        <f>RB_Raw!F2</f>
        <v>42.8</v>
      </c>
      <c r="M3" s="204">
        <f>RB_Raw!G2</f>
        <v>356.9</v>
      </c>
      <c r="N3" s="207">
        <f>RB_Raw!H2</f>
        <v>2</v>
      </c>
      <c r="O3" s="204">
        <f>RB_Raw!I2</f>
        <v>2.4</v>
      </c>
      <c r="P3" s="209">
        <f>(J3*RBRushingYd)+(K3*RBRushingTD)+(L3*RBReceptions)+(M3*RBRecYd)+(N3*RBRecTD)+(O3*RBFuml)+(I3*RBRushAtt)</f>
        <v>317.48</v>
      </c>
      <c r="Q3" t="str">
        <f ca="1">IF(A3&lt;=RBStarters,"Starter",IF(A3&gt;RBStarters+RBBench,"Undrafted","Bench"))</f>
        <v>Starter</v>
      </c>
      <c r="R3">
        <f ca="1">IFERROR(MAX(P3-LARGE(RBSheetCount,RBStarters),0),0)</f>
        <v>149.10000000000002</v>
      </c>
      <c r="S3">
        <f ca="1">IFERROR(IF(AllowNegative="Yes",P3-LARGE(RBSheetCount,RBCount),MAX(P3-LARGE(RBSheetCount,RBCount),0)),0)</f>
        <v>235.29000000000002</v>
      </c>
      <c r="T3" s="85">
        <f ca="1">(S3-R3)*BenchPF+R3*StarterPF</f>
        <v>71.40171450420452</v>
      </c>
      <c r="U3" s="85">
        <f ca="1">T3*Auction!$A$2</f>
        <v>71.40171450420452</v>
      </c>
      <c r="V3" s="6" t="str">
        <f>IF(OR(INDEX(Auction!$H$13:$H$656,MATCH(B3,Auction!$A$13:$A$656,0))&gt;0,IFERROR(INDEX(CheatSheet!$M$5:$M$64,MATCH(B3,CheatSheet!$J$5:$J$64,0)),"")&lt;&gt;""),"Yes","No")</f>
        <v>No</v>
      </c>
      <c r="W3" s="179"/>
      <c r="Y3" s="78">
        <f t="shared" ref="Y3:Y34" ca="1" si="0">SUMIFS($Z$3:$Z$138,$Z$3:$Z$138,"&gt;0",$V$3:$V$138,"No")/SUMIF($Z$3:$Z$138,"&gt;0")</f>
        <v>1</v>
      </c>
      <c r="Z3">
        <f t="shared" ref="Z3:Z34" ca="1" si="1">AVERAGE(R3:S3)</f>
        <v>192.19500000000002</v>
      </c>
      <c r="AA3" s="116" t="str">
        <f t="shared" ref="AA3:AA34" ca="1" si="2">CONCATENATE("RB",ROUND((LARGE($Z$3:$Z$138,1)-$Z3)/(STDEVP($Z$3:$Z$138)/2)+1,0))</f>
        <v>RB1</v>
      </c>
      <c r="AB3">
        <f ca="1">Z3*LeagueInfo!$H$5</f>
        <v>70.771646045776265</v>
      </c>
    </row>
    <row r="4" spans="1:28" x14ac:dyDescent="0.25">
      <c r="A4" cm="1">
        <f t="array" aca="1" ref="A4" ca="1">RANK(P4,RBSheetCount)</f>
        <v>2</v>
      </c>
      <c r="B4" t="str">
        <f>RB_Raw!A4</f>
        <v>Christian McCaffrey</v>
      </c>
      <c r="C4" t="s">
        <v>28</v>
      </c>
      <c r="D4">
        <f>_xlfn.IFNA(INDEX(BYEs!$E$2:$E$411,MATCH(B4,BYEs!$D$2:$D$411,0)),"N/A")</f>
        <v>25</v>
      </c>
      <c r="E4">
        <f>INDEX(BYEs!$B$2:$B$34,MATCH(F4,BYEs!$A$2:$A$34,0))</f>
        <v>13</v>
      </c>
      <c r="F4" t="str">
        <f>RB_Raw!B4</f>
        <v>CAR</v>
      </c>
      <c r="G4" s="206">
        <v>0</v>
      </c>
      <c r="H4" s="207">
        <v>0</v>
      </c>
      <c r="I4" s="206">
        <f>RB_Raw!C4</f>
        <v>237.7</v>
      </c>
      <c r="J4" s="204">
        <f>RB_Raw!D4</f>
        <v>1057.9000000000001</v>
      </c>
      <c r="K4" s="207">
        <f>RB_Raw!E4</f>
        <v>7.6</v>
      </c>
      <c r="L4" s="206">
        <f>RB_Raw!F4</f>
        <v>89</v>
      </c>
      <c r="M4" s="204">
        <f>RB_Raw!G4</f>
        <v>757.6</v>
      </c>
      <c r="N4" s="207">
        <f>RB_Raw!H4</f>
        <v>4.0999999999999996</v>
      </c>
      <c r="O4" s="204">
        <f>RB_Raw!I4</f>
        <v>1.4</v>
      </c>
      <c r="P4" s="209">
        <f>(J4*RBRushingYd)+(K4*RBRushingTD)+(L4*RBReceptions)+(M4*RBRecYd)+(N4*RBRecTD)+(O4*RBFuml)+(I4*RBRushAtt)</f>
        <v>293.45000000000005</v>
      </c>
      <c r="Q4" t="str">
        <f ca="1">IF(A4&lt;=RBStarters,"Starter",IF(A4&gt;RBStarters+RBBench,"Undrafted","Bench"))</f>
        <v>Starter</v>
      </c>
      <c r="R4">
        <f ca="1">IFERROR(MAX(P4-LARGE(RBSheetCount,RBStarters),0),0)</f>
        <v>125.07000000000005</v>
      </c>
      <c r="S4">
        <f ca="1">IFERROR(IF(AllowNegative="Yes",P4-LARGE(RBSheetCount,RBCount),MAX(P4-LARGE(RBSheetCount,RBCount),0)),0)</f>
        <v>211.26000000000005</v>
      </c>
      <c r="T4" s="85">
        <f ca="1">(S4-R4)*BenchPF+R4*StarterPF</f>
        <v>62.412784410400263</v>
      </c>
      <c r="U4" s="85">
        <f ca="1">T4*Auction!$A$2</f>
        <v>62.412784410400263</v>
      </c>
      <c r="V4" s="6" t="str">
        <f>IF(OR(INDEX(Auction!$H$13:$H$656,MATCH(B4,Auction!$A$13:$A$656,0))&gt;0,IFERROR(INDEX(CheatSheet!$M$5:$M$64,MATCH(B4,CheatSheet!$J$5:$J$64,0)),"")&lt;&gt;""),"Yes","No")</f>
        <v>No</v>
      </c>
      <c r="W4" s="179"/>
      <c r="Y4" s="78">
        <f t="shared" ca="1" si="0"/>
        <v>1</v>
      </c>
      <c r="Z4">
        <f t="shared" ca="1" si="1"/>
        <v>168.16500000000005</v>
      </c>
      <c r="AA4" s="116" t="str">
        <f t="shared" ca="1" si="2"/>
        <v>RB2</v>
      </c>
      <c r="AB4">
        <f ca="1">Z4*LeagueInfo!$H$5</f>
        <v>61.923119005634732</v>
      </c>
    </row>
    <row r="5" spans="1:28" x14ac:dyDescent="0.25">
      <c r="A5" cm="1">
        <f t="array" aca="1" ref="A5" ca="1">RANK(P5,RBSheetCount)</f>
        <v>3</v>
      </c>
      <c r="B5" t="str">
        <f>RB_Raw!A5</f>
        <v>Austin Ekeler</v>
      </c>
      <c r="C5" t="s">
        <v>28</v>
      </c>
      <c r="D5">
        <f>_xlfn.IFNA(INDEX(BYEs!$E$2:$E$411,MATCH(B5,BYEs!$D$2:$D$411,0)),"N/A")</f>
        <v>26</v>
      </c>
      <c r="E5">
        <f>INDEX(BYEs!$B$2:$B$34,MATCH(F5,BYEs!$A$2:$A$34,0))</f>
        <v>8</v>
      </c>
      <c r="F5" t="str">
        <f>RB_Raw!B5</f>
        <v>LAC</v>
      </c>
      <c r="G5" s="206">
        <v>0</v>
      </c>
      <c r="H5" s="207">
        <v>0</v>
      </c>
      <c r="I5" s="206">
        <f>RB_Raw!C5</f>
        <v>221.1</v>
      </c>
      <c r="J5" s="204">
        <f>RB_Raw!D5</f>
        <v>959.7</v>
      </c>
      <c r="K5" s="207">
        <f>RB_Raw!E5</f>
        <v>9.3000000000000007</v>
      </c>
      <c r="L5" s="206">
        <f>RB_Raw!F5</f>
        <v>73.099999999999994</v>
      </c>
      <c r="M5" s="204">
        <f>RB_Raw!G5</f>
        <v>652.1</v>
      </c>
      <c r="N5" s="207">
        <f>RB_Raw!H5</f>
        <v>5.3</v>
      </c>
      <c r="O5" s="204">
        <f>RB_Raw!I5</f>
        <v>1.5</v>
      </c>
      <c r="P5" s="209">
        <f>(J5*RBRushingYd)+(K5*RBRushingTD)+(L5*RBReceptions)+(M5*RBRecYd)+(N5*RBRecTD)+(O5*RBFuml)+(I5*RBRushAtt)</f>
        <v>282.33</v>
      </c>
      <c r="Q5" t="str">
        <f ca="1">IF(A5&lt;=RBStarters,"Starter",IF(A5&gt;RBStarters+RBBench,"Undrafted","Bench"))</f>
        <v>Starter</v>
      </c>
      <c r="R5">
        <f ca="1">IFERROR(MAX(P5-LARGE(RBSheetCount,RBStarters),0),0)</f>
        <v>113.94999999999999</v>
      </c>
      <c r="S5">
        <f ca="1">IFERROR(IF(AllowNegative="Yes",P5-LARGE(RBSheetCount,RBCount),MAX(P5-LARGE(RBSheetCount,RBCount),0)),0)</f>
        <v>200.14</v>
      </c>
      <c r="T5" s="85">
        <f ca="1">(S5-R5)*BenchPF+R5*StarterPF</f>
        <v>58.253113056130431</v>
      </c>
      <c r="U5" s="85">
        <f ca="1">T5*Auction!$A$2</f>
        <v>58.253113056130431</v>
      </c>
      <c r="V5" s="6" t="str">
        <f>IF(OR(INDEX(Auction!$H$13:$H$656,MATCH(B5,Auction!$A$13:$A$656,0))&gt;0,IFERROR(INDEX(CheatSheet!$M$5:$M$64,MATCH(B5,CheatSheet!$J$5:$J$64,0)),"")&lt;&gt;""),"Yes","No")</f>
        <v>No</v>
      </c>
      <c r="W5" s="179"/>
      <c r="Y5" s="78">
        <f t="shared" ca="1" si="0"/>
        <v>1</v>
      </c>
      <c r="Z5">
        <f t="shared" ca="1" si="1"/>
        <v>157.04499999999999</v>
      </c>
      <c r="AA5" s="116" t="str">
        <f t="shared" ca="1" si="2"/>
        <v>RB2</v>
      </c>
      <c r="AB5">
        <f ca="1">Z5*LeagueInfo!$H$5</f>
        <v>57.828419850979117</v>
      </c>
    </row>
    <row r="6" spans="1:28" x14ac:dyDescent="0.25">
      <c r="A6" cm="1">
        <f t="array" aca="1" ref="A6" ca="1">RANK(P6,RBSheetCount)</f>
        <v>4</v>
      </c>
      <c r="B6" t="str">
        <f>RB_Raw!A3</f>
        <v>Derrick Henry</v>
      </c>
      <c r="C6" t="s">
        <v>28</v>
      </c>
      <c r="D6">
        <f>_xlfn.IFNA(INDEX(BYEs!$E$2:$E$411,MATCH(B6,BYEs!$D$2:$D$411,0)),"N/A")</f>
        <v>27</v>
      </c>
      <c r="E6">
        <f>INDEX(BYEs!$B$2:$B$34,MATCH(F6,BYEs!$A$2:$A$34,0))</f>
        <v>6</v>
      </c>
      <c r="F6" t="str">
        <f>RB_Raw!B3</f>
        <v>TEN</v>
      </c>
      <c r="G6" s="206">
        <v>0</v>
      </c>
      <c r="H6" s="207">
        <v>0</v>
      </c>
      <c r="I6" s="206">
        <f>RB_Raw!C3</f>
        <v>365.9</v>
      </c>
      <c r="J6" s="204">
        <f>RB_Raw!D3</f>
        <v>1639.3</v>
      </c>
      <c r="K6" s="207">
        <f>RB_Raw!E3</f>
        <v>13</v>
      </c>
      <c r="L6" s="206">
        <f>RB_Raw!F3</f>
        <v>27.4</v>
      </c>
      <c r="M6" s="204">
        <f>RB_Raw!G3</f>
        <v>216</v>
      </c>
      <c r="N6" s="207">
        <f>RB_Raw!H3</f>
        <v>0.9</v>
      </c>
      <c r="O6" s="204">
        <f>RB_Raw!I3</f>
        <v>2</v>
      </c>
      <c r="P6" s="209">
        <f>(J6*RBRushingYd)+(K6*RBRushingTD)+(L6*RBReceptions)+(M6*RBRecYd)+(N6*RBRecTD)+(O6*RBFuml)+(I6*RBRushAtt)</f>
        <v>278.63</v>
      </c>
      <c r="Q6" t="str">
        <f ca="1">IF(A6&lt;=RBStarters,"Starter",IF(A6&gt;RBStarters+RBBench,"Undrafted","Bench"))</f>
        <v>Starter</v>
      </c>
      <c r="R6">
        <f ca="1">IFERROR(MAX(P6-LARGE(RBSheetCount,RBStarters),0),0)</f>
        <v>110.25</v>
      </c>
      <c r="S6">
        <f ca="1">IFERROR(IF(AllowNegative="Yes",P6-LARGE(RBSheetCount,RBCount),MAX(P6-LARGE(RBSheetCount,RBCount),0)),0)</f>
        <v>196.44</v>
      </c>
      <c r="T6" s="85">
        <f ca="1">(S6-R6)*BenchPF+R6*StarterPF</f>
        <v>56.869049745806848</v>
      </c>
      <c r="U6" s="85">
        <f ca="1">T6*Auction!$A$2</f>
        <v>56.869049745806848</v>
      </c>
      <c r="V6" s="6" t="str">
        <f>IF(OR(INDEX(Auction!$H$13:$H$656,MATCH(B6,Auction!$A$13:$A$656,0))&gt;0,IFERROR(INDEX(CheatSheet!$M$5:$M$64,MATCH(B6,CheatSheet!$J$5:$J$64,0)),"")&lt;&gt;""),"Yes","No")</f>
        <v>No</v>
      </c>
      <c r="W6" s="179"/>
      <c r="Y6" s="78">
        <f t="shared" ca="1" si="0"/>
        <v>1</v>
      </c>
      <c r="Z6">
        <f t="shared" ca="1" si="1"/>
        <v>153.345</v>
      </c>
      <c r="AA6" s="116" t="str">
        <f t="shared" ca="1" si="2"/>
        <v>RB3</v>
      </c>
      <c r="AB6">
        <f ca="1">Z6*LeagueInfo!$H$5</f>
        <v>56.465974988368892</v>
      </c>
    </row>
    <row r="7" spans="1:28" x14ac:dyDescent="0.25">
      <c r="A7" cm="1">
        <f t="array" aca="1" ref="A7" ca="1">RANK(P7,RBSheetCount)</f>
        <v>5</v>
      </c>
      <c r="B7" t="str">
        <f>RB_Raw!A8</f>
        <v>Alvin Kamara</v>
      </c>
      <c r="C7" t="s">
        <v>28</v>
      </c>
      <c r="D7">
        <f>_xlfn.IFNA(INDEX(BYEs!$E$2:$E$411,MATCH(B7,BYEs!$D$2:$D$411,0)),"N/A")</f>
        <v>26</v>
      </c>
      <c r="E7">
        <f>INDEX(BYEs!$B$2:$B$34,MATCH(F7,BYEs!$A$2:$A$34,0))</f>
        <v>14</v>
      </c>
      <c r="F7" t="str">
        <f>RB_Raw!B8</f>
        <v>NO</v>
      </c>
      <c r="G7" s="206">
        <v>0</v>
      </c>
      <c r="H7" s="207">
        <v>0</v>
      </c>
      <c r="I7" s="206">
        <f>RB_Raw!C8</f>
        <v>223.1</v>
      </c>
      <c r="J7" s="204">
        <f>RB_Raw!D8</f>
        <v>978.3</v>
      </c>
      <c r="K7" s="207">
        <f>RB_Raw!E8</f>
        <v>7.9</v>
      </c>
      <c r="L7" s="206">
        <f>RB_Raw!F8</f>
        <v>59.8</v>
      </c>
      <c r="M7" s="204">
        <f>RB_Raw!G8</f>
        <v>526.29999999999995</v>
      </c>
      <c r="N7" s="207">
        <f>RB_Raw!H8</f>
        <v>4.0999999999999996</v>
      </c>
      <c r="O7" s="204">
        <f>RB_Raw!I8</f>
        <v>1.2</v>
      </c>
      <c r="P7" s="209">
        <f>(J7*RBRushingYd)+(K7*RBRushingTD)+(L7*RBReceptions)+(M7*RBRecYd)+(N7*RBRecTD)+(O7*RBFuml)+(I7*RBRushAtt)</f>
        <v>249.96</v>
      </c>
      <c r="Q7" t="str">
        <f ca="1">IF(A7&lt;=RBStarters,"Starter",IF(A7&gt;RBStarters+RBBench,"Undrafted","Bench"))</f>
        <v>Starter</v>
      </c>
      <c r="R7">
        <f ca="1">IFERROR(MAX(P7-LARGE(RBSheetCount,RBStarters),0),0)</f>
        <v>81.580000000000013</v>
      </c>
      <c r="S7">
        <f ca="1">IFERROR(IF(AllowNegative="Yes",P7-LARGE(RBSheetCount,RBCount),MAX(P7-LARGE(RBSheetCount,RBCount),0)),0)</f>
        <v>167.76999999999998</v>
      </c>
      <c r="T7" s="85">
        <f ca="1">(S7-R7)*BenchPF+R7*StarterPF</f>
        <v>46.144429446623811</v>
      </c>
      <c r="U7" s="85">
        <f ca="1">T7*Auction!$A$2</f>
        <v>46.144429446623811</v>
      </c>
      <c r="V7" s="6" t="str">
        <f>IF(OR(INDEX(Auction!$H$13:$H$656,MATCH(B7,Auction!$A$13:$A$656,0))&gt;0,IFERROR(INDEX(CheatSheet!$M$5:$M$64,MATCH(B7,CheatSheet!$J$5:$J$64,0)),"")&lt;&gt;""),"Yes","No")</f>
        <v>No</v>
      </c>
      <c r="W7" s="179"/>
      <c r="Y7" s="78">
        <f t="shared" ca="1" si="0"/>
        <v>1</v>
      </c>
      <c r="Z7">
        <f t="shared" ca="1" si="1"/>
        <v>124.675</v>
      </c>
      <c r="AA7" s="116" t="str">
        <f t="shared" ca="1" si="2"/>
        <v>RB4</v>
      </c>
      <c r="AB7">
        <f ca="1">Z7*LeagueInfo!$H$5</f>
        <v>45.908868444845879</v>
      </c>
    </row>
    <row r="8" spans="1:28" x14ac:dyDescent="0.25">
      <c r="A8" cm="1">
        <f t="array" aca="1" ref="A8" ca="1">RANK(P8,RBSheetCount)</f>
        <v>6</v>
      </c>
      <c r="B8" t="str">
        <f>RB_Raw!A6</f>
        <v>Joe Mixon</v>
      </c>
      <c r="C8" t="s">
        <v>28</v>
      </c>
      <c r="D8">
        <f>_xlfn.IFNA(INDEX(BYEs!$E$2:$E$411,MATCH(B8,BYEs!$D$2:$D$411,0)),"N/A")</f>
        <v>25</v>
      </c>
      <c r="E8">
        <f>INDEX(BYEs!$B$2:$B$34,MATCH(F8,BYEs!$A$2:$A$34,0))</f>
        <v>10</v>
      </c>
      <c r="F8" t="str">
        <f>RB_Raw!B6</f>
        <v>CIN</v>
      </c>
      <c r="G8" s="206">
        <v>0</v>
      </c>
      <c r="H8" s="207">
        <v>0</v>
      </c>
      <c r="I8" s="206">
        <f>RB_Raw!C6</f>
        <v>287.39999999999998</v>
      </c>
      <c r="J8" s="204">
        <f>RB_Raw!D6</f>
        <v>1194.3</v>
      </c>
      <c r="K8" s="207">
        <f>RB_Raw!E6</f>
        <v>9.6999999999999993</v>
      </c>
      <c r="L8" s="206">
        <f>RB_Raw!F6</f>
        <v>46.7</v>
      </c>
      <c r="M8" s="204">
        <f>RB_Raw!G6</f>
        <v>339.4</v>
      </c>
      <c r="N8" s="207">
        <f>RB_Raw!H6</f>
        <v>2.5</v>
      </c>
      <c r="O8" s="204">
        <f>RB_Raw!I6</f>
        <v>1.6</v>
      </c>
      <c r="P8" s="209">
        <f>(J8*RBRushingYd)+(K8*RBRushingTD)+(L8*RBReceptions)+(M8*RBRecYd)+(N8*RBRecTD)+(O8*RBFuml)+(I8*RBRushAtt)</f>
        <v>246.72</v>
      </c>
      <c r="Q8" t="str">
        <f ca="1">IF(A8&lt;=RBStarters,"Starter",IF(A8&gt;RBStarters+RBBench,"Undrafted","Bench"))</f>
        <v>Starter</v>
      </c>
      <c r="R8">
        <f ca="1">IFERROR(MAX(P8-LARGE(RBSheetCount,RBStarters),0),0)</f>
        <v>78.34</v>
      </c>
      <c r="S8">
        <f ca="1">IFERROR(IF(AllowNegative="Yes",P8-LARGE(RBSheetCount,RBCount),MAX(P8-LARGE(RBSheetCount,RBCount),0)),0)</f>
        <v>164.52999999999997</v>
      </c>
      <c r="T8" s="85">
        <f ca="1">(S8-R8)*BenchPF+R8*StarterPF</f>
        <v>44.932438872178288</v>
      </c>
      <c r="U8" s="85">
        <f ca="1">T8*Auction!$A$2</f>
        <v>44.932438872178288</v>
      </c>
      <c r="V8" s="6" t="str">
        <f>IF(OR(INDEX(Auction!$H$13:$H$656,MATCH(B8,Auction!$A$13:$A$656,0))&gt;0,IFERROR(INDEX(CheatSheet!$M$5:$M$64,MATCH(B8,CheatSheet!$J$5:$J$64,0)),"")&lt;&gt;""),"Yes","No")</f>
        <v>No</v>
      </c>
      <c r="W8" s="179"/>
      <c r="Y8" s="78">
        <f t="shared" ca="1" si="0"/>
        <v>1</v>
      </c>
      <c r="Z8">
        <f t="shared" ca="1" si="1"/>
        <v>121.43499999999999</v>
      </c>
      <c r="AA8" s="116" t="str">
        <f t="shared" ca="1" si="2"/>
        <v>RB4</v>
      </c>
      <c r="AB8">
        <f ca="1">Z8*LeagueInfo!$H$5</f>
        <v>44.715808619208815</v>
      </c>
    </row>
    <row r="9" spans="1:28" x14ac:dyDescent="0.25">
      <c r="A9" cm="1">
        <f t="array" aca="1" ref="A9" ca="1">RANK(P9,RBSheetCount)</f>
        <v>7</v>
      </c>
      <c r="B9" t="str">
        <f>RB_Raw!A9</f>
        <v>Najee Harris</v>
      </c>
      <c r="C9" t="s">
        <v>28</v>
      </c>
      <c r="D9" t="str">
        <f>_xlfn.IFNA(INDEX(BYEs!$E$2:$E$411,MATCH(B9,BYEs!$D$2:$D$411,0)),"N/A")</f>
        <v>N/A</v>
      </c>
      <c r="E9">
        <f>INDEX(BYEs!$B$2:$B$34,MATCH(F9,BYEs!$A$2:$A$34,0))</f>
        <v>9</v>
      </c>
      <c r="F9" t="str">
        <f>RB_Raw!B9</f>
        <v>PIT</v>
      </c>
      <c r="G9" s="206">
        <v>0</v>
      </c>
      <c r="H9" s="207">
        <v>0</v>
      </c>
      <c r="I9" s="206">
        <f>RB_Raw!C9</f>
        <v>299.10000000000002</v>
      </c>
      <c r="J9" s="204">
        <f>RB_Raw!D9</f>
        <v>1185.9000000000001</v>
      </c>
      <c r="K9" s="207">
        <f>RB_Raw!E9</f>
        <v>7.7</v>
      </c>
      <c r="L9" s="206">
        <f>RB_Raw!F9</f>
        <v>60.7</v>
      </c>
      <c r="M9" s="204">
        <f>RB_Raw!G9</f>
        <v>397.2</v>
      </c>
      <c r="N9" s="207">
        <f>RB_Raw!H9</f>
        <v>2.1</v>
      </c>
      <c r="O9" s="204">
        <f>RB_Raw!I9</f>
        <v>1.6</v>
      </c>
      <c r="P9" s="209">
        <f>(J9*RBRushingYd)+(K9*RBRushingTD)+(L9*RBReceptions)+(M9*RBRecYd)+(N9*RBRecTD)+(O9*RBFuml)+(I9*RBRushAtt)</f>
        <v>244.26000000000002</v>
      </c>
      <c r="Q9" t="str">
        <f ca="1">IF(A9&lt;=RBStarters,"Starter",IF(A9&gt;RBStarters+RBBench,"Undrafted","Bench"))</f>
        <v>Starter</v>
      </c>
      <c r="R9">
        <f ca="1">IFERROR(MAX(P9-LARGE(RBSheetCount,RBStarters),0),0)</f>
        <v>75.880000000000024</v>
      </c>
      <c r="S9">
        <f ca="1">IFERROR(IF(AllowNegative="Yes",P9-LARGE(RBSheetCount,RBCount),MAX(P9-LARGE(RBSheetCount,RBCount),0)),0)</f>
        <v>162.07</v>
      </c>
      <c r="T9" s="85">
        <f ca="1">(S9-R9)*BenchPF+R9*StarterPF</f>
        <v>44.012223806395582</v>
      </c>
      <c r="U9" s="85">
        <f ca="1">T9*Auction!$A$2</f>
        <v>44.012223806395582</v>
      </c>
      <c r="V9" s="6" t="str">
        <f>IF(OR(INDEX(Auction!$H$13:$H$656,MATCH(B9,Auction!$A$13:$A$656,0))&gt;0,IFERROR(INDEX(CheatSheet!$M$5:$M$64,MATCH(B9,CheatSheet!$J$5:$J$64,0)),"")&lt;&gt;""),"Yes","No")</f>
        <v>No</v>
      </c>
      <c r="W9" s="179"/>
      <c r="Y9" s="78">
        <f t="shared" ca="1" si="0"/>
        <v>1</v>
      </c>
      <c r="Z9">
        <f t="shared" ca="1" si="1"/>
        <v>118.97500000000001</v>
      </c>
      <c r="AA9" s="116" t="str">
        <f t="shared" ca="1" si="2"/>
        <v>RB4</v>
      </c>
      <c r="AB9">
        <f ca="1">Z9*LeagueInfo!$H$5</f>
        <v>43.80996689974365</v>
      </c>
    </row>
    <row r="10" spans="1:28" x14ac:dyDescent="0.25">
      <c r="A10" cm="1">
        <f t="array" aca="1" ref="A10" ca="1">RANK(P10,RBSheetCount)</f>
        <v>8</v>
      </c>
      <c r="B10" t="str">
        <f>RB_Raw!A7</f>
        <v>Dalvin Cook</v>
      </c>
      <c r="C10" t="s">
        <v>28</v>
      </c>
      <c r="D10">
        <f>_xlfn.IFNA(INDEX(BYEs!$E$2:$E$411,MATCH(B10,BYEs!$D$2:$D$411,0)),"N/A")</f>
        <v>26</v>
      </c>
      <c r="E10">
        <f>INDEX(BYEs!$B$2:$B$34,MATCH(F10,BYEs!$A$2:$A$34,0))</f>
        <v>7</v>
      </c>
      <c r="F10" t="str">
        <f>RB_Raw!B7</f>
        <v>MIN</v>
      </c>
      <c r="G10" s="206">
        <v>0</v>
      </c>
      <c r="H10" s="207">
        <v>0</v>
      </c>
      <c r="I10" s="206">
        <f>RB_Raw!C7</f>
        <v>276.2</v>
      </c>
      <c r="J10" s="204">
        <f>RB_Raw!D7</f>
        <v>1242</v>
      </c>
      <c r="K10" s="207">
        <f>RB_Raw!E7</f>
        <v>9.8000000000000007</v>
      </c>
      <c r="L10" s="206">
        <f>RB_Raw!F7</f>
        <v>44.9</v>
      </c>
      <c r="M10" s="204">
        <f>RB_Raw!G7</f>
        <v>334.7</v>
      </c>
      <c r="N10" s="207">
        <f>RB_Raw!H7</f>
        <v>1.5</v>
      </c>
      <c r="O10" s="204">
        <f>RB_Raw!I7</f>
        <v>2.5</v>
      </c>
      <c r="P10" s="209">
        <f>(J10*RBRushingYd)+(K10*RBRushingTD)+(L10*RBReceptions)+(M10*RBRecYd)+(N10*RBRecTD)+(O10*RBFuml)+(I10*RBRushAtt)</f>
        <v>242.92</v>
      </c>
      <c r="Q10" t="str">
        <f ca="1">IF(A10&lt;=RBStarters,"Starter",IF(A10&gt;RBStarters+RBBench,"Undrafted","Bench"))</f>
        <v>Starter</v>
      </c>
      <c r="R10">
        <f ca="1">IFERROR(MAX(P10-LARGE(RBSheetCount,RBStarters),0),0)</f>
        <v>74.539999999999992</v>
      </c>
      <c r="S10">
        <f ca="1">IFERROR(IF(AllowNegative="Yes",P10-LARGE(RBSheetCount,RBCount),MAX(P10-LARGE(RBSheetCount,RBCount),0)),0)</f>
        <v>160.72999999999996</v>
      </c>
      <c r="T10" s="85">
        <f ca="1">(S10-R10)*BenchPF+R10*StarterPF</f>
        <v>43.510968445359467</v>
      </c>
      <c r="U10" s="85">
        <f ca="1">T10*Auction!$A$2</f>
        <v>43.510968445359467</v>
      </c>
      <c r="V10" s="6" t="str">
        <f>IF(OR(INDEX(Auction!$H$13:$H$656,MATCH(B10,Auction!$A$13:$A$656,0))&gt;0,IFERROR(INDEX(CheatSheet!$M$5:$M$64,MATCH(B10,CheatSheet!$J$5:$J$64,0)),"")&lt;&gt;""),"Yes","No")</f>
        <v>No</v>
      </c>
      <c r="W10" s="179"/>
      <c r="Y10" s="78">
        <f t="shared" ca="1" si="0"/>
        <v>1</v>
      </c>
      <c r="Z10">
        <f t="shared" ca="1" si="1"/>
        <v>117.63499999999998</v>
      </c>
      <c r="AA10" s="116" t="str">
        <f t="shared" ca="1" si="2"/>
        <v>RB4</v>
      </c>
      <c r="AB10">
        <f ca="1">Z10*LeagueInfo!$H$5</f>
        <v>43.316540922473983</v>
      </c>
    </row>
    <row r="11" spans="1:28" x14ac:dyDescent="0.25">
      <c r="A11" cm="1">
        <f t="array" aca="1" ref="A11" ca="1">RANK(P11,RBSheetCount)</f>
        <v>9</v>
      </c>
      <c r="B11" t="str">
        <f>RB_Raw!A10</f>
        <v>Aaron Jones</v>
      </c>
      <c r="C11" t="s">
        <v>28</v>
      </c>
      <c r="D11">
        <f>_xlfn.IFNA(INDEX(BYEs!$E$2:$E$411,MATCH(B11,BYEs!$D$2:$D$411,0)),"N/A")</f>
        <v>26</v>
      </c>
      <c r="E11">
        <f>INDEX(BYEs!$B$2:$B$34,MATCH(F11,BYEs!$A$2:$A$34,0))</f>
        <v>14</v>
      </c>
      <c r="F11" t="str">
        <f>RB_Raw!B10</f>
        <v>GB</v>
      </c>
      <c r="G11" s="206">
        <v>0</v>
      </c>
      <c r="H11" s="207">
        <v>0</v>
      </c>
      <c r="I11" s="206">
        <f>RB_Raw!C10</f>
        <v>195.2</v>
      </c>
      <c r="J11" s="204">
        <f>RB_Raw!D10</f>
        <v>935.2</v>
      </c>
      <c r="K11" s="207">
        <f>RB_Raw!E10</f>
        <v>6.2</v>
      </c>
      <c r="L11" s="206">
        <f>RB_Raw!F10</f>
        <v>61.7</v>
      </c>
      <c r="M11" s="204">
        <f>RB_Raw!G10</f>
        <v>505.9</v>
      </c>
      <c r="N11" s="207">
        <f>RB_Raw!H10</f>
        <v>3.9</v>
      </c>
      <c r="O11" s="204">
        <f>RB_Raw!I10</f>
        <v>1.5</v>
      </c>
      <c r="P11" s="209">
        <f>(J11*RBRushingYd)+(K11*RBRushingTD)+(L11*RBReceptions)+(M11*RBRecYd)+(N11*RBRecTD)+(O11*RBFuml)+(I11*RBRushAtt)</f>
        <v>232.56000000000003</v>
      </c>
      <c r="Q11" t="str">
        <f ca="1">IF(A11&lt;=RBStarters,"Starter",IF(A11&gt;RBStarters+RBBench,"Undrafted","Bench"))</f>
        <v>Starter</v>
      </c>
      <c r="R11">
        <f ca="1">IFERROR(MAX(P11-LARGE(RBSheetCount,RBStarters),0),0)</f>
        <v>64.180000000000035</v>
      </c>
      <c r="S11">
        <f ca="1">IFERROR(IF(AllowNegative="Yes",P11-LARGE(RBSheetCount,RBCount),MAX(P11-LARGE(RBSheetCount,RBCount),0)),0)</f>
        <v>150.37</v>
      </c>
      <c r="T11" s="85">
        <f ca="1">(S11-R11)*BenchPF+R11*StarterPF</f>
        <v>39.635591176453438</v>
      </c>
      <c r="U11" s="85">
        <f ca="1">T11*Auction!$A$2</f>
        <v>39.635591176453438</v>
      </c>
      <c r="V11" s="6" t="str">
        <f>IF(OR(INDEX(Auction!$H$13:$H$656,MATCH(B11,Auction!$A$13:$A$656,0))&gt;0,IFERROR(INDEX(CheatSheet!$M$5:$M$64,MATCH(B11,CheatSheet!$J$5:$J$64,0)),"")&lt;&gt;""),"Yes","No")</f>
        <v>No</v>
      </c>
      <c r="W11" s="179"/>
      <c r="Y11" s="78">
        <f t="shared" ca="1" si="0"/>
        <v>1</v>
      </c>
      <c r="Z11">
        <f t="shared" ca="1" si="1"/>
        <v>107.27500000000002</v>
      </c>
      <c r="AA11" s="116" t="str">
        <f t="shared" ca="1" si="2"/>
        <v>RB4</v>
      </c>
      <c r="AB11">
        <f ca="1">Z11*LeagueInfo!$H$5</f>
        <v>39.50169530716537</v>
      </c>
    </row>
    <row r="12" spans="1:28" x14ac:dyDescent="0.25">
      <c r="A12" cm="1">
        <f t="array" aca="1" ref="A12" ca="1">RANK(P12,RBSheetCount)</f>
        <v>10</v>
      </c>
      <c r="B12" t="str">
        <f>RB_Raw!A11</f>
        <v>Leonard Fournette</v>
      </c>
      <c r="C12" t="s">
        <v>28</v>
      </c>
      <c r="D12">
        <f>_xlfn.IFNA(INDEX(BYEs!$E$2:$E$411,MATCH(B12,BYEs!$D$2:$D$411,0)),"N/A")</f>
        <v>26</v>
      </c>
      <c r="E12">
        <f>INDEX(BYEs!$B$2:$B$34,MATCH(F12,BYEs!$A$2:$A$34,0))</f>
        <v>11</v>
      </c>
      <c r="F12" t="str">
        <f>RB_Raw!B11</f>
        <v>TB</v>
      </c>
      <c r="G12" s="206">
        <v>0</v>
      </c>
      <c r="H12" s="207">
        <v>0</v>
      </c>
      <c r="I12" s="206">
        <f>RB_Raw!C11</f>
        <v>230.8</v>
      </c>
      <c r="J12" s="204">
        <f>RB_Raw!D11</f>
        <v>956.1</v>
      </c>
      <c r="K12" s="207">
        <f>RB_Raw!E11</f>
        <v>9</v>
      </c>
      <c r="L12" s="206">
        <f>RB_Raw!F11</f>
        <v>60.4</v>
      </c>
      <c r="M12" s="204">
        <f>RB_Raw!G11</f>
        <v>411.6</v>
      </c>
      <c r="N12" s="207">
        <f>RB_Raw!H11</f>
        <v>2.1</v>
      </c>
      <c r="O12" s="204">
        <f>RB_Raw!I11</f>
        <v>1.3</v>
      </c>
      <c r="P12" s="209">
        <f>(J12*RBRushingYd)+(K12*RBRushingTD)+(L12*RBReceptions)+(M12*RBRecYd)+(N12*RBRecTD)+(O12*RBFuml)+(I12*RBRushAtt)</f>
        <v>230.97</v>
      </c>
      <c r="Q12" t="str">
        <f ca="1">IF(A12&lt;=RBStarters,"Starter",IF(A12&gt;RBStarters+RBBench,"Undrafted","Bench"))</f>
        <v>Starter</v>
      </c>
      <c r="R12">
        <f ca="1">IFERROR(MAX(P12-LARGE(RBSheetCount,RBStarters),0),0)</f>
        <v>62.59</v>
      </c>
      <c r="S12">
        <f ca="1">IFERROR(IF(AllowNegative="Yes",P12-LARGE(RBSheetCount,RBCount),MAX(P12-LARGE(RBSheetCount,RBCount),0)),0)</f>
        <v>148.77999999999997</v>
      </c>
      <c r="T12" s="85">
        <f ca="1">(S12-R12)*BenchPF+R12*StarterPF</f>
        <v>39.040818024179231</v>
      </c>
      <c r="U12" s="85">
        <f ca="1">T12*Auction!$A$2</f>
        <v>39.040818024179231</v>
      </c>
      <c r="V12" s="6" t="str">
        <f>IF(OR(INDEX(Auction!$H$13:$H$656,MATCH(B12,Auction!$A$13:$A$656,0))&gt;0,IFERROR(INDEX(CheatSheet!$M$5:$M$64,MATCH(B12,CheatSheet!$J$5:$J$64,0)),"")&lt;&gt;""),"Yes","No")</f>
        <v>No</v>
      </c>
      <c r="W12" s="179"/>
      <c r="Y12" s="78">
        <f t="shared" ca="1" si="0"/>
        <v>1</v>
      </c>
      <c r="Z12">
        <f t="shared" ca="1" si="1"/>
        <v>105.68499999999999</v>
      </c>
      <c r="AA12" s="116" t="str">
        <f t="shared" ca="1" si="2"/>
        <v>RB4</v>
      </c>
      <c r="AB12">
        <f ca="1">Z12*LeagueInfo!$H$5</f>
        <v>38.916212244584209</v>
      </c>
    </row>
    <row r="13" spans="1:28" x14ac:dyDescent="0.25">
      <c r="A13" cm="1">
        <f t="array" aca="1" ref="A13" ca="1">RANK(P13,RBSheetCount)</f>
        <v>11</v>
      </c>
      <c r="B13" t="str">
        <f>RB_Raw!A16</f>
        <v>D'Andre Swift</v>
      </c>
      <c r="C13" t="s">
        <v>28</v>
      </c>
      <c r="D13" t="str">
        <f>_xlfn.IFNA(INDEX(BYEs!$E$2:$E$411,MATCH(B13,BYEs!$D$2:$D$411,0)),"N/A")</f>
        <v>N/A</v>
      </c>
      <c r="E13">
        <f>INDEX(BYEs!$B$2:$B$34,MATCH(F13,BYEs!$A$2:$A$34,0))</f>
        <v>6</v>
      </c>
      <c r="F13" t="str">
        <f>RB_Raw!B16</f>
        <v>DET</v>
      </c>
      <c r="G13" s="206">
        <v>0</v>
      </c>
      <c r="H13" s="207">
        <v>0</v>
      </c>
      <c r="I13" s="206">
        <f>RB_Raw!C16</f>
        <v>216</v>
      </c>
      <c r="J13" s="204">
        <f>RB_Raw!D16</f>
        <v>916.3</v>
      </c>
      <c r="K13" s="207">
        <f>RB_Raw!E16</f>
        <v>6.5</v>
      </c>
      <c r="L13" s="206">
        <f>RB_Raw!F16</f>
        <v>65.7</v>
      </c>
      <c r="M13" s="204">
        <f>RB_Raw!G16</f>
        <v>487.9</v>
      </c>
      <c r="N13" s="207">
        <f>RB_Raw!H16</f>
        <v>2.6</v>
      </c>
      <c r="O13" s="204">
        <f>RB_Raw!I16</f>
        <v>1.9</v>
      </c>
      <c r="P13" s="209">
        <f>(J13*RBRushingYd)+(K13*RBRushingTD)+(L13*RBReceptions)+(M13*RBRecYd)+(N13*RBRecTD)+(O13*RBFuml)+(I13*RBRushAtt)</f>
        <v>224.06999999999996</v>
      </c>
      <c r="Q13" t="str">
        <f ca="1">IF(A13&lt;=RBStarters,"Starter",IF(A13&gt;RBStarters+RBBench,"Undrafted","Bench"))</f>
        <v>Starter</v>
      </c>
      <c r="R13">
        <f ca="1">IFERROR(MAX(P13-LARGE(RBSheetCount,RBStarters),0),0)</f>
        <v>55.689999999999969</v>
      </c>
      <c r="S13">
        <f ca="1">IFERROR(IF(AllowNegative="Yes",P13-LARGE(RBSheetCount,RBCount),MAX(P13-LARGE(RBSheetCount,RBCount),0)),0)</f>
        <v>141.87999999999994</v>
      </c>
      <c r="T13" s="85">
        <f ca="1">(S13-R13)*BenchPF+R13*StarterPF</f>
        <v>36.459726986008206</v>
      </c>
      <c r="U13" s="85">
        <f ca="1">T13*Auction!$A$2</f>
        <v>36.459726986008206</v>
      </c>
      <c r="V13" s="6" t="str">
        <f>IF(OR(INDEX(Auction!$H$13:$H$656,MATCH(B13,Auction!$A$13:$A$656,0))&gt;0,IFERROR(INDEX(CheatSheet!$M$5:$M$64,MATCH(B13,CheatSheet!$J$5:$J$64,0)),"")&lt;&gt;""),"Yes","No")</f>
        <v>No</v>
      </c>
      <c r="W13" s="179"/>
      <c r="Y13" s="78">
        <f t="shared" ca="1" si="0"/>
        <v>1</v>
      </c>
      <c r="Z13">
        <f t="shared" ca="1" si="1"/>
        <v>98.784999999999954</v>
      </c>
      <c r="AA13" s="116" t="str">
        <f t="shared" ca="1" si="2"/>
        <v>RB5</v>
      </c>
      <c r="AB13">
        <f ca="1">Z13*LeagueInfo!$H$5</f>
        <v>36.375436689986749</v>
      </c>
    </row>
    <row r="14" spans="1:28" x14ac:dyDescent="0.25">
      <c r="A14" cm="1">
        <f t="array" aca="1" ref="A14" ca="1">RANK(P14,RBSheetCount)</f>
        <v>12</v>
      </c>
      <c r="B14" t="str">
        <f>RB_Raw!A15</f>
        <v>Saquon Barkley</v>
      </c>
      <c r="C14" t="s">
        <v>28</v>
      </c>
      <c r="D14">
        <f>_xlfn.IFNA(INDEX(BYEs!$E$2:$E$411,MATCH(B14,BYEs!$D$2:$D$411,0)),"N/A")</f>
        <v>24</v>
      </c>
      <c r="E14">
        <f>INDEX(BYEs!$B$2:$B$34,MATCH(F14,BYEs!$A$2:$A$34,0))</f>
        <v>9</v>
      </c>
      <c r="F14" t="str">
        <f>RB_Raw!B15</f>
        <v>NYG</v>
      </c>
      <c r="G14" s="206">
        <v>0</v>
      </c>
      <c r="H14" s="207">
        <v>0</v>
      </c>
      <c r="I14" s="206">
        <f>RB_Raw!C15</f>
        <v>244.7</v>
      </c>
      <c r="J14" s="204">
        <f>RB_Raw!D15</f>
        <v>1018.4</v>
      </c>
      <c r="K14" s="207">
        <f>RB_Raw!E15</f>
        <v>6.6</v>
      </c>
      <c r="L14" s="206">
        <f>RB_Raw!F15</f>
        <v>57.2</v>
      </c>
      <c r="M14" s="204">
        <f>RB_Raw!G15</f>
        <v>422.4</v>
      </c>
      <c r="N14" s="207">
        <f>RB_Raw!H15</f>
        <v>2.2000000000000002</v>
      </c>
      <c r="O14" s="204">
        <f>RB_Raw!I15</f>
        <v>1.5</v>
      </c>
      <c r="P14" s="209">
        <f>(J14*RBRushingYd)+(K14*RBRushingTD)+(L14*RBReceptions)+(M14*RBRecYd)+(N14*RBRecTD)+(O14*RBFuml)+(I14*RBRushAtt)</f>
        <v>222.48</v>
      </c>
      <c r="Q14" t="str">
        <f ca="1">IF(A14&lt;=RBStarters,"Starter",IF(A14&gt;RBStarters+RBBench,"Undrafted","Bench"))</f>
        <v>Starter</v>
      </c>
      <c r="R14">
        <f ca="1">IFERROR(MAX(P14-LARGE(RBSheetCount,RBStarters),0),0)</f>
        <v>54.099999999999994</v>
      </c>
      <c r="S14">
        <f ca="1">IFERROR(IF(AllowNegative="Yes",P14-LARGE(RBSheetCount,RBCount),MAX(P14-LARGE(RBSheetCount,RBCount),0)),0)</f>
        <v>140.28999999999996</v>
      </c>
      <c r="T14" s="85">
        <f ca="1">(S14-R14)*BenchPF+R14*StarterPF</f>
        <v>35.864953833734027</v>
      </c>
      <c r="U14" s="85">
        <f ca="1">T14*Auction!$A$2</f>
        <v>35.864953833734027</v>
      </c>
      <c r="V14" s="6" t="str">
        <f>IF(OR(INDEX(Auction!$H$13:$H$656,MATCH(B14,Auction!$A$13:$A$656,0))&gt;0,IFERROR(INDEX(CheatSheet!$M$5:$M$64,MATCH(B14,CheatSheet!$J$5:$J$64,0)),"")&lt;&gt;""),"Yes","No")</f>
        <v>No</v>
      </c>
      <c r="W14" s="179"/>
      <c r="Y14" s="78">
        <f t="shared" ca="1" si="0"/>
        <v>1</v>
      </c>
      <c r="Z14">
        <f t="shared" ca="1" si="1"/>
        <v>97.194999999999979</v>
      </c>
      <c r="AA14" s="116" t="str">
        <f t="shared" ca="1" si="2"/>
        <v>RB5</v>
      </c>
      <c r="AB14">
        <f ca="1">Z14*LeagueInfo!$H$5</f>
        <v>35.789953627405609</v>
      </c>
    </row>
    <row r="15" spans="1:28" x14ac:dyDescent="0.25">
      <c r="A15" cm="1">
        <f t="array" aca="1" ref="A15" ca="1">RANK(P15,RBSheetCount)</f>
        <v>13</v>
      </c>
      <c r="B15" t="str">
        <f>RB_Raw!A12</f>
        <v>James Conner</v>
      </c>
      <c r="C15" t="s">
        <v>28</v>
      </c>
      <c r="D15">
        <f>_xlfn.IFNA(INDEX(BYEs!$E$2:$E$411,MATCH(B15,BYEs!$D$2:$D$411,0)),"N/A")</f>
        <v>26</v>
      </c>
      <c r="E15">
        <f>INDEX(BYEs!$B$2:$B$34,MATCH(F15,BYEs!$A$2:$A$34,0))</f>
        <v>13</v>
      </c>
      <c r="F15" t="str">
        <f>RB_Raw!B12</f>
        <v>ARI</v>
      </c>
      <c r="G15" s="206">
        <v>0</v>
      </c>
      <c r="H15" s="207">
        <v>0</v>
      </c>
      <c r="I15" s="206">
        <f>RB_Raw!C12</f>
        <v>227.4</v>
      </c>
      <c r="J15" s="204">
        <f>RB_Raw!D12</f>
        <v>919.9</v>
      </c>
      <c r="K15" s="207">
        <f>RB_Raw!E12</f>
        <v>10.199999999999999</v>
      </c>
      <c r="L15" s="206">
        <f>RB_Raw!F12</f>
        <v>43.4</v>
      </c>
      <c r="M15" s="204">
        <f>RB_Raw!G12</f>
        <v>351.9</v>
      </c>
      <c r="N15" s="207">
        <f>RB_Raw!H12</f>
        <v>2.2999999999999998</v>
      </c>
      <c r="O15" s="204">
        <f>RB_Raw!I12</f>
        <v>1.6</v>
      </c>
      <c r="P15" s="209">
        <f>(J15*RBRushingYd)+(K15*RBRushingTD)+(L15*RBReceptions)+(M15*RBRecYd)+(N15*RBRecTD)+(O15*RBFuml)+(I15*RBRushAtt)</f>
        <v>220.68</v>
      </c>
      <c r="Q15" t="str">
        <f ca="1">IF(A15&lt;=RBStarters,"Starter",IF(A15&gt;RBStarters+RBBench,"Undrafted","Bench"))</f>
        <v>Starter</v>
      </c>
      <c r="R15">
        <f ca="1">IFERROR(MAX(P15-LARGE(RBSheetCount,RBStarters),0),0)</f>
        <v>52.300000000000011</v>
      </c>
      <c r="S15">
        <f ca="1">IFERROR(IF(AllowNegative="Yes",P15-LARGE(RBSheetCount,RBCount),MAX(P15-LARGE(RBSheetCount,RBCount),0)),0)</f>
        <v>138.49</v>
      </c>
      <c r="T15" s="85">
        <f ca="1">(S15-R15)*BenchPF+R15*StarterPF</f>
        <v>35.191625736819859</v>
      </c>
      <c r="U15" s="85">
        <f ca="1">T15*Auction!$A$2</f>
        <v>35.191625736819859</v>
      </c>
      <c r="V15" s="6" t="str">
        <f>IF(OR(INDEX(Auction!$H$13:$H$656,MATCH(B15,Auction!$A$13:$A$656,0))&gt;0,IFERROR(INDEX(CheatSheet!$M$5:$M$64,MATCH(B15,CheatSheet!$J$5:$J$64,0)),"")&lt;&gt;""),"Yes","No")</f>
        <v>No</v>
      </c>
      <c r="W15" s="179"/>
      <c r="Y15" s="78">
        <f t="shared" ca="1" si="0"/>
        <v>1</v>
      </c>
      <c r="Z15">
        <f t="shared" ca="1" si="1"/>
        <v>95.39500000000001</v>
      </c>
      <c r="AA15" s="116" t="str">
        <f t="shared" ca="1" si="2"/>
        <v>RB5</v>
      </c>
      <c r="AB15">
        <f ca="1">Z15*LeagueInfo!$H$5</f>
        <v>35.12714261316281</v>
      </c>
    </row>
    <row r="16" spans="1:28" x14ac:dyDescent="0.25">
      <c r="A16" cm="1">
        <f t="array" aca="1" ref="A16" ca="1">RANK(P16,RBSheetCount)</f>
        <v>14</v>
      </c>
      <c r="B16" t="str">
        <f>RB_Raw!A14</f>
        <v>Javonte Williams</v>
      </c>
      <c r="C16" t="s">
        <v>28</v>
      </c>
      <c r="D16" t="str">
        <f>_xlfn.IFNA(INDEX(BYEs!$E$2:$E$411,MATCH(B16,BYEs!$D$2:$D$411,0)),"N/A")</f>
        <v>N/A</v>
      </c>
      <c r="E16">
        <f>INDEX(BYEs!$B$2:$B$34,MATCH(F16,BYEs!$A$2:$A$34,0))</f>
        <v>9</v>
      </c>
      <c r="F16" t="str">
        <f>RB_Raw!B14</f>
        <v>DEN</v>
      </c>
      <c r="G16" s="206">
        <v>0</v>
      </c>
      <c r="H16" s="207">
        <v>0</v>
      </c>
      <c r="I16" s="206">
        <f>RB_Raw!C14</f>
        <v>232.5</v>
      </c>
      <c r="J16" s="204">
        <f>RB_Raw!D14</f>
        <v>1025.5999999999999</v>
      </c>
      <c r="K16" s="207">
        <f>RB_Raw!E14</f>
        <v>7.8</v>
      </c>
      <c r="L16" s="206">
        <f>RB_Raw!F14</f>
        <v>45.9</v>
      </c>
      <c r="M16" s="204">
        <f>RB_Raw!G14</f>
        <v>345.6</v>
      </c>
      <c r="N16" s="207">
        <f>RB_Raw!H14</f>
        <v>2.7</v>
      </c>
      <c r="O16" s="204">
        <f>RB_Raw!I14</f>
        <v>1.7</v>
      </c>
      <c r="P16" s="209">
        <f>(J16*RBRushingYd)+(K16*RBRushingTD)+(L16*RBReceptions)+(M16*RBRecYd)+(N16*RBRecTD)+(O16*RBFuml)+(I16*RBRushAtt)</f>
        <v>219.67</v>
      </c>
      <c r="Q16" t="str">
        <f ca="1">IF(A16&lt;=RBStarters,"Starter",IF(A16&gt;RBStarters+RBBench,"Undrafted","Bench"))</f>
        <v>Starter</v>
      </c>
      <c r="R16">
        <f ca="1">IFERROR(MAX(P16-LARGE(RBSheetCount,RBStarters),0),0)</f>
        <v>51.289999999999992</v>
      </c>
      <c r="S16">
        <f ca="1">IFERROR(IF(AllowNegative="Yes",P16-LARGE(RBSheetCount,RBCount),MAX(P16-LARGE(RBSheetCount,RBCount),0)),0)</f>
        <v>137.47999999999996</v>
      </c>
      <c r="T16" s="85">
        <f ca="1">(S16-R16)*BenchPF+R16*StarterPF</f>
        <v>34.813813860218005</v>
      </c>
      <c r="U16" s="85">
        <f ca="1">T16*Auction!$A$2</f>
        <v>34.813813860218005</v>
      </c>
      <c r="V16" s="6" t="str">
        <f>IF(OR(INDEX(Auction!$H$13:$H$656,MATCH(B16,Auction!$A$13:$A$656,0))&gt;0,IFERROR(INDEX(CheatSheet!$M$5:$M$64,MATCH(B16,CheatSheet!$J$5:$J$64,0)),"")&lt;&gt;""),"Yes","No")</f>
        <v>No</v>
      </c>
      <c r="W16" s="179"/>
      <c r="Y16" s="78">
        <f t="shared" ca="1" si="0"/>
        <v>1</v>
      </c>
      <c r="Z16">
        <f t="shared" ca="1" si="1"/>
        <v>94.384999999999977</v>
      </c>
      <c r="AA16" s="116" t="str">
        <f t="shared" ca="1" si="2"/>
        <v>RB5</v>
      </c>
      <c r="AB16">
        <f ca="1">Z16*LeagueInfo!$H$5</f>
        <v>34.755231988504335</v>
      </c>
    </row>
    <row r="17" spans="1:28" x14ac:dyDescent="0.25">
      <c r="A17" cm="1">
        <f t="array" aca="1" ref="A17" ca="1">RANK(P17,RBSheetCount)</f>
        <v>15</v>
      </c>
      <c r="B17" t="str">
        <f>RB_Raw!A13</f>
        <v>Nick Chubb</v>
      </c>
      <c r="C17" t="s">
        <v>28</v>
      </c>
      <c r="D17">
        <f>_xlfn.IFNA(INDEX(BYEs!$E$2:$E$411,MATCH(B17,BYEs!$D$2:$D$411,0)),"N/A")</f>
        <v>25</v>
      </c>
      <c r="E17">
        <f>INDEX(BYEs!$B$2:$B$34,MATCH(F17,BYEs!$A$2:$A$34,0))</f>
        <v>9</v>
      </c>
      <c r="F17" t="str">
        <f>RB_Raw!B13</f>
        <v>CLE</v>
      </c>
      <c r="G17" s="206">
        <v>0</v>
      </c>
      <c r="H17" s="207">
        <v>0</v>
      </c>
      <c r="I17" s="206">
        <f>RB_Raw!C13</f>
        <v>249.5</v>
      </c>
      <c r="J17" s="204">
        <f>RB_Raw!D13</f>
        <v>1228.8</v>
      </c>
      <c r="K17" s="207">
        <f>RB_Raw!E13</f>
        <v>8.6</v>
      </c>
      <c r="L17" s="206">
        <f>RB_Raw!F13</f>
        <v>24.8</v>
      </c>
      <c r="M17" s="204">
        <f>RB_Raw!G13</f>
        <v>200</v>
      </c>
      <c r="N17" s="207">
        <f>RB_Raw!H13</f>
        <v>1</v>
      </c>
      <c r="O17" s="204">
        <f>RB_Raw!I13</f>
        <v>1.6</v>
      </c>
      <c r="P17" s="209">
        <f>(J17*RBRushingYd)+(K17*RBRushingTD)+(L17*RBReceptions)+(M17*RBRecYd)+(N17*RBRecTD)+(O17*RBFuml)+(I17*RBRushAtt)</f>
        <v>209.68</v>
      </c>
      <c r="Q17" t="str">
        <f ca="1">IF(A17&lt;=RBStarters,"Starter",IF(A17&gt;RBStarters+RBBench,"Undrafted","Bench"))</f>
        <v>Starter</v>
      </c>
      <c r="R17">
        <f ca="1">IFERROR(MAX(P17-LARGE(RBSheetCount,RBStarters),0),0)</f>
        <v>41.300000000000011</v>
      </c>
      <c r="S17">
        <f ca="1">IFERROR(IF(AllowNegative="Yes",P17-LARGE(RBSheetCount,RBCount),MAX(P17-LARGE(RBSheetCount,RBCount),0)),0)</f>
        <v>127.49</v>
      </c>
      <c r="T17" s="85">
        <f ca="1">(S17-R17)*BenchPF+R17*StarterPF</f>
        <v>31.07684292234433</v>
      </c>
      <c r="U17" s="85">
        <f ca="1">T17*Auction!$A$2</f>
        <v>31.07684292234433</v>
      </c>
      <c r="V17" s="6" t="str">
        <f>IF(OR(INDEX(Auction!$H$13:$H$656,MATCH(B17,Auction!$A$13:$A$656,0))&gt;0,IFERROR(INDEX(CheatSheet!$M$5:$M$64,MATCH(B17,CheatSheet!$J$5:$J$64,0)),"")&lt;&gt;""),"Yes","No")</f>
        <v>No</v>
      </c>
      <c r="W17" s="179"/>
      <c r="Y17" s="78">
        <f t="shared" ca="1" si="0"/>
        <v>1</v>
      </c>
      <c r="Z17">
        <f t="shared" ca="1" si="1"/>
        <v>84.39500000000001</v>
      </c>
      <c r="AA17" s="116" t="str">
        <f t="shared" ca="1" si="2"/>
        <v>RB5</v>
      </c>
      <c r="AB17">
        <f ca="1">Z17*LeagueInfo!$H$5</f>
        <v>31.076630859456738</v>
      </c>
    </row>
    <row r="18" spans="1:28" x14ac:dyDescent="0.25">
      <c r="A18" cm="1">
        <f t="array" aca="1" ref="A18" ca="1">RANK(P18,RBSheetCount)</f>
        <v>16</v>
      </c>
      <c r="B18" t="str">
        <f>RB_Raw!A17</f>
        <v>David Montgomery</v>
      </c>
      <c r="C18" t="s">
        <v>28</v>
      </c>
      <c r="D18">
        <f>_xlfn.IFNA(INDEX(BYEs!$E$2:$E$411,MATCH(B18,BYEs!$D$2:$D$411,0)),"N/A")</f>
        <v>24</v>
      </c>
      <c r="E18">
        <f>INDEX(BYEs!$B$2:$B$34,MATCH(F18,BYEs!$A$2:$A$34,0))</f>
        <v>14</v>
      </c>
      <c r="F18" t="str">
        <f>RB_Raw!B17</f>
        <v>CHI</v>
      </c>
      <c r="G18" s="206">
        <v>0</v>
      </c>
      <c r="H18" s="207">
        <v>0</v>
      </c>
      <c r="I18" s="206">
        <f>RB_Raw!C17</f>
        <v>234.8</v>
      </c>
      <c r="J18" s="204">
        <f>RB_Raw!D17</f>
        <v>948.1</v>
      </c>
      <c r="K18" s="207">
        <f>RB_Raw!E17</f>
        <v>7.6</v>
      </c>
      <c r="L18" s="206">
        <f>RB_Raw!F17</f>
        <v>44.4</v>
      </c>
      <c r="M18" s="204">
        <f>RB_Raw!G17</f>
        <v>345</v>
      </c>
      <c r="N18" s="207">
        <f>RB_Raw!H17</f>
        <v>1.8</v>
      </c>
      <c r="O18" s="204">
        <f>RB_Raw!I17</f>
        <v>1.4</v>
      </c>
      <c r="P18" s="209">
        <f>(J18*RBRushingYd)+(K18*RBRushingTD)+(L18*RBReceptions)+(M18*RBRecYd)+(N18*RBRecTD)+(O18*RBFuml)+(I18*RBRushAtt)</f>
        <v>205.10999999999999</v>
      </c>
      <c r="Q18" t="str">
        <f ca="1">IF(A18&lt;=RBStarters,"Starter",IF(A18&gt;RBStarters+RBBench,"Undrafted","Bench"))</f>
        <v>Starter</v>
      </c>
      <c r="R18">
        <f ca="1">IFERROR(MAX(P18-LARGE(RBSheetCount,RBStarters),0),0)</f>
        <v>36.72999999999999</v>
      </c>
      <c r="S18">
        <f ca="1">IFERROR(IF(AllowNegative="Yes",P18-LARGE(RBSheetCount,RBCount),MAX(P18-LARGE(RBSheetCount,RBCount),0)),0)</f>
        <v>122.91999999999997</v>
      </c>
      <c r="T18" s="85">
        <f ca="1">(S18-R18)*BenchPF+R18*StarterPF</f>
        <v>29.367337698512216</v>
      </c>
      <c r="U18" s="85">
        <f ca="1">T18*Auction!$A$2</f>
        <v>29.367337698512216</v>
      </c>
      <c r="V18" s="6" t="str">
        <f>IF(OR(INDEX(Auction!$H$13:$H$656,MATCH(B18,Auction!$A$13:$A$656,0))&gt;0,IFERROR(INDEX(CheatSheet!$M$5:$M$64,MATCH(B18,CheatSheet!$J$5:$J$64,0)),"")&lt;&gt;""),"Yes","No")</f>
        <v>No</v>
      </c>
      <c r="W18" s="179"/>
      <c r="Y18" s="78">
        <f t="shared" ca="1" si="0"/>
        <v>1</v>
      </c>
      <c r="Z18">
        <f t="shared" ca="1" si="1"/>
        <v>79.824999999999989</v>
      </c>
      <c r="AA18" s="116" t="str">
        <f t="shared" ca="1" si="2"/>
        <v>RB5</v>
      </c>
      <c r="AB18">
        <f ca="1">Z18*LeagueInfo!$H$5</f>
        <v>29.393827339962478</v>
      </c>
    </row>
    <row r="19" spans="1:28" x14ac:dyDescent="0.25">
      <c r="A19" cm="1">
        <f t="array" aca="1" ref="A19" ca="1">RANK(P19,RBSheetCount)</f>
        <v>17</v>
      </c>
      <c r="B19" t="str">
        <f>RB_Raw!A18</f>
        <v>Ezekiel Elliott</v>
      </c>
      <c r="C19" t="s">
        <v>28</v>
      </c>
      <c r="D19">
        <f>_xlfn.IFNA(INDEX(BYEs!$E$2:$E$411,MATCH(B19,BYEs!$D$2:$D$411,0)),"N/A")</f>
        <v>26</v>
      </c>
      <c r="E19">
        <f>INDEX(BYEs!$B$2:$B$34,MATCH(F19,BYEs!$A$2:$A$34,0))</f>
        <v>9</v>
      </c>
      <c r="F19" t="str">
        <f>RB_Raw!B18</f>
        <v>DAL</v>
      </c>
      <c r="G19" s="206">
        <v>0</v>
      </c>
      <c r="H19" s="207">
        <v>0</v>
      </c>
      <c r="I19" s="206">
        <f>RB_Raw!C18</f>
        <v>229.9</v>
      </c>
      <c r="J19" s="204">
        <f>RB_Raw!D18</f>
        <v>962.3</v>
      </c>
      <c r="K19" s="207">
        <f>RB_Raw!E18</f>
        <v>7.9</v>
      </c>
      <c r="L19" s="206">
        <f>RB_Raw!F18</f>
        <v>40</v>
      </c>
      <c r="M19" s="204">
        <f>RB_Raw!G18</f>
        <v>273.7</v>
      </c>
      <c r="N19" s="207">
        <f>RB_Raw!H18</f>
        <v>1.8</v>
      </c>
      <c r="O19" s="204">
        <f>RB_Raw!I18</f>
        <v>2.1</v>
      </c>
      <c r="P19" s="209">
        <f>(J19*RBRushingYd)+(K19*RBRushingTD)+(L19*RBReceptions)+(M19*RBRecYd)+(N19*RBRecTD)+(O19*RBFuml)+(I19*RBRushAtt)</f>
        <v>197.60000000000002</v>
      </c>
      <c r="Q19" t="str">
        <f ca="1">IF(A19&lt;=RBStarters,"Starter",IF(A19&gt;RBStarters+RBBench,"Undrafted","Bench"))</f>
        <v>Starter</v>
      </c>
      <c r="R19">
        <f ca="1">IFERROR(MAX(P19-LARGE(RBSheetCount,RBStarters),0),0)</f>
        <v>29.220000000000027</v>
      </c>
      <c r="S19">
        <f ca="1">IFERROR(IF(AllowNegative="Yes",P19-LARGE(RBSheetCount,RBCount),MAX(P19-LARGE(RBSheetCount,RBCount),0)),0)</f>
        <v>115.41000000000001</v>
      </c>
      <c r="T19" s="85">
        <f ca="1">(S19-R19)*BenchPF+R19*StarterPF</f>
        <v>26.558063249720298</v>
      </c>
      <c r="U19" s="85">
        <f ca="1">T19*Auction!$A$2</f>
        <v>26.558063249720298</v>
      </c>
      <c r="V19" s="6" t="str">
        <f>IF(OR(INDEX(Auction!$H$13:$H$656,MATCH(B19,Auction!$A$13:$A$656,0))&gt;0,IFERROR(INDEX(CheatSheet!$M$5:$M$64,MATCH(B19,CheatSheet!$J$5:$J$64,0)),"")&lt;&gt;""),"Yes","No")</f>
        <v>No</v>
      </c>
      <c r="W19" s="179"/>
      <c r="Y19" s="78">
        <f t="shared" ca="1" si="0"/>
        <v>1</v>
      </c>
      <c r="Z19">
        <f t="shared" ca="1" si="1"/>
        <v>72.315000000000026</v>
      </c>
      <c r="AA19" s="116" t="str">
        <f t="shared" ca="1" si="2"/>
        <v>RB6</v>
      </c>
      <c r="AB19">
        <f ca="1">Z19*LeagueInfo!$H$5</f>
        <v>26.628432497204983</v>
      </c>
    </row>
    <row r="20" spans="1:28" x14ac:dyDescent="0.25">
      <c r="A20" cm="1">
        <f t="array" aca="1" ref="A20" ca="1">RANK(P20,RBSheetCount)</f>
        <v>18</v>
      </c>
      <c r="B20" t="str">
        <f>RB_Raw!A24</f>
        <v>Travis Etienne Jr.</v>
      </c>
      <c r="C20" t="s">
        <v>28</v>
      </c>
      <c r="D20" t="str">
        <f>_xlfn.IFNA(INDEX(BYEs!$E$2:$E$411,MATCH(B20,BYEs!$D$2:$D$411,0)),"N/A")</f>
        <v>N/A</v>
      </c>
      <c r="E20">
        <f>INDEX(BYEs!$B$2:$B$34,MATCH(F20,BYEs!$A$2:$A$34,0))</f>
        <v>11</v>
      </c>
      <c r="F20" t="str">
        <f>RB_Raw!B24</f>
        <v>JAC</v>
      </c>
      <c r="G20" s="206">
        <v>0</v>
      </c>
      <c r="H20" s="207">
        <v>0</v>
      </c>
      <c r="I20" s="206">
        <f>RB_Raw!C24</f>
        <v>178.7</v>
      </c>
      <c r="J20" s="204">
        <f>RB_Raw!D24</f>
        <v>823.2</v>
      </c>
      <c r="K20" s="207">
        <f>RB_Raw!E24</f>
        <v>5.7</v>
      </c>
      <c r="L20" s="206">
        <f>RB_Raw!F24</f>
        <v>49.2</v>
      </c>
      <c r="M20" s="204">
        <f>RB_Raw!G24</f>
        <v>401.2</v>
      </c>
      <c r="N20" s="207">
        <f>RB_Raw!H24</f>
        <v>2</v>
      </c>
      <c r="O20" s="204">
        <f>RB_Raw!I24</f>
        <v>1.7</v>
      </c>
      <c r="P20" s="209">
        <f>(J20*RBRushingYd)+(K20*RBRushingTD)+(L20*RBReceptions)+(M20*RBRecYd)+(N20*RBRecTD)+(O20*RBFuml)+(I20*RBRushAtt)</f>
        <v>189.84</v>
      </c>
      <c r="Q20" t="str">
        <f ca="1">IF(A20&lt;=RBStarters,"Starter",IF(A20&gt;RBStarters+RBBench,"Undrafted","Bench"))</f>
        <v>Starter</v>
      </c>
      <c r="R20">
        <f ca="1">IFERROR(MAX(P20-LARGE(RBSheetCount,RBStarters),0),0)</f>
        <v>21.460000000000008</v>
      </c>
      <c r="S20">
        <f ca="1">IFERROR(IF(AllowNegative="Yes",P20-LARGE(RBSheetCount,RBCount),MAX(P20-LARGE(RBSheetCount,RBCount),0)),0)</f>
        <v>107.64999999999999</v>
      </c>
      <c r="T20" s="85">
        <f ca="1">(S20-R20)*BenchPF+R20*StarterPF</f>
        <v>23.655271009690285</v>
      </c>
      <c r="U20" s="85">
        <f ca="1">T20*Auction!$A$2</f>
        <v>23.655271009690285</v>
      </c>
      <c r="V20" s="6" t="str">
        <f>IF(OR(INDEX(Auction!$H$13:$H$656,MATCH(B20,Auction!$A$13:$A$656,0))&gt;0,IFERROR(INDEX(CheatSheet!$M$5:$M$64,MATCH(B20,CheatSheet!$J$5:$J$64,0)),"")&lt;&gt;""),"Yes","No")</f>
        <v>No</v>
      </c>
      <c r="W20" s="179"/>
      <c r="Y20" s="78">
        <f t="shared" ca="1" si="0"/>
        <v>1</v>
      </c>
      <c r="Z20">
        <f t="shared" ca="1" si="1"/>
        <v>64.555000000000007</v>
      </c>
      <c r="AA20" s="116" t="str">
        <f t="shared" ca="1" si="2"/>
        <v>RB6</v>
      </c>
      <c r="AB20">
        <f ca="1">Z20*LeagueInfo!$H$5</f>
        <v>23.770980569135965</v>
      </c>
    </row>
    <row r="21" spans="1:28" x14ac:dyDescent="0.25">
      <c r="A21" cm="1">
        <f t="array" aca="1" ref="A21" ca="1">RANK(P21,RBSheetCount)</f>
        <v>19</v>
      </c>
      <c r="B21" t="str">
        <f>RB_Raw!A19</f>
        <v>J.K. Dobbins</v>
      </c>
      <c r="C21" t="s">
        <v>28</v>
      </c>
      <c r="D21" t="str">
        <f>_xlfn.IFNA(INDEX(BYEs!$E$2:$E$411,MATCH(B21,BYEs!$D$2:$D$411,0)),"N/A")</f>
        <v>N/A</v>
      </c>
      <c r="E21">
        <f>INDEX(BYEs!$B$2:$B$34,MATCH(F21,BYEs!$A$2:$A$34,0))</f>
        <v>10</v>
      </c>
      <c r="F21" t="str">
        <f>RB_Raw!B19</f>
        <v>BAL</v>
      </c>
      <c r="G21" s="206">
        <v>0</v>
      </c>
      <c r="H21" s="207">
        <v>0</v>
      </c>
      <c r="I21" s="206">
        <f>RB_Raw!C19</f>
        <v>198.7</v>
      </c>
      <c r="J21" s="204">
        <f>RB_Raw!D19</f>
        <v>956.2</v>
      </c>
      <c r="K21" s="207">
        <f>RB_Raw!E19</f>
        <v>8.4</v>
      </c>
      <c r="L21" s="206">
        <f>RB_Raw!F19</f>
        <v>31.3</v>
      </c>
      <c r="M21" s="204">
        <f>RB_Raw!G19</f>
        <v>228.8</v>
      </c>
      <c r="N21" s="207">
        <f>RB_Raw!H19</f>
        <v>1.1000000000000001</v>
      </c>
      <c r="O21" s="204">
        <f>RB_Raw!I19</f>
        <v>1</v>
      </c>
      <c r="P21" s="209">
        <f>(J21*RBRushingYd)+(K21*RBRushingTD)+(L21*RBReceptions)+(M21*RBRecYd)+(N21*RBRecTD)+(O21*RBFuml)+(I21*RBRushAtt)</f>
        <v>189.15</v>
      </c>
      <c r="Q21" t="str">
        <f ca="1">IF(A21&lt;=RBStarters,"Starter",IF(A21&gt;RBStarters+RBBench,"Undrafted","Bench"))</f>
        <v>Starter</v>
      </c>
      <c r="R21">
        <f ca="1">IFERROR(MAX(P21-LARGE(RBSheetCount,RBStarters),0),0)</f>
        <v>20.77000000000001</v>
      </c>
      <c r="S21">
        <f ca="1">IFERROR(IF(AllowNegative="Yes",P21-LARGE(RBSheetCount,RBCount),MAX(P21-LARGE(RBSheetCount,RBCount),0)),0)</f>
        <v>106.96</v>
      </c>
      <c r="T21" s="85">
        <f ca="1">(S21-R21)*BenchPF+R21*StarterPF</f>
        <v>23.397161905873183</v>
      </c>
      <c r="U21" s="85">
        <f ca="1">T21*Auction!$A$2</f>
        <v>23.397161905873183</v>
      </c>
      <c r="V21" s="6" t="str">
        <f>IF(OR(INDEX(Auction!$H$13:$H$656,MATCH(B21,Auction!$A$13:$A$656,0))&gt;0,IFERROR(INDEX(CheatSheet!$M$5:$M$64,MATCH(B21,CheatSheet!$J$5:$J$64,0)),"")&lt;&gt;""),"Yes","No")</f>
        <v>No</v>
      </c>
      <c r="W21" s="179"/>
      <c r="Y21" s="78">
        <f t="shared" ca="1" si="0"/>
        <v>1</v>
      </c>
      <c r="Z21">
        <f t="shared" ca="1" si="1"/>
        <v>63.865000000000002</v>
      </c>
      <c r="AA21" s="116" t="str">
        <f t="shared" ca="1" si="2"/>
        <v>RB6</v>
      </c>
      <c r="AB21">
        <f ca="1">Z21*LeagueInfo!$H$5</f>
        <v>23.516903013676217</v>
      </c>
    </row>
    <row r="22" spans="1:28" x14ac:dyDescent="0.25">
      <c r="A22" cm="1">
        <f t="array" aca="1" ref="A22" ca="1">RANK(P22,RBSheetCount)</f>
        <v>20</v>
      </c>
      <c r="B22" t="str">
        <f>RB_Raw!A22</f>
        <v>Cam Akers</v>
      </c>
      <c r="C22" t="s">
        <v>28</v>
      </c>
      <c r="D22" t="str">
        <f>_xlfn.IFNA(INDEX(BYEs!$E$2:$E$411,MATCH(B22,BYEs!$D$2:$D$411,0)),"N/A")</f>
        <v>N/A</v>
      </c>
      <c r="E22">
        <f>INDEX(BYEs!$B$2:$B$34,MATCH(F22,BYEs!$A$2:$A$34,0))</f>
        <v>7</v>
      </c>
      <c r="F22" t="str">
        <f>RB_Raw!B22</f>
        <v>LAR</v>
      </c>
      <c r="G22" s="206">
        <v>0</v>
      </c>
      <c r="H22" s="207">
        <v>0</v>
      </c>
      <c r="I22" s="206">
        <f>RB_Raw!C22</f>
        <v>229.8</v>
      </c>
      <c r="J22" s="204">
        <f>RB_Raw!D22</f>
        <v>995.1</v>
      </c>
      <c r="K22" s="207">
        <f>RB_Raw!E22</f>
        <v>6.9</v>
      </c>
      <c r="L22" s="206">
        <f>RB_Raw!F22</f>
        <v>34.4</v>
      </c>
      <c r="M22" s="204">
        <f>RB_Raw!G22</f>
        <v>276.10000000000002</v>
      </c>
      <c r="N22" s="207">
        <f>RB_Raw!H22</f>
        <v>1.6</v>
      </c>
      <c r="O22" s="204">
        <f>RB_Raw!I22</f>
        <v>3.2</v>
      </c>
      <c r="P22" s="209">
        <f>(J22*RBRushingYd)+(K22*RBRushingTD)+(L22*RBReceptions)+(M22*RBRecYd)+(N22*RBRecTD)+(O22*RBFuml)+(I22*RBRushAtt)</f>
        <v>188.92000000000002</v>
      </c>
      <c r="Q22" t="str">
        <f ca="1">IF(A22&lt;=RBStarters,"Starter",IF(A22&gt;RBStarters+RBBench,"Undrafted","Bench"))</f>
        <v>Starter</v>
      </c>
      <c r="R22">
        <f ca="1">IFERROR(MAX(P22-LARGE(RBSheetCount,RBStarters),0),0)</f>
        <v>20.54000000000002</v>
      </c>
      <c r="S22">
        <f ca="1">IFERROR(IF(AllowNegative="Yes",P22-LARGE(RBSheetCount,RBCount),MAX(P22-LARGE(RBSheetCount,RBCount),0)),0)</f>
        <v>106.73</v>
      </c>
      <c r="T22" s="85">
        <f ca="1">(S22-R22)*BenchPF+R22*StarterPF</f>
        <v>23.311125537934153</v>
      </c>
      <c r="U22" s="85">
        <f ca="1">T22*Auction!$A$2</f>
        <v>23.311125537934153</v>
      </c>
      <c r="V22" s="6" t="str">
        <f>IF(OR(INDEX(Auction!$H$13:$H$656,MATCH(B22,Auction!$A$13:$A$656,0))&gt;0,IFERROR(INDEX(CheatSheet!$M$5:$M$64,MATCH(B22,CheatSheet!$J$5:$J$64,0)),"")&lt;&gt;""),"Yes","No")</f>
        <v>No</v>
      </c>
      <c r="W22" s="179"/>
      <c r="Y22" s="78">
        <f t="shared" ca="1" si="0"/>
        <v>1</v>
      </c>
      <c r="Z22">
        <f t="shared" ca="1" si="1"/>
        <v>63.635000000000012</v>
      </c>
      <c r="AA22" s="116" t="str">
        <f t="shared" ca="1" si="2"/>
        <v>RB6</v>
      </c>
      <c r="AB22">
        <f ca="1">Z22*LeagueInfo!$H$5</f>
        <v>23.43221049518964</v>
      </c>
    </row>
    <row r="23" spans="1:28" x14ac:dyDescent="0.25">
      <c r="A23" cm="1">
        <f t="array" aca="1" ref="A23" ca="1">RANK(P23,RBSheetCount)</f>
        <v>21</v>
      </c>
      <c r="B23" t="str">
        <f>RB_Raw!A23</f>
        <v>Josh Jacobs</v>
      </c>
      <c r="C23" t="s">
        <v>28</v>
      </c>
      <c r="D23">
        <f>_xlfn.IFNA(INDEX(BYEs!$E$2:$E$411,MATCH(B23,BYEs!$D$2:$D$411,0)),"N/A")</f>
        <v>23</v>
      </c>
      <c r="E23">
        <f>INDEX(BYEs!$B$2:$B$34,MATCH(F23,BYEs!$A$2:$A$34,0))</f>
        <v>6</v>
      </c>
      <c r="F23" t="str">
        <f>RB_Raw!B23</f>
        <v>LV</v>
      </c>
      <c r="G23" s="206">
        <v>0</v>
      </c>
      <c r="H23" s="207">
        <v>0</v>
      </c>
      <c r="I23" s="206">
        <f>RB_Raw!C23</f>
        <v>223.8</v>
      </c>
      <c r="J23" s="204">
        <f>RB_Raw!D23</f>
        <v>938.9</v>
      </c>
      <c r="K23" s="207">
        <f>RB_Raw!E23</f>
        <v>8.1</v>
      </c>
      <c r="L23" s="206">
        <f>RB_Raw!F23</f>
        <v>37</v>
      </c>
      <c r="M23" s="204">
        <f>RB_Raw!G23</f>
        <v>258.7</v>
      </c>
      <c r="N23" s="207">
        <f>RB_Raw!H23</f>
        <v>0.8</v>
      </c>
      <c r="O23" s="204">
        <f>RB_Raw!I23</f>
        <v>1.9</v>
      </c>
      <c r="P23" s="209">
        <f>(J23*RBRushingYd)+(K23*RBRushingTD)+(L23*RBReceptions)+(M23*RBRecYd)+(N23*RBRecTD)+(O23*RBFuml)+(I23*RBRushAtt)</f>
        <v>187.86</v>
      </c>
      <c r="Q23" t="str">
        <f ca="1">IF(A23&lt;=RBStarters,"Starter",IF(A23&gt;RBStarters+RBBench,"Undrafted","Bench"))</f>
        <v>Starter</v>
      </c>
      <c r="R23">
        <f ca="1">IFERROR(MAX(P23-LARGE(RBSheetCount,RBStarters),0),0)</f>
        <v>19.480000000000018</v>
      </c>
      <c r="S23">
        <f ca="1">IFERROR(IF(AllowNegative="Yes",P23-LARGE(RBSheetCount,RBCount),MAX(P23-LARGE(RBSheetCount,RBCount),0)),0)</f>
        <v>105.67</v>
      </c>
      <c r="T23" s="85">
        <f ca="1">(S23-R23)*BenchPF+R23*StarterPF</f>
        <v>22.914610103084691</v>
      </c>
      <c r="U23" s="85">
        <f ca="1">T23*Auction!$A$2</f>
        <v>22.914610103084691</v>
      </c>
      <c r="V23" s="6" t="str">
        <f>IF(OR(INDEX(Auction!$H$13:$H$656,MATCH(B23,Auction!$A$13:$A$656,0))&gt;0,IFERROR(INDEX(CheatSheet!$M$5:$M$64,MATCH(B23,CheatSheet!$J$5:$J$64,0)),"")&lt;&gt;""),"Yes","No")</f>
        <v>No</v>
      </c>
      <c r="W23" s="179"/>
      <c r="Y23" s="78">
        <f t="shared" ca="1" si="0"/>
        <v>1</v>
      </c>
      <c r="Z23">
        <f t="shared" ca="1" si="1"/>
        <v>62.57500000000001</v>
      </c>
      <c r="AA23" s="116" t="str">
        <f t="shared" ca="1" si="2"/>
        <v>RB6</v>
      </c>
      <c r="AB23">
        <f ca="1">Z23*LeagueInfo!$H$5</f>
        <v>23.041888453468871</v>
      </c>
    </row>
    <row r="24" spans="1:28" x14ac:dyDescent="0.25">
      <c r="A24" cm="1">
        <f t="array" aca="1" ref="A24" ca="1">RANK(P24,RBSheetCount)</f>
        <v>22</v>
      </c>
      <c r="B24" t="str">
        <f>RB_Raw!A21</f>
        <v>Elijah Mitchell</v>
      </c>
      <c r="C24" t="s">
        <v>28</v>
      </c>
      <c r="D24" t="str">
        <f>_xlfn.IFNA(INDEX(BYEs!$E$2:$E$411,MATCH(B24,BYEs!$D$2:$D$411,0)),"N/A")</f>
        <v>N/A</v>
      </c>
      <c r="E24">
        <f>INDEX(BYEs!$B$2:$B$34,MATCH(F24,BYEs!$A$2:$A$34,0))</f>
        <v>9</v>
      </c>
      <c r="F24" t="str">
        <f>RB_Raw!B21</f>
        <v>SF</v>
      </c>
      <c r="G24" s="206">
        <v>0</v>
      </c>
      <c r="H24" s="207">
        <v>0</v>
      </c>
      <c r="I24" s="206">
        <f>RB_Raw!C21</f>
        <v>238.8</v>
      </c>
      <c r="J24" s="204">
        <f>RB_Raw!D21</f>
        <v>1022.1</v>
      </c>
      <c r="K24" s="207">
        <f>RB_Raw!E21</f>
        <v>7.3</v>
      </c>
      <c r="L24" s="206">
        <f>RB_Raw!F21</f>
        <v>26.2</v>
      </c>
      <c r="M24" s="204">
        <f>RB_Raw!G21</f>
        <v>199.6</v>
      </c>
      <c r="N24" s="207">
        <f>RB_Raw!H21</f>
        <v>1.3</v>
      </c>
      <c r="O24" s="204">
        <f>RB_Raw!I21</f>
        <v>1.2</v>
      </c>
      <c r="P24" s="209">
        <f>(J24*RBRushingYd)+(K24*RBRushingTD)+(L24*RBReceptions)+(M24*RBRecYd)+(N24*RBRecTD)+(O24*RBFuml)+(I24*RBRushAtt)</f>
        <v>184.47</v>
      </c>
      <c r="Q24" t="str">
        <f ca="1">IF(A24&lt;=RBStarters,"Starter",IF(A24&gt;RBStarters+RBBench,"Undrafted","Bench"))</f>
        <v>Starter</v>
      </c>
      <c r="R24">
        <f ca="1">IFERROR(MAX(P24-LARGE(RBSheetCount,RBStarters),0),0)</f>
        <v>16.090000000000003</v>
      </c>
      <c r="S24">
        <f ca="1">IFERROR(IF(AllowNegative="Yes",P24-LARGE(RBSheetCount,RBCount),MAX(P24-LARGE(RBSheetCount,RBCount),0)),0)</f>
        <v>102.27999999999999</v>
      </c>
      <c r="T24" s="85">
        <f ca="1">(S24-R24)*BenchPF+R24*StarterPF</f>
        <v>21.646508853896322</v>
      </c>
      <c r="U24" s="85">
        <f ca="1">T24*Auction!$A$2</f>
        <v>21.646508853896322</v>
      </c>
      <c r="V24" s="6" t="str">
        <f>IF(OR(INDEX(Auction!$H$13:$H$656,MATCH(B24,Auction!$A$13:$A$656,0))&gt;0,IFERROR(INDEX(CheatSheet!$M$5:$M$64,MATCH(B24,CheatSheet!$J$5:$J$64,0)),"")&lt;&gt;""),"Yes","No")</f>
        <v>No</v>
      </c>
      <c r="W24" s="179"/>
      <c r="Y24" s="78">
        <f t="shared" ca="1" si="0"/>
        <v>1</v>
      </c>
      <c r="Z24">
        <f t="shared" ca="1" si="1"/>
        <v>59.184999999999995</v>
      </c>
      <c r="AA24" s="116" t="str">
        <f t="shared" ca="1" si="2"/>
        <v>RB6</v>
      </c>
      <c r="AB24">
        <f ca="1">Z24*LeagueInfo!$H$5</f>
        <v>21.793594376644904</v>
      </c>
    </row>
    <row r="25" spans="1:28" x14ac:dyDescent="0.25">
      <c r="A25" cm="1">
        <f t="array" aca="1" ref="A25" ca="1">RANK(P25,RBSheetCount)</f>
        <v>23</v>
      </c>
      <c r="B25" t="str">
        <f>RB_Raw!A20</f>
        <v>Damien Harris</v>
      </c>
      <c r="C25" t="s">
        <v>28</v>
      </c>
      <c r="D25">
        <f>_xlfn.IFNA(INDEX(BYEs!$E$2:$E$411,MATCH(B25,BYEs!$D$2:$D$411,0)),"N/A")</f>
        <v>24</v>
      </c>
      <c r="E25">
        <f>INDEX(BYEs!$B$2:$B$34,MATCH(F25,BYEs!$A$2:$A$34,0))</f>
        <v>10</v>
      </c>
      <c r="F25" t="str">
        <f>RB_Raw!B20</f>
        <v>NE</v>
      </c>
      <c r="G25" s="206">
        <v>0</v>
      </c>
      <c r="H25" s="207">
        <v>0</v>
      </c>
      <c r="I25" s="206">
        <f>RB_Raw!C20</f>
        <v>213.3</v>
      </c>
      <c r="J25" s="204">
        <f>RB_Raw!D20</f>
        <v>983.4</v>
      </c>
      <c r="K25" s="207">
        <f>RB_Raw!E20</f>
        <v>10.199999999999999</v>
      </c>
      <c r="L25" s="206">
        <f>RB_Raw!F20</f>
        <v>18.5</v>
      </c>
      <c r="M25" s="204">
        <f>RB_Raw!G20</f>
        <v>138.6</v>
      </c>
      <c r="N25" s="207">
        <f>RB_Raw!H20</f>
        <v>0.5</v>
      </c>
      <c r="O25" s="204">
        <f>RB_Raw!I20</f>
        <v>1.4</v>
      </c>
      <c r="P25" s="209">
        <f>(J25*RBRushingYd)+(K25*RBRushingTD)+(L25*RBReceptions)+(M25*RBRecYd)+(N25*RBRecTD)+(O25*RBFuml)+(I25*RBRushAtt)</f>
        <v>182.84999999999997</v>
      </c>
      <c r="Q25" t="str">
        <f ca="1">IF(A25&lt;=RBStarters,"Starter",IF(A25&gt;RBStarters+RBBench,"Undrafted","Bench"))</f>
        <v>Starter</v>
      </c>
      <c r="R25">
        <f ca="1">IFERROR(MAX(P25-LARGE(RBSheetCount,RBStarters),0),0)</f>
        <v>14.46999999999997</v>
      </c>
      <c r="S25">
        <f ca="1">IFERROR(IF(AllowNegative="Yes",P25-LARGE(RBSheetCount,RBCount),MAX(P25-LARGE(RBSheetCount,RBCount),0)),0)</f>
        <v>100.65999999999995</v>
      </c>
      <c r="T25" s="85">
        <f ca="1">(S25-R25)*BenchPF+R25*StarterPF</f>
        <v>21.040513566673546</v>
      </c>
      <c r="U25" s="85">
        <f ca="1">T25*Auction!$A$2</f>
        <v>21.040513566673546</v>
      </c>
      <c r="V25" s="6" t="str">
        <f>IF(OR(INDEX(Auction!$H$13:$H$656,MATCH(B25,Auction!$A$13:$A$656,0))&gt;0,IFERROR(INDEX(CheatSheet!$M$5:$M$64,MATCH(B25,CheatSheet!$J$5:$J$64,0)),"")&lt;&gt;""),"Yes","No")</f>
        <v>No</v>
      </c>
      <c r="W25" s="179"/>
      <c r="Y25" s="78">
        <f t="shared" ca="1" si="0"/>
        <v>1</v>
      </c>
      <c r="Z25">
        <f t="shared" ca="1" si="1"/>
        <v>57.564999999999962</v>
      </c>
      <c r="AA25" s="116" t="str">
        <f t="shared" ca="1" si="2"/>
        <v>RB6</v>
      </c>
      <c r="AB25">
        <f ca="1">Z25*LeagueInfo!$H$5</f>
        <v>21.197064463826361</v>
      </c>
    </row>
    <row r="26" spans="1:28" x14ac:dyDescent="0.25">
      <c r="A26" cm="1">
        <f t="array" aca="1" ref="A26" ca="1">RANK(P26,RBSheetCount)</f>
        <v>24</v>
      </c>
      <c r="B26" t="str">
        <f>RB_Raw!A25</f>
        <v>Miles Sanders</v>
      </c>
      <c r="C26" t="s">
        <v>28</v>
      </c>
      <c r="D26">
        <f>_xlfn.IFNA(INDEX(BYEs!$E$2:$E$411,MATCH(B26,BYEs!$D$2:$D$411,0)),"N/A")</f>
        <v>24</v>
      </c>
      <c r="E26">
        <f>INDEX(BYEs!$B$2:$B$34,MATCH(F26,BYEs!$A$2:$A$34,0))</f>
        <v>7</v>
      </c>
      <c r="F26" t="str">
        <f>RB_Raw!B25</f>
        <v>PHI</v>
      </c>
      <c r="G26" s="206">
        <v>0</v>
      </c>
      <c r="H26" s="207">
        <v>0</v>
      </c>
      <c r="I26" s="206">
        <f>RB_Raw!C25</f>
        <v>203.2</v>
      </c>
      <c r="J26" s="204">
        <f>RB_Raw!D25</f>
        <v>1032.5999999999999</v>
      </c>
      <c r="K26" s="207">
        <f>RB_Raw!E25</f>
        <v>5.7</v>
      </c>
      <c r="L26" s="206">
        <f>RB_Raw!F25</f>
        <v>30.3</v>
      </c>
      <c r="M26" s="204">
        <f>RB_Raw!G25</f>
        <v>214.6</v>
      </c>
      <c r="N26" s="207">
        <f>RB_Raw!H25</f>
        <v>1.1000000000000001</v>
      </c>
      <c r="O26" s="204">
        <f>RB_Raw!I25</f>
        <v>1.6</v>
      </c>
      <c r="P26" s="209">
        <f>(J26*RBRushingYd)+(K26*RBRushingTD)+(L26*RBReceptions)+(M26*RBRecYd)+(N26*RBRecTD)+(O26*RBFuml)+(I26*RBRushAtt)</f>
        <v>177.47</v>
      </c>
      <c r="Q26" t="str">
        <f ca="1">IF(A26&lt;=RBStarters,"Starter",IF(A26&gt;RBStarters+RBBench,"Undrafted","Bench"))</f>
        <v>Starter</v>
      </c>
      <c r="R26">
        <f ca="1">IFERROR(MAX(P26-LARGE(RBSheetCount,RBStarters),0),0)</f>
        <v>9.0900000000000034</v>
      </c>
      <c r="S26">
        <f ca="1">IFERROR(IF(AllowNegative="Yes",P26-LARGE(RBSheetCount,RBCount),MAX(P26-LARGE(RBSheetCount,RBCount),0)),0)</f>
        <v>95.279999999999987</v>
      </c>
      <c r="T26" s="85">
        <f ca="1">(S26-R26)*BenchPF+R26*StarterPF</f>
        <v>19.028010699230073</v>
      </c>
      <c r="U26" s="85">
        <f ca="1">T26*Auction!$A$2</f>
        <v>19.028010699230073</v>
      </c>
      <c r="V26" s="6" t="str">
        <f>IF(OR(INDEX(Auction!$H$13:$H$656,MATCH(B26,Auction!$A$13:$A$656,0))&gt;0,IFERROR(INDEX(CheatSheet!$M$5:$M$64,MATCH(B26,CheatSheet!$J$5:$J$64,0)),"")&lt;&gt;""),"Yes","No")</f>
        <v>No</v>
      </c>
      <c r="W26" s="179"/>
      <c r="Y26" s="78">
        <f t="shared" ca="1" si="0"/>
        <v>1</v>
      </c>
      <c r="Z26">
        <f t="shared" ca="1" si="1"/>
        <v>52.184999999999995</v>
      </c>
      <c r="AA26" s="116" t="str">
        <f t="shared" ca="1" si="2"/>
        <v>RB7</v>
      </c>
      <c r="AB26">
        <f ca="1">Z26*LeagueInfo!$H$5</f>
        <v>19.215995987922856</v>
      </c>
    </row>
    <row r="27" spans="1:28" x14ac:dyDescent="0.25">
      <c r="A27" cm="1">
        <f t="array" aca="1" ref="A27" ca="1">RANK(P27,RBSheetCount)</f>
        <v>25</v>
      </c>
      <c r="B27" t="str">
        <f>RB_Raw!A26</f>
        <v>Antonio Gibson</v>
      </c>
      <c r="C27" t="s">
        <v>28</v>
      </c>
      <c r="D27" t="str">
        <f>_xlfn.IFNA(INDEX(BYEs!$E$2:$E$411,MATCH(B27,BYEs!$D$2:$D$411,0)),"N/A")</f>
        <v>N/A</v>
      </c>
      <c r="E27">
        <f>INDEX(BYEs!$B$2:$B$34,MATCH(F27,BYEs!$A$2:$A$34,0))</f>
        <v>14</v>
      </c>
      <c r="F27" t="str">
        <f>RB_Raw!B26</f>
        <v>WAS</v>
      </c>
      <c r="G27" s="206">
        <v>0</v>
      </c>
      <c r="H27" s="207">
        <v>0</v>
      </c>
      <c r="I27" s="206">
        <f>RB_Raw!C26</f>
        <v>202</v>
      </c>
      <c r="J27" s="204">
        <f>RB_Raw!D26</f>
        <v>884.2</v>
      </c>
      <c r="K27" s="207">
        <f>RB_Raw!E26</f>
        <v>6.8</v>
      </c>
      <c r="L27" s="206">
        <f>RB_Raw!F26</f>
        <v>33.1</v>
      </c>
      <c r="M27" s="204">
        <f>RB_Raw!G26</f>
        <v>240.3</v>
      </c>
      <c r="N27" s="207">
        <f>RB_Raw!H26</f>
        <v>1.5</v>
      </c>
      <c r="O27" s="204">
        <f>RB_Raw!I26</f>
        <v>2</v>
      </c>
      <c r="P27" s="209">
        <f>(J27*RBRushingYd)+(K27*RBRushingTD)+(L27*RBReceptions)+(M27*RBRecYd)+(N27*RBRecTD)+(O27*RBFuml)+(I27*RBRushAtt)</f>
        <v>174.80000000000004</v>
      </c>
      <c r="Q27" t="str">
        <f ca="1">IF(A27&lt;=RBStarters,"Starter",IF(A27&gt;RBStarters+RBBench,"Undrafted","Bench"))</f>
        <v>Starter</v>
      </c>
      <c r="R27">
        <f ca="1">IFERROR(MAX(P27-LARGE(RBSheetCount,RBStarters),0),0)</f>
        <v>6.4200000000000443</v>
      </c>
      <c r="S27">
        <f ca="1">IFERROR(IF(AllowNegative="Yes",P27-LARGE(RBSheetCount,RBCount),MAX(P27-LARGE(RBSheetCount,RBCount),0)),0)</f>
        <v>92.610000000000028</v>
      </c>
      <c r="T27" s="85">
        <f ca="1">(S27-R27)*BenchPF+R27*StarterPF</f>
        <v>18.029240688807391</v>
      </c>
      <c r="U27" s="85">
        <f ca="1">T27*Auction!$A$2</f>
        <v>18.029240688807391</v>
      </c>
      <c r="V27" s="6" t="str">
        <f>IF(OR(INDEX(Auction!$H$13:$H$656,MATCH(B27,Auction!$A$13:$A$656,0))&gt;0,IFERROR(INDEX(CheatSheet!$M$5:$M$64,MATCH(B27,CheatSheet!$J$5:$J$64,0)),"")&lt;&gt;""),"Yes","No")</f>
        <v>No</v>
      </c>
      <c r="W27" s="179"/>
      <c r="Y27" s="78">
        <f t="shared" ca="1" si="0"/>
        <v>1</v>
      </c>
      <c r="Z27">
        <f t="shared" ca="1" si="1"/>
        <v>49.515000000000036</v>
      </c>
      <c r="AA27" s="116" t="str">
        <f t="shared" ca="1" si="2"/>
        <v>RB7</v>
      </c>
      <c r="AB27">
        <f ca="1">Z27*LeagueInfo!$H$5</f>
        <v>18.232826316796032</v>
      </c>
    </row>
    <row r="28" spans="1:28" x14ac:dyDescent="0.25">
      <c r="A28" cm="1">
        <f t="array" aca="1" ref="A28" ca="1">RANK(P28,RBSheetCount)</f>
        <v>26</v>
      </c>
      <c r="B28" t="str">
        <f>RB_Raw!A27</f>
        <v>AJ Dillon</v>
      </c>
      <c r="C28" t="s">
        <v>28</v>
      </c>
      <c r="D28" t="str">
        <f>_xlfn.IFNA(INDEX(BYEs!$E$2:$E$411,MATCH(B28,BYEs!$D$2:$D$411,0)),"N/A")</f>
        <v>N/A</v>
      </c>
      <c r="E28">
        <f>INDEX(BYEs!$B$2:$B$34,MATCH(F28,BYEs!$A$2:$A$34,0))</f>
        <v>14</v>
      </c>
      <c r="F28" t="str">
        <f>RB_Raw!B27</f>
        <v>GB</v>
      </c>
      <c r="G28" s="206">
        <v>0</v>
      </c>
      <c r="H28" s="207">
        <v>0</v>
      </c>
      <c r="I28" s="206">
        <f>RB_Raw!C27</f>
        <v>182.1</v>
      </c>
      <c r="J28" s="204">
        <f>RB_Raw!D27</f>
        <v>801.7</v>
      </c>
      <c r="K28" s="207">
        <f>RB_Raw!E27</f>
        <v>6.4</v>
      </c>
      <c r="L28" s="206">
        <f>RB_Raw!F27</f>
        <v>33.6</v>
      </c>
      <c r="M28" s="204">
        <f>RB_Raw!G27</f>
        <v>281</v>
      </c>
      <c r="N28" s="207">
        <f>RB_Raw!H27</f>
        <v>1.6</v>
      </c>
      <c r="O28" s="204">
        <f>RB_Raw!I27</f>
        <v>1.2</v>
      </c>
      <c r="P28" s="209">
        <f>(J28*RBRushingYd)+(K28*RBRushingTD)+(L28*RBReceptions)+(M28*RBRecYd)+(N28*RBRecTD)+(O28*RBFuml)+(I28*RBRushAtt)</f>
        <v>170.67000000000002</v>
      </c>
      <c r="Q28" t="str">
        <f ca="1">IF(A28&lt;=RBStarters,"Starter",IF(A28&gt;RBStarters+RBBench,"Undrafted","Bench"))</f>
        <v>Starter</v>
      </c>
      <c r="R28">
        <f ca="1">IFERROR(MAX(P28-LARGE(RBSheetCount,RBStarters),0),0)</f>
        <v>2.2900000000000205</v>
      </c>
      <c r="S28">
        <f ca="1">IFERROR(IF(AllowNegative="Yes",P28-LARGE(RBSheetCount,RBCount),MAX(P28-LARGE(RBSheetCount,RBCount),0)),0)</f>
        <v>88.48</v>
      </c>
      <c r="T28" s="85">
        <f ca="1">(S28-R28)*BenchPF+R28*StarterPF</f>
        <v>16.484326777554298</v>
      </c>
      <c r="U28" s="85">
        <f ca="1">T28*Auction!$A$2</f>
        <v>16.484326777554298</v>
      </c>
      <c r="V28" s="6" t="str">
        <f>IF(OR(INDEX(Auction!$H$13:$H$656,MATCH(B28,Auction!$A$13:$A$656,0))&gt;0,IFERROR(INDEX(CheatSheet!$M$5:$M$64,MATCH(B28,CheatSheet!$J$5:$J$64,0)),"")&lt;&gt;""),"Yes","No")</f>
        <v>No</v>
      </c>
      <c r="W28" s="179"/>
      <c r="Y28" s="78">
        <f t="shared" ca="1" si="0"/>
        <v>1</v>
      </c>
      <c r="Z28">
        <f t="shared" ca="1" si="1"/>
        <v>45.385000000000012</v>
      </c>
      <c r="AA28" s="116" t="str">
        <f t="shared" ca="1" si="2"/>
        <v>RB7</v>
      </c>
      <c r="AB28">
        <f ca="1">Z28*LeagueInfo!$H$5</f>
        <v>16.712043267450017</v>
      </c>
    </row>
    <row r="29" spans="1:28" x14ac:dyDescent="0.25">
      <c r="A29" cm="1">
        <f t="array" aca="1" ref="A29" ca="1">RANK(P29,RBSheetCount)</f>
        <v>27</v>
      </c>
      <c r="B29" t="str">
        <f>RB_Raw!A33</f>
        <v>Tony Pollard</v>
      </c>
      <c r="C29" t="s">
        <v>28</v>
      </c>
      <c r="D29">
        <f>_xlfn.IFNA(INDEX(BYEs!$E$2:$E$411,MATCH(B29,BYEs!$D$2:$D$411,0)),"N/A")</f>
        <v>24</v>
      </c>
      <c r="E29">
        <f>INDEX(BYEs!$B$2:$B$34,MATCH(F29,BYEs!$A$2:$A$34,0))</f>
        <v>9</v>
      </c>
      <c r="F29" t="str">
        <f>RB_Raw!B33</f>
        <v>DAL</v>
      </c>
      <c r="G29" s="206">
        <v>0</v>
      </c>
      <c r="H29" s="207">
        <v>0</v>
      </c>
      <c r="I29" s="206">
        <f>RB_Raw!C33</f>
        <v>158.4</v>
      </c>
      <c r="J29" s="204">
        <f>RB_Raw!D33</f>
        <v>752.5</v>
      </c>
      <c r="K29" s="207">
        <f>RB_Raw!E33</f>
        <v>3.8</v>
      </c>
      <c r="L29" s="206">
        <f>RB_Raw!F33</f>
        <v>47.3</v>
      </c>
      <c r="M29" s="204">
        <f>RB_Raw!G33</f>
        <v>386.1</v>
      </c>
      <c r="N29" s="207">
        <f>RB_Raw!H33</f>
        <v>2</v>
      </c>
      <c r="O29" s="204">
        <f>RB_Raw!I33</f>
        <v>1.3</v>
      </c>
      <c r="P29" s="209">
        <f>(J29*RBRushingYd)+(K29*RBRushingTD)+(L29*RBReceptions)+(M29*RBRecYd)+(N29*RBRecTD)+(O29*RBFuml)+(I29*RBRushAtt)</f>
        <v>169.71</v>
      </c>
      <c r="Q29" t="str">
        <f ca="1">IF(A29&lt;=RBStarters,"Starter",IF(A29&gt;RBStarters+RBBench,"Undrafted","Bench"))</f>
        <v>Starter</v>
      </c>
      <c r="R29">
        <f ca="1">IFERROR(MAX(P29-LARGE(RBSheetCount,RBStarters),0),0)</f>
        <v>1.3300000000000125</v>
      </c>
      <c r="S29">
        <f ca="1">IFERROR(IF(AllowNegative="Yes",P29-LARGE(RBSheetCount,RBCount),MAX(P29-LARGE(RBSheetCount,RBCount),0)),0)</f>
        <v>87.52</v>
      </c>
      <c r="T29" s="85">
        <f ca="1">(S29-R29)*BenchPF+R29*StarterPF</f>
        <v>16.125218459200067</v>
      </c>
      <c r="U29" s="85">
        <f ca="1">T29*Auction!$A$2</f>
        <v>16.125218459200067</v>
      </c>
      <c r="V29" s="6" t="str">
        <f>IF(OR(INDEX(Auction!$H$13:$H$656,MATCH(B29,Auction!$A$13:$A$656,0))&gt;0,IFERROR(INDEX(CheatSheet!$M$5:$M$64,MATCH(B29,CheatSheet!$J$5:$J$64,0)),"")&lt;&gt;""),"Yes","No")</f>
        <v>No</v>
      </c>
      <c r="W29" s="179"/>
      <c r="Y29" s="78">
        <f t="shared" ca="1" si="0"/>
        <v>1</v>
      </c>
      <c r="Z29">
        <f t="shared" ca="1" si="1"/>
        <v>44.425000000000004</v>
      </c>
      <c r="AA29" s="116" t="str">
        <f t="shared" ca="1" si="2"/>
        <v>RB7</v>
      </c>
      <c r="AB29">
        <f ca="1">Z29*LeagueInfo!$H$5</f>
        <v>16.358544059853848</v>
      </c>
    </row>
    <row r="30" spans="1:28" x14ac:dyDescent="0.25">
      <c r="A30" cm="1">
        <f t="array" aca="1" ref="A30" ca="1">RANK(P30,RBSheetCount)</f>
        <v>28</v>
      </c>
      <c r="B30" t="str">
        <f>RB_Raw!A28</f>
        <v>Dameon Pierce</v>
      </c>
      <c r="C30" t="s">
        <v>28</v>
      </c>
      <c r="D30" t="str">
        <f>_xlfn.IFNA(INDEX(BYEs!$E$2:$E$411,MATCH(B30,BYEs!$D$2:$D$411,0)),"N/A")</f>
        <v>N/A</v>
      </c>
      <c r="E30">
        <f>INDEX(BYEs!$B$2:$B$34,MATCH(F30,BYEs!$A$2:$A$34,0))</f>
        <v>6</v>
      </c>
      <c r="F30" t="str">
        <f>RB_Raw!B28</f>
        <v>HOU</v>
      </c>
      <c r="G30" s="206">
        <v>0</v>
      </c>
      <c r="H30" s="207">
        <v>0</v>
      </c>
      <c r="I30" s="206">
        <f>RB_Raw!C28</f>
        <v>208.3</v>
      </c>
      <c r="J30" s="204">
        <f>RB_Raw!D28</f>
        <v>879</v>
      </c>
      <c r="K30" s="207">
        <f>RB_Raw!E28</f>
        <v>6</v>
      </c>
      <c r="L30" s="206">
        <f>RB_Raw!F28</f>
        <v>31.5</v>
      </c>
      <c r="M30" s="204">
        <f>RB_Raw!G28</f>
        <v>249.3</v>
      </c>
      <c r="N30" s="207">
        <f>RB_Raw!H28</f>
        <v>1.3</v>
      </c>
      <c r="O30" s="204">
        <f>RB_Raw!I28</f>
        <v>1.6</v>
      </c>
      <c r="P30" s="209">
        <f>(J30*RBRushingYd)+(K30*RBRushingTD)+(L30*RBReceptions)+(M30*RBRecYd)+(N30*RBRecTD)+(O30*RBFuml)+(I30*RBRushAtt)</f>
        <v>169.18000000000004</v>
      </c>
      <c r="Q30" t="str">
        <f ca="1">IF(A30&lt;=RBStarters,"Starter",IF(A30&gt;RBStarters+RBBench,"Undrafted","Bench"))</f>
        <v>Starter</v>
      </c>
      <c r="R30">
        <f ca="1">IFERROR(MAX(P30-LARGE(RBSheetCount,RBStarters),0),0)</f>
        <v>0.80000000000003979</v>
      </c>
      <c r="S30">
        <f ca="1">IFERROR(IF(AllowNegative="Yes",P30-LARGE(RBSheetCount,RBCount),MAX(P30-LARGE(RBSheetCount,RBCount),0)),0)</f>
        <v>86.990000000000023</v>
      </c>
      <c r="T30" s="85">
        <f ca="1">(S30-R30)*BenchPF+R30*StarterPF</f>
        <v>15.926960741775348</v>
      </c>
      <c r="U30" s="85">
        <f ca="1">T30*Auction!$A$2</f>
        <v>15.926960741775348</v>
      </c>
      <c r="V30" s="6" t="str">
        <f>IF(OR(INDEX(Auction!$H$13:$H$656,MATCH(B30,Auction!$A$13:$A$656,0))&gt;0,IFERROR(INDEX(CheatSheet!$M$5:$M$64,MATCH(B30,CheatSheet!$J$5:$J$64,0)),"")&lt;&gt;""),"Yes","No")</f>
        <v>No</v>
      </c>
      <c r="W30" s="179"/>
      <c r="Y30" s="78">
        <f t="shared" ca="1" si="0"/>
        <v>1</v>
      </c>
      <c r="Z30">
        <f t="shared" ca="1" si="1"/>
        <v>43.895000000000032</v>
      </c>
      <c r="AA30" s="116" t="str">
        <f t="shared" ca="1" si="2"/>
        <v>RB7</v>
      </c>
      <c r="AB30">
        <f ca="1">Z30*LeagueInfo!$H$5</f>
        <v>16.163383038993473</v>
      </c>
    </row>
    <row r="31" spans="1:28" x14ac:dyDescent="0.25">
      <c r="A31" cm="1">
        <f t="array" aca="1" ref="A31" ca="1">RANK(P31,RBSheetCount)</f>
        <v>29</v>
      </c>
      <c r="B31" t="str">
        <f>RB_Raw!A30</f>
        <v>Clyde Edwards-Helaire</v>
      </c>
      <c r="C31" t="s">
        <v>28</v>
      </c>
      <c r="D31" t="str">
        <f>_xlfn.IFNA(INDEX(BYEs!$E$2:$E$411,MATCH(B31,BYEs!$D$2:$D$411,0)),"N/A")</f>
        <v>N/A</v>
      </c>
      <c r="E31">
        <f>INDEX(BYEs!$B$2:$B$34,MATCH(F31,BYEs!$A$2:$A$34,0))</f>
        <v>8</v>
      </c>
      <c r="F31" t="str">
        <f>RB_Raw!B30</f>
        <v>KC</v>
      </c>
      <c r="G31" s="206">
        <v>0</v>
      </c>
      <c r="H31" s="207">
        <v>0</v>
      </c>
      <c r="I31" s="206">
        <f>RB_Raw!C30</f>
        <v>184.4</v>
      </c>
      <c r="J31" s="204">
        <f>RB_Raw!D30</f>
        <v>797.9</v>
      </c>
      <c r="K31" s="207">
        <f>RB_Raw!E30</f>
        <v>5.6</v>
      </c>
      <c r="L31" s="206">
        <f>RB_Raw!F30</f>
        <v>36.200000000000003</v>
      </c>
      <c r="M31" s="204">
        <f>RB_Raw!G30</f>
        <v>268.89999999999998</v>
      </c>
      <c r="N31" s="207">
        <f>RB_Raw!H30</f>
        <v>2.1</v>
      </c>
      <c r="O31" s="204">
        <f>RB_Raw!I30</f>
        <v>1.3</v>
      </c>
      <c r="P31" s="209">
        <f>(J31*RBRushingYd)+(K31*RBRushingTD)+(L31*RBReceptions)+(M31*RBRecYd)+(N31*RBRecTD)+(O31*RBFuml)+(I31*RBRushAtt)</f>
        <v>168.38</v>
      </c>
      <c r="Q31" t="str">
        <f ca="1">IF(A31&lt;=RBStarters,"Starter",IF(A31&gt;RBStarters+RBBench,"Undrafted","Bench"))</f>
        <v>Starter</v>
      </c>
      <c r="R31">
        <f ca="1">IFERROR(MAX(P31-LARGE(RBSheetCount,RBStarters),0),0)</f>
        <v>0</v>
      </c>
      <c r="S31">
        <f ca="1">IFERROR(IF(AllowNegative="Yes",P31-LARGE(RBSheetCount,RBCount),MAX(P31-LARGE(RBSheetCount,RBCount),0)),0)</f>
        <v>86.189999999999984</v>
      </c>
      <c r="T31" s="85">
        <f ca="1">(S31-R31)*BenchPF+R31*StarterPF</f>
        <v>15.627703809813477</v>
      </c>
      <c r="U31" s="85">
        <f ca="1">T31*Auction!$A$2</f>
        <v>15.627703809813477</v>
      </c>
      <c r="V31" s="6" t="str">
        <f>IF(OR(INDEX(Auction!$H$13:$H$656,MATCH(B31,Auction!$A$13:$A$656,0))&gt;0,IFERROR(INDEX(CheatSheet!$M$5:$M$64,MATCH(B31,CheatSheet!$J$5:$J$64,0)),"")&lt;&gt;""),"Yes","No")</f>
        <v>No</v>
      </c>
      <c r="W31" s="179"/>
      <c r="Y31" s="78">
        <f t="shared" ca="1" si="0"/>
        <v>1</v>
      </c>
      <c r="Z31">
        <f t="shared" ca="1" si="1"/>
        <v>43.094999999999992</v>
      </c>
      <c r="AA31" s="116" t="str">
        <f t="shared" ca="1" si="2"/>
        <v>RB7</v>
      </c>
      <c r="AB31">
        <f ca="1">Z31*LeagueInfo!$H$5</f>
        <v>15.868800365996655</v>
      </c>
    </row>
    <row r="32" spans="1:28" x14ac:dyDescent="0.25">
      <c r="A32" cm="1">
        <f t="array" aca="1" ref="A32" ca="1">RANK(P32,RBSheetCount)</f>
        <v>30</v>
      </c>
      <c r="B32" t="str">
        <f>RB_Raw!A31</f>
        <v>Breece Hall</v>
      </c>
      <c r="C32" t="s">
        <v>28</v>
      </c>
      <c r="D32" t="str">
        <f>_xlfn.IFNA(INDEX(BYEs!$E$2:$E$411,MATCH(B32,BYEs!$D$2:$D$411,0)),"N/A")</f>
        <v>N/A</v>
      </c>
      <c r="E32">
        <f>INDEX(BYEs!$B$2:$B$34,MATCH(F32,BYEs!$A$2:$A$34,0))</f>
        <v>10</v>
      </c>
      <c r="F32" t="str">
        <f>RB_Raw!B31</f>
        <v>NYJ</v>
      </c>
      <c r="G32" s="206">
        <v>0</v>
      </c>
      <c r="H32" s="207">
        <v>0</v>
      </c>
      <c r="I32" s="206">
        <f>RB_Raw!C31</f>
        <v>212.5</v>
      </c>
      <c r="J32" s="204">
        <f>RB_Raw!D31</f>
        <v>833.4</v>
      </c>
      <c r="K32" s="207">
        <f>RB_Raw!E31</f>
        <v>5.6</v>
      </c>
      <c r="L32" s="206">
        <f>RB_Raw!F31</f>
        <v>34.9</v>
      </c>
      <c r="M32" s="204">
        <f>RB_Raw!G31</f>
        <v>278</v>
      </c>
      <c r="N32" s="207">
        <f>RB_Raw!H31</f>
        <v>1.4</v>
      </c>
      <c r="O32" s="204">
        <f>RB_Raw!I31</f>
        <v>1.5</v>
      </c>
      <c r="P32" s="209">
        <f>(J32*RBRushingYd)+(K32*RBRushingTD)+(L32*RBReceptions)+(M32*RBRecYd)+(N32*RBRecTD)+(O32*RBFuml)+(I32*RBRushAtt)</f>
        <v>167.59</v>
      </c>
      <c r="Q32" t="str">
        <f ca="1">IF(A32&lt;=RBStarters,"Starter",IF(A32&gt;RBStarters+RBBench,"Undrafted","Bench"))</f>
        <v>Bench</v>
      </c>
      <c r="R32">
        <f ca="1">IFERROR(MAX(P32-LARGE(RBSheetCount,RBStarters),0),0)</f>
        <v>0</v>
      </c>
      <c r="S32">
        <f ca="1">IFERROR(IF(AllowNegative="Yes",P32-LARGE(RBSheetCount,RBCount),MAX(P32-LARGE(RBSheetCount,RBCount),0)),0)</f>
        <v>85.399999999999991</v>
      </c>
      <c r="T32" s="85">
        <f ca="1">(S32-R32)*BenchPF+R32*StarterPF</f>
        <v>15.484463456991195</v>
      </c>
      <c r="U32" s="85">
        <f ca="1">T32*Auction!$A$2</f>
        <v>15.484463456991195</v>
      </c>
      <c r="V32" s="6" t="str">
        <f>IF(OR(INDEX(Auction!$H$13:$H$656,MATCH(B32,Auction!$A$13:$A$656,0))&gt;0,IFERROR(INDEX(CheatSheet!$M$5:$M$64,MATCH(B32,CheatSheet!$J$5:$J$64,0)),"")&lt;&gt;""),"Yes","No")</f>
        <v>No</v>
      </c>
      <c r="W32" s="179"/>
      <c r="Y32" s="78">
        <f t="shared" ca="1" si="0"/>
        <v>1</v>
      </c>
      <c r="Z32">
        <f t="shared" ca="1" si="1"/>
        <v>42.699999999999996</v>
      </c>
      <c r="AA32" s="116" t="str">
        <f t="shared" ca="1" si="2"/>
        <v>RB7</v>
      </c>
      <c r="AB32">
        <f ca="1">Z32*LeagueInfo!$H$5</f>
        <v>15.723350171204483</v>
      </c>
    </row>
    <row r="33" spans="1:28" x14ac:dyDescent="0.25">
      <c r="A33" cm="1">
        <f t="array" aca="1" ref="A33" ca="1">RANK(P33,RBSheetCount)</f>
        <v>31</v>
      </c>
      <c r="B33" t="str">
        <f>RB_Raw!A32</f>
        <v>Devin Singletary</v>
      </c>
      <c r="C33" t="s">
        <v>28</v>
      </c>
      <c r="D33">
        <f>_xlfn.IFNA(INDEX(BYEs!$E$2:$E$411,MATCH(B33,BYEs!$D$2:$D$411,0)),"N/A")</f>
        <v>23</v>
      </c>
      <c r="E33">
        <f>INDEX(BYEs!$B$2:$B$34,MATCH(F33,BYEs!$A$2:$A$34,0))</f>
        <v>7</v>
      </c>
      <c r="F33" t="str">
        <f>RB_Raw!B32</f>
        <v>BUF</v>
      </c>
      <c r="G33" s="206">
        <v>0</v>
      </c>
      <c r="H33" s="207">
        <v>0</v>
      </c>
      <c r="I33" s="206">
        <f>RB_Raw!C32</f>
        <v>182.2</v>
      </c>
      <c r="J33" s="204">
        <f>RB_Raw!D32</f>
        <v>842.5</v>
      </c>
      <c r="K33" s="207">
        <f>RB_Raw!E32</f>
        <v>6</v>
      </c>
      <c r="L33" s="206">
        <f>RB_Raw!F32</f>
        <v>33.5</v>
      </c>
      <c r="M33" s="204">
        <f>RB_Raw!G32</f>
        <v>225.2</v>
      </c>
      <c r="N33" s="207">
        <f>RB_Raw!H32</f>
        <v>1.3</v>
      </c>
      <c r="O33" s="204">
        <f>RB_Raw!I32</f>
        <v>1.3</v>
      </c>
      <c r="P33" s="209">
        <f>(J33*RBRushingYd)+(K33*RBRushingTD)+(L33*RBReceptions)+(M33*RBRecYd)+(N33*RBRecTD)+(O33*RBFuml)+(I33*RBRushAtt)</f>
        <v>164.72000000000003</v>
      </c>
      <c r="Q33" t="str">
        <f ca="1">IF(A33&lt;=RBStarters,"Starter",IF(A33&gt;RBStarters+RBBench,"Undrafted","Bench"))</f>
        <v>Bench</v>
      </c>
      <c r="R33">
        <f ca="1">IFERROR(MAX(P33-LARGE(RBSheetCount,RBStarters),0),0)</f>
        <v>0</v>
      </c>
      <c r="S33">
        <f ca="1">IFERROR(IF(AllowNegative="Yes",P33-LARGE(RBSheetCount,RBCount),MAX(P33-LARGE(RBSheetCount,RBCount),0)),0)</f>
        <v>82.530000000000015</v>
      </c>
      <c r="T33" s="85">
        <f ca="1">(S33-R33)*BenchPF+R33*StarterPF</f>
        <v>14.964083947371003</v>
      </c>
      <c r="U33" s="85">
        <f ca="1">T33*Auction!$A$2</f>
        <v>14.964083947371003</v>
      </c>
      <c r="V33" s="6" t="str">
        <f>IF(OR(INDEX(Auction!$H$13:$H$656,MATCH(B33,Auction!$A$13:$A$656,0))&gt;0,IFERROR(INDEX(CheatSheet!$M$5:$M$64,MATCH(B33,CheatSheet!$J$5:$J$64,0)),"")&lt;&gt;""),"Yes","No")</f>
        <v>No</v>
      </c>
      <c r="W33" s="179"/>
      <c r="Y33" s="78">
        <f t="shared" ca="1" si="0"/>
        <v>1</v>
      </c>
      <c r="Z33">
        <f t="shared" ca="1" si="1"/>
        <v>41.265000000000008</v>
      </c>
      <c r="AA33" s="116" t="str">
        <f t="shared" ca="1" si="2"/>
        <v>RB7</v>
      </c>
      <c r="AB33">
        <f ca="1">Z33*LeagueInfo!$H$5</f>
        <v>15.194942501516469</v>
      </c>
    </row>
    <row r="34" spans="1:28" x14ac:dyDescent="0.25">
      <c r="A34" cm="1">
        <f t="array" aca="1" ref="A34" ca="1">RANK(P34,RBSheetCount)</f>
        <v>32</v>
      </c>
      <c r="B34" t="str">
        <f>RB_Raw!A35</f>
        <v>Cordarrelle Patterson</v>
      </c>
      <c r="C34" t="s">
        <v>28</v>
      </c>
      <c r="D34">
        <f>_xlfn.IFNA(INDEX(BYEs!$E$2:$E$411,MATCH(B34,BYEs!$D$2:$D$411,0)),"N/A")</f>
        <v>30</v>
      </c>
      <c r="E34">
        <f>INDEX(BYEs!$B$2:$B$34,MATCH(F34,BYEs!$A$2:$A$34,0))</f>
        <v>14</v>
      </c>
      <c r="F34" t="str">
        <f>RB_Raw!B35</f>
        <v>ATL</v>
      </c>
      <c r="G34" s="206">
        <v>0</v>
      </c>
      <c r="H34" s="207">
        <v>0</v>
      </c>
      <c r="I34" s="206">
        <f>RB_Raw!C35</f>
        <v>137.30000000000001</v>
      </c>
      <c r="J34" s="204">
        <f>RB_Raw!D35</f>
        <v>601.6</v>
      </c>
      <c r="K34" s="207">
        <f>RB_Raw!E35</f>
        <v>4.5</v>
      </c>
      <c r="L34" s="206">
        <f>RB_Raw!F35</f>
        <v>43.4</v>
      </c>
      <c r="M34" s="204">
        <f>RB_Raw!G35</f>
        <v>397</v>
      </c>
      <c r="N34" s="207">
        <f>RB_Raw!H35</f>
        <v>2.8</v>
      </c>
      <c r="O34" s="204">
        <f>RB_Raw!I35</f>
        <v>0.9</v>
      </c>
      <c r="P34" s="209">
        <f>(J34*RBRushingYd)+(K34*RBRushingTD)+(L34*RBReceptions)+(M34*RBRecYd)+(N34*RBRecTD)+(O34*RBFuml)+(I34*RBRushAtt)</f>
        <v>163.56</v>
      </c>
      <c r="Q34" t="str">
        <f ca="1">IF(A34&lt;=RBStarters,"Starter",IF(A34&gt;RBStarters+RBBench,"Undrafted","Bench"))</f>
        <v>Bench</v>
      </c>
      <c r="R34">
        <f ca="1">IFERROR(MAX(P34-LARGE(RBSheetCount,RBStarters),0),0)</f>
        <v>0</v>
      </c>
      <c r="S34">
        <f ca="1">IFERROR(IF(AllowNegative="Yes",P34-LARGE(RBSheetCount,RBCount),MAX(P34-LARGE(RBSheetCount,RBCount),0)),0)</f>
        <v>81.36999999999999</v>
      </c>
      <c r="T34" s="85">
        <f ca="1">(S34-R34)*BenchPF+R34*StarterPF</f>
        <v>14.75375634069524</v>
      </c>
      <c r="U34" s="85">
        <f ca="1">T34*Auction!$A$2</f>
        <v>14.75375634069524</v>
      </c>
      <c r="V34" s="6" t="str">
        <f>IF(OR(INDEX(Auction!$H$13:$H$656,MATCH(B34,Auction!$A$13:$A$656,0))&gt;0,IFERROR(INDEX(CheatSheet!$M$5:$M$64,MATCH(B34,CheatSheet!$J$5:$J$64,0)),"")&lt;&gt;""),"Yes","No")</f>
        <v>No</v>
      </c>
      <c r="W34" s="179"/>
      <c r="Y34" s="78">
        <f t="shared" ca="1" si="0"/>
        <v>1</v>
      </c>
      <c r="Z34">
        <f t="shared" ca="1" si="1"/>
        <v>40.684999999999995</v>
      </c>
      <c r="AA34" s="116" t="str">
        <f t="shared" ca="1" si="2"/>
        <v>RB7</v>
      </c>
      <c r="AB34">
        <f ca="1">Z34*LeagueInfo!$H$5</f>
        <v>14.981370063593779</v>
      </c>
    </row>
    <row r="35" spans="1:28" x14ac:dyDescent="0.25">
      <c r="A35" cm="1">
        <f t="array" aca="1" ref="A35" ca="1">RANK(P35,RBSheetCount)</f>
        <v>33</v>
      </c>
      <c r="B35" t="str">
        <f>RB_Raw!A36</f>
        <v>Chase Edmonds</v>
      </c>
      <c r="C35" t="s">
        <v>28</v>
      </c>
      <c r="D35">
        <f>_xlfn.IFNA(INDEX(BYEs!$E$2:$E$411,MATCH(B35,BYEs!$D$2:$D$411,0)),"N/A")</f>
        <v>25</v>
      </c>
      <c r="E35">
        <f>INDEX(BYEs!$B$2:$B$34,MATCH(F35,BYEs!$A$2:$A$34,0))</f>
        <v>11</v>
      </c>
      <c r="F35" t="str">
        <f>RB_Raw!B36</f>
        <v>MIA</v>
      </c>
      <c r="G35" s="206">
        <v>0</v>
      </c>
      <c r="H35" s="207">
        <v>0</v>
      </c>
      <c r="I35" s="206">
        <f>RB_Raw!C36</f>
        <v>165.7</v>
      </c>
      <c r="J35" s="204">
        <f>RB_Raw!D36</f>
        <v>723.9</v>
      </c>
      <c r="K35" s="207">
        <f>RB_Raw!E36</f>
        <v>4</v>
      </c>
      <c r="L35" s="206">
        <f>RB_Raw!F36</f>
        <v>48</v>
      </c>
      <c r="M35" s="204">
        <f>RB_Raw!G36</f>
        <v>343.6</v>
      </c>
      <c r="N35" s="207">
        <f>RB_Raw!H36</f>
        <v>1.7</v>
      </c>
      <c r="O35" s="204">
        <f>RB_Raw!I36</f>
        <v>0.9</v>
      </c>
      <c r="P35" s="209">
        <f>(J35*RBRushingYd)+(K35*RBRushingTD)+(L35*RBReceptions)+(M35*RBRecYd)+(N35*RBRecTD)+(O35*RBFuml)+(I35*RBRushAtt)</f>
        <v>163.14999999999998</v>
      </c>
      <c r="Q35" t="str">
        <f ca="1">IF(A35&lt;=RBStarters,"Starter",IF(A35&gt;RBStarters+RBBench,"Undrafted","Bench"))</f>
        <v>Bench</v>
      </c>
      <c r="R35">
        <f ca="1">IFERROR(MAX(P35-LARGE(RBSheetCount,RBStarters),0),0)</f>
        <v>0</v>
      </c>
      <c r="S35">
        <f ca="1">IFERROR(IF(AllowNegative="Yes",P35-LARGE(RBSheetCount,RBCount),MAX(P35-LARGE(RBSheetCount,RBCount),0)),0)</f>
        <v>80.959999999999965</v>
      </c>
      <c r="T35" s="85">
        <f ca="1">(S35-R35)*BenchPF+R35*StarterPF</f>
        <v>14.679416410749493</v>
      </c>
      <c r="U35" s="85">
        <f ca="1">T35*Auction!$A$2</f>
        <v>14.679416410749493</v>
      </c>
      <c r="V35" s="6" t="str">
        <f>IF(OR(INDEX(Auction!$H$13:$H$656,MATCH(B35,Auction!$A$13:$A$656,0))&gt;0,IFERROR(INDEX(CheatSheet!$M$5:$M$64,MATCH(B35,CheatSheet!$J$5:$J$64,0)),"")&lt;&gt;""),"Yes","No")</f>
        <v>No</v>
      </c>
      <c r="W35" s="179"/>
      <c r="Y35" s="78">
        <f t="shared" ref="Y35:Y66" ca="1" si="3">SUMIFS($Z$3:$Z$138,$Z$3:$Z$138,"&gt;0",$V$3:$V$138,"No")/SUMIF($Z$3:$Z$138,"&gt;0")</f>
        <v>1</v>
      </c>
      <c r="Z35">
        <f t="shared" ref="Z35:Z66" ca="1" si="4">AVERAGE(R35:S35)</f>
        <v>40.479999999999983</v>
      </c>
      <c r="AA35" s="116" t="str">
        <f t="shared" ref="AA35:AA66" ca="1" si="5">CONCATENATE("RB",ROUND((LARGE($Z$3:$Z$138,1)-$Z35)/(STDEVP($Z$3:$Z$138)/2)+1,0))</f>
        <v>RB7</v>
      </c>
      <c r="AB35">
        <f ca="1">Z35*LeagueInfo!$H$5</f>
        <v>14.905883253638343</v>
      </c>
    </row>
    <row r="36" spans="1:28" x14ac:dyDescent="0.25">
      <c r="A36" cm="1">
        <f t="array" aca="1" ref="A36" ca="1">RANK(P36,RBSheetCount)</f>
        <v>34</v>
      </c>
      <c r="B36" t="str">
        <f>RB_Raw!A29</f>
        <v>Rashaad Penny</v>
      </c>
      <c r="C36" t="s">
        <v>28</v>
      </c>
      <c r="D36">
        <f>_xlfn.IFNA(INDEX(BYEs!$E$2:$E$411,MATCH(B36,BYEs!$D$2:$D$411,0)),"N/A")</f>
        <v>25</v>
      </c>
      <c r="E36">
        <f>INDEX(BYEs!$B$2:$B$34,MATCH(F36,BYEs!$A$2:$A$34,0))</f>
        <v>11</v>
      </c>
      <c r="F36" t="str">
        <f>RB_Raw!B29</f>
        <v>SEA</v>
      </c>
      <c r="G36" s="206">
        <v>0</v>
      </c>
      <c r="H36" s="207">
        <v>0</v>
      </c>
      <c r="I36" s="206">
        <f>RB_Raw!C29</f>
        <v>189.6</v>
      </c>
      <c r="J36" s="204">
        <f>RB_Raw!D29</f>
        <v>958.8</v>
      </c>
      <c r="K36" s="207">
        <f>RB_Raw!E29</f>
        <v>6.7</v>
      </c>
      <c r="L36" s="206">
        <f>RB_Raw!F29</f>
        <v>19.2</v>
      </c>
      <c r="M36" s="204">
        <f>RB_Raw!G29</f>
        <v>144</v>
      </c>
      <c r="N36" s="207">
        <f>RB_Raw!H29</f>
        <v>0.5</v>
      </c>
      <c r="O36" s="204">
        <f>RB_Raw!I29</f>
        <v>1.2</v>
      </c>
      <c r="P36" s="209">
        <f>(J36*RBRushingYd)+(K36*RBRushingTD)+(L36*RBReceptions)+(M36*RBRecYd)+(N36*RBRecTD)+(O36*RBFuml)+(I36*RBRushAtt)</f>
        <v>160.67999999999998</v>
      </c>
      <c r="Q36" t="str">
        <f ca="1">IF(A36&lt;=RBStarters,"Starter",IF(A36&gt;RBStarters+RBBench,"Undrafted","Bench"))</f>
        <v>Bench</v>
      </c>
      <c r="R36">
        <f ca="1">IFERROR(MAX(P36-LARGE(RBSheetCount,RBStarters),0),0)</f>
        <v>0</v>
      </c>
      <c r="S36">
        <f ca="1">IFERROR(IF(AllowNegative="Yes",P36-LARGE(RBSheetCount,RBCount),MAX(P36-LARGE(RBSheetCount,RBCount),0)),0)</f>
        <v>78.489999999999966</v>
      </c>
      <c r="T36" s="85">
        <f ca="1">(S36-R36)*BenchPF+R36*StarterPF</f>
        <v>14.231563662051974</v>
      </c>
      <c r="U36" s="85">
        <f ca="1">T36*Auction!$A$2</f>
        <v>14.231563662051974</v>
      </c>
      <c r="V36" s="6" t="str">
        <f>IF(OR(INDEX(Auction!$H$13:$H$656,MATCH(B36,Auction!$A$13:$A$656,0))&gt;0,IFERROR(INDEX(CheatSheet!$M$5:$M$64,MATCH(B36,CheatSheet!$J$5:$J$64,0)),"")&lt;&gt;""),"Yes","No")</f>
        <v>No</v>
      </c>
      <c r="W36" s="179"/>
      <c r="Y36" s="78">
        <f t="shared" ca="1" si="3"/>
        <v>1</v>
      </c>
      <c r="Z36">
        <f t="shared" ca="1" si="4"/>
        <v>39.244999999999983</v>
      </c>
      <c r="AA36" s="116" t="str">
        <f t="shared" ca="1" si="5"/>
        <v>RB7</v>
      </c>
      <c r="AB36">
        <f ca="1">Z36*LeagueInfo!$H$5</f>
        <v>14.451121252199526</v>
      </c>
    </row>
    <row r="37" spans="1:28" x14ac:dyDescent="0.25">
      <c r="A37" cm="1">
        <f t="array" aca="1" ref="A37" ca="1">RANK(P37,RBSheetCount)</f>
        <v>35</v>
      </c>
      <c r="B37" t="str">
        <f>RB_Raw!A34</f>
        <v>Rhamondre Stevenson</v>
      </c>
      <c r="C37" t="s">
        <v>28</v>
      </c>
      <c r="D37" t="str">
        <f>_xlfn.IFNA(INDEX(BYEs!$E$2:$E$411,MATCH(B37,BYEs!$D$2:$D$411,0)),"N/A")</f>
        <v>N/A</v>
      </c>
      <c r="E37">
        <f>INDEX(BYEs!$B$2:$B$34,MATCH(F37,BYEs!$A$2:$A$34,0))</f>
        <v>10</v>
      </c>
      <c r="F37" t="str">
        <f>RB_Raw!B34</f>
        <v>NE</v>
      </c>
      <c r="G37" s="206">
        <v>0</v>
      </c>
      <c r="H37" s="207">
        <v>0</v>
      </c>
      <c r="I37" s="206">
        <f>RB_Raw!C34</f>
        <v>174.5</v>
      </c>
      <c r="J37" s="204">
        <f>RB_Raw!D34</f>
        <v>740.5</v>
      </c>
      <c r="K37" s="207">
        <f>RB_Raw!E34</f>
        <v>6.5</v>
      </c>
      <c r="L37" s="206">
        <f>RB_Raw!F34</f>
        <v>32.1</v>
      </c>
      <c r="M37" s="204">
        <f>RB_Raw!G34</f>
        <v>248.5</v>
      </c>
      <c r="N37" s="207">
        <f>RB_Raw!H34</f>
        <v>1.1000000000000001</v>
      </c>
      <c r="O37" s="204">
        <f>RB_Raw!I34</f>
        <v>1</v>
      </c>
      <c r="P37" s="209">
        <f>(J37*RBRushingYd)+(K37*RBRushingTD)+(L37*RBReceptions)+(M37*RBRecYd)+(N37*RBRecTD)+(O37*RBFuml)+(I37*RBRushAtt)</f>
        <v>158.54999999999998</v>
      </c>
      <c r="Q37" t="str">
        <f ca="1">IF(A37&lt;=RBStarters,"Starter",IF(A37&gt;RBStarters+RBBench,"Undrafted","Bench"))</f>
        <v>Bench</v>
      </c>
      <c r="R37">
        <f ca="1">IFERROR(MAX(P37-LARGE(RBSheetCount,RBStarters),0),0)</f>
        <v>0</v>
      </c>
      <c r="S37">
        <f ca="1">IFERROR(IF(AllowNegative="Yes",P37-LARGE(RBSheetCount,RBCount),MAX(P37-LARGE(RBSheetCount,RBCount),0)),0)</f>
        <v>76.359999999999971</v>
      </c>
      <c r="T37" s="85">
        <f ca="1">(S37-R37)*BenchPF+R37*StarterPF</f>
        <v>13.845358660138727</v>
      </c>
      <c r="U37" s="85">
        <f ca="1">T37*Auction!$A$2</f>
        <v>13.845358660138727</v>
      </c>
      <c r="V37" s="6" t="str">
        <f>IF(OR(INDEX(Auction!$H$13:$H$656,MATCH(B37,Auction!$A$13:$A$656,0))&gt;0,IFERROR(INDEX(CheatSheet!$M$5:$M$64,MATCH(B37,CheatSheet!$J$5:$J$64,0)),"")&lt;&gt;""),"Yes","No")</f>
        <v>No</v>
      </c>
      <c r="W37" s="179"/>
      <c r="Y37" s="78">
        <f t="shared" ca="1" si="3"/>
        <v>1</v>
      </c>
      <c r="Z37">
        <f t="shared" ca="1" si="4"/>
        <v>38.179999999999986</v>
      </c>
      <c r="AA37" s="116" t="str">
        <f t="shared" ca="1" si="5"/>
        <v>RB7</v>
      </c>
      <c r="AB37">
        <f ca="1">Z37*LeagueInfo!$H$5</f>
        <v>14.05895806877253</v>
      </c>
    </row>
    <row r="38" spans="1:28" x14ac:dyDescent="0.25">
      <c r="A38" cm="1">
        <f t="array" aca="1" ref="A38" ca="1">RANK(P38,RBSheetCount)</f>
        <v>36</v>
      </c>
      <c r="B38" t="str">
        <f>RB_Raw!A38</f>
        <v>Kareem Hunt</v>
      </c>
      <c r="C38" t="s">
        <v>28</v>
      </c>
      <c r="D38">
        <f>_xlfn.IFNA(INDEX(BYEs!$E$2:$E$411,MATCH(B38,BYEs!$D$2:$D$411,0)),"N/A")</f>
        <v>26</v>
      </c>
      <c r="E38">
        <f>INDEX(BYEs!$B$2:$B$34,MATCH(F38,BYEs!$A$2:$A$34,0))</f>
        <v>9</v>
      </c>
      <c r="F38" t="str">
        <f>RB_Raw!B38</f>
        <v>CLE</v>
      </c>
      <c r="G38" s="206">
        <v>0</v>
      </c>
      <c r="H38" s="207">
        <v>0</v>
      </c>
      <c r="I38" s="206">
        <f>RB_Raw!C38</f>
        <v>135.1</v>
      </c>
      <c r="J38" s="204">
        <f>RB_Raw!D38</f>
        <v>574.5</v>
      </c>
      <c r="K38" s="207">
        <f>RB_Raw!E38</f>
        <v>4.8</v>
      </c>
      <c r="L38" s="206">
        <f>RB_Raw!F38</f>
        <v>41.7</v>
      </c>
      <c r="M38" s="204">
        <f>RB_Raw!G38</f>
        <v>316.39999999999998</v>
      </c>
      <c r="N38" s="207">
        <f>RB_Raw!H38</f>
        <v>1.7</v>
      </c>
      <c r="O38" s="204">
        <f>RB_Raw!I38</f>
        <v>0.8</v>
      </c>
      <c r="P38" s="209">
        <f>(J38*RBRushingYd)+(K38*RBRushingTD)+(L38*RBReceptions)+(M38*RBRecYd)+(N38*RBRecTD)+(O38*RBFuml)+(I38*RBRushAtt)</f>
        <v>147.34</v>
      </c>
      <c r="Q38" t="str">
        <f ca="1">IF(A38&lt;=RBStarters,"Starter",IF(A38&gt;RBStarters+RBBench,"Undrafted","Bench"))</f>
        <v>Bench</v>
      </c>
      <c r="R38">
        <f ca="1">IFERROR(MAX(P38-LARGE(RBSheetCount,RBStarters),0),0)</f>
        <v>0</v>
      </c>
      <c r="S38">
        <f ca="1">IFERROR(IF(AllowNegative="Yes",P38-LARGE(RBSheetCount,RBCount),MAX(P38-LARGE(RBSheetCount,RBCount),0)),0)</f>
        <v>65.149999999999991</v>
      </c>
      <c r="T38" s="85">
        <f ca="1">(S38-R38)*BenchPF+R38*StarterPF</f>
        <v>11.812796185280753</v>
      </c>
      <c r="U38" s="85">
        <f ca="1">T38*Auction!$A$2</f>
        <v>11.812796185280753</v>
      </c>
      <c r="V38" s="6" t="str">
        <f>IF(OR(INDEX(Auction!$H$13:$H$656,MATCH(B38,Auction!$A$13:$A$656,0))&gt;0,IFERROR(INDEX(CheatSheet!$M$5:$M$64,MATCH(B38,CheatSheet!$J$5:$J$64,0)),"")&lt;&gt;""),"Yes","No")</f>
        <v>No</v>
      </c>
      <c r="W38" s="179"/>
      <c r="Y38" s="78">
        <f t="shared" ca="1" si="3"/>
        <v>1</v>
      </c>
      <c r="Z38">
        <f t="shared" ca="1" si="4"/>
        <v>32.574999999999996</v>
      </c>
      <c r="AA38" s="116" t="str">
        <f t="shared" ca="1" si="5"/>
        <v>RB7</v>
      </c>
      <c r="AB38">
        <f ca="1">Z38*LeagueInfo!$H$5</f>
        <v>11.995038216088666</v>
      </c>
    </row>
    <row r="39" spans="1:28" x14ac:dyDescent="0.25">
      <c r="A39" cm="1">
        <f t="array" aca="1" ref="A39" ca="1">RANK(P39,RBSheetCount)</f>
        <v>37</v>
      </c>
      <c r="B39" t="str">
        <f>RB_Raw!A39</f>
        <v>Michael Carter</v>
      </c>
      <c r="C39" t="s">
        <v>28</v>
      </c>
      <c r="D39" t="str">
        <f>_xlfn.IFNA(INDEX(BYEs!$E$2:$E$411,MATCH(B39,BYEs!$D$2:$D$411,0)),"N/A")</f>
        <v>N/A</v>
      </c>
      <c r="E39">
        <f>INDEX(BYEs!$B$2:$B$34,MATCH(F39,BYEs!$A$2:$A$34,0))</f>
        <v>10</v>
      </c>
      <c r="F39" t="str">
        <f>RB_Raw!B39</f>
        <v>NYJ</v>
      </c>
      <c r="G39" s="206">
        <v>0</v>
      </c>
      <c r="H39" s="207">
        <v>0</v>
      </c>
      <c r="I39" s="206">
        <f>RB_Raw!C39</f>
        <v>136.80000000000001</v>
      </c>
      <c r="J39" s="204">
        <f>RB_Raw!D39</f>
        <v>667.2</v>
      </c>
      <c r="K39" s="207">
        <f>RB_Raw!E39</f>
        <v>3.9</v>
      </c>
      <c r="L39" s="206">
        <f>RB_Raw!F39</f>
        <v>35.299999999999997</v>
      </c>
      <c r="M39" s="204">
        <f>RB_Raw!G39</f>
        <v>287.5</v>
      </c>
      <c r="N39" s="207">
        <f>RB_Raw!H39</f>
        <v>1.2</v>
      </c>
      <c r="O39" s="204">
        <f>RB_Raw!I39</f>
        <v>0.9</v>
      </c>
      <c r="P39" s="209">
        <f>(J39*RBRushingYd)+(K39*RBRushingTD)+(L39*RBReceptions)+(M39*RBRecYd)+(N39*RBRecTD)+(O39*RBFuml)+(I39*RBRushAtt)</f>
        <v>141.91999999999999</v>
      </c>
      <c r="Q39" t="str">
        <f ca="1">IF(A39&lt;=RBStarters,"Starter",IF(A39&gt;RBStarters+RBBench,"Undrafted","Bench"))</f>
        <v>Bench</v>
      </c>
      <c r="R39">
        <f ca="1">IFERROR(MAX(P39-LARGE(RBSheetCount,RBStarters),0),0)</f>
        <v>0</v>
      </c>
      <c r="S39">
        <f ca="1">IFERROR(IF(AllowNegative="Yes",P39-LARGE(RBSheetCount,RBCount),MAX(P39-LARGE(RBSheetCount,RBCount),0)),0)</f>
        <v>59.729999999999976</v>
      </c>
      <c r="T39" s="85">
        <f ca="1">(S39-R39)*BenchPF+R39*StarterPF</f>
        <v>10.830058574778498</v>
      </c>
      <c r="U39" s="85">
        <f ca="1">T39*Auction!$A$2</f>
        <v>10.830058574778498</v>
      </c>
      <c r="V39" s="6" t="str">
        <f>IF(OR(INDEX(Auction!$H$13:$H$656,MATCH(B39,Auction!$A$13:$A$656,0))&gt;0,IFERROR(INDEX(CheatSheet!$M$5:$M$64,MATCH(B39,CheatSheet!$J$5:$J$64,0)),"")&lt;&gt;""),"Yes","No")</f>
        <v>No</v>
      </c>
      <c r="W39" s="179"/>
      <c r="Y39" s="78">
        <f t="shared" ca="1" si="3"/>
        <v>1</v>
      </c>
      <c r="Z39">
        <f t="shared" ca="1" si="4"/>
        <v>29.864999999999988</v>
      </c>
      <c r="AA39" s="116" t="str">
        <f t="shared" ca="1" si="5"/>
        <v>RB7</v>
      </c>
      <c r="AB39">
        <f ca="1">Z39*LeagueInfo!$H$5</f>
        <v>10.997139411311984</v>
      </c>
    </row>
    <row r="40" spans="1:28" x14ac:dyDescent="0.25">
      <c r="A40" cm="1">
        <f t="array" aca="1" ref="A40" ca="1">RANK(P40,RBSheetCount)</f>
        <v>38</v>
      </c>
      <c r="B40" t="str">
        <f>RB_Raw!A37</f>
        <v>Melvin Gordon III</v>
      </c>
      <c r="C40" t="s">
        <v>28</v>
      </c>
      <c r="D40" t="str">
        <f>_xlfn.IFNA(INDEX(BYEs!$E$2:$E$411,MATCH(B40,BYEs!$D$2:$D$411,0)),"N/A")</f>
        <v>N/A</v>
      </c>
      <c r="E40">
        <f>INDEX(BYEs!$B$2:$B$34,MATCH(F40,BYEs!$A$2:$A$34,0))</f>
        <v>9</v>
      </c>
      <c r="F40" t="str">
        <f>RB_Raw!B37</f>
        <v>DEN</v>
      </c>
      <c r="G40" s="206">
        <v>0</v>
      </c>
      <c r="H40" s="207">
        <v>0</v>
      </c>
      <c r="I40" s="206">
        <f>RB_Raw!C37</f>
        <v>153.5</v>
      </c>
      <c r="J40" s="204">
        <f>RB_Raw!D37</f>
        <v>697.1</v>
      </c>
      <c r="K40" s="207">
        <f>RB_Raw!E37</f>
        <v>6.2</v>
      </c>
      <c r="L40" s="206">
        <f>RB_Raw!F37</f>
        <v>24</v>
      </c>
      <c r="M40" s="204">
        <f>RB_Raw!G37</f>
        <v>181.6</v>
      </c>
      <c r="N40" s="207">
        <f>RB_Raw!H37</f>
        <v>1.3</v>
      </c>
      <c r="O40" s="204">
        <f>RB_Raw!I37</f>
        <v>1.9</v>
      </c>
      <c r="P40" s="209">
        <f>(J40*RBRushingYd)+(K40*RBRushingTD)+(L40*RBReceptions)+(M40*RBRecYd)+(N40*RBRecTD)+(O40*RBFuml)+(I40*RBRushAtt)</f>
        <v>141.07000000000002</v>
      </c>
      <c r="Q40" t="str">
        <f ca="1">IF(A40&lt;=RBStarters,"Starter",IF(A40&gt;RBStarters+RBBench,"Undrafted","Bench"))</f>
        <v>Bench</v>
      </c>
      <c r="R40">
        <f ca="1">IFERROR(MAX(P40-LARGE(RBSheetCount,RBStarters),0),0)</f>
        <v>0</v>
      </c>
      <c r="S40">
        <f ca="1">IFERROR(IF(AllowNegative="Yes",P40-LARGE(RBSheetCount,RBCount),MAX(P40-LARGE(RBSheetCount,RBCount),0)),0)</f>
        <v>58.88000000000001</v>
      </c>
      <c r="T40" s="85">
        <f ca="1">(S40-R40)*BenchPF+R40*StarterPF</f>
        <v>10.675939207817819</v>
      </c>
      <c r="U40" s="85">
        <f ca="1">T40*Auction!$A$2</f>
        <v>10.675939207817819</v>
      </c>
      <c r="V40" s="6" t="str">
        <f>IF(OR(INDEX(Auction!$H$13:$H$656,MATCH(B40,Auction!$A$13:$A$656,0))&gt;0,IFERROR(INDEX(CheatSheet!$M$5:$M$64,MATCH(B40,CheatSheet!$J$5:$J$64,0)),"")&lt;&gt;""),"Yes","No")</f>
        <v>No</v>
      </c>
      <c r="W40" s="179"/>
      <c r="Y40" s="78">
        <f t="shared" ca="1" si="3"/>
        <v>1</v>
      </c>
      <c r="Z40">
        <f t="shared" ca="1" si="4"/>
        <v>29.440000000000005</v>
      </c>
      <c r="AA40" s="116" t="str">
        <f t="shared" ca="1" si="5"/>
        <v>RB7</v>
      </c>
      <c r="AB40">
        <f ca="1">Z40*LeagueInfo!$H$5</f>
        <v>10.840642366282438</v>
      </c>
    </row>
    <row r="41" spans="1:28" x14ac:dyDescent="0.25">
      <c r="A41" cm="1">
        <f t="array" aca="1" ref="A41" ca="1">RANK(P41,RBSheetCount)</f>
        <v>39</v>
      </c>
      <c r="B41" t="str">
        <f>RB_Raw!A40</f>
        <v>James Robinson</v>
      </c>
      <c r="C41" t="s">
        <v>28</v>
      </c>
      <c r="D41" t="str">
        <f>_xlfn.IFNA(INDEX(BYEs!$E$2:$E$411,MATCH(B41,BYEs!$D$2:$D$411,0)),"N/A")</f>
        <v>N/A</v>
      </c>
      <c r="E41">
        <f>INDEX(BYEs!$B$2:$B$34,MATCH(F41,BYEs!$A$2:$A$34,0))</f>
        <v>11</v>
      </c>
      <c r="F41" t="str">
        <f>RB_Raw!B40</f>
        <v>JAC</v>
      </c>
      <c r="G41" s="206">
        <v>0</v>
      </c>
      <c r="H41" s="207">
        <v>0</v>
      </c>
      <c r="I41" s="206">
        <f>RB_Raw!C40</f>
        <v>147.69999999999999</v>
      </c>
      <c r="J41" s="204">
        <f>RB_Raw!D40</f>
        <v>599.9</v>
      </c>
      <c r="K41" s="207">
        <f>RB_Raw!E40</f>
        <v>5</v>
      </c>
      <c r="L41" s="206">
        <f>RB_Raw!F40</f>
        <v>24</v>
      </c>
      <c r="M41" s="204">
        <f>RB_Raw!G40</f>
        <v>178.9</v>
      </c>
      <c r="N41" s="207">
        <f>RB_Raw!H40</f>
        <v>0.7</v>
      </c>
      <c r="O41" s="204">
        <f>RB_Raw!I40</f>
        <v>1.2</v>
      </c>
      <c r="P41" s="209">
        <f>(J41*RBRushingYd)+(K41*RBRushingTD)+(L41*RBReceptions)+(M41*RBRecYd)+(N41*RBRecTD)+(O41*RBFuml)+(I41*RBRushAtt)</f>
        <v>121.68</v>
      </c>
      <c r="Q41" t="str">
        <f ca="1">IF(A41&lt;=RBStarters,"Starter",IF(A41&gt;RBStarters+RBBench,"Undrafted","Bench"))</f>
        <v>Bench</v>
      </c>
      <c r="R41">
        <f ca="1">IFERROR(MAX(P41-LARGE(RBSheetCount,RBStarters),0),0)</f>
        <v>0</v>
      </c>
      <c r="S41">
        <f ca="1">IFERROR(IF(AllowNegative="Yes",P41-LARGE(RBSheetCount,RBCount),MAX(P41-LARGE(RBSheetCount,RBCount),0)),0)</f>
        <v>39.489999999999995</v>
      </c>
      <c r="T41" s="85">
        <f ca="1">(S41-R41)*BenchPF+R41*StarterPF</f>
        <v>7.1602044720911273</v>
      </c>
      <c r="U41" s="85">
        <f ca="1">T41*Auction!$A$2</f>
        <v>7.1602044720911273</v>
      </c>
      <c r="V41" s="6" t="str">
        <f>IF(OR(INDEX(Auction!$H$13:$H$656,MATCH(B41,Auction!$A$13:$A$656,0))&gt;0,IFERROR(INDEX(CheatSheet!$M$5:$M$64,MATCH(B41,CheatSheet!$J$5:$J$64,0)),"")&lt;&gt;""),"Yes","No")</f>
        <v>No</v>
      </c>
      <c r="W41" s="179"/>
      <c r="Y41" s="78">
        <f t="shared" ca="1" si="3"/>
        <v>1</v>
      </c>
      <c r="Z41">
        <f t="shared" ca="1" si="4"/>
        <v>19.744999999999997</v>
      </c>
      <c r="AA41" s="116" t="str">
        <f t="shared" ca="1" si="5"/>
        <v>RB8</v>
      </c>
      <c r="AB41">
        <f ca="1">Z41*LeagueInfo!$H$5</f>
        <v>7.2706685979024011</v>
      </c>
    </row>
    <row r="42" spans="1:28" x14ac:dyDescent="0.25">
      <c r="A42" cm="1">
        <f t="array" aca="1" ref="A42" ca="1">RANK(P42,RBSheetCount)</f>
        <v>40</v>
      </c>
      <c r="B42" t="str">
        <f>RB_Raw!A44</f>
        <v>James Cook</v>
      </c>
      <c r="C42" t="s">
        <v>28</v>
      </c>
      <c r="D42" t="str">
        <f>_xlfn.IFNA(INDEX(BYEs!$E$2:$E$411,MATCH(B42,BYEs!$D$2:$D$411,0)),"N/A")</f>
        <v>N/A</v>
      </c>
      <c r="E42">
        <f>INDEX(BYEs!$B$2:$B$34,MATCH(F42,BYEs!$A$2:$A$34,0))</f>
        <v>7</v>
      </c>
      <c r="F42" t="str">
        <f>RB_Raw!B44</f>
        <v>BUF</v>
      </c>
      <c r="G42" s="206">
        <v>0</v>
      </c>
      <c r="H42" s="207">
        <v>0</v>
      </c>
      <c r="I42" s="206">
        <f>RB_Raw!C44</f>
        <v>108.2</v>
      </c>
      <c r="J42" s="204">
        <f>RB_Raw!D44</f>
        <v>467.4</v>
      </c>
      <c r="K42" s="207">
        <f>RB_Raw!E44</f>
        <v>3.6</v>
      </c>
      <c r="L42" s="206">
        <f>RB_Raw!F44</f>
        <v>29.6</v>
      </c>
      <c r="M42" s="204">
        <f>RB_Raw!G44</f>
        <v>238</v>
      </c>
      <c r="N42" s="207">
        <f>RB_Raw!H44</f>
        <v>1.6</v>
      </c>
      <c r="O42" s="204">
        <f>RB_Raw!I44</f>
        <v>0.9</v>
      </c>
      <c r="P42" s="209">
        <f>(J42*RBRushingYd)+(K42*RBRushingTD)+(L42*RBReceptions)+(M42*RBRecYd)+(N42*RBRecTD)+(O42*RBFuml)+(I42*RBRushAtt)</f>
        <v>114.74</v>
      </c>
      <c r="Q42" t="str">
        <f ca="1">IF(A42&lt;=RBStarters,"Starter",IF(A42&gt;RBStarters+RBBench,"Undrafted","Bench"))</f>
        <v>Bench</v>
      </c>
      <c r="R42">
        <f ca="1">IFERROR(MAX(P42-LARGE(RBSheetCount,RBStarters),0),0)</f>
        <v>0</v>
      </c>
      <c r="S42">
        <f ca="1">IFERROR(IF(AllowNegative="Yes",P42-LARGE(RBSheetCount,RBCount),MAX(P42-LARGE(RBSheetCount,RBCount),0)),0)</f>
        <v>32.549999999999983</v>
      </c>
      <c r="T42" s="85">
        <f ca="1">(S42-R42)*BenchPF+R42*StarterPF</f>
        <v>5.9018651700827069</v>
      </c>
      <c r="U42" s="85">
        <f ca="1">T42*Auction!$A$2</f>
        <v>5.9018651700827069</v>
      </c>
      <c r="V42" s="6" t="str">
        <f>IF(OR(INDEX(Auction!$H$13:$H$656,MATCH(B42,Auction!$A$13:$A$656,0))&gt;0,IFERROR(INDEX(CheatSheet!$M$5:$M$64,MATCH(B42,CheatSheet!$J$5:$J$64,0)),"")&lt;&gt;""),"Yes","No")</f>
        <v>No</v>
      </c>
      <c r="W42" s="179"/>
      <c r="Y42" s="78">
        <f t="shared" ca="1" si="3"/>
        <v>1</v>
      </c>
      <c r="Z42">
        <f t="shared" ca="1" si="4"/>
        <v>16.274999999999991</v>
      </c>
      <c r="AA42" s="116" t="str">
        <f t="shared" ca="1" si="5"/>
        <v>RB8</v>
      </c>
      <c r="AB42">
        <f ca="1">Z42*LeagueInfo!$H$5</f>
        <v>5.9929162537787555</v>
      </c>
    </row>
    <row r="43" spans="1:28" x14ac:dyDescent="0.25">
      <c r="A43" cm="1">
        <f t="array" aca="1" ref="A43" ca="1">RANK(P43,RBSheetCount)</f>
        <v>41</v>
      </c>
      <c r="B43" t="str">
        <f>RB_Raw!A41</f>
        <v>Raheem Mostert</v>
      </c>
      <c r="C43" t="s">
        <v>28</v>
      </c>
      <c r="D43" t="str">
        <f>_xlfn.IFNA(INDEX(BYEs!$E$2:$E$411,MATCH(B43,BYEs!$D$2:$D$411,0)),"N/A")</f>
        <v>N/A</v>
      </c>
      <c r="E43">
        <f>INDEX(BYEs!$B$2:$B$34,MATCH(F43,BYEs!$A$2:$A$34,0))</f>
        <v>11</v>
      </c>
      <c r="F43" t="str">
        <f>RB_Raw!B41</f>
        <v>MIA</v>
      </c>
      <c r="G43" s="206">
        <v>0</v>
      </c>
      <c r="H43" s="207">
        <v>0</v>
      </c>
      <c r="I43" s="206">
        <f>RB_Raw!C41</f>
        <v>128.4</v>
      </c>
      <c r="J43" s="204">
        <f>RB_Raw!D41</f>
        <v>642</v>
      </c>
      <c r="K43" s="207">
        <f>RB_Raw!E41</f>
        <v>4.3</v>
      </c>
      <c r="L43" s="206">
        <f>RB_Raw!F41</f>
        <v>16.899999999999999</v>
      </c>
      <c r="M43" s="204">
        <f>RB_Raw!G41</f>
        <v>133.80000000000001</v>
      </c>
      <c r="N43" s="207">
        <f>RB_Raw!H41</f>
        <v>0.9</v>
      </c>
      <c r="O43" s="204">
        <f>RB_Raw!I41</f>
        <v>1.4</v>
      </c>
      <c r="P43" s="209">
        <f>(J43*RBRushingYd)+(K43*RBRushingTD)+(L43*RBReceptions)+(M43*RBRecYd)+(N43*RBRecTD)+(O43*RBFuml)+(I43*RBRushAtt)</f>
        <v>114.43000000000002</v>
      </c>
      <c r="Q43" t="str">
        <f ca="1">IF(A43&lt;=RBStarters,"Starter",IF(A43&gt;RBStarters+RBBench,"Undrafted","Bench"))</f>
        <v>Bench</v>
      </c>
      <c r="R43">
        <f ca="1">IFERROR(MAX(P43-LARGE(RBSheetCount,RBStarters),0),0)</f>
        <v>0</v>
      </c>
      <c r="S43">
        <f ca="1">IFERROR(IF(AllowNegative="Yes",P43-LARGE(RBSheetCount,RBCount),MAX(P43-LARGE(RBSheetCount,RBCount),0)),0)</f>
        <v>32.240000000000009</v>
      </c>
      <c r="T43" s="85">
        <f ca="1">(S43-R43)*BenchPF+R43*StarterPF</f>
        <v>5.845656930367638</v>
      </c>
      <c r="U43" s="85">
        <f ca="1">T43*Auction!$A$2</f>
        <v>5.845656930367638</v>
      </c>
      <c r="V43" s="6" t="str">
        <f>IF(OR(INDEX(Auction!$H$13:$H$656,MATCH(B43,Auction!$A$13:$A$656,0))&gt;0,IFERROR(INDEX(CheatSheet!$M$5:$M$64,MATCH(B43,CheatSheet!$J$5:$J$64,0)),"")&lt;&gt;""),"Yes","No")</f>
        <v>No</v>
      </c>
      <c r="W43" s="179"/>
      <c r="Y43" s="78">
        <f t="shared" ca="1" si="3"/>
        <v>1</v>
      </c>
      <c r="Z43">
        <f t="shared" ca="1" si="4"/>
        <v>16.120000000000005</v>
      </c>
      <c r="AA43" s="116" t="str">
        <f t="shared" ca="1" si="5"/>
        <v>RB8</v>
      </c>
      <c r="AB43">
        <f ca="1">Z43*LeagueInfo!$H$5</f>
        <v>5.9358408608856292</v>
      </c>
    </row>
    <row r="44" spans="1:28" x14ac:dyDescent="0.25">
      <c r="A44" cm="1">
        <f t="array" aca="1" ref="A44" ca="1">RANK(P44,RBSheetCount)</f>
        <v>42</v>
      </c>
      <c r="B44" t="str">
        <f>RB_Raw!A42</f>
        <v>Darrell Henderson Jr.</v>
      </c>
      <c r="C44" t="s">
        <v>28</v>
      </c>
      <c r="D44" t="str">
        <f>_xlfn.IFNA(INDEX(BYEs!$E$2:$E$411,MATCH(B44,BYEs!$D$2:$D$411,0)),"N/A")</f>
        <v>N/A</v>
      </c>
      <c r="E44">
        <f>INDEX(BYEs!$B$2:$B$34,MATCH(F44,BYEs!$A$2:$A$34,0))</f>
        <v>7</v>
      </c>
      <c r="F44" t="str">
        <f>RB_Raw!B42</f>
        <v>LAR</v>
      </c>
      <c r="G44" s="206">
        <v>0</v>
      </c>
      <c r="H44" s="207">
        <v>0</v>
      </c>
      <c r="I44" s="206">
        <f>RB_Raw!C42</f>
        <v>131.80000000000001</v>
      </c>
      <c r="J44" s="204">
        <f>RB_Raw!D42</f>
        <v>531.5</v>
      </c>
      <c r="K44" s="207">
        <f>RB_Raw!E42</f>
        <v>4</v>
      </c>
      <c r="L44" s="206">
        <f>RB_Raw!F42</f>
        <v>23.2</v>
      </c>
      <c r="M44" s="204">
        <f>RB_Raw!G42</f>
        <v>177.6</v>
      </c>
      <c r="N44" s="207">
        <f>RB_Raw!H42</f>
        <v>1.4</v>
      </c>
      <c r="O44" s="204">
        <f>RB_Raw!I42</f>
        <v>0.7</v>
      </c>
      <c r="P44" s="209">
        <f>(J44*RBRushingYd)+(K44*RBRushingTD)+(L44*RBReceptions)+(M44*RBRecYd)+(N44*RBRecTD)+(O44*RBFuml)+(I44*RBRushAtt)</f>
        <v>113.50999999999999</v>
      </c>
      <c r="Q44" t="str">
        <f ca="1">IF(A44&lt;=RBStarters,"Starter",IF(A44&gt;RBStarters+RBBench,"Undrafted","Bench"))</f>
        <v>Bench</v>
      </c>
      <c r="R44">
        <f ca="1">IFERROR(MAX(P44-LARGE(RBSheetCount,RBStarters),0),0)</f>
        <v>0</v>
      </c>
      <c r="S44">
        <f ca="1">IFERROR(IF(AllowNegative="Yes",P44-LARGE(RBSheetCount,RBCount),MAX(P44-LARGE(RBSheetCount,RBCount),0)),0)</f>
        <v>31.319999999999979</v>
      </c>
      <c r="T44" s="85">
        <f ca="1">(S44-R44)*BenchPF+R44*StarterPF</f>
        <v>5.6788453802454795</v>
      </c>
      <c r="U44" s="85">
        <f ca="1">T44*Auction!$A$2</f>
        <v>5.6788453802454795</v>
      </c>
      <c r="V44" s="6" t="str">
        <f>IF(OR(INDEX(Auction!$H$13:$H$656,MATCH(B44,Auction!$A$13:$A$656,0))&gt;0,IFERROR(INDEX(CheatSheet!$M$5:$M$64,MATCH(B44,CheatSheet!$J$5:$J$64,0)),"")&lt;&gt;""),"Yes","No")</f>
        <v>No</v>
      </c>
      <c r="W44" s="179"/>
      <c r="Y44" s="78">
        <f t="shared" ca="1" si="3"/>
        <v>1</v>
      </c>
      <c r="Z44">
        <f t="shared" ca="1" si="4"/>
        <v>15.659999999999989</v>
      </c>
      <c r="AA44" s="116" t="str">
        <f t="shared" ca="1" si="5"/>
        <v>RB8</v>
      </c>
      <c r="AB44">
        <f ca="1">Z44*LeagueInfo!$H$5</f>
        <v>5.7664558239124606</v>
      </c>
    </row>
    <row r="45" spans="1:28" x14ac:dyDescent="0.25">
      <c r="A45" cm="1">
        <f t="array" aca="1" ref="A45" ca="1">RANK(P45,RBSheetCount)</f>
        <v>43</v>
      </c>
      <c r="B45" t="str">
        <f>RB_Raw!A43</f>
        <v>Ken Walker III</v>
      </c>
      <c r="C45" t="s">
        <v>28</v>
      </c>
      <c r="D45" t="str">
        <f>_xlfn.IFNA(INDEX(BYEs!$E$2:$E$411,MATCH(B45,BYEs!$D$2:$D$411,0)),"N/A")</f>
        <v>N/A</v>
      </c>
      <c r="E45">
        <f>INDEX(BYEs!$B$2:$B$34,MATCH(F45,BYEs!$A$2:$A$34,0))</f>
        <v>11</v>
      </c>
      <c r="F45" t="str">
        <f>RB_Raw!B43</f>
        <v>SEA</v>
      </c>
      <c r="G45" s="206">
        <v>0</v>
      </c>
      <c r="H45" s="207">
        <v>0</v>
      </c>
      <c r="I45" s="206">
        <f>RB_Raw!C43</f>
        <v>159.1</v>
      </c>
      <c r="J45" s="204">
        <f>RB_Raw!D43</f>
        <v>619.6</v>
      </c>
      <c r="K45" s="207">
        <f>RB_Raw!E43</f>
        <v>4.4000000000000004</v>
      </c>
      <c r="L45" s="206">
        <f>RB_Raw!F43</f>
        <v>17.899999999999999</v>
      </c>
      <c r="M45" s="204">
        <f>RB_Raw!G43</f>
        <v>133</v>
      </c>
      <c r="N45" s="207">
        <f>RB_Raw!H43</f>
        <v>0.5</v>
      </c>
      <c r="O45" s="204">
        <f>RB_Raw!I43</f>
        <v>1.4</v>
      </c>
      <c r="P45" s="209">
        <f>(J45*RBRushingYd)+(K45*RBRushingTD)+(L45*RBReceptions)+(M45*RBRecYd)+(N45*RBRecTD)+(O45*RBFuml)+(I45*RBRushAtt)</f>
        <v>110.81000000000002</v>
      </c>
      <c r="Q45" t="str">
        <f ca="1">IF(A45&lt;=RBStarters,"Starter",IF(A45&gt;RBStarters+RBBench,"Undrafted","Bench"))</f>
        <v>Bench</v>
      </c>
      <c r="R45">
        <f ca="1">IFERROR(MAX(P45-LARGE(RBSheetCount,RBStarters),0),0)</f>
        <v>0</v>
      </c>
      <c r="S45">
        <f ca="1">IFERROR(IF(AllowNegative="Yes",P45-LARGE(RBSheetCount,RBCount),MAX(P45-LARGE(RBSheetCount,RBCount),0)),0)</f>
        <v>28.620000000000005</v>
      </c>
      <c r="T45" s="85">
        <f ca="1">(S45-R45)*BenchPF+R45*StarterPF</f>
        <v>5.189289744017425</v>
      </c>
      <c r="U45" s="85">
        <f ca="1">T45*Auction!$A$2</f>
        <v>5.189289744017425</v>
      </c>
      <c r="V45" s="6" t="str">
        <f>IF(OR(INDEX(Auction!$H$13:$H$656,MATCH(B45,Auction!$A$13:$A$656,0))&gt;0,IFERROR(INDEX(CheatSheet!$M$5:$M$64,MATCH(B45,CheatSheet!$J$5:$J$64,0)),"")&lt;&gt;""),"Yes","No")</f>
        <v>No</v>
      </c>
      <c r="W45" s="179"/>
      <c r="Y45" s="78">
        <f t="shared" ca="1" si="3"/>
        <v>1</v>
      </c>
      <c r="Z45">
        <f t="shared" ca="1" si="4"/>
        <v>14.310000000000002</v>
      </c>
      <c r="AA45" s="116" t="str">
        <f t="shared" ca="1" si="5"/>
        <v>RB8</v>
      </c>
      <c r="AB45">
        <f ca="1">Z45*LeagueInfo!$H$5</f>
        <v>5.2693475632303564</v>
      </c>
    </row>
    <row r="46" spans="1:28" x14ac:dyDescent="0.25">
      <c r="A46" cm="1">
        <f t="array" aca="1" ref="A46" ca="1">RANK(P46,RBSheetCount)</f>
        <v>44</v>
      </c>
      <c r="B46" t="str">
        <f>RB_Raw!A48</f>
        <v>Nyheim Hines</v>
      </c>
      <c r="C46" t="s">
        <v>28</v>
      </c>
      <c r="D46">
        <f>_xlfn.IFNA(INDEX(BYEs!$E$2:$E$411,MATCH(B46,BYEs!$D$2:$D$411,0)),"N/A")</f>
        <v>24</v>
      </c>
      <c r="E46">
        <f>INDEX(BYEs!$B$2:$B$34,MATCH(F46,BYEs!$A$2:$A$34,0))</f>
        <v>14</v>
      </c>
      <c r="F46" t="str">
        <f>RB_Raw!B48</f>
        <v>IND</v>
      </c>
      <c r="G46" s="206">
        <v>0</v>
      </c>
      <c r="H46" s="207">
        <v>0</v>
      </c>
      <c r="I46" s="206">
        <f>RB_Raw!C48</f>
        <v>75.5</v>
      </c>
      <c r="J46" s="204">
        <f>RB_Raw!D48</f>
        <v>302.3</v>
      </c>
      <c r="K46" s="207">
        <f>RB_Raw!E48</f>
        <v>2</v>
      </c>
      <c r="L46" s="206">
        <f>RB_Raw!F48</f>
        <v>45.6</v>
      </c>
      <c r="M46" s="204">
        <f>RB_Raw!G48</f>
        <v>361.5</v>
      </c>
      <c r="N46" s="207">
        <f>RB_Raw!H48</f>
        <v>1.9</v>
      </c>
      <c r="O46" s="204">
        <f>RB_Raw!I48</f>
        <v>1.6</v>
      </c>
      <c r="P46" s="209">
        <f>(J46*RBRushingYd)+(K46*RBRushingTD)+(L46*RBReceptions)+(M46*RBRecYd)+(N46*RBRecTD)+(O46*RBFuml)+(I46*RBRushAtt)</f>
        <v>109.38000000000001</v>
      </c>
      <c r="Q46" t="str">
        <f ca="1">IF(A46&lt;=RBStarters,"Starter",IF(A46&gt;RBStarters+RBBench,"Undrafted","Bench"))</f>
        <v>Bench</v>
      </c>
      <c r="R46">
        <f ca="1">IFERROR(MAX(P46-LARGE(RBSheetCount,RBStarters),0),0)</f>
        <v>0</v>
      </c>
      <c r="S46">
        <f ca="1">IFERROR(IF(AllowNegative="Yes",P46-LARGE(RBSheetCount,RBCount),MAX(P46-LARGE(RBSheetCount,RBCount),0)),0)</f>
        <v>27.189999999999998</v>
      </c>
      <c r="T46" s="85">
        <f ca="1">(S46-R46)*BenchPF+R46*StarterPF</f>
        <v>4.9300065737188596</v>
      </c>
      <c r="U46" s="85">
        <f ca="1">T46*Auction!$A$2</f>
        <v>4.9300065737188596</v>
      </c>
      <c r="V46" s="6" t="str">
        <f>IF(OR(INDEX(Auction!$H$13:$H$656,MATCH(B46,Auction!$A$13:$A$656,0))&gt;0,IFERROR(INDEX(CheatSheet!$M$5:$M$64,MATCH(B46,CheatSheet!$J$5:$J$64,0)),"")&lt;&gt;""),"Yes","No")</f>
        <v>No</v>
      </c>
      <c r="W46" s="179"/>
      <c r="Y46" s="78">
        <f t="shared" ca="1" si="3"/>
        <v>1</v>
      </c>
      <c r="Z46">
        <f t="shared" ca="1" si="4"/>
        <v>13.594999999999999</v>
      </c>
      <c r="AA46" s="116" t="str">
        <f t="shared" ca="1" si="5"/>
        <v>RB8</v>
      </c>
      <c r="AB46">
        <f ca="1">Z46*LeagueInfo!$H$5</f>
        <v>5.0060642992394602</v>
      </c>
    </row>
    <row r="47" spans="1:28" x14ac:dyDescent="0.25">
      <c r="A47" cm="1">
        <f t="array" aca="1" ref="A47" ca="1">RANK(P47,RBSheetCount)</f>
        <v>45</v>
      </c>
      <c r="B47" t="str">
        <f>RB_Raw!A45</f>
        <v>Jamaal Williams</v>
      </c>
      <c r="C47" t="s">
        <v>28</v>
      </c>
      <c r="D47">
        <f>_xlfn.IFNA(INDEX(BYEs!$E$2:$E$411,MATCH(B47,BYEs!$D$2:$D$411,0)),"N/A")</f>
        <v>26</v>
      </c>
      <c r="E47">
        <f>INDEX(BYEs!$B$2:$B$34,MATCH(F47,BYEs!$A$2:$A$34,0))</f>
        <v>6</v>
      </c>
      <c r="F47" t="str">
        <f>RB_Raw!B45</f>
        <v>DET</v>
      </c>
      <c r="G47" s="206">
        <v>0</v>
      </c>
      <c r="H47" s="207">
        <v>0</v>
      </c>
      <c r="I47" s="206">
        <f>RB_Raw!C45</f>
        <v>137.6</v>
      </c>
      <c r="J47" s="204">
        <f>RB_Raw!D45</f>
        <v>572.29999999999995</v>
      </c>
      <c r="K47" s="207">
        <f>RB_Raw!E45</f>
        <v>3.5</v>
      </c>
      <c r="L47" s="206">
        <f>RB_Raw!F45</f>
        <v>23.6</v>
      </c>
      <c r="M47" s="204">
        <f>RB_Raw!G45</f>
        <v>153.19999999999999</v>
      </c>
      <c r="N47" s="207">
        <f>RB_Raw!H45</f>
        <v>0.8</v>
      </c>
      <c r="O47" s="204">
        <f>RB_Raw!I45</f>
        <v>0.8</v>
      </c>
      <c r="P47" s="209">
        <f>(J47*RBRushingYd)+(K47*RBRushingTD)+(L47*RBReceptions)+(M47*RBRecYd)+(N47*RBRecTD)+(O47*RBFuml)+(I47*RBRushAtt)</f>
        <v>108.55</v>
      </c>
      <c r="Q47" t="str">
        <f ca="1">IF(A47&lt;=RBStarters,"Starter",IF(A47&gt;RBStarters+RBBench,"Undrafted","Bench"))</f>
        <v>Bench</v>
      </c>
      <c r="R47">
        <f ca="1">IFERROR(MAX(P47-LARGE(RBSheetCount,RBStarters),0),0)</f>
        <v>0</v>
      </c>
      <c r="S47">
        <f ca="1">IFERROR(IF(AllowNegative="Yes",P47-LARGE(RBSheetCount,RBCount),MAX(P47-LARGE(RBSheetCount,RBCount),0)),0)</f>
        <v>26.359999999999985</v>
      </c>
      <c r="T47" s="85">
        <f ca="1">(S47-R47)*BenchPF+R47*StarterPF</f>
        <v>4.7795135448043053</v>
      </c>
      <c r="U47" s="85">
        <f ca="1">T47*Auction!$A$2</f>
        <v>4.7795135448043053</v>
      </c>
      <c r="V47" s="6" t="str">
        <f>IF(OR(INDEX(Auction!$H$13:$H$656,MATCH(B47,Auction!$A$13:$A$656,0))&gt;0,IFERROR(INDEX(CheatSheet!$M$5:$M$64,MATCH(B47,CheatSheet!$J$5:$J$64,0)),"")&lt;&gt;""),"Yes","No")</f>
        <v>No</v>
      </c>
      <c r="W47" s="179"/>
      <c r="Y47" s="78">
        <f t="shared" ca="1" si="3"/>
        <v>1</v>
      </c>
      <c r="Z47">
        <f t="shared" ca="1" si="4"/>
        <v>13.179999999999993</v>
      </c>
      <c r="AA47" s="116" t="str">
        <f t="shared" ca="1" si="5"/>
        <v>RB8</v>
      </c>
      <c r="AB47">
        <f ca="1">Z47*LeagueInfo!$H$5</f>
        <v>4.8532495376223652</v>
      </c>
    </row>
    <row r="48" spans="1:28" x14ac:dyDescent="0.25">
      <c r="A48" cm="1">
        <f t="array" aca="1" ref="A48" ca="1">RANK(P48,RBSheetCount)</f>
        <v>46</v>
      </c>
      <c r="B48" t="str">
        <f>RB_Raw!A47</f>
        <v>Kenneth Gainwell</v>
      </c>
      <c r="C48" t="s">
        <v>28</v>
      </c>
      <c r="D48" t="str">
        <f>_xlfn.IFNA(INDEX(BYEs!$E$2:$E$411,MATCH(B48,BYEs!$D$2:$D$411,0)),"N/A")</f>
        <v>N/A</v>
      </c>
      <c r="E48">
        <f>INDEX(BYEs!$B$2:$B$34,MATCH(F48,BYEs!$A$2:$A$34,0))</f>
        <v>7</v>
      </c>
      <c r="F48" t="str">
        <f>RB_Raw!B47</f>
        <v>PHI</v>
      </c>
      <c r="G48" s="206">
        <v>0</v>
      </c>
      <c r="H48" s="207">
        <v>0</v>
      </c>
      <c r="I48" s="206">
        <f>RB_Raw!C47</f>
        <v>91.9</v>
      </c>
      <c r="J48" s="204">
        <f>RB_Raw!D47</f>
        <v>380.9</v>
      </c>
      <c r="K48" s="207">
        <f>RB_Raw!E47</f>
        <v>4</v>
      </c>
      <c r="L48" s="206">
        <f>RB_Raw!F47</f>
        <v>31</v>
      </c>
      <c r="M48" s="204">
        <f>RB_Raw!G47</f>
        <v>248</v>
      </c>
      <c r="N48" s="207">
        <f>RB_Raw!H47</f>
        <v>1.3</v>
      </c>
      <c r="O48" s="204">
        <f>RB_Raw!I47</f>
        <v>1.1000000000000001</v>
      </c>
      <c r="P48" s="209">
        <f>(J48*RBRushingYd)+(K48*RBRushingTD)+(L48*RBReceptions)+(M48*RBRecYd)+(N48*RBRecTD)+(O48*RBFuml)+(I48*RBRushAtt)</f>
        <v>107.99</v>
      </c>
      <c r="Q48" t="str">
        <f ca="1">IF(A48&lt;=RBStarters,"Starter",IF(A48&gt;RBStarters+RBBench,"Undrafted","Bench"))</f>
        <v>Bench</v>
      </c>
      <c r="R48">
        <f ca="1">IFERROR(MAX(P48-LARGE(RBSheetCount,RBStarters),0),0)</f>
        <v>0</v>
      </c>
      <c r="S48">
        <f ca="1">IFERROR(IF(AllowNegative="Yes",P48-LARGE(RBSheetCount,RBCount),MAX(P48-LARGE(RBSheetCount,RBCount),0)),0)</f>
        <v>25.799999999999983</v>
      </c>
      <c r="T48" s="85">
        <f ca="1">(S48-R48)*BenchPF+R48*StarterPF</f>
        <v>4.6779760795125593</v>
      </c>
      <c r="U48" s="85">
        <f ca="1">T48*Auction!$A$2</f>
        <v>4.6779760795125593</v>
      </c>
      <c r="V48" s="6" t="str">
        <f>IF(OR(INDEX(Auction!$H$13:$H$656,MATCH(B48,Auction!$A$13:$A$656,0))&gt;0,IFERROR(INDEX(CheatSheet!$M$5:$M$64,MATCH(B48,CheatSheet!$J$5:$J$64,0)),"")&lt;&gt;""),"Yes","No")</f>
        <v>No</v>
      </c>
      <c r="W48" s="179"/>
      <c r="Y48" s="78">
        <f t="shared" ca="1" si="3"/>
        <v>1</v>
      </c>
      <c r="Z48">
        <f t="shared" ca="1" si="4"/>
        <v>12.899999999999991</v>
      </c>
      <c r="AA48" s="116" t="str">
        <f t="shared" ca="1" si="5"/>
        <v>RB8</v>
      </c>
      <c r="AB48">
        <f ca="1">Z48*LeagueInfo!$H$5</f>
        <v>4.7501456020734834</v>
      </c>
    </row>
    <row r="49" spans="1:28" x14ac:dyDescent="0.25">
      <c r="A49" cm="1">
        <f t="array" aca="1" ref="A49" ca="1">RANK(P49,RBSheetCount)</f>
        <v>47</v>
      </c>
      <c r="B49" t="str">
        <f>RB_Raw!A46</f>
        <v>Brian Robinson Jr.</v>
      </c>
      <c r="C49" t="s">
        <v>28</v>
      </c>
      <c r="D49" t="str">
        <f>_xlfn.IFNA(INDEX(BYEs!$E$2:$E$411,MATCH(B49,BYEs!$D$2:$D$411,0)),"N/A")</f>
        <v>N/A</v>
      </c>
      <c r="E49">
        <f>INDEX(BYEs!$B$2:$B$34,MATCH(F49,BYEs!$A$2:$A$34,0))</f>
        <v>14</v>
      </c>
      <c r="F49" t="str">
        <f>RB_Raw!B46</f>
        <v>WAS</v>
      </c>
      <c r="G49" s="206">
        <v>0</v>
      </c>
      <c r="H49" s="207">
        <v>0</v>
      </c>
      <c r="I49" s="206">
        <f>RB_Raw!C46</f>
        <v>134.69999999999999</v>
      </c>
      <c r="J49" s="204">
        <f>RB_Raw!D46</f>
        <v>574.70000000000005</v>
      </c>
      <c r="K49" s="207">
        <f>RB_Raw!E46</f>
        <v>4.3</v>
      </c>
      <c r="L49" s="206">
        <f>RB_Raw!F46</f>
        <v>16.100000000000001</v>
      </c>
      <c r="M49" s="204">
        <f>RB_Raw!G46</f>
        <v>123.1</v>
      </c>
      <c r="N49" s="207">
        <f>RB_Raw!H46</f>
        <v>0.6</v>
      </c>
      <c r="O49" s="204">
        <f>RB_Raw!I46</f>
        <v>1.1000000000000001</v>
      </c>
      <c r="P49" s="209">
        <f>(J49*RBRushingYd)+(K49*RBRushingTD)+(L49*RBReceptions)+(M49*RBRecYd)+(N49*RBRecTD)+(O49*RBFuml)+(I49*RBRushAtt)</f>
        <v>105.03</v>
      </c>
      <c r="Q49" t="str">
        <f ca="1">IF(A49&lt;=RBStarters,"Starter",IF(A49&gt;RBStarters+RBBench,"Undrafted","Bench"))</f>
        <v>Bench</v>
      </c>
      <c r="R49">
        <f ca="1">IFERROR(MAX(P49-LARGE(RBSheetCount,RBStarters),0),0)</f>
        <v>0</v>
      </c>
      <c r="S49">
        <f ca="1">IFERROR(IF(AllowNegative="Yes",P49-LARGE(RBSheetCount,RBCount),MAX(P49-LARGE(RBSheetCount,RBCount),0)),0)</f>
        <v>22.839999999999989</v>
      </c>
      <c r="T49" s="85">
        <f ca="1">(S49-R49)*BenchPF+R49*StarterPF</f>
        <v>4.1412780486847627</v>
      </c>
      <c r="U49" s="85">
        <f ca="1">T49*Auction!$A$2</f>
        <v>4.1412780486847627</v>
      </c>
      <c r="V49" s="6" t="str">
        <f>IF(OR(INDEX(Auction!$H$13:$H$656,MATCH(B49,Auction!$A$13:$A$656,0))&gt;0,IFERROR(INDEX(CheatSheet!$M$5:$M$64,MATCH(B49,CheatSheet!$J$5:$J$64,0)),"")&lt;&gt;""),"Yes","No")</f>
        <v>No</v>
      </c>
      <c r="W49" s="179"/>
      <c r="Y49" s="78">
        <f t="shared" ca="1" si="3"/>
        <v>1</v>
      </c>
      <c r="Z49">
        <f t="shared" ca="1" si="4"/>
        <v>11.419999999999995</v>
      </c>
      <c r="AA49" s="116" t="str">
        <f t="shared" ca="1" si="5"/>
        <v>RB8</v>
      </c>
      <c r="AB49">
        <f ca="1">Z49*LeagueInfo!$H$5</f>
        <v>4.2051676570293939</v>
      </c>
    </row>
    <row r="50" spans="1:28" x14ac:dyDescent="0.25">
      <c r="A50" cm="1">
        <f t="array" aca="1" ref="A50" ca="1">RANK(P50,RBSheetCount)</f>
        <v>48</v>
      </c>
      <c r="B50" t="str">
        <f>RB_Raw!A52</f>
        <v>J.D. McKissic</v>
      </c>
      <c r="C50" t="s">
        <v>28</v>
      </c>
      <c r="D50" t="str">
        <f>_xlfn.IFNA(INDEX(BYEs!$E$2:$E$411,MATCH(B50,BYEs!$D$2:$D$411,0)),"N/A")</f>
        <v>N/A</v>
      </c>
      <c r="E50">
        <f>INDEX(BYEs!$B$2:$B$34,MATCH(F50,BYEs!$A$2:$A$34,0))</f>
        <v>14</v>
      </c>
      <c r="F50" t="str">
        <f>RB_Raw!B52</f>
        <v>WAS</v>
      </c>
      <c r="G50" s="206">
        <v>0</v>
      </c>
      <c r="H50" s="207">
        <v>0</v>
      </c>
      <c r="I50" s="206">
        <f>RB_Raw!C52</f>
        <v>54.9</v>
      </c>
      <c r="J50" s="204">
        <f>RB_Raw!D52</f>
        <v>243.2</v>
      </c>
      <c r="K50" s="207">
        <f>RB_Raw!E52</f>
        <v>1.6</v>
      </c>
      <c r="L50" s="206">
        <f>RB_Raw!F52</f>
        <v>46.5</v>
      </c>
      <c r="M50" s="204">
        <f>RB_Raw!G52</f>
        <v>365.7</v>
      </c>
      <c r="N50" s="207">
        <f>RB_Raw!H52</f>
        <v>1.9</v>
      </c>
      <c r="O50" s="204">
        <f>RB_Raw!I52</f>
        <v>0.5</v>
      </c>
      <c r="P50" s="209">
        <f>(J50*RBRushingYd)+(K50*RBRushingTD)+(L50*RBReceptions)+(M50*RBRecYd)+(N50*RBRecTD)+(O50*RBFuml)+(I50*RBRushAtt)</f>
        <v>104.14000000000001</v>
      </c>
      <c r="Q50" t="str">
        <f ca="1">IF(A50&lt;=RBStarters,"Starter",IF(A50&gt;RBStarters+RBBench,"Undrafted","Bench"))</f>
        <v>Bench</v>
      </c>
      <c r="R50">
        <f ca="1">IFERROR(MAX(P50-LARGE(RBSheetCount,RBStarters),0),0)</f>
        <v>0</v>
      </c>
      <c r="S50">
        <f ca="1">IFERROR(IF(AllowNegative="Yes",P50-LARGE(RBSheetCount,RBCount),MAX(P50-LARGE(RBSheetCount,RBCount),0)),0)</f>
        <v>21.950000000000003</v>
      </c>
      <c r="T50" s="85">
        <f ca="1">(S50-R50)*BenchPF+R50*StarterPF</f>
        <v>3.9799060056318125</v>
      </c>
      <c r="U50" s="85">
        <f ca="1">T50*Auction!$A$2</f>
        <v>3.9799060056318125</v>
      </c>
      <c r="V50" s="6" t="str">
        <f>IF(OR(INDEX(Auction!$H$13:$H$656,MATCH(B50,Auction!$A$13:$A$656,0))&gt;0,IFERROR(INDEX(CheatSheet!$M$5:$M$64,MATCH(B50,CheatSheet!$J$5:$J$64,0)),"")&lt;&gt;""),"Yes","No")</f>
        <v>No</v>
      </c>
      <c r="W50" s="179"/>
      <c r="Y50" s="78">
        <f t="shared" ca="1" si="3"/>
        <v>1</v>
      </c>
      <c r="Z50">
        <f t="shared" ca="1" si="4"/>
        <v>10.975000000000001</v>
      </c>
      <c r="AA50" s="116" t="str">
        <f t="shared" ca="1" si="5"/>
        <v>RB8</v>
      </c>
      <c r="AB50">
        <f ca="1">Z50*LeagueInfo!$H$5</f>
        <v>4.0413060451749239</v>
      </c>
    </row>
    <row r="51" spans="1:28" x14ac:dyDescent="0.25">
      <c r="A51" cm="1">
        <f t="array" aca="1" ref="A51" ca="1">RANK(P51,RBSheetCount)</f>
        <v>49</v>
      </c>
      <c r="B51" t="str">
        <f>RB_Raw!A49</f>
        <v>Alexander Mattison</v>
      </c>
      <c r="C51" t="s">
        <v>28</v>
      </c>
      <c r="D51">
        <f>_xlfn.IFNA(INDEX(BYEs!$E$2:$E$411,MATCH(B51,BYEs!$D$2:$D$411,0)),"N/A")</f>
        <v>23</v>
      </c>
      <c r="E51">
        <f>INDEX(BYEs!$B$2:$B$34,MATCH(F51,BYEs!$A$2:$A$34,0))</f>
        <v>7</v>
      </c>
      <c r="F51" t="str">
        <f>RB_Raw!B49</f>
        <v>MIN</v>
      </c>
      <c r="G51" s="206">
        <v>0</v>
      </c>
      <c r="H51" s="207">
        <v>0</v>
      </c>
      <c r="I51" s="206">
        <f>RB_Raw!C49</f>
        <v>114.7</v>
      </c>
      <c r="J51" s="204">
        <f>RB_Raw!D49</f>
        <v>460.6</v>
      </c>
      <c r="K51" s="207">
        <f>RB_Raw!E49</f>
        <v>2.8</v>
      </c>
      <c r="L51" s="206">
        <f>RB_Raw!F49</f>
        <v>25.2</v>
      </c>
      <c r="M51" s="204">
        <f>RB_Raw!G49</f>
        <v>188</v>
      </c>
      <c r="N51" s="207">
        <f>RB_Raw!H49</f>
        <v>0.9</v>
      </c>
      <c r="O51" s="204">
        <f>RB_Raw!I49</f>
        <v>0.9</v>
      </c>
      <c r="P51" s="209">
        <f>(J51*RBRushingYd)+(K51*RBRushingTD)+(L51*RBReceptions)+(M51*RBRecYd)+(N51*RBRecTD)+(O51*RBFuml)+(I51*RBRushAtt)</f>
        <v>97.86</v>
      </c>
      <c r="Q51" t="str">
        <f ca="1">IF(A51&lt;=RBStarters,"Starter",IF(A51&gt;RBStarters+RBBench,"Undrafted","Bench"))</f>
        <v>Bench</v>
      </c>
      <c r="R51">
        <f ca="1">IFERROR(MAX(P51-LARGE(RBSheetCount,RBStarters),0),0)</f>
        <v>0</v>
      </c>
      <c r="S51">
        <f ca="1">IFERROR(IF(AllowNegative="Yes",P51-LARGE(RBSheetCount,RBCount),MAX(P51-LARGE(RBSheetCount,RBCount),0)),0)</f>
        <v>15.669999999999987</v>
      </c>
      <c r="T51" s="85">
        <f ca="1">(S51-R51)*BenchPF+R51*StarterPF</f>
        <v>2.8412358591458062</v>
      </c>
      <c r="U51" s="85">
        <f ca="1">T51*Auction!$A$2</f>
        <v>2.8412358591458062</v>
      </c>
      <c r="V51" s="6" t="str">
        <f>IF(OR(INDEX(Auction!$H$13:$H$656,MATCH(B51,Auction!$A$13:$A$656,0))&gt;0,IFERROR(INDEX(CheatSheet!$M$5:$M$64,MATCH(B51,CheatSheet!$J$5:$J$64,0)),"")&lt;&gt;""),"Yes","No")</f>
        <v>No</v>
      </c>
      <c r="W51" s="179"/>
      <c r="Y51" s="78">
        <f t="shared" ca="1" si="3"/>
        <v>1</v>
      </c>
      <c r="Z51">
        <f t="shared" ca="1" si="4"/>
        <v>7.8349999999999937</v>
      </c>
      <c r="AA51" s="116" t="str">
        <f t="shared" ca="1" si="5"/>
        <v>RB8</v>
      </c>
      <c r="AB51">
        <f ca="1">Z51*LeagueInfo!$H$5</f>
        <v>2.8850690536624599</v>
      </c>
    </row>
    <row r="52" spans="1:28" x14ac:dyDescent="0.25">
      <c r="A52" cm="1">
        <f t="array" aca="1" ref="A52" ca="1">RANK(P52,RBSheetCount)</f>
        <v>50</v>
      </c>
      <c r="B52" t="str">
        <f>RB_Raw!A50</f>
        <v>Mark Ingram II</v>
      </c>
      <c r="C52" t="s">
        <v>28</v>
      </c>
      <c r="D52" t="str">
        <f>_xlfn.IFNA(INDEX(BYEs!$E$2:$E$411,MATCH(B52,BYEs!$D$2:$D$411,0)),"N/A")</f>
        <v>N/A</v>
      </c>
      <c r="E52">
        <f>INDEX(BYEs!$B$2:$B$34,MATCH(F52,BYEs!$A$2:$A$34,0))</f>
        <v>14</v>
      </c>
      <c r="F52" t="str">
        <f>RB_Raw!B50</f>
        <v>NO</v>
      </c>
      <c r="G52" s="206">
        <v>0</v>
      </c>
      <c r="H52" s="207">
        <v>0</v>
      </c>
      <c r="I52" s="206">
        <f>RB_Raw!C50</f>
        <v>120.4</v>
      </c>
      <c r="J52" s="204">
        <f>RB_Raw!D50</f>
        <v>476.1</v>
      </c>
      <c r="K52" s="207">
        <f>RB_Raw!E50</f>
        <v>3.4</v>
      </c>
      <c r="L52" s="206">
        <f>RB_Raw!F50</f>
        <v>19.5</v>
      </c>
      <c r="M52" s="204">
        <f>RB_Raw!G50</f>
        <v>147.19999999999999</v>
      </c>
      <c r="N52" s="207">
        <f>RB_Raw!H50</f>
        <v>0.7</v>
      </c>
      <c r="O52" s="204">
        <f>RB_Raw!I50</f>
        <v>1</v>
      </c>
      <c r="P52" s="209">
        <f>(J52*RBRushingYd)+(K52*RBRushingTD)+(L52*RBReceptions)+(M52*RBRecYd)+(N52*RBRecTD)+(O52*RBFuml)+(I52*RBRushAtt)</f>
        <v>94.68</v>
      </c>
      <c r="Q52" t="str">
        <f ca="1">IF(A52&lt;=RBStarters,"Starter",IF(A52&gt;RBStarters+RBBench,"Undrafted","Bench"))</f>
        <v>Bench</v>
      </c>
      <c r="R52">
        <f ca="1">IFERROR(MAX(P52-LARGE(RBSheetCount,RBStarters),0),0)</f>
        <v>0</v>
      </c>
      <c r="S52">
        <f ca="1">IFERROR(IF(AllowNegative="Yes",P52-LARGE(RBSheetCount,RBCount),MAX(P52-LARGE(RBSheetCount,RBCount),0)),0)</f>
        <v>12.489999999999995</v>
      </c>
      <c r="T52" s="85">
        <f ca="1">(S52-R52)*BenchPF+R52*StarterPF</f>
        <v>2.2646481098105382</v>
      </c>
      <c r="U52" s="85">
        <f ca="1">T52*Auction!$A$2</f>
        <v>2.2646481098105382</v>
      </c>
      <c r="V52" s="6" t="str">
        <f>IF(OR(INDEX(Auction!$H$13:$H$656,MATCH(B52,Auction!$A$13:$A$656,0))&gt;0,IFERROR(INDEX(CheatSheet!$M$5:$M$64,MATCH(B52,CheatSheet!$J$5:$J$64,0)),"")&lt;&gt;""),"Yes","No")</f>
        <v>No</v>
      </c>
      <c r="W52" s="179"/>
      <c r="Y52" s="78">
        <f t="shared" ca="1" si="3"/>
        <v>1</v>
      </c>
      <c r="Z52">
        <f t="shared" ca="1" si="4"/>
        <v>6.2449999999999974</v>
      </c>
      <c r="AA52" s="116" t="str">
        <f t="shared" ca="1" si="5"/>
        <v>RB8</v>
      </c>
      <c r="AB52">
        <f ca="1">Z52*LeagueInfo!$H$5</f>
        <v>2.2995859910813108</v>
      </c>
    </row>
    <row r="53" spans="1:28" x14ac:dyDescent="0.25">
      <c r="A53" cm="1">
        <f t="array" aca="1" ref="A53" ca="1">RANK(P53,RBSheetCount)</f>
        <v>51</v>
      </c>
      <c r="B53" t="str">
        <f>RB_Raw!A51</f>
        <v>Tyler Allgeier</v>
      </c>
      <c r="C53" t="s">
        <v>28</v>
      </c>
      <c r="D53" t="str">
        <f>_xlfn.IFNA(INDEX(BYEs!$E$2:$E$411,MATCH(B53,BYEs!$D$2:$D$411,0)),"N/A")</f>
        <v>N/A</v>
      </c>
      <c r="E53">
        <f>INDEX(BYEs!$B$2:$B$34,MATCH(F53,BYEs!$A$2:$A$34,0))</f>
        <v>14</v>
      </c>
      <c r="F53" t="str">
        <f>RB_Raw!B51</f>
        <v>ATL</v>
      </c>
      <c r="G53" s="206">
        <v>0</v>
      </c>
      <c r="H53" s="207">
        <v>0</v>
      </c>
      <c r="I53" s="206">
        <f>RB_Raw!C51</f>
        <v>138.69999999999999</v>
      </c>
      <c r="J53" s="204">
        <f>RB_Raw!D51</f>
        <v>514.5</v>
      </c>
      <c r="K53" s="207">
        <f>RB_Raw!E51</f>
        <v>2.9</v>
      </c>
      <c r="L53" s="206">
        <f>RB_Raw!F51</f>
        <v>17.399999999999999</v>
      </c>
      <c r="M53" s="204">
        <f>RB_Raw!G51</f>
        <v>134.69999999999999</v>
      </c>
      <c r="N53" s="207">
        <f>RB_Raw!H51</f>
        <v>0.6</v>
      </c>
      <c r="O53" s="204">
        <f>RB_Raw!I51</f>
        <v>1.3</v>
      </c>
      <c r="P53" s="209">
        <f>(J53*RBRushingYd)+(K53*RBRushingTD)+(L53*RBReceptions)+(M53*RBRecYd)+(N53*RBRecTD)+(O53*RBFuml)+(I53*RBRushAtt)</f>
        <v>92.02</v>
      </c>
      <c r="Q53" t="str">
        <f ca="1">IF(A53&lt;=RBStarters,"Starter",IF(A53&gt;RBStarters+RBBench,"Undrafted","Bench"))</f>
        <v>Bench</v>
      </c>
      <c r="R53">
        <f ca="1">IFERROR(MAX(P53-LARGE(RBSheetCount,RBStarters),0),0)</f>
        <v>0</v>
      </c>
      <c r="S53">
        <f ca="1">IFERROR(IF(AllowNegative="Yes",P53-LARGE(RBSheetCount,RBCount),MAX(P53-LARGE(RBSheetCount,RBCount),0)),0)</f>
        <v>9.8299999999999841</v>
      </c>
      <c r="T53" s="85">
        <f ca="1">(S53-R53)*BenchPF+R53*StarterPF</f>
        <v>1.7823451496747449</v>
      </c>
      <c r="U53" s="85">
        <f ca="1">T53*Auction!$A$2</f>
        <v>1.7823451496747449</v>
      </c>
      <c r="V53" s="6" t="str">
        <f>IF(OR(INDEX(Auction!$H$13:$H$656,MATCH(B53,Auction!$A$13:$A$656,0))&gt;0,IFERROR(INDEX(CheatSheet!$M$5:$M$64,MATCH(B53,CheatSheet!$J$5:$J$64,0)),"")&lt;&gt;""),"Yes","No")</f>
        <v>No</v>
      </c>
      <c r="W53" s="179"/>
      <c r="Y53" s="78">
        <f t="shared" ca="1" si="3"/>
        <v>1</v>
      </c>
      <c r="Z53">
        <f t="shared" ca="1" si="4"/>
        <v>4.914999999999992</v>
      </c>
      <c r="AA53" s="116" t="str">
        <f t="shared" ca="1" si="5"/>
        <v>RB8</v>
      </c>
      <c r="AB53">
        <f ca="1">Z53*LeagueInfo!$H$5</f>
        <v>1.8098422972241199</v>
      </c>
    </row>
    <row r="54" spans="1:28" x14ac:dyDescent="0.25">
      <c r="A54" cm="1">
        <f t="array" aca="1" ref="A54" ca="1">RANK(P54,RBSheetCount)</f>
        <v>52</v>
      </c>
      <c r="B54" t="str">
        <f>RB_Raw!A54</f>
        <v>Rex Burkhead</v>
      </c>
      <c r="C54" t="s">
        <v>28</v>
      </c>
      <c r="D54">
        <f>_xlfn.IFNA(INDEX(BYEs!$E$2:$E$411,MATCH(B54,BYEs!$D$2:$D$411,0)),"N/A")</f>
        <v>31</v>
      </c>
      <c r="E54">
        <f>INDEX(BYEs!$B$2:$B$34,MATCH(F54,BYEs!$A$2:$A$34,0))</f>
        <v>6</v>
      </c>
      <c r="F54" t="str">
        <f>RB_Raw!B54</f>
        <v>HOU</v>
      </c>
      <c r="G54" s="206">
        <v>0</v>
      </c>
      <c r="H54" s="207">
        <v>0</v>
      </c>
      <c r="I54" s="206">
        <f>RB_Raw!C54</f>
        <v>79.099999999999994</v>
      </c>
      <c r="J54" s="204">
        <f>RB_Raw!D54</f>
        <v>327.60000000000002</v>
      </c>
      <c r="K54" s="207">
        <f>RB_Raw!E54</f>
        <v>2.4</v>
      </c>
      <c r="L54" s="206">
        <f>RB_Raw!F54</f>
        <v>29.2</v>
      </c>
      <c r="M54" s="204">
        <f>RB_Raw!G54</f>
        <v>235.3</v>
      </c>
      <c r="N54" s="207">
        <f>RB_Raw!H54</f>
        <v>1.1000000000000001</v>
      </c>
      <c r="O54" s="204">
        <f>RB_Raw!I54</f>
        <v>0.5</v>
      </c>
      <c r="P54" s="209">
        <f>(J54*RBRushingYd)+(K54*RBRushingTD)+(L54*RBReceptions)+(M54*RBRecYd)+(N54*RBRecTD)+(O54*RBFuml)+(I54*RBRushAtt)</f>
        <v>90.89</v>
      </c>
      <c r="Q54" t="str">
        <f ca="1">IF(A54&lt;=RBStarters,"Starter",IF(A54&gt;RBStarters+RBBench,"Undrafted","Bench"))</f>
        <v>Bench</v>
      </c>
      <c r="R54">
        <f ca="1">IFERROR(MAX(P54-LARGE(RBSheetCount,RBStarters),0),0)</f>
        <v>0</v>
      </c>
      <c r="S54">
        <f ca="1">IFERROR(IF(AllowNegative="Yes",P54-LARGE(RBSheetCount,RBCount),MAX(P54-LARGE(RBSheetCount,RBCount),0)),0)</f>
        <v>8.6999999999999886</v>
      </c>
      <c r="T54" s="85">
        <f ca="1">(S54-R54)*BenchPF+R54*StarterPF</f>
        <v>1.5774570500681877</v>
      </c>
      <c r="U54" s="85">
        <f ca="1">T54*Auction!$A$2</f>
        <v>1.5774570500681877</v>
      </c>
      <c r="V54" s="6" t="str">
        <f>IF(OR(INDEX(Auction!$H$13:$H$656,MATCH(B54,Auction!$A$13:$A$656,0))&gt;0,IFERROR(INDEX(CheatSheet!$M$5:$M$64,MATCH(B54,CheatSheet!$J$5:$J$64,0)),"")&lt;&gt;""),"Yes","No")</f>
        <v>No</v>
      </c>
      <c r="W54" s="179"/>
      <c r="Y54" s="78">
        <f t="shared" ca="1" si="3"/>
        <v>1</v>
      </c>
      <c r="Z54">
        <f t="shared" ca="1" si="4"/>
        <v>4.3499999999999943</v>
      </c>
      <c r="AA54" s="116" t="str">
        <f t="shared" ca="1" si="5"/>
        <v>RB8</v>
      </c>
      <c r="AB54">
        <f ca="1">Z54*LeagueInfo!$H$5</f>
        <v>1.601793284420127</v>
      </c>
    </row>
    <row r="55" spans="1:28" x14ac:dyDescent="0.25">
      <c r="A55" cm="1">
        <f t="array" aca="1" ref="A55" ca="1">RANK(P55,RBSheetCount)</f>
        <v>53</v>
      </c>
      <c r="B55" t="str">
        <f>RB_Raw!A53</f>
        <v>Rachaad White</v>
      </c>
      <c r="C55" t="s">
        <v>28</v>
      </c>
      <c r="D55" t="str">
        <f>_xlfn.IFNA(INDEX(BYEs!$E$2:$E$411,MATCH(B55,BYEs!$D$2:$D$411,0)),"N/A")</f>
        <v>N/A</v>
      </c>
      <c r="E55">
        <f>INDEX(BYEs!$B$2:$B$34,MATCH(F55,BYEs!$A$2:$A$34,0))</f>
        <v>11</v>
      </c>
      <c r="F55" t="str">
        <f>RB_Raw!B53</f>
        <v>TB</v>
      </c>
      <c r="G55" s="206">
        <v>0</v>
      </c>
      <c r="H55" s="207">
        <v>0</v>
      </c>
      <c r="I55" s="206">
        <f>RB_Raw!C53</f>
        <v>93.7</v>
      </c>
      <c r="J55" s="204">
        <f>RB_Raw!D53</f>
        <v>367.7</v>
      </c>
      <c r="K55" s="207">
        <f>RB_Raw!E53</f>
        <v>3.4</v>
      </c>
      <c r="L55" s="206">
        <f>RB_Raw!F53</f>
        <v>20.9</v>
      </c>
      <c r="M55" s="204">
        <f>RB_Raw!G53</f>
        <v>166.5</v>
      </c>
      <c r="N55" s="207">
        <f>RB_Raw!H53</f>
        <v>1.1000000000000001</v>
      </c>
      <c r="O55" s="204">
        <f>RB_Raw!I53</f>
        <v>0.9</v>
      </c>
      <c r="P55" s="209">
        <f>(J55*RBRushingYd)+(K55*RBRushingTD)+(L55*RBReceptions)+(M55*RBRecYd)+(N55*RBRecTD)+(O55*RBFuml)+(I55*RBRushAtt)</f>
        <v>89.070000000000007</v>
      </c>
      <c r="Q55" t="str">
        <f ca="1">IF(A55&lt;=RBStarters,"Starter",IF(A55&gt;RBStarters+RBBench,"Undrafted","Bench"))</f>
        <v>Bench</v>
      </c>
      <c r="R55">
        <f ca="1">IFERROR(MAX(P55-LARGE(RBSheetCount,RBStarters),0),0)</f>
        <v>0</v>
      </c>
      <c r="S55">
        <f ca="1">IFERROR(IF(AllowNegative="Yes",P55-LARGE(RBSheetCount,RBCount),MAX(P55-LARGE(RBSheetCount,RBCount),0)),0)</f>
        <v>6.8799999999999955</v>
      </c>
      <c r="T55" s="85">
        <f ca="1">(S55-R55)*BenchPF+R55*StarterPF</f>
        <v>1.2474602878700158</v>
      </c>
      <c r="U55" s="85">
        <f ca="1">T55*Auction!$A$2</f>
        <v>1.2474602878700158</v>
      </c>
      <c r="V55" s="6" t="str">
        <f>IF(OR(INDEX(Auction!$H$13:$H$656,MATCH(B55,Auction!$A$13:$A$656,0))&gt;0,IFERROR(INDEX(CheatSheet!$M$5:$M$64,MATCH(B55,CheatSheet!$J$5:$J$64,0)),"")&lt;&gt;""),"Yes","No")</f>
        <v>No</v>
      </c>
      <c r="W55" s="179"/>
      <c r="Y55" s="78">
        <f t="shared" ca="1" si="3"/>
        <v>1</v>
      </c>
      <c r="Z55">
        <f t="shared" ca="1" si="4"/>
        <v>3.4399999999999977</v>
      </c>
      <c r="AA55" s="116" t="str">
        <f t="shared" ca="1" si="5"/>
        <v>RB9</v>
      </c>
      <c r="AB55">
        <f ca="1">Z55*LeagueInfo!$H$5</f>
        <v>1.2667054938862621</v>
      </c>
    </row>
    <row r="56" spans="1:28" x14ac:dyDescent="0.25">
      <c r="A56" cm="1">
        <f t="array" aca="1" ref="A56" ca="1">RANK(P56,RBSheetCount)</f>
        <v>54</v>
      </c>
      <c r="B56" t="str">
        <f>RB_Raw!A55</f>
        <v>Khalil Herbert</v>
      </c>
      <c r="C56" t="s">
        <v>28</v>
      </c>
      <c r="D56" t="str">
        <f>_xlfn.IFNA(INDEX(BYEs!$E$2:$E$411,MATCH(B56,BYEs!$D$2:$D$411,0)),"N/A")</f>
        <v>N/A</v>
      </c>
      <c r="E56">
        <f>INDEX(BYEs!$B$2:$B$34,MATCH(F56,BYEs!$A$2:$A$34,0))</f>
        <v>14</v>
      </c>
      <c r="F56" t="str">
        <f>RB_Raw!B55</f>
        <v>CHI</v>
      </c>
      <c r="G56" s="206">
        <v>0</v>
      </c>
      <c r="H56" s="207">
        <v>0</v>
      </c>
      <c r="I56" s="206">
        <f>RB_Raw!C55</f>
        <v>115.7</v>
      </c>
      <c r="J56" s="204">
        <f>RB_Raw!D55</f>
        <v>428.5</v>
      </c>
      <c r="K56" s="207">
        <f>RB_Raw!E55</f>
        <v>2.7</v>
      </c>
      <c r="L56" s="206">
        <f>RB_Raw!F55</f>
        <v>17.7</v>
      </c>
      <c r="M56" s="204">
        <f>RB_Raw!G55</f>
        <v>130.9</v>
      </c>
      <c r="N56" s="207">
        <f>RB_Raw!H55</f>
        <v>0.5</v>
      </c>
      <c r="O56" s="204">
        <f>RB_Raw!I55</f>
        <v>0.9</v>
      </c>
      <c r="P56" s="209">
        <f>(J56*RBRushingYd)+(K56*RBRushingTD)+(L56*RBReceptions)+(M56*RBRecYd)+(N56*RBRecTD)+(O56*RBFuml)+(I56*RBRushAtt)</f>
        <v>82.190000000000012</v>
      </c>
      <c r="Q56" t="str">
        <f ca="1">IF(A56&lt;=RBStarters,"Starter",IF(A56&gt;RBStarters+RBBench,"Undrafted","Bench"))</f>
        <v>Undrafted</v>
      </c>
      <c r="R56">
        <f ca="1">IFERROR(MAX(P56-LARGE(RBSheetCount,RBStarters),0),0)</f>
        <v>0</v>
      </c>
      <c r="S56">
        <f ca="1">IFERROR(IF(AllowNegative="Yes",P56-LARGE(RBSheetCount,RBCount),MAX(P56-LARGE(RBSheetCount,RBCount),0)),0)</f>
        <v>0</v>
      </c>
      <c r="T56" s="85">
        <f ca="1">(S56-R56)*BenchPF+R56*StarterPF</f>
        <v>0</v>
      </c>
      <c r="U56" s="85">
        <f ca="1">T56*Auction!$A$2</f>
        <v>0</v>
      </c>
      <c r="V56" s="6" t="str">
        <f>IF(OR(INDEX(Auction!$H$13:$H$656,MATCH(B56,Auction!$A$13:$A$656,0))&gt;0,IFERROR(INDEX(CheatSheet!$M$5:$M$64,MATCH(B56,CheatSheet!$J$5:$J$64,0)),"")&lt;&gt;""),"Yes","No")</f>
        <v>No</v>
      </c>
      <c r="W56" s="179"/>
      <c r="Y56" s="78">
        <f t="shared" ca="1" si="3"/>
        <v>1</v>
      </c>
      <c r="Z56">
        <f t="shared" ca="1" si="4"/>
        <v>0</v>
      </c>
      <c r="AA56" s="116" t="str">
        <f t="shared" ca="1" si="5"/>
        <v>RB9</v>
      </c>
      <c r="AB56">
        <f ca="1">Z56*LeagueInfo!$H$5</f>
        <v>0</v>
      </c>
    </row>
    <row r="57" spans="1:28" x14ac:dyDescent="0.25">
      <c r="A57" cm="1">
        <f t="array" aca="1" ref="A57" ca="1">RANK(P57,RBSheetCount)</f>
        <v>55</v>
      </c>
      <c r="B57" t="str">
        <f>RB_Raw!A58</f>
        <v>Jerick McKinnon</v>
      </c>
      <c r="C57" t="s">
        <v>28</v>
      </c>
      <c r="D57">
        <f>_xlfn.IFNA(INDEX(BYEs!$E$2:$E$411,MATCH(B57,BYEs!$D$2:$D$411,0)),"N/A")</f>
        <v>29</v>
      </c>
      <c r="E57">
        <f>INDEX(BYEs!$B$2:$B$34,MATCH(F57,BYEs!$A$2:$A$34,0))</f>
        <v>8</v>
      </c>
      <c r="F57" t="str">
        <f>RB_Raw!B58</f>
        <v>KC</v>
      </c>
      <c r="G57" s="206">
        <v>0</v>
      </c>
      <c r="H57" s="207">
        <v>0</v>
      </c>
      <c r="I57" s="206">
        <f>RB_Raw!C58</f>
        <v>48.2</v>
      </c>
      <c r="J57" s="204">
        <f>RB_Raw!D58</f>
        <v>216.4</v>
      </c>
      <c r="K57" s="207">
        <f>RB_Raw!E58</f>
        <v>1.5</v>
      </c>
      <c r="L57" s="206">
        <f>RB_Raw!F58</f>
        <v>28.5</v>
      </c>
      <c r="M57" s="204">
        <f>RB_Raw!G58</f>
        <v>233.3</v>
      </c>
      <c r="N57" s="207">
        <f>RB_Raw!H58</f>
        <v>1.4</v>
      </c>
      <c r="O57" s="204">
        <f>RB_Raw!I58</f>
        <v>0.5</v>
      </c>
      <c r="P57" s="209">
        <f>(J57*RBRushingYd)+(K57*RBRushingTD)+(L57*RBReceptions)+(M57*RBRecYd)+(N57*RBRecTD)+(O57*RBFuml)+(I57*RBRushAtt)</f>
        <v>75.62</v>
      </c>
      <c r="Q57" t="str">
        <f ca="1">IF(A57&lt;=RBStarters,"Starter",IF(A57&gt;RBStarters+RBBench,"Undrafted","Bench"))</f>
        <v>Undrafted</v>
      </c>
      <c r="R57">
        <f ca="1">IFERROR(MAX(P57-LARGE(RBSheetCount,RBStarters),0),0)</f>
        <v>0</v>
      </c>
      <c r="S57">
        <f ca="1">IFERROR(IF(AllowNegative="Yes",P57-LARGE(RBSheetCount,RBCount),MAX(P57-LARGE(RBSheetCount,RBCount),0)),0)</f>
        <v>-6.5700000000000074</v>
      </c>
      <c r="T57" s="85">
        <f ca="1">(S57-R57)*BenchPF+R57*StarterPF</f>
        <v>-1.1912520481549447</v>
      </c>
      <c r="U57" s="85">
        <f ca="1">T57*Auction!$A$2</f>
        <v>-1.1912520481549447</v>
      </c>
      <c r="V57" s="6" t="str">
        <f>IF(OR(INDEX(Auction!$H$13:$H$656,MATCH(B57,Auction!$A$13:$A$656,0))&gt;0,IFERROR(INDEX(CheatSheet!$M$5:$M$64,MATCH(B57,CheatSheet!$J$5:$J$64,0)),"")&lt;&gt;""),"Yes","No")</f>
        <v>No</v>
      </c>
      <c r="W57" s="179"/>
      <c r="Y57" s="78">
        <f t="shared" ca="1" si="3"/>
        <v>1</v>
      </c>
      <c r="Z57">
        <f t="shared" ca="1" si="4"/>
        <v>-3.2850000000000037</v>
      </c>
      <c r="AA57" s="116" t="str">
        <f t="shared" ca="1" si="5"/>
        <v>RB9</v>
      </c>
      <c r="AB57">
        <f ca="1">Z57*LeagueInfo!$H$5</f>
        <v>-1.2096301009931334</v>
      </c>
    </row>
    <row r="58" spans="1:28" x14ac:dyDescent="0.25">
      <c r="A58" cm="1">
        <f t="array" aca="1" ref="A58" ca="1">RANK(P58,RBSheetCount)</f>
        <v>56</v>
      </c>
      <c r="B58" t="str">
        <f>RB_Raw!A57</f>
        <v>Zamir White</v>
      </c>
      <c r="C58" t="s">
        <v>28</v>
      </c>
      <c r="D58" t="str">
        <f>_xlfn.IFNA(INDEX(BYEs!$E$2:$E$411,MATCH(B58,BYEs!$D$2:$D$411,0)),"N/A")</f>
        <v>N/A</v>
      </c>
      <c r="E58">
        <f>INDEX(BYEs!$B$2:$B$34,MATCH(F58,BYEs!$A$2:$A$34,0))</f>
        <v>6</v>
      </c>
      <c r="F58" t="str">
        <f>RB_Raw!B57</f>
        <v>LV</v>
      </c>
      <c r="G58" s="206">
        <v>0</v>
      </c>
      <c r="H58" s="207">
        <v>0</v>
      </c>
      <c r="I58" s="206">
        <f>RB_Raw!C57</f>
        <v>99.7</v>
      </c>
      <c r="J58" s="204">
        <f>RB_Raw!D57</f>
        <v>367.8</v>
      </c>
      <c r="K58" s="207">
        <f>RB_Raw!E57</f>
        <v>3.3</v>
      </c>
      <c r="L58" s="206">
        <f>RB_Raw!F57</f>
        <v>12</v>
      </c>
      <c r="M58" s="204">
        <f>RB_Raw!G57</f>
        <v>94.4</v>
      </c>
      <c r="N58" s="207">
        <f>RB_Raw!H57</f>
        <v>0.4</v>
      </c>
      <c r="O58" s="204">
        <f>RB_Raw!I57</f>
        <v>0.9</v>
      </c>
      <c r="P58" s="209">
        <f>(J58*RBRushingYd)+(K58*RBRushingTD)+(L58*RBReceptions)+(M58*RBRecYd)+(N58*RBRecTD)+(O58*RBFuml)+(I58*RBRushAtt)</f>
        <v>72.62</v>
      </c>
      <c r="Q58" t="str">
        <f ca="1">IF(A58&lt;=RBStarters,"Starter",IF(A58&gt;RBStarters+RBBench,"Undrafted","Bench"))</f>
        <v>Undrafted</v>
      </c>
      <c r="R58">
        <f ca="1">IFERROR(MAX(P58-LARGE(RBSheetCount,RBStarters),0),0)</f>
        <v>0</v>
      </c>
      <c r="S58">
        <f ca="1">IFERROR(IF(AllowNegative="Yes",P58-LARGE(RBSheetCount,RBCount),MAX(P58-LARGE(RBSheetCount,RBCount),0)),0)</f>
        <v>-9.5700000000000074</v>
      </c>
      <c r="T58" s="85">
        <f ca="1">(S58-R58)*BenchPF+R58*StarterPF</f>
        <v>-1.7352027550750102</v>
      </c>
      <c r="U58" s="85">
        <f ca="1">T58*Auction!$A$2</f>
        <v>-1.7352027550750102</v>
      </c>
      <c r="V58" s="6" t="str">
        <f>IF(OR(INDEX(Auction!$H$13:$H$656,MATCH(B58,Auction!$A$13:$A$656,0))&gt;0,IFERROR(INDEX(CheatSheet!$M$5:$M$64,MATCH(B58,CheatSheet!$J$5:$J$64,0)),"")&lt;&gt;""),"Yes","No")</f>
        <v>No</v>
      </c>
      <c r="W58" s="179"/>
      <c r="Y58" s="78">
        <f t="shared" ca="1" si="3"/>
        <v>1</v>
      </c>
      <c r="Z58">
        <f t="shared" ca="1" si="4"/>
        <v>-4.7850000000000037</v>
      </c>
      <c r="AA58" s="116" t="str">
        <f t="shared" ca="1" si="5"/>
        <v>RB9</v>
      </c>
      <c r="AB58">
        <f ca="1">Z58*LeagueInfo!$H$5</f>
        <v>-1.7619726128621434</v>
      </c>
    </row>
    <row r="59" spans="1:28" x14ac:dyDescent="0.25">
      <c r="A59" cm="1">
        <f t="array" aca="1" ref="A59" ca="1">RANK(P59,RBSheetCount)</f>
        <v>57</v>
      </c>
      <c r="B59" t="str">
        <f>RB_Raw!A56</f>
        <v>Gus Edwards</v>
      </c>
      <c r="C59" t="s">
        <v>28</v>
      </c>
      <c r="D59">
        <f>_xlfn.IFNA(INDEX(BYEs!$E$2:$E$411,MATCH(B59,BYEs!$D$2:$D$411,0)),"N/A")</f>
        <v>26</v>
      </c>
      <c r="E59">
        <f>INDEX(BYEs!$B$2:$B$34,MATCH(F59,BYEs!$A$2:$A$34,0))</f>
        <v>10</v>
      </c>
      <c r="F59" t="str">
        <f>RB_Raw!B56</f>
        <v>BAL</v>
      </c>
      <c r="G59" s="206">
        <v>0</v>
      </c>
      <c r="H59" s="207">
        <v>0</v>
      </c>
      <c r="I59" s="206">
        <f>RB_Raw!C56</f>
        <v>99.5</v>
      </c>
      <c r="J59" s="204">
        <f>RB_Raw!D56</f>
        <v>442.7</v>
      </c>
      <c r="K59" s="207">
        <f>RB_Raw!E56</f>
        <v>3</v>
      </c>
      <c r="L59" s="206">
        <f>RB_Raw!F56</f>
        <v>7.7</v>
      </c>
      <c r="M59" s="204">
        <f>RB_Raw!G56</f>
        <v>66.5</v>
      </c>
      <c r="N59" s="207">
        <f>RB_Raw!H56</f>
        <v>0.2</v>
      </c>
      <c r="O59" s="204">
        <f>RB_Raw!I56</f>
        <v>0.7</v>
      </c>
      <c r="P59" s="209">
        <f>(J59*RBRushingYd)+(K59*RBRushingTD)+(L59*RBReceptions)+(M59*RBRecYd)+(N59*RBRecTD)+(O59*RBFuml)+(I59*RBRushAtt)</f>
        <v>72.570000000000007</v>
      </c>
      <c r="Q59" t="str">
        <f ca="1">IF(A59&lt;=RBStarters,"Starter",IF(A59&gt;RBStarters+RBBench,"Undrafted","Bench"))</f>
        <v>Undrafted</v>
      </c>
      <c r="R59">
        <f ca="1">IFERROR(MAX(P59-LARGE(RBSheetCount,RBStarters),0),0)</f>
        <v>0</v>
      </c>
      <c r="S59">
        <f ca="1">IFERROR(IF(AllowNegative="Yes",P59-LARGE(RBSheetCount,RBCount),MAX(P59-LARGE(RBSheetCount,RBCount),0)),0)</f>
        <v>-9.6200000000000045</v>
      </c>
      <c r="T59" s="85">
        <f ca="1">(S59-R59)*BenchPF+R59*StarterPF</f>
        <v>-1.744268600190344</v>
      </c>
      <c r="U59" s="85">
        <f ca="1">T59*Auction!$A$2</f>
        <v>-1.744268600190344</v>
      </c>
      <c r="V59" s="6" t="str">
        <f>IF(OR(INDEX(Auction!$H$13:$H$656,MATCH(B59,Auction!$A$13:$A$656,0))&gt;0,IFERROR(INDEX(CheatSheet!$M$5:$M$64,MATCH(B59,CheatSheet!$J$5:$J$64,0)),"")&lt;&gt;""),"Yes","No")</f>
        <v>No</v>
      </c>
      <c r="W59" s="179"/>
      <c r="Y59" s="78">
        <f t="shared" ca="1" si="3"/>
        <v>1</v>
      </c>
      <c r="Z59">
        <f t="shared" ca="1" si="4"/>
        <v>-4.8100000000000023</v>
      </c>
      <c r="AA59" s="116" t="str">
        <f t="shared" ca="1" si="5"/>
        <v>RB9</v>
      </c>
      <c r="AB59">
        <f ca="1">Z59*LeagueInfo!$H$5</f>
        <v>-1.771178321393293</v>
      </c>
    </row>
    <row r="60" spans="1:28" x14ac:dyDescent="0.25">
      <c r="A60" cm="1">
        <f t="array" aca="1" ref="A60" ca="1">RANK(P60,RBSheetCount)</f>
        <v>58</v>
      </c>
      <c r="B60" t="str">
        <f>RB_Raw!A63</f>
        <v>Ameer Abdullah</v>
      </c>
      <c r="C60" t="s">
        <v>28</v>
      </c>
      <c r="D60">
        <f>_xlfn.IFNA(INDEX(BYEs!$E$2:$E$411,MATCH(B60,BYEs!$D$2:$D$411,0)),"N/A")</f>
        <v>28</v>
      </c>
      <c r="E60">
        <f>INDEX(BYEs!$B$2:$B$34,MATCH(F60,BYEs!$A$2:$A$34,0))</f>
        <v>6</v>
      </c>
      <c r="F60" t="str">
        <f>RB_Raw!B63</f>
        <v>LV</v>
      </c>
      <c r="G60" s="206">
        <v>0</v>
      </c>
      <c r="H60" s="207">
        <v>0</v>
      </c>
      <c r="I60" s="206">
        <f>RB_Raw!C63</f>
        <v>37.200000000000003</v>
      </c>
      <c r="J60" s="204">
        <f>RB_Raw!D63</f>
        <v>167.3</v>
      </c>
      <c r="K60" s="207">
        <f>RB_Raw!E63</f>
        <v>0.8</v>
      </c>
      <c r="L60" s="206">
        <f>RB_Raw!F63</f>
        <v>34.4</v>
      </c>
      <c r="M60" s="204">
        <f>RB_Raw!G63</f>
        <v>254.7</v>
      </c>
      <c r="N60" s="207">
        <f>RB_Raw!H63</f>
        <v>1.3</v>
      </c>
      <c r="O60" s="204">
        <f>RB_Raw!I63</f>
        <v>0.4</v>
      </c>
      <c r="P60" s="209">
        <f>(J60*RBRushingYd)+(K60*RBRushingTD)+(L60*RBReceptions)+(M60*RBRecYd)+(N60*RBRecTD)+(O60*RBFuml)+(I60*RBRushAtt)</f>
        <v>71.2</v>
      </c>
      <c r="Q60" t="str">
        <f ca="1">IF(A60&lt;=RBStarters,"Starter",IF(A60&gt;RBStarters+RBBench,"Undrafted","Bench"))</f>
        <v>Undrafted</v>
      </c>
      <c r="R60">
        <f ca="1">IFERROR(MAX(P60-LARGE(RBSheetCount,RBStarters),0),0)</f>
        <v>0</v>
      </c>
      <c r="S60">
        <f ca="1">IFERROR(IF(AllowNegative="Yes",P60-LARGE(RBSheetCount,RBCount),MAX(P60-LARGE(RBSheetCount,RBCount),0)),0)</f>
        <v>-10.990000000000009</v>
      </c>
      <c r="T60" s="85">
        <f ca="1">(S60-R60)*BenchPF+R60*StarterPF</f>
        <v>-1.992672756350508</v>
      </c>
      <c r="U60" s="85">
        <f ca="1">T60*Auction!$A$2</f>
        <v>-1.992672756350508</v>
      </c>
      <c r="V60" s="6" t="str">
        <f>IF(OR(INDEX(Auction!$H$13:$H$656,MATCH(B60,Auction!$A$13:$A$656,0))&gt;0,IFERROR(INDEX(CheatSheet!$M$5:$M$64,MATCH(B60,CheatSheet!$J$5:$J$64,0)),"")&lt;&gt;""),"Yes","No")</f>
        <v>No</v>
      </c>
      <c r="W60" s="179"/>
      <c r="Y60" s="78">
        <f t="shared" ca="1" si="3"/>
        <v>1</v>
      </c>
      <c r="Z60">
        <f t="shared" ca="1" si="4"/>
        <v>-5.4950000000000045</v>
      </c>
      <c r="AA60" s="116" t="str">
        <f t="shared" ca="1" si="5"/>
        <v>RB9</v>
      </c>
      <c r="AB60">
        <f ca="1">Z60*LeagueInfo!$H$5</f>
        <v>-2.0234147351468081</v>
      </c>
    </row>
    <row r="61" spans="1:28" x14ac:dyDescent="0.25">
      <c r="A61" cm="1">
        <f t="array" aca="1" ref="A61" ca="1">RANK(P61,RBSheetCount)</f>
        <v>59</v>
      </c>
      <c r="B61" t="str">
        <f>RB_Raw!A60</f>
        <v>Damien Williams</v>
      </c>
      <c r="C61" t="s">
        <v>28</v>
      </c>
      <c r="D61">
        <f>_xlfn.IFNA(INDEX(BYEs!$E$2:$E$411,MATCH(B61,BYEs!$D$2:$D$411,0)),"N/A")</f>
        <v>29</v>
      </c>
      <c r="E61">
        <f>INDEX(BYEs!$B$2:$B$34,MATCH(F61,BYEs!$A$2:$A$34,0))</f>
        <v>14</v>
      </c>
      <c r="F61" t="str">
        <f>RB_Raw!B60</f>
        <v>ATL</v>
      </c>
      <c r="G61" s="206">
        <v>0</v>
      </c>
      <c r="H61" s="207">
        <v>0</v>
      </c>
      <c r="I61" s="206">
        <f>RB_Raw!C60</f>
        <v>76.900000000000006</v>
      </c>
      <c r="J61" s="204">
        <f>RB_Raw!D60</f>
        <v>283.2</v>
      </c>
      <c r="K61" s="207">
        <f>RB_Raw!E60</f>
        <v>2.1</v>
      </c>
      <c r="L61" s="206">
        <f>RB_Raw!F60</f>
        <v>20.5</v>
      </c>
      <c r="M61" s="204">
        <f>RB_Raw!G60</f>
        <v>151.6</v>
      </c>
      <c r="N61" s="207">
        <f>RB_Raw!H60</f>
        <v>0.8</v>
      </c>
      <c r="O61" s="204">
        <f>RB_Raw!I60</f>
        <v>0.9</v>
      </c>
      <c r="P61" s="209">
        <f>(J61*RBRushingYd)+(K61*RBRushingTD)+(L61*RBReceptions)+(M61*RBRecYd)+(N61*RBRecTD)+(O61*RBFuml)+(I61*RBRushAtt)</f>
        <v>69.33</v>
      </c>
      <c r="Q61" t="str">
        <f ca="1">IF(A61&lt;=RBStarters,"Starter",IF(A61&gt;RBStarters+RBBench,"Undrafted","Bench"))</f>
        <v>Undrafted</v>
      </c>
      <c r="R61">
        <f ca="1">IFERROR(MAX(P61-LARGE(RBSheetCount,RBStarters),0),0)</f>
        <v>0</v>
      </c>
      <c r="S61">
        <f ca="1">IFERROR(IF(AllowNegative="Yes",P61-LARGE(RBSheetCount,RBCount),MAX(P61-LARGE(RBSheetCount,RBCount),0)),0)</f>
        <v>-12.860000000000014</v>
      </c>
      <c r="T61" s="85">
        <f ca="1">(S61-R61)*BenchPF+R61*StarterPF</f>
        <v>-2.3317353636640163</v>
      </c>
      <c r="U61" s="85">
        <f ca="1">T61*Auction!$A$2</f>
        <v>-2.3317353636640163</v>
      </c>
      <c r="V61" s="6" t="str">
        <f>IF(OR(INDEX(Auction!$H$13:$H$656,MATCH(B61,Auction!$A$13:$A$656,0))&gt;0,IFERROR(INDEX(CheatSheet!$M$5:$M$64,MATCH(B61,CheatSheet!$J$5:$J$64,0)),"")&lt;&gt;""),"Yes","No")</f>
        <v>No</v>
      </c>
      <c r="W61" s="179"/>
      <c r="Y61" s="78">
        <f t="shared" ca="1" si="3"/>
        <v>1</v>
      </c>
      <c r="Z61">
        <f t="shared" ca="1" si="4"/>
        <v>-6.4300000000000068</v>
      </c>
      <c r="AA61" s="116" t="str">
        <f t="shared" ca="1" si="5"/>
        <v>RB9</v>
      </c>
      <c r="AB61">
        <f ca="1">Z61*LeagueInfo!$H$5</f>
        <v>-2.3677082342118254</v>
      </c>
    </row>
    <row r="62" spans="1:28" x14ac:dyDescent="0.25">
      <c r="A62" cm="1">
        <f t="array" aca="1" ref="A62" ca="1">RANK(P62,RBSheetCount)</f>
        <v>60</v>
      </c>
      <c r="B62" t="str">
        <f>RB_Raw!A65</f>
        <v>Dontrell Hilliard</v>
      </c>
      <c r="C62" t="s">
        <v>28</v>
      </c>
      <c r="D62" t="str">
        <f>_xlfn.IFNA(INDEX(BYEs!$E$2:$E$411,MATCH(B62,BYEs!$D$2:$D$411,0)),"N/A")</f>
        <v>N/A</v>
      </c>
      <c r="E62">
        <f>INDEX(BYEs!$B$2:$B$34,MATCH(F62,BYEs!$A$2:$A$34,0))</f>
        <v>6</v>
      </c>
      <c r="F62" t="str">
        <f>RB_Raw!B65</f>
        <v>TEN</v>
      </c>
      <c r="G62" s="206">
        <v>0</v>
      </c>
      <c r="H62" s="207">
        <v>0</v>
      </c>
      <c r="I62" s="206">
        <f>RB_Raw!C65</f>
        <v>47.2</v>
      </c>
      <c r="J62" s="204">
        <f>RB_Raw!D65</f>
        <v>237.4</v>
      </c>
      <c r="K62" s="207">
        <f>RB_Raw!E65</f>
        <v>1.5</v>
      </c>
      <c r="L62" s="206">
        <f>RB_Raw!F65</f>
        <v>25.7</v>
      </c>
      <c r="M62" s="204">
        <f>RB_Raw!G65</f>
        <v>180.3</v>
      </c>
      <c r="N62" s="207">
        <f>RB_Raw!H65</f>
        <v>0.6</v>
      </c>
      <c r="O62" s="204">
        <f>RB_Raw!I65</f>
        <v>1</v>
      </c>
      <c r="P62" s="209">
        <f>(J62*RBRushingYd)+(K62*RBRushingTD)+(L62*RBReceptions)+(M62*RBRecYd)+(N62*RBRecTD)+(O62*RBFuml)+(I62*RBRushAtt)</f>
        <v>65.22</v>
      </c>
      <c r="Q62" t="str">
        <f ca="1">IF(A62&lt;=RBStarters,"Starter",IF(A62&gt;RBStarters+RBBench,"Undrafted","Bench"))</f>
        <v>Undrafted</v>
      </c>
      <c r="R62">
        <f ca="1">IFERROR(MAX(P62-LARGE(RBSheetCount,RBStarters),0),0)</f>
        <v>0</v>
      </c>
      <c r="S62">
        <f ca="1">IFERROR(IF(AllowNegative="Yes",P62-LARGE(RBSheetCount,RBCount),MAX(P62-LARGE(RBSheetCount,RBCount),0)),0)</f>
        <v>-16.970000000000013</v>
      </c>
      <c r="T62" s="85">
        <f ca="1">(S62-R62)*BenchPF+R62*StarterPF</f>
        <v>-3.0769478321445058</v>
      </c>
      <c r="U62" s="85">
        <f ca="1">T62*Auction!$A$2</f>
        <v>-3.0769478321445058</v>
      </c>
      <c r="V62" s="6" t="str">
        <f>IF(OR(INDEX(Auction!$H$13:$H$656,MATCH(B62,Auction!$A$13:$A$656,0))&gt;0,IFERROR(INDEX(CheatSheet!$M$5:$M$64,MATCH(B62,CheatSheet!$J$5:$J$64,0)),"")&lt;&gt;""),"Yes","No")</f>
        <v>No</v>
      </c>
      <c r="W62" s="179"/>
      <c r="Y62" s="78">
        <f t="shared" ca="1" si="3"/>
        <v>1</v>
      </c>
      <c r="Z62">
        <f t="shared" ca="1" si="4"/>
        <v>-8.4850000000000065</v>
      </c>
      <c r="AA62" s="116" t="str">
        <f t="shared" ca="1" si="5"/>
        <v>RB9</v>
      </c>
      <c r="AB62">
        <f ca="1">Z62*LeagueInfo!$H$5</f>
        <v>-3.1244174754723693</v>
      </c>
    </row>
    <row r="63" spans="1:28" x14ac:dyDescent="0.25">
      <c r="A63" cm="1">
        <f t="array" aca="1" ref="A63" ca="1">RANK(P63,RBSheetCount)</f>
        <v>61</v>
      </c>
      <c r="B63" t="str">
        <f>RB_Raw!A59</f>
        <v>D'Onta Foreman</v>
      </c>
      <c r="C63" t="s">
        <v>28</v>
      </c>
      <c r="D63">
        <f>_xlfn.IFNA(INDEX(BYEs!$E$2:$E$411,MATCH(B63,BYEs!$D$2:$D$411,0)),"N/A")</f>
        <v>25</v>
      </c>
      <c r="E63">
        <f>INDEX(BYEs!$B$2:$B$34,MATCH(F63,BYEs!$A$2:$A$34,0))</f>
        <v>13</v>
      </c>
      <c r="F63" t="str">
        <f>RB_Raw!B59</f>
        <v>CAR</v>
      </c>
      <c r="G63" s="206">
        <v>0</v>
      </c>
      <c r="H63" s="207">
        <v>0</v>
      </c>
      <c r="I63" s="206">
        <f>RB_Raw!C59</f>
        <v>85.4</v>
      </c>
      <c r="J63" s="204">
        <f>RB_Raw!D59</f>
        <v>403.4</v>
      </c>
      <c r="K63" s="207">
        <f>RB_Raw!E59</f>
        <v>2.5</v>
      </c>
      <c r="L63" s="206">
        <f>RB_Raw!F59</f>
        <v>6.7</v>
      </c>
      <c r="M63" s="204">
        <f>RB_Raw!G59</f>
        <v>61.9</v>
      </c>
      <c r="N63" s="207">
        <f>RB_Raw!H59</f>
        <v>0.2</v>
      </c>
      <c r="O63" s="204">
        <f>RB_Raw!I59</f>
        <v>0.9</v>
      </c>
      <c r="P63" s="209">
        <f>(J63*RBRushingYd)+(K63*RBRushingTD)+(L63*RBReceptions)+(M63*RBRecYd)+(N63*RBRecTD)+(O63*RBFuml)+(I63*RBRushAtt)</f>
        <v>64.280000000000015</v>
      </c>
      <c r="Q63" t="str">
        <f ca="1">IF(A63&lt;=RBStarters,"Starter",IF(A63&gt;RBStarters+RBBench,"Undrafted","Bench"))</f>
        <v>Undrafted</v>
      </c>
      <c r="R63">
        <f ca="1">IFERROR(MAX(P63-LARGE(RBSheetCount,RBStarters),0),0)</f>
        <v>0</v>
      </c>
      <c r="S63">
        <f ca="1">IFERROR(IF(AllowNegative="Yes",P63-LARGE(RBSheetCount,RBCount),MAX(P63-LARGE(RBSheetCount,RBCount),0)),0)</f>
        <v>-17.909999999999997</v>
      </c>
      <c r="T63" s="85">
        <f ca="1">(S63-R63)*BenchPF+R63*StarterPF</f>
        <v>-3.2473857203127903</v>
      </c>
      <c r="U63" s="85">
        <f ca="1">T63*Auction!$A$2</f>
        <v>-3.2473857203127903</v>
      </c>
      <c r="V63" s="6" t="str">
        <f>IF(OR(INDEX(Auction!$H$13:$H$656,MATCH(B63,Auction!$A$13:$A$656,0))&gt;0,IFERROR(INDEX(CheatSheet!$M$5:$M$64,MATCH(B63,CheatSheet!$J$5:$J$64,0)),"")&lt;&gt;""),"Yes","No")</f>
        <v>No</v>
      </c>
      <c r="W63" s="179"/>
      <c r="Y63" s="78">
        <f t="shared" ca="1" si="3"/>
        <v>1</v>
      </c>
      <c r="Z63">
        <f t="shared" ca="1" si="4"/>
        <v>-8.9549999999999983</v>
      </c>
      <c r="AA63" s="116" t="str">
        <f t="shared" ca="1" si="5"/>
        <v>RB9</v>
      </c>
      <c r="AB63">
        <f ca="1">Z63*LeagueInfo!$H$5</f>
        <v>-3.2974847958579891</v>
      </c>
    </row>
    <row r="64" spans="1:28" x14ac:dyDescent="0.25">
      <c r="A64" cm="1">
        <f t="array" aca="1" ref="A64" ca="1">RANK(P64,RBSheetCount)</f>
        <v>62</v>
      </c>
      <c r="B64" t="str">
        <f>RB_Raw!A61</f>
        <v>Isaiah Spiller</v>
      </c>
      <c r="C64" t="s">
        <v>28</v>
      </c>
      <c r="D64" t="str">
        <f>_xlfn.IFNA(INDEX(BYEs!$E$2:$E$411,MATCH(B64,BYEs!$D$2:$D$411,0)),"N/A")</f>
        <v>N/A</v>
      </c>
      <c r="E64">
        <f>INDEX(BYEs!$B$2:$B$34,MATCH(F64,BYEs!$A$2:$A$34,0))</f>
        <v>8</v>
      </c>
      <c r="F64" t="str">
        <f>RB_Raw!B61</f>
        <v>LAC</v>
      </c>
      <c r="G64" s="206">
        <v>0</v>
      </c>
      <c r="H64" s="207">
        <v>0</v>
      </c>
      <c r="I64" s="206">
        <f>RB_Raw!C61</f>
        <v>71.5</v>
      </c>
      <c r="J64" s="204">
        <f>RB_Raw!D61</f>
        <v>282</v>
      </c>
      <c r="K64" s="207">
        <f>RB_Raw!E61</f>
        <v>2.1</v>
      </c>
      <c r="L64" s="206">
        <f>RB_Raw!F61</f>
        <v>15.2</v>
      </c>
      <c r="M64" s="204">
        <f>RB_Raw!G61</f>
        <v>122.7</v>
      </c>
      <c r="N64" s="207">
        <f>RB_Raw!H61</f>
        <v>0.7</v>
      </c>
      <c r="O64" s="204">
        <f>RB_Raw!I61</f>
        <v>0.8</v>
      </c>
      <c r="P64" s="209">
        <f>(J64*RBRushingYd)+(K64*RBRushingTD)+(L64*RBReceptions)+(M64*RBRecYd)+(N64*RBRecTD)+(O64*RBFuml)+(I64*RBRushAtt)</f>
        <v>63.27</v>
      </c>
      <c r="Q64" t="str">
        <f ca="1">IF(A64&lt;=RBStarters,"Starter",IF(A64&gt;RBStarters+RBBench,"Undrafted","Bench"))</f>
        <v>Undrafted</v>
      </c>
      <c r="R64">
        <f ca="1">IFERROR(MAX(P64-LARGE(RBSheetCount,RBStarters),0),0)</f>
        <v>0</v>
      </c>
      <c r="S64">
        <f ca="1">IFERROR(IF(AllowNegative="Yes",P64-LARGE(RBSheetCount,RBCount),MAX(P64-LARGE(RBSheetCount,RBCount),0)),0)</f>
        <v>-18.920000000000009</v>
      </c>
      <c r="T64" s="85">
        <f ca="1">(S64-R64)*BenchPF+R64*StarterPF</f>
        <v>-3.4305157916425477</v>
      </c>
      <c r="U64" s="85">
        <f ca="1">T64*Auction!$A$2</f>
        <v>-3.4305157916425477</v>
      </c>
      <c r="V64" s="6" t="str">
        <f>IF(OR(INDEX(Auction!$H$13:$H$656,MATCH(B64,Auction!$A$13:$A$656,0))&gt;0,IFERROR(INDEX(CheatSheet!$M$5:$M$64,MATCH(B64,CheatSheet!$J$5:$J$64,0)),"")&lt;&gt;""),"Yes","No")</f>
        <v>No</v>
      </c>
      <c r="W64" s="179"/>
      <c r="Y64" s="78">
        <f t="shared" ca="1" si="3"/>
        <v>1</v>
      </c>
      <c r="Z64">
        <f t="shared" ca="1" si="4"/>
        <v>-9.4600000000000044</v>
      </c>
      <c r="AA64" s="116" t="str">
        <f t="shared" ca="1" si="5"/>
        <v>RB9</v>
      </c>
      <c r="AB64">
        <f ca="1">Z64*LeagueInfo!$H$5</f>
        <v>-3.4834401081872248</v>
      </c>
    </row>
    <row r="65" spans="1:28" x14ac:dyDescent="0.25">
      <c r="A65" cm="1">
        <f t="array" aca="1" ref="A65" ca="1">RANK(P65,RBSheetCount)</f>
        <v>63</v>
      </c>
      <c r="B65" t="str">
        <f>RB_Raw!A62</f>
        <v>Darrel Williams</v>
      </c>
      <c r="C65" t="s">
        <v>28</v>
      </c>
      <c r="D65">
        <f>_xlfn.IFNA(INDEX(BYEs!$E$2:$E$411,MATCH(B65,BYEs!$D$2:$D$411,0)),"N/A")</f>
        <v>26</v>
      </c>
      <c r="E65">
        <f>INDEX(BYEs!$B$2:$B$34,MATCH(F65,BYEs!$A$2:$A$34,0))</f>
        <v>13</v>
      </c>
      <c r="F65" t="str">
        <f>RB_Raw!B62</f>
        <v>ARI</v>
      </c>
      <c r="G65" s="206">
        <v>0</v>
      </c>
      <c r="H65" s="207">
        <v>0</v>
      </c>
      <c r="I65" s="206">
        <f>RB_Raw!C62</f>
        <v>65.5</v>
      </c>
      <c r="J65" s="204">
        <f>RB_Raw!D62</f>
        <v>249.1</v>
      </c>
      <c r="K65" s="207">
        <f>RB_Raw!E62</f>
        <v>2.2999999999999998</v>
      </c>
      <c r="L65" s="206">
        <f>RB_Raw!F62</f>
        <v>16.8</v>
      </c>
      <c r="M65" s="204">
        <f>RB_Raw!G62</f>
        <v>138.5</v>
      </c>
      <c r="N65" s="207">
        <f>RB_Raw!H62</f>
        <v>0.6</v>
      </c>
      <c r="O65" s="204">
        <f>RB_Raw!I62</f>
        <v>0.7</v>
      </c>
      <c r="P65" s="209">
        <f>(J65*RBRushingYd)+(K65*RBRushingTD)+(L65*RBReceptions)+(M65*RBRecYd)+(N65*RBRecTD)+(O65*RBFuml)+(I65*RBRushAtt)</f>
        <v>63.160000000000004</v>
      </c>
      <c r="Q65" t="str">
        <f ca="1">IF(A65&lt;=RBStarters,"Starter",IF(A65&gt;RBStarters+RBBench,"Undrafted","Bench"))</f>
        <v>Undrafted</v>
      </c>
      <c r="R65">
        <f ca="1">IFERROR(MAX(P65-LARGE(RBSheetCount,RBStarters),0),0)</f>
        <v>0</v>
      </c>
      <c r="S65">
        <f ca="1">IFERROR(IF(AllowNegative="Yes",P65-LARGE(RBSheetCount,RBCount),MAX(P65-LARGE(RBSheetCount,RBCount),0)),0)</f>
        <v>-19.030000000000008</v>
      </c>
      <c r="T65" s="85">
        <f ca="1">(S65-R65)*BenchPF+R65*StarterPF</f>
        <v>-3.4504606508962832</v>
      </c>
      <c r="U65" s="85">
        <f ca="1">T65*Auction!$A$2</f>
        <v>-3.4504606508962832</v>
      </c>
      <c r="V65" s="6" t="str">
        <f>IF(OR(INDEX(Auction!$H$13:$H$656,MATCH(B65,Auction!$A$13:$A$656,0))&gt;0,IFERROR(INDEX(CheatSheet!$M$5:$M$64,MATCH(B65,CheatSheet!$J$5:$J$64,0)),"")&lt;&gt;""),"Yes","No")</f>
        <v>No</v>
      </c>
      <c r="W65" s="179"/>
      <c r="Y65" s="78">
        <f t="shared" ca="1" si="3"/>
        <v>1</v>
      </c>
      <c r="Z65">
        <f t="shared" ca="1" si="4"/>
        <v>-9.5150000000000041</v>
      </c>
      <c r="AA65" s="116" t="str">
        <f t="shared" ca="1" si="5"/>
        <v>RB9</v>
      </c>
      <c r="AB65">
        <f ca="1">Z65*LeagueInfo!$H$5</f>
        <v>-3.5036926669557551</v>
      </c>
    </row>
    <row r="66" spans="1:28" x14ac:dyDescent="0.25">
      <c r="A66" cm="1">
        <f t="array" aca="1" ref="A66" ca="1">RANK(P66,RBSheetCount)</f>
        <v>64</v>
      </c>
      <c r="B66" t="str">
        <f>RB_Raw!A66</f>
        <v>Isiah Pacheco</v>
      </c>
      <c r="C66" t="s">
        <v>28</v>
      </c>
      <c r="D66" t="str">
        <f>_xlfn.IFNA(INDEX(BYEs!$E$2:$E$411,MATCH(B66,BYEs!$D$2:$D$411,0)),"N/A")</f>
        <v>N/A</v>
      </c>
      <c r="E66">
        <f>INDEX(BYEs!$B$2:$B$34,MATCH(F66,BYEs!$A$2:$A$34,0))</f>
        <v>8</v>
      </c>
      <c r="F66" t="str">
        <f>RB_Raw!B66</f>
        <v>KC</v>
      </c>
      <c r="G66" s="206">
        <v>0</v>
      </c>
      <c r="H66" s="207">
        <v>0</v>
      </c>
      <c r="I66" s="206">
        <f>RB_Raw!C66</f>
        <v>65.8</v>
      </c>
      <c r="J66" s="204">
        <f>RB_Raw!D66</f>
        <v>266.2</v>
      </c>
      <c r="K66" s="207">
        <f>RB_Raw!E66</f>
        <v>2.2999999999999998</v>
      </c>
      <c r="L66" s="206">
        <f>RB_Raw!F66</f>
        <v>13.7</v>
      </c>
      <c r="M66" s="204">
        <f>RB_Raw!G66</f>
        <v>103.7</v>
      </c>
      <c r="N66" s="207">
        <f>RB_Raw!H66</f>
        <v>0.5</v>
      </c>
      <c r="O66" s="204">
        <f>RB_Raw!I66</f>
        <v>0.8</v>
      </c>
      <c r="P66" s="209">
        <f>(J66*RBRushingYd)+(K66*RBRushingTD)+(L66*RBReceptions)+(M66*RBRecYd)+(N66*RBRecTD)+(O66*RBFuml)+(I66*RBRushAtt)</f>
        <v>59.04</v>
      </c>
      <c r="Q66" t="str">
        <f ca="1">IF(A66&lt;=RBStarters,"Starter",IF(A66&gt;RBStarters+RBBench,"Undrafted","Bench"))</f>
        <v>Undrafted</v>
      </c>
      <c r="R66">
        <f ca="1">IFERROR(MAX(P66-LARGE(RBSheetCount,RBStarters),0),0)</f>
        <v>0</v>
      </c>
      <c r="S66">
        <f ca="1">IFERROR(IF(AllowNegative="Yes",P66-LARGE(RBSheetCount,RBCount),MAX(P66-LARGE(RBSheetCount,RBCount),0)),0)</f>
        <v>-23.150000000000013</v>
      </c>
      <c r="T66" s="85">
        <f ca="1">(S66-R66)*BenchPF+R66*StarterPF</f>
        <v>-4.1974862883998405</v>
      </c>
      <c r="U66" s="85">
        <f ca="1">T66*Auction!$A$2</f>
        <v>-4.1974862883998405</v>
      </c>
      <c r="V66" s="6" t="str">
        <f>IF(OR(INDEX(Auction!$H$13:$H$656,MATCH(B66,Auction!$A$13:$A$656,0))&gt;0,IFERROR(INDEX(CheatSheet!$M$5:$M$64,MATCH(B66,CheatSheet!$J$5:$J$64,0)),"")&lt;&gt;""),"Yes","No")</f>
        <v>No</v>
      </c>
      <c r="W66" s="179"/>
      <c r="Y66" s="78">
        <f t="shared" ca="1" si="3"/>
        <v>1</v>
      </c>
      <c r="Z66">
        <f t="shared" ca="1" si="4"/>
        <v>-11.575000000000006</v>
      </c>
      <c r="AA66" s="116" t="str">
        <f t="shared" ca="1" si="5"/>
        <v>RB9</v>
      </c>
      <c r="AB66">
        <f ca="1">Z66*LeagueInfo!$H$5</f>
        <v>-4.2622430499225299</v>
      </c>
    </row>
    <row r="67" spans="1:28" x14ac:dyDescent="0.25">
      <c r="A67" cm="1">
        <f t="array" aca="1" ref="A67" ca="1">RANK(P67,RBSheetCount)</f>
        <v>65</v>
      </c>
      <c r="B67" t="str">
        <f>RB_Raw!A69</f>
        <v>Samaje Perine</v>
      </c>
      <c r="C67" t="s">
        <v>28</v>
      </c>
      <c r="D67" t="str">
        <f>_xlfn.IFNA(INDEX(BYEs!$E$2:$E$411,MATCH(B67,BYEs!$D$2:$D$411,0)),"N/A")</f>
        <v>N/A</v>
      </c>
      <c r="E67">
        <f>INDEX(BYEs!$B$2:$B$34,MATCH(F67,BYEs!$A$2:$A$34,0))</f>
        <v>10</v>
      </c>
      <c r="F67" t="str">
        <f>RB_Raw!B69</f>
        <v>CIN</v>
      </c>
      <c r="G67" s="206">
        <v>0</v>
      </c>
      <c r="H67" s="207">
        <v>0</v>
      </c>
      <c r="I67" s="206">
        <f>RB_Raw!C69</f>
        <v>65.8</v>
      </c>
      <c r="J67" s="204">
        <f>RB_Raw!D69</f>
        <v>251.1</v>
      </c>
      <c r="K67" s="207">
        <f>RB_Raw!E69</f>
        <v>1.3</v>
      </c>
      <c r="L67" s="206">
        <f>RB_Raw!F69</f>
        <v>18.7</v>
      </c>
      <c r="M67" s="204">
        <f>RB_Raw!G69</f>
        <v>132.1</v>
      </c>
      <c r="N67" s="207">
        <f>RB_Raw!H69</f>
        <v>0.7</v>
      </c>
      <c r="O67" s="204">
        <f>RB_Raw!I69</f>
        <v>0.5</v>
      </c>
      <c r="P67" s="209">
        <f>(J67*RBRushingYd)+(K67*RBRushingTD)+(L67*RBReceptions)+(M67*RBRecYd)+(N67*RBRecTD)+(O67*RBFuml)+(I67*RBRushAtt)</f>
        <v>58.67</v>
      </c>
      <c r="Q67" t="str">
        <f ca="1">IF(A67&lt;=RBStarters,"Starter",IF(A67&gt;RBStarters+RBBench,"Undrafted","Bench"))</f>
        <v>Undrafted</v>
      </c>
      <c r="R67">
        <f ca="1">IFERROR(MAX(P67-LARGE(RBSheetCount,RBStarters),0),0)</f>
        <v>0</v>
      </c>
      <c r="S67">
        <f ca="1">IFERROR(IF(AllowNegative="Yes",P67-LARGE(RBSheetCount,RBCount),MAX(P67-LARGE(RBSheetCount,RBCount),0)),0)</f>
        <v>-23.52000000000001</v>
      </c>
      <c r="T67" s="85">
        <f ca="1">(S67-R67)*BenchPF+R67*StarterPF</f>
        <v>-4.2645735422533146</v>
      </c>
      <c r="U67" s="85">
        <f ca="1">T67*Auction!$A$2</f>
        <v>-4.2645735422533146</v>
      </c>
      <c r="V67" s="6" t="str">
        <f>IF(OR(INDEX(Auction!$H$13:$H$656,MATCH(B67,Auction!$A$13:$A$656,0))&gt;0,IFERROR(INDEX(CheatSheet!$M$5:$M$64,MATCH(B67,CheatSheet!$J$5:$J$64,0)),"")&lt;&gt;""),"Yes","No")</f>
        <v>No</v>
      </c>
      <c r="W67" s="179"/>
      <c r="Y67" s="78">
        <f t="shared" ref="Y67:Y98" ca="1" si="6">SUMIFS($Z$3:$Z$138,$Z$3:$Z$138,"&gt;0",$V$3:$V$138,"No")/SUMIF($Z$3:$Z$138,"&gt;0")</f>
        <v>1</v>
      </c>
      <c r="Z67">
        <f t="shared" ref="Z67:Z98" ca="1" si="7">AVERAGE(R67:S67)</f>
        <v>-11.760000000000005</v>
      </c>
      <c r="AA67" s="116" t="str">
        <f t="shared" ref="AA67:AA98" ca="1" si="8">CONCATENATE("RB",ROUND((LARGE($Z$3:$Z$138,1)-$Z67)/(STDEVP($Z$3:$Z$138)/2)+1,0))</f>
        <v>RB9</v>
      </c>
      <c r="AB67">
        <f ca="1">Z67*LeagueInfo!$H$5</f>
        <v>-4.3303652930530401</v>
      </c>
    </row>
    <row r="68" spans="1:28" x14ac:dyDescent="0.25">
      <c r="A68" cm="1">
        <f t="array" aca="1" ref="A68" ca="1">RANK(P68,RBSheetCount)</f>
        <v>66</v>
      </c>
      <c r="B68" t="str">
        <f>RB_Raw!A64</f>
        <v>Sony Michel</v>
      </c>
      <c r="C68" t="s">
        <v>28</v>
      </c>
      <c r="D68">
        <f>_xlfn.IFNA(INDEX(BYEs!$E$2:$E$411,MATCH(B68,BYEs!$D$2:$D$411,0)),"N/A")</f>
        <v>26</v>
      </c>
      <c r="E68">
        <f>INDEX(BYEs!$B$2:$B$34,MATCH(F68,BYEs!$A$2:$A$34,0))</f>
        <v>8</v>
      </c>
      <c r="F68" t="str">
        <f>RB_Raw!B64</f>
        <v>LAC</v>
      </c>
      <c r="G68" s="206">
        <v>0</v>
      </c>
      <c r="H68" s="207">
        <v>0</v>
      </c>
      <c r="I68" s="206">
        <f>RB_Raw!C64</f>
        <v>79.2</v>
      </c>
      <c r="J68" s="204">
        <f>RB_Raw!D64</f>
        <v>326.7</v>
      </c>
      <c r="K68" s="207">
        <f>RB_Raw!E64</f>
        <v>2.2999999999999998</v>
      </c>
      <c r="L68" s="206">
        <f>RB_Raw!F64</f>
        <v>9.6</v>
      </c>
      <c r="M68" s="204">
        <f>RB_Raw!G64</f>
        <v>67.8</v>
      </c>
      <c r="N68" s="207">
        <f>RB_Raw!H64</f>
        <v>0.2</v>
      </c>
      <c r="O68" s="204">
        <f>RB_Raw!I64</f>
        <v>0.5</v>
      </c>
      <c r="P68" s="209">
        <f>(J68*RBRushingYd)+(K68*RBRushingTD)+(L68*RBReceptions)+(M68*RBRecYd)+(N68*RBRecTD)+(O68*RBFuml)+(I68*RBRushAtt)</f>
        <v>58.25</v>
      </c>
      <c r="Q68" t="str">
        <f ca="1">IF(A68&lt;=RBStarters,"Starter",IF(A68&gt;RBStarters+RBBench,"Undrafted","Bench"))</f>
        <v>Undrafted</v>
      </c>
      <c r="R68">
        <f ca="1">IFERROR(MAX(P68-LARGE(RBSheetCount,RBStarters),0),0)</f>
        <v>0</v>
      </c>
      <c r="S68">
        <f ca="1">IFERROR(IF(AllowNegative="Yes",P68-LARGE(RBSheetCount,RBCount),MAX(P68-LARGE(RBSheetCount,RBCount),0)),0)</f>
        <v>-23.940000000000012</v>
      </c>
      <c r="T68" s="85">
        <f ca="1">(S68-R68)*BenchPF+R68*StarterPF</f>
        <v>-4.3407266412221244</v>
      </c>
      <c r="U68" s="85">
        <f ca="1">T68*Auction!$A$2</f>
        <v>-4.3407266412221244</v>
      </c>
      <c r="V68" s="6" t="str">
        <f>IF(OR(INDEX(Auction!$H$13:$H$656,MATCH(B68,Auction!$A$13:$A$656,0))&gt;0,IFERROR(INDEX(CheatSheet!$M$5:$M$64,MATCH(B68,CheatSheet!$J$5:$J$64,0)),"")&lt;&gt;""),"Yes","No")</f>
        <v>No</v>
      </c>
      <c r="W68" s="179"/>
      <c r="Y68" s="78">
        <f t="shared" ca="1" si="6"/>
        <v>1</v>
      </c>
      <c r="Z68">
        <f t="shared" ca="1" si="7"/>
        <v>-11.970000000000006</v>
      </c>
      <c r="AA68" s="116" t="str">
        <f t="shared" ca="1" si="8"/>
        <v>RB9</v>
      </c>
      <c r="AB68">
        <f ca="1">Z68*LeagueInfo!$H$5</f>
        <v>-4.4076932447147019</v>
      </c>
    </row>
    <row r="69" spans="1:28" x14ac:dyDescent="0.25">
      <c r="A69" cm="1">
        <f t="array" aca="1" ref="A69" ca="1">RANK(P69,RBSheetCount)</f>
        <v>67</v>
      </c>
      <c r="B69" t="str">
        <f>RB_Raw!A68</f>
        <v>Matt Breida</v>
      </c>
      <c r="C69" t="s">
        <v>28</v>
      </c>
      <c r="D69">
        <f>_xlfn.IFNA(INDEX(BYEs!$E$2:$E$411,MATCH(B69,BYEs!$D$2:$D$411,0)),"N/A")</f>
        <v>26</v>
      </c>
      <c r="E69">
        <f>INDEX(BYEs!$B$2:$B$34,MATCH(F69,BYEs!$A$2:$A$34,0))</f>
        <v>9</v>
      </c>
      <c r="F69" t="str">
        <f>RB_Raw!B68</f>
        <v>NYG</v>
      </c>
      <c r="G69" s="206">
        <v>0</v>
      </c>
      <c r="H69" s="207">
        <v>0</v>
      </c>
      <c r="I69" s="206">
        <f>RB_Raw!C68</f>
        <v>73.900000000000006</v>
      </c>
      <c r="J69" s="204">
        <f>RB_Raw!D68</f>
        <v>296.3</v>
      </c>
      <c r="K69" s="207">
        <f>RB_Raw!E68</f>
        <v>1.4</v>
      </c>
      <c r="L69" s="206">
        <f>RB_Raw!F68</f>
        <v>12.9</v>
      </c>
      <c r="M69" s="204">
        <f>RB_Raw!G68</f>
        <v>99.3</v>
      </c>
      <c r="N69" s="207">
        <f>RB_Raw!H68</f>
        <v>0.7</v>
      </c>
      <c r="O69" s="204">
        <f>RB_Raw!I68</f>
        <v>1.4</v>
      </c>
      <c r="P69" s="209">
        <f>(J69*RBRushingYd)+(K69*RBRushingTD)+(L69*RBReceptions)+(M69*RBRecYd)+(N69*RBRecTD)+(O69*RBFuml)+(I69*RBRushAtt)</f>
        <v>55.81</v>
      </c>
      <c r="Q69" t="str">
        <f ca="1">IF(A69&lt;=RBStarters,"Starter",IF(A69&gt;RBStarters+RBBench,"Undrafted","Bench"))</f>
        <v>Undrafted</v>
      </c>
      <c r="R69">
        <f ca="1">IFERROR(MAX(P69-LARGE(RBSheetCount,RBStarters),0),0)</f>
        <v>0</v>
      </c>
      <c r="S69">
        <f ca="1">IFERROR(IF(AllowNegative="Yes",P69-LARGE(RBSheetCount,RBCount),MAX(P69-LARGE(RBSheetCount,RBCount),0)),0)</f>
        <v>-26.38000000000001</v>
      </c>
      <c r="T69" s="85">
        <f ca="1">(S69-R69)*BenchPF+R69*StarterPF</f>
        <v>-4.7831398828504437</v>
      </c>
      <c r="U69" s="85">
        <f ca="1">T69*Auction!$A$2</f>
        <v>-4.7831398828504437</v>
      </c>
      <c r="V69" s="6" t="str">
        <f>IF(OR(INDEX(Auction!$H$13:$H$656,MATCH(B69,Auction!$A$13:$A$656,0))&gt;0,IFERROR(INDEX(CheatSheet!$M$5:$M$64,MATCH(B69,CheatSheet!$J$5:$J$64,0)),"")&lt;&gt;""),"Yes","No")</f>
        <v>No</v>
      </c>
      <c r="W69" s="179"/>
      <c r="Y69" s="78">
        <f t="shared" ca="1" si="6"/>
        <v>1</v>
      </c>
      <c r="Z69">
        <f t="shared" ca="1" si="7"/>
        <v>-13.190000000000005</v>
      </c>
      <c r="AA69" s="116" t="str">
        <f t="shared" ca="1" si="8"/>
        <v>RB9</v>
      </c>
      <c r="AB69">
        <f ca="1">Z69*LeagueInfo!$H$5</f>
        <v>-4.8569318210348298</v>
      </c>
    </row>
    <row r="70" spans="1:28" x14ac:dyDescent="0.25">
      <c r="A70" cm="1">
        <f t="array" aca="1" ref="A70" ca="1">RANK(P70,RBSheetCount)</f>
        <v>68</v>
      </c>
      <c r="B70" t="str">
        <f>RB_Raw!A67</f>
        <v>Boston Scott</v>
      </c>
      <c r="C70" t="s">
        <v>28</v>
      </c>
      <c r="D70">
        <f>_xlfn.IFNA(INDEX(BYEs!$E$2:$E$411,MATCH(B70,BYEs!$D$2:$D$411,0)),"N/A")</f>
        <v>26</v>
      </c>
      <c r="E70">
        <f>INDEX(BYEs!$B$2:$B$34,MATCH(F70,BYEs!$A$2:$A$34,0))</f>
        <v>7</v>
      </c>
      <c r="F70" t="str">
        <f>RB_Raw!B67</f>
        <v>PHI</v>
      </c>
      <c r="G70" s="206">
        <v>0</v>
      </c>
      <c r="H70" s="207">
        <v>0</v>
      </c>
      <c r="I70" s="206">
        <f>RB_Raw!C67</f>
        <v>62.6</v>
      </c>
      <c r="J70" s="204">
        <f>RB_Raw!D67</f>
        <v>275.2</v>
      </c>
      <c r="K70" s="207">
        <f>RB_Raw!E67</f>
        <v>2.8</v>
      </c>
      <c r="L70" s="206">
        <f>RB_Raw!F67</f>
        <v>8</v>
      </c>
      <c r="M70" s="204">
        <f>RB_Raw!G67</f>
        <v>58</v>
      </c>
      <c r="N70" s="207">
        <f>RB_Raw!H67</f>
        <v>0.2</v>
      </c>
      <c r="O70" s="204">
        <f>RB_Raw!I67</f>
        <v>0.2</v>
      </c>
      <c r="P70" s="209">
        <f>(J70*RBRushingYd)+(K70*RBRushingTD)+(L70*RBReceptions)+(M70*RBRecYd)+(N70*RBRecTD)+(O70*RBFuml)+(I70*RBRushAtt)</f>
        <v>54.919999999999995</v>
      </c>
      <c r="Q70" t="str">
        <f ca="1">IF(A70&lt;=RBStarters,"Starter",IF(A70&gt;RBStarters+RBBench,"Undrafted","Bench"))</f>
        <v>Undrafted</v>
      </c>
      <c r="R70">
        <f ca="1">IFERROR(MAX(P70-LARGE(RBSheetCount,RBStarters),0),0)</f>
        <v>0</v>
      </c>
      <c r="S70">
        <f ca="1">IFERROR(IF(AllowNegative="Yes",P70-LARGE(RBSheetCount,RBCount),MAX(P70-LARGE(RBSheetCount,RBCount),0)),0)</f>
        <v>-27.270000000000017</v>
      </c>
      <c r="T70" s="85">
        <f ca="1">(S70-R70)*BenchPF+R70*StarterPF</f>
        <v>-4.9445119259033978</v>
      </c>
      <c r="U70" s="85">
        <f ca="1">T70*Auction!$A$2</f>
        <v>-4.9445119259033978</v>
      </c>
      <c r="V70" s="6" t="str">
        <f>IF(OR(INDEX(Auction!$H$13:$H$656,MATCH(B70,Auction!$A$13:$A$656,0))&gt;0,IFERROR(INDEX(CheatSheet!$M$5:$M$64,MATCH(B70,CheatSheet!$J$5:$J$64,0)),"")&lt;&gt;""),"Yes","No")</f>
        <v>No</v>
      </c>
      <c r="W70" s="179"/>
      <c r="Y70" s="78">
        <f t="shared" ca="1" si="6"/>
        <v>1</v>
      </c>
      <c r="Z70">
        <f t="shared" ca="1" si="7"/>
        <v>-13.635000000000009</v>
      </c>
      <c r="AA70" s="116" t="str">
        <f t="shared" ca="1" si="8"/>
        <v>RB9</v>
      </c>
      <c r="AB70">
        <f ca="1">Z70*LeagueInfo!$H$5</f>
        <v>-5.0207934328893042</v>
      </c>
    </row>
    <row r="71" spans="1:28" x14ac:dyDescent="0.25">
      <c r="A71" cm="1">
        <f t="array" aca="1" ref="A71" ca="1">RANK(P71,RBSheetCount)</f>
        <v>69</v>
      </c>
      <c r="B71" t="str">
        <f>RB_Raw!A71</f>
        <v>Duke Johnson Jr.</v>
      </c>
      <c r="C71" t="s">
        <v>28</v>
      </c>
      <c r="D71" t="str">
        <f>_xlfn.IFNA(INDEX(BYEs!$E$2:$E$411,MATCH(B71,BYEs!$D$2:$D$411,0)),"N/A")</f>
        <v>N/A</v>
      </c>
      <c r="E71">
        <f>INDEX(BYEs!$B$2:$B$34,MATCH(F71,BYEs!$A$2:$A$34,0))</f>
        <v>7</v>
      </c>
      <c r="F71" t="str">
        <f>RB_Raw!B71</f>
        <v>BUF</v>
      </c>
      <c r="G71" s="206">
        <v>0</v>
      </c>
      <c r="H71" s="207">
        <v>0</v>
      </c>
      <c r="I71" s="206">
        <f>RB_Raw!C71</f>
        <v>47.5</v>
      </c>
      <c r="J71" s="204">
        <f>RB_Raw!D71</f>
        <v>237</v>
      </c>
      <c r="K71" s="207">
        <f>RB_Raw!E71</f>
        <v>2</v>
      </c>
      <c r="L71" s="206">
        <f>RB_Raw!F71</f>
        <v>12.5</v>
      </c>
      <c r="M71" s="204">
        <f>RB_Raw!G71</f>
        <v>112</v>
      </c>
      <c r="N71" s="207">
        <f>RB_Raw!H71</f>
        <v>0.5</v>
      </c>
      <c r="O71" s="204">
        <f>RB_Raw!I71</f>
        <v>1</v>
      </c>
      <c r="P71" s="209">
        <f>(J71*RBRushingYd)+(K71*RBRushingTD)+(L71*RBReceptions)+(M71*RBRecYd)+(N71*RBRecTD)+(O71*RBFuml)+(I71*RBRushAtt)</f>
        <v>54.150000000000006</v>
      </c>
      <c r="Q71" t="str">
        <f ca="1">IF(A71&lt;=RBStarters,"Starter",IF(A71&gt;RBStarters+RBBench,"Undrafted","Bench"))</f>
        <v>Undrafted</v>
      </c>
      <c r="R71">
        <f ca="1">IFERROR(MAX(P71-LARGE(RBSheetCount,RBStarters),0),0)</f>
        <v>0</v>
      </c>
      <c r="S71">
        <f ca="1">IFERROR(IF(AllowNegative="Yes",P71-LARGE(RBSheetCount,RBCount),MAX(P71-LARGE(RBSheetCount,RBCount),0)),0)</f>
        <v>-28.040000000000006</v>
      </c>
      <c r="T71" s="85">
        <f ca="1">(S71-R71)*BenchPF+R71*StarterPF</f>
        <v>-5.084125940679546</v>
      </c>
      <c r="U71" s="85">
        <f ca="1">T71*Auction!$A$2</f>
        <v>-5.084125940679546</v>
      </c>
      <c r="V71" s="6" t="str">
        <f>IF(OR(INDEX(Auction!$H$13:$H$656,MATCH(B71,Auction!$A$13:$A$656,0))&gt;0,IFERROR(INDEX(CheatSheet!$M$5:$M$64,MATCH(B71,CheatSheet!$J$5:$J$64,0)),"")&lt;&gt;""),"Yes","No")</f>
        <v>No</v>
      </c>
      <c r="W71" s="179"/>
      <c r="Y71" s="78">
        <f t="shared" ca="1" si="6"/>
        <v>1</v>
      </c>
      <c r="Z71">
        <f t="shared" ca="1" si="7"/>
        <v>-14.020000000000003</v>
      </c>
      <c r="AA71" s="116" t="str">
        <f t="shared" ca="1" si="8"/>
        <v>RB9</v>
      </c>
      <c r="AB71">
        <f ca="1">Z71*LeagueInfo!$H$5</f>
        <v>-5.1625613442690144</v>
      </c>
    </row>
    <row r="72" spans="1:28" x14ac:dyDescent="0.25">
      <c r="A72" cm="1">
        <f t="array" aca="1" ref="A72" ca="1">RANK(P72,RBSheetCount)</f>
        <v>70</v>
      </c>
      <c r="B72" t="str">
        <f>RB_Raw!A70</f>
        <v>Ronald Jones II</v>
      </c>
      <c r="C72" t="s">
        <v>28</v>
      </c>
      <c r="D72">
        <f>_xlfn.IFNA(INDEX(BYEs!$E$2:$E$411,MATCH(B72,BYEs!$D$2:$D$411,0)),"N/A")</f>
        <v>24</v>
      </c>
      <c r="E72">
        <f>INDEX(BYEs!$B$2:$B$34,MATCH(F72,BYEs!$A$2:$A$34,0))</f>
        <v>8</v>
      </c>
      <c r="F72" t="str">
        <f>RB_Raw!B70</f>
        <v>KC</v>
      </c>
      <c r="G72" s="206">
        <v>0</v>
      </c>
      <c r="H72" s="207">
        <v>0</v>
      </c>
      <c r="I72" s="206">
        <f>RB_Raw!C70</f>
        <v>55.1</v>
      </c>
      <c r="J72" s="204">
        <f>RB_Raw!D70</f>
        <v>266</v>
      </c>
      <c r="K72" s="207">
        <f>RB_Raw!E70</f>
        <v>2.6</v>
      </c>
      <c r="L72" s="206">
        <f>RB_Raw!F70</f>
        <v>8.6</v>
      </c>
      <c r="M72" s="204">
        <f>RB_Raw!G70</f>
        <v>58.3</v>
      </c>
      <c r="N72" s="207">
        <f>RB_Raw!H70</f>
        <v>0.2</v>
      </c>
      <c r="O72" s="204">
        <f>RB_Raw!I70</f>
        <v>0.6</v>
      </c>
      <c r="P72" s="209">
        <f>(J72*RBRushingYd)+(K72*RBRushingTD)+(L72*RBReceptions)+(M72*RBRecYd)+(N72*RBRecTD)+(O72*RBFuml)+(I72*RBRushAtt)</f>
        <v>52.33</v>
      </c>
      <c r="Q72" t="str">
        <f ca="1">IF(A72&lt;=RBStarters,"Starter",IF(A72&gt;RBStarters+RBBench,"Undrafted","Bench"))</f>
        <v>Undrafted</v>
      </c>
      <c r="R72">
        <f ca="1">IFERROR(MAX(P72-LARGE(RBSheetCount,RBStarters),0),0)</f>
        <v>0</v>
      </c>
      <c r="S72">
        <f ca="1">IFERROR(IF(AllowNegative="Yes",P72-LARGE(RBSheetCount,RBCount),MAX(P72-LARGE(RBSheetCount,RBCount),0)),0)</f>
        <v>-29.860000000000014</v>
      </c>
      <c r="T72" s="85">
        <f ca="1">(S72-R72)*BenchPF+R72*StarterPF</f>
        <v>-5.4141227028777204</v>
      </c>
      <c r="U72" s="85">
        <f ca="1">T72*Auction!$A$2</f>
        <v>-5.4141227028777204</v>
      </c>
      <c r="V72" s="6" t="str">
        <f>IF(OR(INDEX(Auction!$H$13:$H$656,MATCH(B72,Auction!$A$13:$A$656,0))&gt;0,IFERROR(INDEX(CheatSheet!$M$5:$M$64,MATCH(B72,CheatSheet!$J$5:$J$64,0)),"")&lt;&gt;""),"Yes","No")</f>
        <v>No</v>
      </c>
      <c r="W72" s="179"/>
      <c r="Y72" s="78">
        <f t="shared" ca="1" si="6"/>
        <v>1</v>
      </c>
      <c r="Z72">
        <f t="shared" ca="1" si="7"/>
        <v>-14.930000000000007</v>
      </c>
      <c r="AA72" s="116" t="str">
        <f t="shared" ca="1" si="8"/>
        <v>RB9</v>
      </c>
      <c r="AB72">
        <f ca="1">Z72*LeagueInfo!$H$5</f>
        <v>-5.4976491348028818</v>
      </c>
    </row>
    <row r="73" spans="1:28" x14ac:dyDescent="0.25">
      <c r="A73" cm="1">
        <f t="array" aca="1" ref="A73" ca="1">RANK(P73,RBSheetCount)</f>
        <v>71</v>
      </c>
      <c r="B73" t="str">
        <f>RB_Raw!A74</f>
        <v>Kenyan Drake</v>
      </c>
      <c r="C73" t="s">
        <v>28</v>
      </c>
      <c r="D73">
        <f>_xlfn.IFNA(INDEX(BYEs!$E$2:$E$411,MATCH(B73,BYEs!$D$2:$D$411,0)),"N/A")</f>
        <v>27</v>
      </c>
      <c r="E73">
        <f>INDEX(BYEs!$B$2:$B$34,MATCH(F73,BYEs!$A$2:$A$34,0))</f>
        <v>10</v>
      </c>
      <c r="F73" t="str">
        <f>RB_Raw!B74</f>
        <v>BAL</v>
      </c>
      <c r="G73" s="206">
        <v>0</v>
      </c>
      <c r="H73" s="207">
        <v>0</v>
      </c>
      <c r="I73" s="206">
        <f>RB_Raw!C74</f>
        <v>44.7</v>
      </c>
      <c r="J73" s="204">
        <f>RB_Raw!D74</f>
        <v>204.4</v>
      </c>
      <c r="K73" s="207">
        <f>RB_Raw!E74</f>
        <v>1.4</v>
      </c>
      <c r="L73" s="206">
        <f>RB_Raw!F74</f>
        <v>16.5</v>
      </c>
      <c r="M73" s="204">
        <f>RB_Raw!G74</f>
        <v>122.1</v>
      </c>
      <c r="N73" s="207">
        <f>RB_Raw!H74</f>
        <v>0.6</v>
      </c>
      <c r="O73" s="204">
        <f>RB_Raw!I74</f>
        <v>0.4</v>
      </c>
      <c r="P73" s="209">
        <f>(J73*RBRushingYd)+(K73*RBRushingTD)+(L73*RBReceptions)+(M73*RBRecYd)+(N73*RBRecTD)+(O73*RBFuml)+(I73*RBRushAtt)</f>
        <v>52.100000000000009</v>
      </c>
      <c r="Q73" t="str">
        <f ca="1">IF(A73&lt;=RBStarters,"Starter",IF(A73&gt;RBStarters+RBBench,"Undrafted","Bench"))</f>
        <v>Undrafted</v>
      </c>
      <c r="R73">
        <f ca="1">IFERROR(MAX(P73-LARGE(RBSheetCount,RBStarters),0),0)</f>
        <v>0</v>
      </c>
      <c r="S73">
        <f ca="1">IFERROR(IF(AllowNegative="Yes",P73-LARGE(RBSheetCount,RBCount),MAX(P73-LARGE(RBSheetCount,RBCount),0)),0)</f>
        <v>-30.090000000000003</v>
      </c>
      <c r="T73" s="85">
        <f ca="1">(S73-R73)*BenchPF+R73*StarterPF</f>
        <v>-5.4558255904082573</v>
      </c>
      <c r="U73" s="85">
        <f ca="1">T73*Auction!$A$2</f>
        <v>-5.4558255904082573</v>
      </c>
      <c r="V73" s="6" t="str">
        <f>IF(OR(INDEX(Auction!$H$13:$H$656,MATCH(B73,Auction!$A$13:$A$656,0))&gt;0,IFERROR(INDEX(CheatSheet!$M$5:$M$64,MATCH(B73,CheatSheet!$J$5:$J$64,0)),"")&lt;&gt;""),"Yes","No")</f>
        <v>No</v>
      </c>
      <c r="W73" s="179"/>
      <c r="Y73" s="78">
        <f t="shared" ca="1" si="6"/>
        <v>1</v>
      </c>
      <c r="Z73">
        <f t="shared" ca="1" si="7"/>
        <v>-15.045000000000002</v>
      </c>
      <c r="AA73" s="116" t="str">
        <f t="shared" ca="1" si="8"/>
        <v>RB9</v>
      </c>
      <c r="AB73">
        <f ca="1">Z73*LeagueInfo!$H$5</f>
        <v>-5.539995394046171</v>
      </c>
    </row>
    <row r="74" spans="1:28" x14ac:dyDescent="0.25">
      <c r="A74" cm="1">
        <f t="array" aca="1" ref="A74" ca="1">RANK(P74,RBSheetCount)</f>
        <v>72</v>
      </c>
      <c r="B74" t="str">
        <f>RB_Raw!A72</f>
        <v>Eno Benjamin</v>
      </c>
      <c r="C74" t="s">
        <v>28</v>
      </c>
      <c r="D74" t="str">
        <f>_xlfn.IFNA(INDEX(BYEs!$E$2:$E$411,MATCH(B74,BYEs!$D$2:$D$411,0)),"N/A")</f>
        <v>N/A</v>
      </c>
      <c r="E74">
        <f>INDEX(BYEs!$B$2:$B$34,MATCH(F74,BYEs!$A$2:$A$34,0))</f>
        <v>13</v>
      </c>
      <c r="F74" t="str">
        <f>RB_Raw!B72</f>
        <v>ARI</v>
      </c>
      <c r="G74" s="206">
        <v>0</v>
      </c>
      <c r="H74" s="207">
        <v>0</v>
      </c>
      <c r="I74" s="206">
        <f>RB_Raw!C72</f>
        <v>59.9</v>
      </c>
      <c r="J74" s="204">
        <f>RB_Raw!D72</f>
        <v>243.1</v>
      </c>
      <c r="K74" s="207">
        <f>RB_Raw!E72</f>
        <v>1.7</v>
      </c>
      <c r="L74" s="206">
        <f>RB_Raw!F72</f>
        <v>12.3</v>
      </c>
      <c r="M74" s="204">
        <f>RB_Raw!G72</f>
        <v>98.3</v>
      </c>
      <c r="N74" s="207">
        <f>RB_Raw!H72</f>
        <v>0.3</v>
      </c>
      <c r="O74" s="204">
        <f>RB_Raw!I72</f>
        <v>0.3</v>
      </c>
      <c r="P74" s="209">
        <f>(J74*RBRushingYd)+(K74*RBRushingTD)+(L74*RBReceptions)+(M74*RBRecYd)+(N74*RBRecTD)+(O74*RBFuml)+(I74*RBRushAtt)</f>
        <v>51.69</v>
      </c>
      <c r="Q74" t="str">
        <f ca="1">IF(A74&lt;=RBStarters,"Starter",IF(A74&gt;RBStarters+RBBench,"Undrafted","Bench"))</f>
        <v>Undrafted</v>
      </c>
      <c r="R74">
        <f ca="1">IFERROR(MAX(P74-LARGE(RBSheetCount,RBStarters),0),0)</f>
        <v>0</v>
      </c>
      <c r="S74">
        <f ca="1">IFERROR(IF(AllowNegative="Yes",P74-LARGE(RBSheetCount,RBCount),MAX(P74-LARGE(RBSheetCount,RBCount),0)),0)</f>
        <v>-30.500000000000014</v>
      </c>
      <c r="T74" s="85">
        <f ca="1">(S74-R74)*BenchPF+R74*StarterPF</f>
        <v>-5.530165520354001</v>
      </c>
      <c r="U74" s="85">
        <f ca="1">T74*Auction!$A$2</f>
        <v>-5.530165520354001</v>
      </c>
      <c r="V74" s="6" t="str">
        <f>IF(OR(INDEX(Auction!$H$13:$H$656,MATCH(B74,Auction!$A$13:$A$656,0))&gt;0,IFERROR(INDEX(CheatSheet!$M$5:$M$64,MATCH(B74,CheatSheet!$J$5:$J$64,0)),"")&lt;&gt;""),"Yes","No")</f>
        <v>No</v>
      </c>
      <c r="W74" s="179"/>
      <c r="Y74" s="78">
        <f t="shared" ca="1" si="6"/>
        <v>1</v>
      </c>
      <c r="Z74">
        <f t="shared" ca="1" si="7"/>
        <v>-15.250000000000007</v>
      </c>
      <c r="AA74" s="116" t="str">
        <f t="shared" ca="1" si="8"/>
        <v>RB9</v>
      </c>
      <c r="AB74">
        <f ca="1">Z74*LeagueInfo!$H$5</f>
        <v>-5.6154822040016041</v>
      </c>
    </row>
    <row r="75" spans="1:28" x14ac:dyDescent="0.25">
      <c r="A75" cm="1">
        <f t="array" aca="1" ref="A75" ca="1">RANK(P75,RBSheetCount)</f>
        <v>73</v>
      </c>
      <c r="B75" t="str">
        <f>RB_Raw!A73</f>
        <v>Hassan Haskins</v>
      </c>
      <c r="C75" t="s">
        <v>28</v>
      </c>
      <c r="D75" t="str">
        <f>_xlfn.IFNA(INDEX(BYEs!$E$2:$E$411,MATCH(B75,BYEs!$D$2:$D$411,0)),"N/A")</f>
        <v>N/A</v>
      </c>
      <c r="E75">
        <f>INDEX(BYEs!$B$2:$B$34,MATCH(F75,BYEs!$A$2:$A$34,0))</f>
        <v>6</v>
      </c>
      <c r="F75" t="str">
        <f>RB_Raw!B73</f>
        <v>TEN</v>
      </c>
      <c r="G75" s="206">
        <v>0</v>
      </c>
      <c r="H75" s="207">
        <v>0</v>
      </c>
      <c r="I75" s="206">
        <f>RB_Raw!C73</f>
        <v>66.599999999999994</v>
      </c>
      <c r="J75" s="204">
        <f>RB_Raw!D73</f>
        <v>270.2</v>
      </c>
      <c r="K75" s="207">
        <f>RB_Raw!E73</f>
        <v>1.8</v>
      </c>
      <c r="L75" s="206">
        <f>RB_Raw!F73</f>
        <v>8.4</v>
      </c>
      <c r="M75" s="204">
        <f>RB_Raw!G73</f>
        <v>65.599999999999994</v>
      </c>
      <c r="N75" s="207">
        <f>RB_Raw!H73</f>
        <v>0.4</v>
      </c>
      <c r="O75" s="204">
        <f>RB_Raw!I73</f>
        <v>0.8</v>
      </c>
      <c r="P75" s="209">
        <f>(J75*RBRushingYd)+(K75*RBRushingTD)+(L75*RBReceptions)+(M75*RBRecYd)+(N75*RBRecTD)+(O75*RBFuml)+(I75*RBRushAtt)</f>
        <v>49.38</v>
      </c>
      <c r="Q75" t="str">
        <f ca="1">IF(A75&lt;=RBStarters,"Starter",IF(A75&gt;RBStarters+RBBench,"Undrafted","Bench"))</f>
        <v>Undrafted</v>
      </c>
      <c r="R75">
        <f ca="1">IFERROR(MAX(P75-LARGE(RBSheetCount,RBStarters),0),0)</f>
        <v>0</v>
      </c>
      <c r="S75">
        <f ca="1">IFERROR(IF(AllowNegative="Yes",P75-LARGE(RBSheetCount,RBCount),MAX(P75-LARGE(RBSheetCount,RBCount),0)),0)</f>
        <v>-32.810000000000009</v>
      </c>
      <c r="T75" s="85">
        <f ca="1">(S75-R75)*BenchPF+R75*StarterPF</f>
        <v>-5.949007564682451</v>
      </c>
      <c r="U75" s="85">
        <f ca="1">T75*Auction!$A$2</f>
        <v>-5.949007564682451</v>
      </c>
      <c r="V75" s="6" t="str">
        <f>IF(OR(INDEX(Auction!$H$13:$H$656,MATCH(B75,Auction!$A$13:$A$656,0))&gt;0,IFERROR(INDEX(CheatSheet!$M$5:$M$64,MATCH(B75,CheatSheet!$J$5:$J$64,0)),"")&lt;&gt;""),"Yes","No")</f>
        <v>No</v>
      </c>
      <c r="W75" s="179"/>
      <c r="Y75" s="78">
        <f t="shared" ca="1" si="6"/>
        <v>1</v>
      </c>
      <c r="Z75">
        <f t="shared" ca="1" si="7"/>
        <v>-16.405000000000005</v>
      </c>
      <c r="AA75" s="116" t="str">
        <f t="shared" ca="1" si="8"/>
        <v>RB9</v>
      </c>
      <c r="AB75">
        <f ca="1">Z75*LeagueInfo!$H$5</f>
        <v>-6.0407859381407416</v>
      </c>
    </row>
    <row r="76" spans="1:28" x14ac:dyDescent="0.25">
      <c r="A76" cm="1">
        <f t="array" aca="1" ref="A76" ca="1">RANK(P76,RBSheetCount)</f>
        <v>74</v>
      </c>
      <c r="B76" t="str">
        <f>RB_Raw!A75</f>
        <v>Chuba Hubbard</v>
      </c>
      <c r="C76" t="s">
        <v>28</v>
      </c>
      <c r="D76" t="str">
        <f>_xlfn.IFNA(INDEX(BYEs!$E$2:$E$411,MATCH(B76,BYEs!$D$2:$D$411,0)),"N/A")</f>
        <v>N/A</v>
      </c>
      <c r="E76">
        <f>INDEX(BYEs!$B$2:$B$34,MATCH(F76,BYEs!$A$2:$A$34,0))</f>
        <v>13</v>
      </c>
      <c r="F76" t="str">
        <f>RB_Raw!B75</f>
        <v>CAR</v>
      </c>
      <c r="G76" s="206">
        <v>0</v>
      </c>
      <c r="H76" s="207">
        <v>0</v>
      </c>
      <c r="I76" s="206">
        <f>RB_Raw!C75</f>
        <v>53.6</v>
      </c>
      <c r="J76" s="204">
        <f>RB_Raw!D75</f>
        <v>207.9</v>
      </c>
      <c r="K76" s="207">
        <f>RB_Raw!E75</f>
        <v>1.5</v>
      </c>
      <c r="L76" s="206">
        <f>RB_Raw!F75</f>
        <v>13.7</v>
      </c>
      <c r="M76" s="204">
        <f>RB_Raw!G75</f>
        <v>95.4</v>
      </c>
      <c r="N76" s="207">
        <f>RB_Raw!H75</f>
        <v>0.6</v>
      </c>
      <c r="O76" s="204">
        <f>RB_Raw!I75</f>
        <v>0.5</v>
      </c>
      <c r="P76" s="209">
        <f>(J76*RBRushingYd)+(K76*RBRushingTD)+(L76*RBReceptions)+(M76*RBRecYd)+(N76*RBRecTD)+(O76*RBFuml)+(I76*RBRushAtt)</f>
        <v>48.78</v>
      </c>
      <c r="Q76" t="str">
        <f ca="1">IF(A76&lt;=RBStarters,"Starter",IF(A76&gt;RBStarters+RBBench,"Undrafted","Bench"))</f>
        <v>Undrafted</v>
      </c>
      <c r="R76">
        <f ca="1">IFERROR(MAX(P76-LARGE(RBSheetCount,RBStarters),0),0)</f>
        <v>0</v>
      </c>
      <c r="S76">
        <f ca="1">IFERROR(IF(AllowNegative="Yes",P76-LARGE(RBSheetCount,RBCount),MAX(P76-LARGE(RBSheetCount,RBCount),0)),0)</f>
        <v>-33.410000000000011</v>
      </c>
      <c r="T76" s="85">
        <f ca="1">(S76-R76)*BenchPF+R76*StarterPF</f>
        <v>-6.0577977060664638</v>
      </c>
      <c r="U76" s="85">
        <f ca="1">T76*Auction!$A$2</f>
        <v>-6.0577977060664638</v>
      </c>
      <c r="V76" s="6" t="str">
        <f>IF(OR(INDEX(Auction!$H$13:$H$656,MATCH(B76,Auction!$A$13:$A$656,0))&gt;0,IFERROR(INDEX(CheatSheet!$M$5:$M$64,MATCH(B76,CheatSheet!$J$5:$J$64,0)),"")&lt;&gt;""),"Yes","No")</f>
        <v>No</v>
      </c>
      <c r="W76" s="179"/>
      <c r="Y76" s="78">
        <f t="shared" ca="1" si="6"/>
        <v>1</v>
      </c>
      <c r="Z76">
        <f t="shared" ca="1" si="7"/>
        <v>-16.705000000000005</v>
      </c>
      <c r="AA76" s="116" t="str">
        <f t="shared" ca="1" si="8"/>
        <v>RB9</v>
      </c>
      <c r="AB76">
        <f ca="1">Z76*LeagueInfo!$H$5</f>
        <v>-6.1512544405145437</v>
      </c>
    </row>
    <row r="77" spans="1:28" x14ac:dyDescent="0.25">
      <c r="A77" cm="1">
        <f t="array" aca="1" ref="A77" ca="1">RANK(P77,RBSheetCount)</f>
        <v>75</v>
      </c>
      <c r="B77" t="str">
        <f>RB_Raw!A84</f>
        <v>Kyle Juszczyk</v>
      </c>
      <c r="C77" t="s">
        <v>28</v>
      </c>
      <c r="D77" t="str">
        <f>_xlfn.IFNA(INDEX(BYEs!$E$2:$E$411,MATCH(B77,BYEs!$D$2:$D$411,0)),"N/A")</f>
        <v>N/A</v>
      </c>
      <c r="E77">
        <f>INDEX(BYEs!$B$2:$B$34,MATCH(F77,BYEs!$A$2:$A$34,0))</f>
        <v>9</v>
      </c>
      <c r="F77" t="str">
        <f>RB_Raw!B84</f>
        <v>SF</v>
      </c>
      <c r="G77" s="206">
        <v>0</v>
      </c>
      <c r="H77" s="207">
        <v>0</v>
      </c>
      <c r="I77" s="206">
        <f>RB_Raw!C84</f>
        <v>11.5</v>
      </c>
      <c r="J77" s="204">
        <f>RB_Raw!D84</f>
        <v>36.700000000000003</v>
      </c>
      <c r="K77" s="207">
        <f>RB_Raw!E84</f>
        <v>0.6</v>
      </c>
      <c r="L77" s="206">
        <f>RB_Raw!F84</f>
        <v>24.1</v>
      </c>
      <c r="M77" s="204">
        <f>RB_Raw!G84</f>
        <v>198.6</v>
      </c>
      <c r="N77" s="207">
        <f>RB_Raw!H84</f>
        <v>1.2</v>
      </c>
      <c r="O77" s="204">
        <f>RB_Raw!I84</f>
        <v>0.1</v>
      </c>
      <c r="P77" s="209">
        <f>(J77*RBRushingYd)+(K77*RBRushingTD)+(L77*RBReceptions)+(M77*RBRecYd)+(N77*RBRecTD)+(O77*RBFuml)+(I77*RBRushAtt)</f>
        <v>46.179999999999993</v>
      </c>
      <c r="Q77" t="str">
        <f ca="1">IF(A77&lt;=RBStarters,"Starter",IF(A77&gt;RBStarters+RBBench,"Undrafted","Bench"))</f>
        <v>Undrafted</v>
      </c>
      <c r="R77">
        <f ca="1">IFERROR(MAX(P77-LARGE(RBSheetCount,RBStarters),0),0)</f>
        <v>0</v>
      </c>
      <c r="S77">
        <f ca="1">IFERROR(IF(AllowNegative="Yes",P77-LARGE(RBSheetCount,RBCount),MAX(P77-LARGE(RBSheetCount,RBCount),0)),0)</f>
        <v>-36.010000000000019</v>
      </c>
      <c r="T77" s="85">
        <f ca="1">(S77-R77)*BenchPF+R77*StarterPF</f>
        <v>-6.529221652063856</v>
      </c>
      <c r="U77" s="85">
        <f ca="1">T77*Auction!$A$2</f>
        <v>-6.529221652063856</v>
      </c>
      <c r="V77" s="6" t="str">
        <f>IF(OR(INDEX(Auction!$H$13:$H$656,MATCH(B77,Auction!$A$13:$A$656,0))&gt;0,IFERROR(INDEX(CheatSheet!$M$5:$M$64,MATCH(B77,CheatSheet!$J$5:$J$64,0)),"")&lt;&gt;""),"Yes","No")</f>
        <v>No</v>
      </c>
      <c r="W77" s="179"/>
      <c r="Y77" s="78">
        <f t="shared" ca="1" si="6"/>
        <v>1</v>
      </c>
      <c r="Z77">
        <f t="shared" ca="1" si="7"/>
        <v>-18.00500000000001</v>
      </c>
      <c r="AA77" s="116" t="str">
        <f t="shared" ca="1" si="8"/>
        <v>RB9</v>
      </c>
      <c r="AB77">
        <f ca="1">Z77*LeagueInfo!$H$5</f>
        <v>-6.6299512841343535</v>
      </c>
    </row>
    <row r="78" spans="1:28" x14ac:dyDescent="0.25">
      <c r="A78" cm="1">
        <f t="array" aca="1" ref="A78" ca="1">RANK(P78,RBSheetCount)</f>
        <v>76</v>
      </c>
      <c r="B78" t="str">
        <f>RB_Raw!A76</f>
        <v>Tyrion Davis-Price</v>
      </c>
      <c r="C78" t="s">
        <v>28</v>
      </c>
      <c r="D78" t="str">
        <f>_xlfn.IFNA(INDEX(BYEs!$E$2:$E$411,MATCH(B78,BYEs!$D$2:$D$411,0)),"N/A")</f>
        <v>N/A</v>
      </c>
      <c r="E78">
        <f>INDEX(BYEs!$B$2:$B$34,MATCH(F78,BYEs!$A$2:$A$34,0))</f>
        <v>9</v>
      </c>
      <c r="F78" t="str">
        <f>RB_Raw!B76</f>
        <v>SF</v>
      </c>
      <c r="G78" s="206">
        <v>0</v>
      </c>
      <c r="H78" s="207">
        <v>0</v>
      </c>
      <c r="I78" s="206">
        <f>RB_Raw!C76</f>
        <v>47.6</v>
      </c>
      <c r="J78" s="204">
        <f>RB_Raw!D76</f>
        <v>198.3</v>
      </c>
      <c r="K78" s="207">
        <f>RB_Raw!E76</f>
        <v>1.7</v>
      </c>
      <c r="L78" s="206">
        <f>RB_Raw!F76</f>
        <v>10.6</v>
      </c>
      <c r="M78" s="204">
        <f>RB_Raw!G76</f>
        <v>92.1</v>
      </c>
      <c r="N78" s="207">
        <f>RB_Raw!H76</f>
        <v>0.4</v>
      </c>
      <c r="O78" s="204">
        <f>RB_Raw!I76</f>
        <v>0.8</v>
      </c>
      <c r="P78" s="209">
        <f>(J78*RBRushingYd)+(K78*RBRushingTD)+(L78*RBReceptions)+(M78*RBRecYd)+(N78*RBRecTD)+(O78*RBFuml)+(I78*RBRushAtt)</f>
        <v>45.339999999999996</v>
      </c>
      <c r="Q78" t="str">
        <f ca="1">IF(A78&lt;=RBStarters,"Starter",IF(A78&gt;RBStarters+RBBench,"Undrafted","Bench"))</f>
        <v>Undrafted</v>
      </c>
      <c r="R78">
        <f ca="1">IFERROR(MAX(P78-LARGE(RBSheetCount,RBStarters),0),0)</f>
        <v>0</v>
      </c>
      <c r="S78">
        <f ca="1">IFERROR(IF(AllowNegative="Yes",P78-LARGE(RBSheetCount,RBCount),MAX(P78-LARGE(RBSheetCount,RBCount),0)),0)</f>
        <v>-36.850000000000016</v>
      </c>
      <c r="T78" s="85">
        <f ca="1">(S78-R78)*BenchPF+R78*StarterPF</f>
        <v>-6.6815278500014736</v>
      </c>
      <c r="U78" s="85">
        <f ca="1">T78*Auction!$A$2</f>
        <v>-6.6815278500014736</v>
      </c>
      <c r="V78" s="6" t="str">
        <f>IF(OR(INDEX(Auction!$H$13:$H$656,MATCH(B78,Auction!$A$13:$A$656,0))&gt;0,IFERROR(INDEX(CheatSheet!$M$5:$M$64,MATCH(B78,CheatSheet!$J$5:$J$64,0)),"")&lt;&gt;""),"Yes","No")</f>
        <v>No</v>
      </c>
      <c r="W78" s="179"/>
      <c r="Y78" s="78">
        <f t="shared" ca="1" si="6"/>
        <v>1</v>
      </c>
      <c r="Z78">
        <f t="shared" ca="1" si="7"/>
        <v>-18.425000000000008</v>
      </c>
      <c r="AA78" s="116" t="str">
        <f t="shared" ca="1" si="8"/>
        <v>RB9</v>
      </c>
      <c r="AB78">
        <f ca="1">Z78*LeagueInfo!$H$5</f>
        <v>-6.7846071874576754</v>
      </c>
    </row>
    <row r="79" spans="1:28" x14ac:dyDescent="0.25">
      <c r="A79" cm="1">
        <f t="array" aca="1" ref="A79" ca="1">RANK(P79,RBSheetCount)</f>
        <v>77</v>
      </c>
      <c r="B79" t="str">
        <f>RB_Raw!A77</f>
        <v>Mike Davis</v>
      </c>
      <c r="C79" t="s">
        <v>28</v>
      </c>
      <c r="D79">
        <f>_xlfn.IFNA(INDEX(BYEs!$E$2:$E$411,MATCH(B79,BYEs!$D$2:$D$411,0)),"N/A")</f>
        <v>28</v>
      </c>
      <c r="E79">
        <f>INDEX(BYEs!$B$2:$B$34,MATCH(F79,BYEs!$A$2:$A$34,0))</f>
        <v>10</v>
      </c>
      <c r="F79" t="str">
        <f>RB_Raw!B77</f>
        <v>BAL</v>
      </c>
      <c r="G79" s="206">
        <v>0</v>
      </c>
      <c r="H79" s="207">
        <v>0</v>
      </c>
      <c r="I79" s="206">
        <f>RB_Raw!C77</f>
        <v>47.1</v>
      </c>
      <c r="J79" s="204">
        <f>RB_Raw!D77</f>
        <v>223.5</v>
      </c>
      <c r="K79" s="207">
        <f>RB_Raw!E77</f>
        <v>1.7</v>
      </c>
      <c r="L79" s="206">
        <f>RB_Raw!F77</f>
        <v>10.4</v>
      </c>
      <c r="M79" s="204">
        <f>RB_Raw!G77</f>
        <v>71.5</v>
      </c>
      <c r="N79" s="207">
        <f>RB_Raw!H77</f>
        <v>0.2</v>
      </c>
      <c r="O79" s="204">
        <f>RB_Raw!I77</f>
        <v>0.7</v>
      </c>
      <c r="P79" s="209">
        <f>(J79*RBRushingYd)+(K79*RBRushingTD)+(L79*RBReceptions)+(M79*RBRecYd)+(N79*RBRecTD)+(O79*RBFuml)+(I79*RBRushAtt)</f>
        <v>44.7</v>
      </c>
      <c r="Q79" t="str">
        <f ca="1">IF(A79&lt;=RBStarters,"Starter",IF(A79&gt;RBStarters+RBBench,"Undrafted","Bench"))</f>
        <v>Undrafted</v>
      </c>
      <c r="R79">
        <f ca="1">IFERROR(MAX(P79-LARGE(RBSheetCount,RBStarters),0),0)</f>
        <v>0</v>
      </c>
      <c r="S79">
        <f ca="1">IFERROR(IF(AllowNegative="Yes",P79-LARGE(RBSheetCount,RBCount),MAX(P79-LARGE(RBSheetCount,RBCount),0)),0)</f>
        <v>-37.490000000000009</v>
      </c>
      <c r="T79" s="85">
        <f ca="1">(S79-R79)*BenchPF+R79*StarterPF</f>
        <v>-6.7975706674777525</v>
      </c>
      <c r="U79" s="85">
        <f ca="1">T79*Auction!$A$2</f>
        <v>-6.7975706674777525</v>
      </c>
      <c r="V79" s="6" t="str">
        <f>IF(OR(INDEX(Auction!$H$13:$H$656,MATCH(B79,Auction!$A$13:$A$656,0))&gt;0,IFERROR(INDEX(CheatSheet!$M$5:$M$64,MATCH(B79,CheatSheet!$J$5:$J$64,0)),"")&lt;&gt;""),"Yes","No")</f>
        <v>No</v>
      </c>
      <c r="W79" s="179"/>
      <c r="Y79" s="78">
        <f t="shared" ca="1" si="6"/>
        <v>1</v>
      </c>
      <c r="Z79">
        <f t="shared" ca="1" si="7"/>
        <v>-18.745000000000005</v>
      </c>
      <c r="AA79" s="116" t="str">
        <f t="shared" ca="1" si="8"/>
        <v>RB9</v>
      </c>
      <c r="AB79">
        <f ca="1">Z79*LeagueInfo!$H$5</f>
        <v>-6.9024402566563969</v>
      </c>
    </row>
    <row r="80" spans="1:28" x14ac:dyDescent="0.25">
      <c r="A80" cm="1">
        <f t="array" aca="1" ref="A80" ca="1">RANK(P80,RBSheetCount)</f>
        <v>78</v>
      </c>
      <c r="B80" t="str">
        <f>RB_Raw!A78</f>
        <v>Jeff Wilson Jr.</v>
      </c>
      <c r="C80" t="s">
        <v>28</v>
      </c>
      <c r="D80" t="str">
        <f>_xlfn.IFNA(INDEX(BYEs!$E$2:$E$411,MATCH(B80,BYEs!$D$2:$D$411,0)),"N/A")</f>
        <v>N/A</v>
      </c>
      <c r="E80">
        <f>INDEX(BYEs!$B$2:$B$34,MATCH(F80,BYEs!$A$2:$A$34,0))</f>
        <v>9</v>
      </c>
      <c r="F80" t="str">
        <f>RB_Raw!B78</f>
        <v>SF</v>
      </c>
      <c r="G80" s="206">
        <v>0</v>
      </c>
      <c r="H80" s="207">
        <v>0</v>
      </c>
      <c r="I80" s="206">
        <f>RB_Raw!C78</f>
        <v>51.1</v>
      </c>
      <c r="J80" s="204">
        <f>RB_Raw!D78</f>
        <v>184.1</v>
      </c>
      <c r="K80" s="207">
        <f>RB_Raw!E78</f>
        <v>1.6</v>
      </c>
      <c r="L80" s="206">
        <f>RB_Raw!F78</f>
        <v>11</v>
      </c>
      <c r="M80" s="204">
        <f>RB_Raw!G78</f>
        <v>81</v>
      </c>
      <c r="N80" s="207">
        <f>RB_Raw!H78</f>
        <v>0.6</v>
      </c>
      <c r="O80" s="204">
        <f>RB_Raw!I78</f>
        <v>0.5</v>
      </c>
      <c r="P80" s="209">
        <f>(J80*RBRushingYd)+(K80*RBRushingTD)+(L80*RBReceptions)+(M80*RBRecYd)+(N80*RBRecTD)+(O80*RBFuml)+(I80*RBRushAtt)</f>
        <v>44.210000000000008</v>
      </c>
      <c r="Q80" t="str">
        <f ca="1">IF(A80&lt;=RBStarters,"Starter",IF(A80&gt;RBStarters+RBBench,"Undrafted","Bench"))</f>
        <v>Undrafted</v>
      </c>
      <c r="R80">
        <f ca="1">IFERROR(MAX(P80-LARGE(RBSheetCount,RBStarters),0),0)</f>
        <v>0</v>
      </c>
      <c r="S80">
        <f ca="1">IFERROR(IF(AllowNegative="Yes",P80-LARGE(RBSheetCount,RBCount),MAX(P80-LARGE(RBSheetCount,RBCount),0)),0)</f>
        <v>-37.980000000000004</v>
      </c>
      <c r="T80" s="85">
        <f ca="1">(S80-R80)*BenchPF+R80*StarterPF</f>
        <v>-6.8864159496080291</v>
      </c>
      <c r="U80" s="85">
        <f ca="1">T80*Auction!$A$2</f>
        <v>-6.8864159496080291</v>
      </c>
      <c r="V80" s="6" t="str">
        <f>IF(OR(INDEX(Auction!$H$13:$H$656,MATCH(B80,Auction!$A$13:$A$656,0))&gt;0,IFERROR(INDEX(CheatSheet!$M$5:$M$64,MATCH(B80,CheatSheet!$J$5:$J$64,0)),"")&lt;&gt;""),"Yes","No")</f>
        <v>No</v>
      </c>
      <c r="W80" s="179"/>
      <c r="Y80" s="78">
        <f t="shared" ca="1" si="6"/>
        <v>1</v>
      </c>
      <c r="Z80">
        <f t="shared" ca="1" si="7"/>
        <v>-18.990000000000002</v>
      </c>
      <c r="AA80" s="116" t="str">
        <f t="shared" ca="1" si="8"/>
        <v>RB9</v>
      </c>
      <c r="AB80">
        <f ca="1">Z80*LeagueInfo!$H$5</f>
        <v>-6.9926562002616679</v>
      </c>
    </row>
    <row r="81" spans="1:28" x14ac:dyDescent="0.25">
      <c r="A81" cm="1">
        <f t="array" aca="1" ref="A81" ca="1">RANK(P81,RBSheetCount)</f>
        <v>79</v>
      </c>
      <c r="B81" t="str">
        <f>RB_Raw!A80</f>
        <v>Craig Reynolds</v>
      </c>
      <c r="C81" t="s">
        <v>28</v>
      </c>
      <c r="D81" t="str">
        <f>_xlfn.IFNA(INDEX(BYEs!$E$2:$E$411,MATCH(B81,BYEs!$D$2:$D$411,0)),"N/A")</f>
        <v>N/A</v>
      </c>
      <c r="E81">
        <f>INDEX(BYEs!$B$2:$B$34,MATCH(F81,BYEs!$A$2:$A$34,0))</f>
        <v>6</v>
      </c>
      <c r="F81" t="str">
        <f>RB_Raw!B80</f>
        <v>DET</v>
      </c>
      <c r="G81" s="206">
        <v>0</v>
      </c>
      <c r="H81" s="207">
        <v>0</v>
      </c>
      <c r="I81" s="206">
        <f>RB_Raw!C80</f>
        <v>44</v>
      </c>
      <c r="J81" s="204">
        <f>RB_Raw!D80</f>
        <v>210.9</v>
      </c>
      <c r="K81" s="207">
        <f>RB_Raw!E80</f>
        <v>1.1000000000000001</v>
      </c>
      <c r="L81" s="206">
        <f>RB_Raw!F80</f>
        <v>10.7</v>
      </c>
      <c r="M81" s="204">
        <f>RB_Raw!G80</f>
        <v>79.8</v>
      </c>
      <c r="N81" s="207">
        <f>RB_Raw!H80</f>
        <v>0.4</v>
      </c>
      <c r="O81" s="204">
        <f>RB_Raw!I80</f>
        <v>0.5</v>
      </c>
      <c r="P81" s="209">
        <f>(J81*RBRushingYd)+(K81*RBRushingTD)+(L81*RBReceptions)+(M81*RBRecYd)+(N81*RBRecTD)+(O81*RBFuml)+(I81*RBRushAtt)</f>
        <v>42.420000000000009</v>
      </c>
      <c r="Q81" t="str">
        <f ca="1">IF(A81&lt;=RBStarters,"Starter",IF(A81&gt;RBStarters+RBBench,"Undrafted","Bench"))</f>
        <v>Undrafted</v>
      </c>
      <c r="R81">
        <f ca="1">IFERROR(MAX(P81-LARGE(RBSheetCount,RBStarters),0),0)</f>
        <v>0</v>
      </c>
      <c r="S81">
        <f ca="1">IFERROR(IF(AllowNegative="Yes",P81-LARGE(RBSheetCount,RBCount),MAX(P81-LARGE(RBSheetCount,RBCount),0)),0)</f>
        <v>-39.770000000000003</v>
      </c>
      <c r="T81" s="85">
        <f ca="1">(S81-R81)*BenchPF+R81*StarterPF</f>
        <v>-7.2109732047370017</v>
      </c>
      <c r="U81" s="85">
        <f ca="1">T81*Auction!$A$2</f>
        <v>-7.2109732047370017</v>
      </c>
      <c r="V81" s="6" t="str">
        <f>IF(OR(INDEX(Auction!$H$13:$H$656,MATCH(B81,Auction!$A$13:$A$656,0))&gt;0,IFERROR(INDEX(CheatSheet!$M$5:$M$64,MATCH(B81,CheatSheet!$J$5:$J$64,0)),"")&lt;&gt;""),"Yes","No")</f>
        <v>No</v>
      </c>
      <c r="W81" s="179"/>
      <c r="Y81" s="78">
        <f t="shared" ca="1" si="6"/>
        <v>1</v>
      </c>
      <c r="Z81">
        <f t="shared" ca="1" si="7"/>
        <v>-19.885000000000002</v>
      </c>
      <c r="AA81" s="116" t="str">
        <f t="shared" ca="1" si="8"/>
        <v>RB9</v>
      </c>
      <c r="AB81">
        <f ca="1">Z81*LeagueInfo!$H$5</f>
        <v>-7.3222205656768429</v>
      </c>
    </row>
    <row r="82" spans="1:28" x14ac:dyDescent="0.25">
      <c r="A82" cm="1">
        <f t="array" aca="1" ref="A82" ca="1">RANK(P82,RBSheetCount)</f>
        <v>80</v>
      </c>
      <c r="B82" t="str">
        <f>RB_Raw!A81</f>
        <v>D'Ernest Johnson</v>
      </c>
      <c r="C82" t="s">
        <v>28</v>
      </c>
      <c r="D82" t="str">
        <f>_xlfn.IFNA(INDEX(BYEs!$E$2:$E$411,MATCH(B82,BYEs!$D$2:$D$411,0)),"N/A")</f>
        <v>N/A</v>
      </c>
      <c r="E82">
        <f>INDEX(BYEs!$B$2:$B$34,MATCH(F82,BYEs!$A$2:$A$34,0))</f>
        <v>9</v>
      </c>
      <c r="F82" t="str">
        <f>RB_Raw!B81</f>
        <v>CLE</v>
      </c>
      <c r="G82" s="206">
        <v>0</v>
      </c>
      <c r="H82" s="207">
        <v>0</v>
      </c>
      <c r="I82" s="206">
        <f>RB_Raw!C81</f>
        <v>33.700000000000003</v>
      </c>
      <c r="J82" s="204">
        <f>RB_Raw!D81</f>
        <v>193</v>
      </c>
      <c r="K82" s="207">
        <f>RB_Raw!E81</f>
        <v>1.4</v>
      </c>
      <c r="L82" s="206">
        <f>RB_Raw!F81</f>
        <v>8.8000000000000007</v>
      </c>
      <c r="M82" s="204">
        <f>RB_Raw!G81</f>
        <v>68.8</v>
      </c>
      <c r="N82" s="207">
        <f>RB_Raw!H81</f>
        <v>0.2</v>
      </c>
      <c r="O82" s="204">
        <f>RB_Raw!I81</f>
        <v>0.1</v>
      </c>
      <c r="P82" s="209">
        <f>(J82*RBRushingYd)+(K82*RBRushingTD)+(L82*RBReceptions)+(M82*RBRecYd)+(N82*RBRecTD)+(O82*RBFuml)+(I82*RBRushAtt)</f>
        <v>39.980000000000004</v>
      </c>
      <c r="Q82" t="str">
        <f ca="1">IF(A82&lt;=RBStarters,"Starter",IF(A82&gt;RBStarters+RBBench,"Undrafted","Bench"))</f>
        <v>Undrafted</v>
      </c>
      <c r="R82">
        <f ca="1">IFERROR(MAX(P82-LARGE(RBSheetCount,RBStarters),0),0)</f>
        <v>0</v>
      </c>
      <c r="S82">
        <f ca="1">IFERROR(IF(AllowNegative="Yes",P82-LARGE(RBSheetCount,RBCount),MAX(P82-LARGE(RBSheetCount,RBCount),0)),0)</f>
        <v>-42.210000000000008</v>
      </c>
      <c r="T82" s="85">
        <f ca="1">(S82-R82)*BenchPF+R82*StarterPF</f>
        <v>-7.6533864463653218</v>
      </c>
      <c r="U82" s="85">
        <f ca="1">T82*Auction!$A$2</f>
        <v>-7.6533864463653218</v>
      </c>
      <c r="V82" s="6" t="str">
        <f>IF(OR(INDEX(Auction!$H$13:$H$656,MATCH(B82,Auction!$A$13:$A$656,0))&gt;0,IFERROR(INDEX(CheatSheet!$M$5:$M$64,MATCH(B82,CheatSheet!$J$5:$J$64,0)),"")&lt;&gt;""),"Yes","No")</f>
        <v>No</v>
      </c>
      <c r="W82" s="179"/>
      <c r="Y82" s="78">
        <f t="shared" ca="1" si="6"/>
        <v>1</v>
      </c>
      <c r="Z82">
        <f t="shared" ca="1" si="7"/>
        <v>-21.105000000000004</v>
      </c>
      <c r="AA82" s="116" t="str">
        <f t="shared" ca="1" si="8"/>
        <v>RB9</v>
      </c>
      <c r="AB82">
        <f ca="1">Z82*LeagueInfo!$H$5</f>
        <v>-7.7714591419969725</v>
      </c>
    </row>
    <row r="83" spans="1:28" x14ac:dyDescent="0.25">
      <c r="A83" cm="1">
        <f t="array" aca="1" ref="A83" ca="1">RANK(P83,RBSheetCount)</f>
        <v>81</v>
      </c>
      <c r="B83" t="str">
        <f>RB_Raw!A83</f>
        <v>Tyler Goodson</v>
      </c>
      <c r="C83" t="s">
        <v>28</v>
      </c>
      <c r="D83" t="str">
        <f>_xlfn.IFNA(INDEX(BYEs!$E$2:$E$411,MATCH(B83,BYEs!$D$2:$D$411,0)),"N/A")</f>
        <v>N/A</v>
      </c>
      <c r="E83">
        <f>INDEX(BYEs!$B$2:$B$34,MATCH(F83,BYEs!$A$2:$A$34,0))</f>
        <v>14</v>
      </c>
      <c r="F83" t="str">
        <f>RB_Raw!B83</f>
        <v>GB</v>
      </c>
      <c r="G83" s="206">
        <v>0</v>
      </c>
      <c r="H83" s="207">
        <v>0</v>
      </c>
      <c r="I83" s="206">
        <f>RB_Raw!C83</f>
        <v>0</v>
      </c>
      <c r="J83" s="204">
        <f>RB_Raw!D83</f>
        <v>170.3</v>
      </c>
      <c r="K83" s="207">
        <f>RB_Raw!E83</f>
        <v>1.6</v>
      </c>
      <c r="L83" s="206">
        <f>RB_Raw!F83</f>
        <v>7.8</v>
      </c>
      <c r="M83" s="204">
        <f>RB_Raw!G83</f>
        <v>63.8</v>
      </c>
      <c r="N83" s="207">
        <f>RB_Raw!H83</f>
        <v>0.4</v>
      </c>
      <c r="O83" s="204">
        <f>RB_Raw!I83</f>
        <v>0.2</v>
      </c>
      <c r="P83" s="209">
        <f>(J83*RBRushingYd)+(K83*RBRushingTD)+(L83*RBReceptions)+(M83*RBRecYd)+(N83*RBRecTD)+(O83*RBFuml)+(I83*RBRushAtt)</f>
        <v>38.910000000000004</v>
      </c>
      <c r="Q83" t="str">
        <f ca="1">IF(A83&lt;=RBStarters,"Starter",IF(A83&gt;RBStarters+RBBench,"Undrafted","Bench"))</f>
        <v>Undrafted</v>
      </c>
      <c r="R83">
        <f ca="1">IFERROR(MAX(P83-LARGE(RBSheetCount,RBStarters),0),0)</f>
        <v>0</v>
      </c>
      <c r="S83">
        <f ca="1">IFERROR(IF(AllowNegative="Yes",P83-LARGE(RBSheetCount,RBCount),MAX(P83-LARGE(RBSheetCount,RBCount),0)),0)</f>
        <v>-43.280000000000008</v>
      </c>
      <c r="T83" s="85">
        <f ca="1">(S83-R83)*BenchPF+R83*StarterPF</f>
        <v>-7.8473955318334792</v>
      </c>
      <c r="U83" s="85">
        <f ca="1">T83*Auction!$A$2</f>
        <v>-7.8473955318334792</v>
      </c>
      <c r="V83" s="6" t="str">
        <f>IF(OR(INDEX(Auction!$H$13:$H$656,MATCH(B83,Auction!$A$13:$A$656,0))&gt;0,IFERROR(INDEX(CheatSheet!$M$5:$M$64,MATCH(B83,CheatSheet!$J$5:$J$64,0)),"")&lt;&gt;""),"Yes","No")</f>
        <v>No</v>
      </c>
      <c r="W83" s="179"/>
      <c r="Y83" s="78">
        <f t="shared" ca="1" si="6"/>
        <v>1</v>
      </c>
      <c r="Z83">
        <f t="shared" ca="1" si="7"/>
        <v>-21.640000000000004</v>
      </c>
      <c r="AA83" s="116" t="str">
        <f t="shared" ca="1" si="8"/>
        <v>RB10</v>
      </c>
      <c r="AB83">
        <f ca="1">Z83*LeagueInfo!$H$5</f>
        <v>-7.9684613045635864</v>
      </c>
    </row>
    <row r="84" spans="1:28" x14ac:dyDescent="0.25">
      <c r="A84" cm="1">
        <f t="array" aca="1" ref="A84" ca="1">RANK(P84,RBSheetCount)</f>
        <v>82</v>
      </c>
      <c r="B84" t="str">
        <f>RB_Raw!A79</f>
        <v>Phillip Lindsay</v>
      </c>
      <c r="C84" t="s">
        <v>28</v>
      </c>
      <c r="D84">
        <f>_xlfn.IFNA(INDEX(BYEs!$E$2:$E$411,MATCH(B84,BYEs!$D$2:$D$411,0)),"N/A")</f>
        <v>27</v>
      </c>
      <c r="E84">
        <f>INDEX(BYEs!$B$2:$B$34,MATCH(F84,BYEs!$A$2:$A$34,0))</f>
        <v>14</v>
      </c>
      <c r="F84" t="str">
        <f>RB_Raw!B79</f>
        <v>IND</v>
      </c>
      <c r="G84" s="206">
        <v>0</v>
      </c>
      <c r="H84" s="207">
        <v>0</v>
      </c>
      <c r="I84" s="206">
        <f>RB_Raw!C79</f>
        <v>46</v>
      </c>
      <c r="J84" s="204">
        <f>RB_Raw!D79</f>
        <v>250.6</v>
      </c>
      <c r="K84" s="207">
        <f>RB_Raw!E79</f>
        <v>1.5</v>
      </c>
      <c r="L84" s="206">
        <f>RB_Raw!F79</f>
        <v>3.3</v>
      </c>
      <c r="M84" s="204">
        <f>RB_Raw!G79</f>
        <v>26.5</v>
      </c>
      <c r="N84" s="207">
        <f>RB_Raw!H79</f>
        <v>0.1</v>
      </c>
      <c r="O84" s="204">
        <f>RB_Raw!I79</f>
        <v>0.1</v>
      </c>
      <c r="P84" s="209">
        <f>(J84*RBRushingYd)+(K84*RBRushingTD)+(L84*RBReceptions)+(M84*RBRecYd)+(N84*RBRecTD)+(O84*RBFuml)+(I84*RBRushAtt)</f>
        <v>38.76</v>
      </c>
      <c r="Q84" t="str">
        <f ca="1">IF(A84&lt;=RBStarters,"Starter",IF(A84&gt;RBStarters+RBBench,"Undrafted","Bench"))</f>
        <v>Undrafted</v>
      </c>
      <c r="R84">
        <f ca="1">IFERROR(MAX(P84-LARGE(RBSheetCount,RBStarters),0),0)</f>
        <v>0</v>
      </c>
      <c r="S84">
        <f ca="1">IFERROR(IF(AllowNegative="Yes",P84-LARGE(RBSheetCount,RBCount),MAX(P84-LARGE(RBSheetCount,RBCount),0)),0)</f>
        <v>-43.430000000000014</v>
      </c>
      <c r="T84" s="85">
        <f ca="1">(S84-R84)*BenchPF+R84*StarterPF</f>
        <v>-7.8745930671794833</v>
      </c>
      <c r="U84" s="85">
        <f ca="1">T84*Auction!$A$2</f>
        <v>-7.8745930671794833</v>
      </c>
      <c r="V84" s="6" t="str">
        <f>IF(OR(INDEX(Auction!$H$13:$H$656,MATCH(B84,Auction!$A$13:$A$656,0))&gt;0,IFERROR(INDEX(CheatSheet!$M$5:$M$64,MATCH(B84,CheatSheet!$J$5:$J$64,0)),"")&lt;&gt;""),"Yes","No")</f>
        <v>No</v>
      </c>
      <c r="W84" s="179"/>
      <c r="Y84" s="78">
        <f t="shared" ca="1" si="6"/>
        <v>1</v>
      </c>
      <c r="Z84">
        <f t="shared" ca="1" si="7"/>
        <v>-21.715000000000007</v>
      </c>
      <c r="AA84" s="116" t="str">
        <f t="shared" ca="1" si="8"/>
        <v>RB10</v>
      </c>
      <c r="AB84">
        <f ca="1">Z84*LeagueInfo!$H$5</f>
        <v>-7.9960784301570378</v>
      </c>
    </row>
    <row r="85" spans="1:28" x14ac:dyDescent="0.25">
      <c r="A85" cm="1">
        <f t="array" aca="1" ref="A85" ca="1">RANK(P85,RBSheetCount)</f>
        <v>83</v>
      </c>
      <c r="B85" t="str">
        <f>RB_Raw!A82</f>
        <v>Ke'Shawn Vaughn</v>
      </c>
      <c r="C85" t="s">
        <v>28</v>
      </c>
      <c r="D85" t="str">
        <f>_xlfn.IFNA(INDEX(BYEs!$E$2:$E$411,MATCH(B85,BYEs!$D$2:$D$411,0)),"N/A")</f>
        <v>N/A</v>
      </c>
      <c r="E85">
        <f>INDEX(BYEs!$B$2:$B$34,MATCH(F85,BYEs!$A$2:$A$34,0))</f>
        <v>11</v>
      </c>
      <c r="F85" t="str">
        <f>RB_Raw!B82</f>
        <v>TB</v>
      </c>
      <c r="G85" s="206">
        <v>0</v>
      </c>
      <c r="H85" s="207">
        <v>0</v>
      </c>
      <c r="I85" s="206">
        <f>RB_Raw!C82</f>
        <v>47.2</v>
      </c>
      <c r="J85" s="204">
        <f>RB_Raw!D82</f>
        <v>195.2</v>
      </c>
      <c r="K85" s="207">
        <f>RB_Raw!E82</f>
        <v>1.9</v>
      </c>
      <c r="L85" s="206">
        <f>RB_Raw!F82</f>
        <v>6.7</v>
      </c>
      <c r="M85" s="204">
        <f>RB_Raw!G82</f>
        <v>45.8</v>
      </c>
      <c r="N85" s="207">
        <f>RB_Raw!H82</f>
        <v>0.1</v>
      </c>
      <c r="O85" s="204">
        <f>RB_Raw!I82</f>
        <v>0.6</v>
      </c>
      <c r="P85" s="209">
        <f>(J85*RBRushingYd)+(K85*RBRushingTD)+(L85*RBReceptions)+(M85*RBRecYd)+(N85*RBRecTD)+(O85*RBFuml)+(I85*RBRushAtt)</f>
        <v>38.249999999999993</v>
      </c>
      <c r="Q85" t="str">
        <f ca="1">IF(A85&lt;=RBStarters,"Starter",IF(A85&gt;RBStarters+RBBench,"Undrafted","Bench"))</f>
        <v>Undrafted</v>
      </c>
      <c r="R85">
        <f ca="1">IFERROR(MAX(P85-LARGE(RBSheetCount,RBStarters),0),0)</f>
        <v>0</v>
      </c>
      <c r="S85">
        <f ca="1">IFERROR(IF(AllowNegative="Yes",P85-LARGE(RBSheetCount,RBCount),MAX(P85-LARGE(RBSheetCount,RBCount),0)),0)</f>
        <v>-43.940000000000019</v>
      </c>
      <c r="T85" s="85">
        <f ca="1">(S85-R85)*BenchPF+R85*StarterPF</f>
        <v>-7.9670646873558955</v>
      </c>
      <c r="U85" s="85">
        <f ca="1">T85*Auction!$A$2</f>
        <v>-7.9670646873558955</v>
      </c>
      <c r="V85" s="6" t="str">
        <f>IF(OR(INDEX(Auction!$H$13:$H$656,MATCH(B85,Auction!$A$13:$A$656,0))&gt;0,IFERROR(INDEX(CheatSheet!$M$5:$M$64,MATCH(B85,CheatSheet!$J$5:$J$64,0)),"")&lt;&gt;""),"Yes","No")</f>
        <v>No</v>
      </c>
      <c r="W85" s="179"/>
      <c r="Y85" s="78">
        <f t="shared" ca="1" si="6"/>
        <v>1</v>
      </c>
      <c r="Z85">
        <f t="shared" ca="1" si="7"/>
        <v>-21.97000000000001</v>
      </c>
      <c r="AA85" s="116" t="str">
        <f t="shared" ca="1" si="8"/>
        <v>RB10</v>
      </c>
      <c r="AB85">
        <f ca="1">Z85*LeagueInfo!$H$5</f>
        <v>-8.0899766571747698</v>
      </c>
    </row>
    <row r="86" spans="1:28" x14ac:dyDescent="0.25">
      <c r="A86" cm="1">
        <f t="array" aca="1" ref="A86" ca="1">RANK(P86,RBSheetCount)</f>
        <v>84</v>
      </c>
      <c r="B86" t="str">
        <f>RB_Raw!A91</f>
        <v>Chris Evans</v>
      </c>
      <c r="C86" t="s">
        <v>28</v>
      </c>
      <c r="D86" t="str">
        <f>_xlfn.IFNA(INDEX(BYEs!$E$2:$E$411,MATCH(B86,BYEs!$D$2:$D$411,0)),"N/A")</f>
        <v>N/A</v>
      </c>
      <c r="E86">
        <f>INDEX(BYEs!$B$2:$B$34,MATCH(F86,BYEs!$A$2:$A$34,0))</f>
        <v>10</v>
      </c>
      <c r="F86" t="str">
        <f>RB_Raw!B91</f>
        <v>CIN</v>
      </c>
      <c r="G86" s="206">
        <v>0</v>
      </c>
      <c r="H86" s="207">
        <v>0</v>
      </c>
      <c r="I86" s="206">
        <f>RB_Raw!C91</f>
        <v>27.4</v>
      </c>
      <c r="J86" s="204">
        <f>RB_Raw!D91</f>
        <v>100.2</v>
      </c>
      <c r="K86" s="207">
        <f>RB_Raw!E91</f>
        <v>0.6</v>
      </c>
      <c r="L86" s="206">
        <f>RB_Raw!F91</f>
        <v>15.3</v>
      </c>
      <c r="M86" s="204">
        <f>RB_Raw!G91</f>
        <v>111.3</v>
      </c>
      <c r="N86" s="207">
        <f>RB_Raw!H91</f>
        <v>0.8</v>
      </c>
      <c r="O86" s="204">
        <f>RB_Raw!I91</f>
        <v>0.1</v>
      </c>
      <c r="P86" s="209">
        <f>(J86*RBRushingYd)+(K86*RBRushingTD)+(L86*RBReceptions)+(M86*RBRecYd)+(N86*RBRecTD)+(O86*RBFuml)+(I86*RBRushAtt)</f>
        <v>37</v>
      </c>
      <c r="Q86" t="str">
        <f ca="1">IF(A86&lt;=RBStarters,"Starter",IF(A86&gt;RBStarters+RBBench,"Undrafted","Bench"))</f>
        <v>Undrafted</v>
      </c>
      <c r="R86">
        <f ca="1">IFERROR(MAX(P86-LARGE(RBSheetCount,RBStarters),0),0)</f>
        <v>0</v>
      </c>
      <c r="S86">
        <f ca="1">IFERROR(IF(AllowNegative="Yes",P86-LARGE(RBSheetCount,RBCount),MAX(P86-LARGE(RBSheetCount,RBCount),0)),0)</f>
        <v>-45.190000000000012</v>
      </c>
      <c r="T86" s="85">
        <f ca="1">(S86-R86)*BenchPF+R86*StarterPF</f>
        <v>-8.193710815239255</v>
      </c>
      <c r="U86" s="85">
        <f ca="1">T86*Auction!$A$2</f>
        <v>-8.193710815239255</v>
      </c>
      <c r="V86" s="6" t="str">
        <f>IF(OR(INDEX(Auction!$H$13:$H$656,MATCH(B86,Auction!$A$13:$A$656,0))&gt;0,IFERROR(INDEX(CheatSheet!$M$5:$M$64,MATCH(B86,CheatSheet!$J$5:$J$64,0)),"")&lt;&gt;""),"Yes","No")</f>
        <v>No</v>
      </c>
      <c r="W86" s="179"/>
      <c r="Y86" s="78">
        <f t="shared" ca="1" si="6"/>
        <v>1</v>
      </c>
      <c r="Z86">
        <f t="shared" ca="1" si="7"/>
        <v>-22.595000000000006</v>
      </c>
      <c r="AA86" s="116" t="str">
        <f t="shared" ca="1" si="8"/>
        <v>RB10</v>
      </c>
      <c r="AB86">
        <f ca="1">Z86*LeagueInfo!$H$5</f>
        <v>-8.3201193704535221</v>
      </c>
    </row>
    <row r="87" spans="1:28" x14ac:dyDescent="0.25">
      <c r="A87" cm="1">
        <f t="array" aca="1" ref="A87" ca="1">RANK(P87,RBSheetCount)</f>
        <v>85</v>
      </c>
      <c r="B87" t="str">
        <f>RB_Raw!A92</f>
        <v>Brandon Bolden</v>
      </c>
      <c r="C87" t="s">
        <v>28</v>
      </c>
      <c r="D87" t="str">
        <f>_xlfn.IFNA(INDEX(BYEs!$E$2:$E$411,MATCH(B87,BYEs!$D$2:$D$411,0)),"N/A")</f>
        <v>N/A</v>
      </c>
      <c r="E87">
        <f>INDEX(BYEs!$B$2:$B$34,MATCH(F87,BYEs!$A$2:$A$34,0))</f>
        <v>6</v>
      </c>
      <c r="F87" t="str">
        <f>RB_Raw!B92</f>
        <v>LV</v>
      </c>
      <c r="G87" s="206">
        <v>0</v>
      </c>
      <c r="H87" s="207">
        <v>0</v>
      </c>
      <c r="I87" s="206">
        <f>RB_Raw!C92</f>
        <v>23</v>
      </c>
      <c r="J87" s="204">
        <f>RB_Raw!D92</f>
        <v>95</v>
      </c>
      <c r="K87" s="207">
        <f>RB_Raw!E92</f>
        <v>0.6</v>
      </c>
      <c r="L87" s="206">
        <f>RB_Raw!F92</f>
        <v>15.4</v>
      </c>
      <c r="M87" s="204">
        <f>RB_Raw!G92</f>
        <v>138.5</v>
      </c>
      <c r="N87" s="207">
        <f>RB_Raw!H92</f>
        <v>0.4</v>
      </c>
      <c r="O87" s="204">
        <f>RB_Raw!I92</f>
        <v>0.4</v>
      </c>
      <c r="P87" s="209">
        <f>(J87*RBRushingYd)+(K87*RBRushingTD)+(L87*RBReceptions)+(M87*RBRecYd)+(N87*RBRecTD)+(O87*RBFuml)+(I87*RBRushAtt)</f>
        <v>36.250000000000007</v>
      </c>
      <c r="Q87" t="str">
        <f ca="1">IF(A87&lt;=RBStarters,"Starter",IF(A87&gt;RBStarters+RBBench,"Undrafted","Bench"))</f>
        <v>Undrafted</v>
      </c>
      <c r="R87">
        <f ca="1">IFERROR(MAX(P87-LARGE(RBSheetCount,RBStarters),0),0)</f>
        <v>0</v>
      </c>
      <c r="S87">
        <f ca="1">IFERROR(IF(AllowNegative="Yes",P87-LARGE(RBSheetCount,RBCount),MAX(P87-LARGE(RBSheetCount,RBCount),0)),0)</f>
        <v>-45.940000000000005</v>
      </c>
      <c r="T87" s="85">
        <f ca="1">(S87-R87)*BenchPF+R87*StarterPF</f>
        <v>-8.3296984919692694</v>
      </c>
      <c r="U87" s="85">
        <f ca="1">T87*Auction!$A$2</f>
        <v>-8.3296984919692694</v>
      </c>
      <c r="V87" s="6" t="str">
        <f>IF(OR(INDEX(Auction!$H$13:$H$656,MATCH(B87,Auction!$A$13:$A$656,0))&gt;0,IFERROR(INDEX(CheatSheet!$M$5:$M$64,MATCH(B87,CheatSheet!$J$5:$J$64,0)),"")&lt;&gt;""),"Yes","No")</f>
        <v>No</v>
      </c>
      <c r="W87" s="179"/>
      <c r="Y87" s="78">
        <f t="shared" ca="1" si="6"/>
        <v>1</v>
      </c>
      <c r="Z87">
        <f t="shared" ca="1" si="7"/>
        <v>-22.970000000000002</v>
      </c>
      <c r="AA87" s="116" t="str">
        <f t="shared" ca="1" si="8"/>
        <v>RB10</v>
      </c>
      <c r="AB87">
        <f ca="1">Z87*LeagueInfo!$H$5</f>
        <v>-8.4582049984207739</v>
      </c>
    </row>
    <row r="88" spans="1:28" x14ac:dyDescent="0.25">
      <c r="A88" cm="1">
        <f t="array" aca="1" ref="A88" ca="1">RANK(P88,RBSheetCount)</f>
        <v>86</v>
      </c>
      <c r="B88" t="str">
        <f>RB_Raw!A87</f>
        <v>Justin Jackson</v>
      </c>
      <c r="C88" t="s">
        <v>28</v>
      </c>
      <c r="D88">
        <f>_xlfn.IFNA(INDEX(BYEs!$E$2:$E$411,MATCH(B88,BYEs!$D$2:$D$411,0)),"N/A")</f>
        <v>25</v>
      </c>
      <c r="E88">
        <f>INDEX(BYEs!$B$2:$B$34,MATCH(F88,BYEs!$A$2:$A$34,0))</f>
        <v>6</v>
      </c>
      <c r="F88" t="str">
        <f>RB_Raw!B87</f>
        <v>DET</v>
      </c>
      <c r="G88" s="206">
        <v>0</v>
      </c>
      <c r="H88" s="207">
        <v>0</v>
      </c>
      <c r="I88" s="206">
        <f>RB_Raw!C87</f>
        <v>23.5</v>
      </c>
      <c r="J88" s="204">
        <f>RB_Raw!D87</f>
        <v>152.19999999999999</v>
      </c>
      <c r="K88" s="207">
        <f>RB_Raw!E87</f>
        <v>1.2</v>
      </c>
      <c r="L88" s="206">
        <f>RB_Raw!F87</f>
        <v>8.8000000000000007</v>
      </c>
      <c r="M88" s="204">
        <f>RB_Raw!G87</f>
        <v>72</v>
      </c>
      <c r="N88" s="207">
        <f>RB_Raw!H87</f>
        <v>0.4</v>
      </c>
      <c r="O88" s="204">
        <f>RB_Raw!I87</f>
        <v>0.2</v>
      </c>
      <c r="P88" s="209">
        <f>(J88*RBRushingYd)+(K88*RBRushingTD)+(L88*RBReceptions)+(M88*RBRecYd)+(N88*RBRecTD)+(O88*RBFuml)+(I88*RBRushAtt)</f>
        <v>36.020000000000003</v>
      </c>
      <c r="Q88" t="str">
        <f ca="1">IF(A88&lt;=RBStarters,"Starter",IF(A88&gt;RBStarters+RBBench,"Undrafted","Bench"))</f>
        <v>Undrafted</v>
      </c>
      <c r="R88">
        <f ca="1">IFERROR(MAX(P88-LARGE(RBSheetCount,RBStarters),0),0)</f>
        <v>0</v>
      </c>
      <c r="S88">
        <f ca="1">IFERROR(IF(AllowNegative="Yes",P88-LARGE(RBSheetCount,RBCount),MAX(P88-LARGE(RBSheetCount,RBCount),0)),0)</f>
        <v>-46.170000000000009</v>
      </c>
      <c r="T88" s="85">
        <f ca="1">(S88-R88)*BenchPF+R88*StarterPF</f>
        <v>-8.3714013794998081</v>
      </c>
      <c r="U88" s="85">
        <f ca="1">T88*Auction!$A$2</f>
        <v>-8.3714013794998081</v>
      </c>
      <c r="V88" s="6" t="str">
        <f>IF(OR(INDEX(Auction!$H$13:$H$656,MATCH(B88,Auction!$A$13:$A$656,0))&gt;0,IFERROR(INDEX(CheatSheet!$M$5:$M$64,MATCH(B88,CheatSheet!$J$5:$J$64,0)),"")&lt;&gt;""),"Yes","No")</f>
        <v>No</v>
      </c>
      <c r="W88" s="179"/>
      <c r="Y88" s="78">
        <f t="shared" ca="1" si="6"/>
        <v>1</v>
      </c>
      <c r="Z88">
        <f t="shared" ca="1" si="7"/>
        <v>-23.085000000000004</v>
      </c>
      <c r="AA88" s="116" t="str">
        <f t="shared" ca="1" si="8"/>
        <v>RB10</v>
      </c>
      <c r="AB88">
        <f ca="1">Z88*LeagueInfo!$H$5</f>
        <v>-8.5005512576640658</v>
      </c>
    </row>
    <row r="89" spans="1:28" x14ac:dyDescent="0.25">
      <c r="A89" cm="1">
        <f t="array" aca="1" ref="A89" ca="1">RANK(P89,RBSheetCount)</f>
        <v>87</v>
      </c>
      <c r="B89" t="str">
        <f>RB_Raw!A89</f>
        <v>Myles Gaskin</v>
      </c>
      <c r="C89" t="s">
        <v>28</v>
      </c>
      <c r="D89">
        <f>_xlfn.IFNA(INDEX(BYEs!$E$2:$E$411,MATCH(B89,BYEs!$D$2:$D$411,0)),"N/A")</f>
        <v>24</v>
      </c>
      <c r="E89">
        <f>INDEX(BYEs!$B$2:$B$34,MATCH(F89,BYEs!$A$2:$A$34,0))</f>
        <v>11</v>
      </c>
      <c r="F89" t="str">
        <f>RB_Raw!B89</f>
        <v>MIA</v>
      </c>
      <c r="G89" s="206">
        <v>0</v>
      </c>
      <c r="H89" s="207">
        <v>0</v>
      </c>
      <c r="I89" s="206">
        <f>RB_Raw!C89</f>
        <v>34.299999999999997</v>
      </c>
      <c r="J89" s="204">
        <f>RB_Raw!D89</f>
        <v>168.8</v>
      </c>
      <c r="K89" s="207">
        <f>RB_Raw!E89</f>
        <v>1</v>
      </c>
      <c r="L89" s="206">
        <f>RB_Raw!F89</f>
        <v>10.9</v>
      </c>
      <c r="M89" s="204">
        <f>RB_Raw!G89</f>
        <v>68.599999999999994</v>
      </c>
      <c r="N89" s="207">
        <f>RB_Raw!H89</f>
        <v>0.2</v>
      </c>
      <c r="O89" s="204">
        <f>RB_Raw!I89</f>
        <v>0.5</v>
      </c>
      <c r="P89" s="209">
        <f>(J89*RBRushingYd)+(K89*RBRushingTD)+(L89*RBReceptions)+(M89*RBRecYd)+(N89*RBRecTD)+(O89*RBFuml)+(I89*RBRushAtt)</f>
        <v>35.39</v>
      </c>
      <c r="Q89" t="str">
        <f ca="1">IF(A89&lt;=RBStarters,"Starter",IF(A89&gt;RBStarters+RBBench,"Undrafted","Bench"))</f>
        <v>Undrafted</v>
      </c>
      <c r="R89">
        <f ca="1">IFERROR(MAX(P89-LARGE(RBSheetCount,RBStarters),0),0)</f>
        <v>0</v>
      </c>
      <c r="S89">
        <f ca="1">IFERROR(IF(AllowNegative="Yes",P89-LARGE(RBSheetCount,RBCount),MAX(P89-LARGE(RBSheetCount,RBCount),0)),0)</f>
        <v>-46.800000000000011</v>
      </c>
      <c r="T89" s="85">
        <f ca="1">(S89-R89)*BenchPF+R89*StarterPF</f>
        <v>-8.4856310279530227</v>
      </c>
      <c r="U89" s="85">
        <f ca="1">T89*Auction!$A$2</f>
        <v>-8.4856310279530227</v>
      </c>
      <c r="V89" s="6" t="str">
        <f>IF(OR(INDEX(Auction!$H$13:$H$656,MATCH(B89,Auction!$A$13:$A$656,0))&gt;0,IFERROR(INDEX(CheatSheet!$M$5:$M$64,MATCH(B89,CheatSheet!$J$5:$J$64,0)),"")&lt;&gt;""),"Yes","No")</f>
        <v>No</v>
      </c>
      <c r="W89" s="179"/>
      <c r="Y89" s="78">
        <f t="shared" ca="1" si="6"/>
        <v>1</v>
      </c>
      <c r="Z89">
        <f t="shared" ca="1" si="7"/>
        <v>-23.400000000000006</v>
      </c>
      <c r="AA89" s="116" t="str">
        <f t="shared" ca="1" si="8"/>
        <v>RB10</v>
      </c>
      <c r="AB89">
        <f ca="1">Z89*LeagueInfo!$H$5</f>
        <v>-8.6165431851565586</v>
      </c>
    </row>
    <row r="90" spans="1:28" x14ac:dyDescent="0.25">
      <c r="A90" cm="1">
        <f t="array" aca="1" ref="A90" ca="1">RANK(P90,RBSheetCount)</f>
        <v>88</v>
      </c>
      <c r="B90" t="str">
        <f>RB_Raw!A85</f>
        <v>Anthony McFarland Jr.</v>
      </c>
      <c r="C90" t="s">
        <v>28</v>
      </c>
      <c r="D90" t="str">
        <f>_xlfn.IFNA(INDEX(BYEs!$E$2:$E$411,MATCH(B90,BYEs!$D$2:$D$411,0)),"N/A")</f>
        <v>N/A</v>
      </c>
      <c r="E90">
        <f>INDEX(BYEs!$B$2:$B$34,MATCH(F90,BYEs!$A$2:$A$34,0))</f>
        <v>9</v>
      </c>
      <c r="F90" t="str">
        <f>RB_Raw!B85</f>
        <v>PIT</v>
      </c>
      <c r="G90" s="206">
        <v>0</v>
      </c>
      <c r="H90" s="207">
        <v>0</v>
      </c>
      <c r="I90" s="206">
        <f>RB_Raw!C85</f>
        <v>35</v>
      </c>
      <c r="J90" s="204">
        <f>RB_Raw!D85</f>
        <v>165.8</v>
      </c>
      <c r="K90" s="207">
        <f>RB_Raw!E85</f>
        <v>1</v>
      </c>
      <c r="L90" s="206">
        <f>RB_Raw!F85</f>
        <v>7.1</v>
      </c>
      <c r="M90" s="204">
        <f>RB_Raw!G85</f>
        <v>52.7</v>
      </c>
      <c r="N90" s="207">
        <f>RB_Raw!H85</f>
        <v>0.7</v>
      </c>
      <c r="O90" s="204">
        <f>RB_Raw!I85</f>
        <v>0.2</v>
      </c>
      <c r="P90" s="209">
        <f>(J90*RBRushingYd)+(K90*RBRushingTD)+(L90*RBReceptions)+(M90*RBRecYd)+(N90*RBRecTD)+(O90*RBFuml)+(I90*RBRushAtt)</f>
        <v>35.200000000000003</v>
      </c>
      <c r="Q90" t="str">
        <f ca="1">IF(A90&lt;=RBStarters,"Starter",IF(A90&gt;RBStarters+RBBench,"Undrafted","Bench"))</f>
        <v>Undrafted</v>
      </c>
      <c r="R90">
        <f ca="1">IFERROR(MAX(P90-LARGE(RBSheetCount,RBStarters),0),0)</f>
        <v>0</v>
      </c>
      <c r="S90">
        <f ca="1">IFERROR(IF(AllowNegative="Yes",P90-LARGE(RBSheetCount,RBCount),MAX(P90-LARGE(RBSheetCount,RBCount),0)),0)</f>
        <v>-46.990000000000009</v>
      </c>
      <c r="T90" s="85">
        <f ca="1">(S90-R90)*BenchPF+R90*StarterPF</f>
        <v>-8.5200812393912937</v>
      </c>
      <c r="U90" s="85">
        <f ca="1">T90*Auction!$A$2</f>
        <v>-8.5200812393912937</v>
      </c>
      <c r="V90" s="6" t="str">
        <f>IF(OR(INDEX(Auction!$H$13:$H$656,MATCH(B90,Auction!$A$13:$A$656,0))&gt;0,IFERROR(INDEX(CheatSheet!$M$5:$M$64,MATCH(B90,CheatSheet!$J$5:$J$64,0)),"")&lt;&gt;""),"Yes","No")</f>
        <v>No</v>
      </c>
      <c r="W90" s="179"/>
      <c r="Y90" s="78">
        <f t="shared" ca="1" si="6"/>
        <v>1</v>
      </c>
      <c r="Z90">
        <f t="shared" ca="1" si="7"/>
        <v>-23.495000000000005</v>
      </c>
      <c r="AA90" s="116" t="str">
        <f t="shared" ca="1" si="8"/>
        <v>RB10</v>
      </c>
      <c r="AB90">
        <f ca="1">Z90*LeagueInfo!$H$5</f>
        <v>-8.6515248775749285</v>
      </c>
    </row>
    <row r="91" spans="1:28" x14ac:dyDescent="0.25">
      <c r="A91" cm="1">
        <f t="array" aca="1" ref="A91" ca="1">RANK(P91,RBSheetCount)</f>
        <v>89</v>
      </c>
      <c r="B91" t="str">
        <f>RB_Raw!A86</f>
        <v>J.J. Taylor</v>
      </c>
      <c r="C91" t="s">
        <v>28</v>
      </c>
      <c r="D91" t="str">
        <f>_xlfn.IFNA(INDEX(BYEs!$E$2:$E$411,MATCH(B91,BYEs!$D$2:$D$411,0)),"N/A")</f>
        <v>N/A</v>
      </c>
      <c r="E91">
        <f>INDEX(BYEs!$B$2:$B$34,MATCH(F91,BYEs!$A$2:$A$34,0))</f>
        <v>10</v>
      </c>
      <c r="F91" t="str">
        <f>RB_Raw!B86</f>
        <v>NE</v>
      </c>
      <c r="G91" s="206">
        <v>0</v>
      </c>
      <c r="H91" s="207">
        <v>0</v>
      </c>
      <c r="I91" s="206">
        <f>RB_Raw!C86</f>
        <v>35</v>
      </c>
      <c r="J91" s="204">
        <f>RB_Raw!D86</f>
        <v>163.5</v>
      </c>
      <c r="K91" s="207">
        <f>RB_Raw!E86</f>
        <v>2</v>
      </c>
      <c r="L91" s="206">
        <f>RB_Raw!F86</f>
        <v>4.4000000000000004</v>
      </c>
      <c r="M91" s="204">
        <f>RB_Raw!G86</f>
        <v>29.6</v>
      </c>
      <c r="N91" s="207">
        <f>RB_Raw!H86</f>
        <v>0.1</v>
      </c>
      <c r="O91" s="204">
        <f>RB_Raw!I86</f>
        <v>0.1</v>
      </c>
      <c r="P91" s="209">
        <f>(J91*RBRushingYd)+(K91*RBRushingTD)+(L91*RBReceptions)+(M91*RBRecYd)+(N91*RBRecTD)+(O91*RBFuml)+(I91*RBRushAtt)</f>
        <v>33.909999999999997</v>
      </c>
      <c r="Q91" t="str">
        <f ca="1">IF(A91&lt;=RBStarters,"Starter",IF(A91&gt;RBStarters+RBBench,"Undrafted","Bench"))</f>
        <v>Undrafted</v>
      </c>
      <c r="R91">
        <f ca="1">IFERROR(MAX(P91-LARGE(RBSheetCount,RBStarters),0),0)</f>
        <v>0</v>
      </c>
      <c r="S91">
        <f ca="1">IFERROR(IF(AllowNegative="Yes",P91-LARGE(RBSheetCount,RBCount),MAX(P91-LARGE(RBSheetCount,RBCount),0)),0)</f>
        <v>-48.280000000000015</v>
      </c>
      <c r="T91" s="85">
        <f ca="1">(S91-R91)*BenchPF+R91*StarterPF</f>
        <v>-8.7539800433669228</v>
      </c>
      <c r="U91" s="85">
        <f ca="1">T91*Auction!$A$2</f>
        <v>-8.7539800433669228</v>
      </c>
      <c r="V91" s="6" t="str">
        <f>IF(OR(INDEX(Auction!$H$13:$H$656,MATCH(B91,Auction!$A$13:$A$656,0))&gt;0,IFERROR(INDEX(CheatSheet!$M$5:$M$64,MATCH(B91,CheatSheet!$J$5:$J$64,0)),"")&lt;&gt;""),"Yes","No")</f>
        <v>No</v>
      </c>
      <c r="W91" s="179"/>
      <c r="Y91" s="78">
        <f t="shared" ca="1" si="6"/>
        <v>1</v>
      </c>
      <c r="Z91">
        <f t="shared" ca="1" si="7"/>
        <v>-24.140000000000008</v>
      </c>
      <c r="AA91" s="116" t="str">
        <f t="shared" ca="1" si="8"/>
        <v>RB10</v>
      </c>
      <c r="AB91">
        <f ca="1">Z91*LeagueInfo!$H$5</f>
        <v>-8.8890321576786047</v>
      </c>
    </row>
    <row r="92" spans="1:28" x14ac:dyDescent="0.25">
      <c r="A92" cm="1">
        <f t="array" aca="1" ref="A92" ca="1">RANK(P92,RBSheetCount)</f>
        <v>90</v>
      </c>
      <c r="B92" t="str">
        <f>RB_Raw!A88</f>
        <v>Joshua Kelley</v>
      </c>
      <c r="C92" t="s">
        <v>28</v>
      </c>
      <c r="D92" t="str">
        <f>_xlfn.IFNA(INDEX(BYEs!$E$2:$E$411,MATCH(B92,BYEs!$D$2:$D$411,0)),"N/A")</f>
        <v>N/A</v>
      </c>
      <c r="E92">
        <f>INDEX(BYEs!$B$2:$B$34,MATCH(F92,BYEs!$A$2:$A$34,0))</f>
        <v>8</v>
      </c>
      <c r="F92" t="str">
        <f>RB_Raw!B88</f>
        <v>LAC</v>
      </c>
      <c r="G92" s="206">
        <v>0</v>
      </c>
      <c r="H92" s="207">
        <v>0</v>
      </c>
      <c r="I92" s="206">
        <f>RB_Raw!C88</f>
        <v>45</v>
      </c>
      <c r="J92" s="204">
        <f>RB_Raw!D88</f>
        <v>177.1</v>
      </c>
      <c r="K92" s="207">
        <f>RB_Raw!E88</f>
        <v>1.3</v>
      </c>
      <c r="L92" s="206">
        <f>RB_Raw!F88</f>
        <v>6.8</v>
      </c>
      <c r="M92" s="204">
        <f>RB_Raw!G88</f>
        <v>46</v>
      </c>
      <c r="N92" s="207">
        <f>RB_Raw!H88</f>
        <v>0.2</v>
      </c>
      <c r="O92" s="204">
        <f>RB_Raw!I88</f>
        <v>0.6</v>
      </c>
      <c r="P92" s="209">
        <f>(J92*RBRushingYd)+(K92*RBRushingTD)+(L92*RBReceptions)+(M92*RBRecYd)+(N92*RBRecTD)+(O92*RBFuml)+(I92*RBRushAtt)</f>
        <v>33.51</v>
      </c>
      <c r="Q92" t="str">
        <f ca="1">IF(A92&lt;=RBStarters,"Starter",IF(A92&gt;RBStarters+RBBench,"Undrafted","Bench"))</f>
        <v>Undrafted</v>
      </c>
      <c r="R92">
        <f ca="1">IFERROR(MAX(P92-LARGE(RBSheetCount,RBStarters),0),0)</f>
        <v>0</v>
      </c>
      <c r="S92">
        <f ca="1">IFERROR(IF(AllowNegative="Yes",P92-LARGE(RBSheetCount,RBCount),MAX(P92-LARGE(RBSheetCount,RBCount),0)),0)</f>
        <v>-48.680000000000014</v>
      </c>
      <c r="T92" s="85">
        <f ca="1">(S92-R92)*BenchPF+R92*StarterPF</f>
        <v>-8.8265068042895987</v>
      </c>
      <c r="U92" s="85">
        <f ca="1">T92*Auction!$A$2</f>
        <v>-8.8265068042895987</v>
      </c>
      <c r="V92" s="6" t="str">
        <f>IF(OR(INDEX(Auction!$H$13:$H$656,MATCH(B92,Auction!$A$13:$A$656,0))&gt;0,IFERROR(INDEX(CheatSheet!$M$5:$M$64,MATCH(B92,CheatSheet!$J$5:$J$64,0)),"")&lt;&gt;""),"Yes","No")</f>
        <v>No</v>
      </c>
      <c r="W92" s="179"/>
      <c r="Y92" s="78">
        <f t="shared" ca="1" si="6"/>
        <v>1</v>
      </c>
      <c r="Z92">
        <f t="shared" ca="1" si="7"/>
        <v>-24.340000000000007</v>
      </c>
      <c r="AA92" s="116" t="str">
        <f t="shared" ca="1" si="8"/>
        <v>RB10</v>
      </c>
      <c r="AB92">
        <f ca="1">Z92*LeagueInfo!$H$5</f>
        <v>-8.9626778259278055</v>
      </c>
    </row>
    <row r="93" spans="1:28" x14ac:dyDescent="0.25">
      <c r="A93" cm="1">
        <f t="array" aca="1" ref="A93" ca="1">RANK(P93,RBSheetCount)</f>
        <v>91</v>
      </c>
      <c r="B93" t="str">
        <f>RB_Raw!A90</f>
        <v>Zack Moss</v>
      </c>
      <c r="C93" t="s">
        <v>28</v>
      </c>
      <c r="D93" t="str">
        <f>_xlfn.IFNA(INDEX(BYEs!$E$2:$E$411,MATCH(B93,BYEs!$D$2:$D$411,0)),"N/A")</f>
        <v>N/A</v>
      </c>
      <c r="E93">
        <f>INDEX(BYEs!$B$2:$B$34,MATCH(F93,BYEs!$A$2:$A$34,0))</f>
        <v>7</v>
      </c>
      <c r="F93" t="str">
        <f>RB_Raw!B90</f>
        <v>BUF</v>
      </c>
      <c r="G93" s="206">
        <v>0</v>
      </c>
      <c r="H93" s="207">
        <v>0</v>
      </c>
      <c r="I93" s="206">
        <f>RB_Raw!C90</f>
        <v>37.4</v>
      </c>
      <c r="J93" s="204">
        <f>RB_Raw!D90</f>
        <v>159.6</v>
      </c>
      <c r="K93" s="207">
        <f>RB_Raw!E90</f>
        <v>1.3</v>
      </c>
      <c r="L93" s="206">
        <f>RB_Raw!F90</f>
        <v>6.4</v>
      </c>
      <c r="M93" s="204">
        <f>RB_Raw!G90</f>
        <v>47.8</v>
      </c>
      <c r="N93" s="207">
        <f>RB_Raw!H90</f>
        <v>0.3</v>
      </c>
      <c r="O93" s="204">
        <f>RB_Raw!I90</f>
        <v>0.1</v>
      </c>
      <c r="P93" s="209">
        <f>(J93*RBRushingYd)+(K93*RBRushingTD)+(L93*RBReceptions)+(M93*RBRecYd)+(N93*RBRecTD)+(O93*RBFuml)+(I93*RBRushAtt)</f>
        <v>33.339999999999996</v>
      </c>
      <c r="Q93" t="str">
        <f ca="1">IF(A93&lt;=RBStarters,"Starter",IF(A93&gt;RBStarters+RBBench,"Undrafted","Bench"))</f>
        <v>Undrafted</v>
      </c>
      <c r="R93">
        <f ca="1">IFERROR(MAX(P93-LARGE(RBSheetCount,RBStarters),0),0)</f>
        <v>0</v>
      </c>
      <c r="S93">
        <f ca="1">IFERROR(IF(AllowNegative="Yes",P93-LARGE(RBSheetCount,RBCount),MAX(P93-LARGE(RBSheetCount,RBCount),0)),0)</f>
        <v>-48.850000000000016</v>
      </c>
      <c r="T93" s="85">
        <f ca="1">(S93-R93)*BenchPF+R93*StarterPF</f>
        <v>-8.8573306776817358</v>
      </c>
      <c r="U93" s="85">
        <f ca="1">T93*Auction!$A$2</f>
        <v>-8.8573306776817358</v>
      </c>
      <c r="V93" s="6" t="str">
        <f>IF(OR(INDEX(Auction!$H$13:$H$656,MATCH(B93,Auction!$A$13:$A$656,0))&gt;0,IFERROR(INDEX(CheatSheet!$M$5:$M$64,MATCH(B93,CheatSheet!$J$5:$J$64,0)),"")&lt;&gt;""),"Yes","No")</f>
        <v>No</v>
      </c>
      <c r="W93" s="179"/>
      <c r="Y93" s="78">
        <f t="shared" ca="1" si="6"/>
        <v>1</v>
      </c>
      <c r="Z93">
        <f t="shared" ca="1" si="7"/>
        <v>-24.425000000000008</v>
      </c>
      <c r="AA93" s="116" t="str">
        <f t="shared" ca="1" si="8"/>
        <v>RB10</v>
      </c>
      <c r="AB93">
        <f ca="1">Z93*LeagueInfo!$H$5</f>
        <v>-8.9939772349337161</v>
      </c>
    </row>
    <row r="94" spans="1:28" x14ac:dyDescent="0.25">
      <c r="A94" cm="1">
        <f t="array" aca="1" ref="A94" ca="1">RANK(P94,RBSheetCount)</f>
        <v>92</v>
      </c>
      <c r="B94" t="str">
        <f>RB_Raw!A95</f>
        <v>Travis Homer</v>
      </c>
      <c r="C94" t="s">
        <v>28</v>
      </c>
      <c r="D94">
        <f>_xlfn.IFNA(INDEX(BYEs!$E$2:$E$411,MATCH(B94,BYEs!$D$2:$D$411,0)),"N/A")</f>
        <v>23</v>
      </c>
      <c r="E94">
        <f>INDEX(BYEs!$B$2:$B$34,MATCH(F94,BYEs!$A$2:$A$34,0))</f>
        <v>11</v>
      </c>
      <c r="F94" t="str">
        <f>RB_Raw!B95</f>
        <v>SEA</v>
      </c>
      <c r="G94" s="206">
        <v>0</v>
      </c>
      <c r="H94" s="207">
        <v>0</v>
      </c>
      <c r="I94" s="206">
        <f>RB_Raw!C95</f>
        <v>17.2</v>
      </c>
      <c r="J94" s="204">
        <f>RB_Raw!D95</f>
        <v>94.7</v>
      </c>
      <c r="K94" s="207">
        <f>RB_Raw!E95</f>
        <v>0.6</v>
      </c>
      <c r="L94" s="206">
        <f>RB_Raw!F95</f>
        <v>11.5</v>
      </c>
      <c r="M94" s="204">
        <f>RB_Raw!G95</f>
        <v>92.2</v>
      </c>
      <c r="N94" s="207">
        <f>RB_Raw!H95</f>
        <v>0.5</v>
      </c>
      <c r="O94" s="204">
        <f>RB_Raw!I95</f>
        <v>0.1</v>
      </c>
      <c r="P94" s="209">
        <f>(J94*RBRushingYd)+(K94*RBRushingTD)+(L94*RBReceptions)+(M94*RBRecYd)+(N94*RBRecTD)+(O94*RBFuml)+(I94*RBRushAtt)</f>
        <v>30.84</v>
      </c>
      <c r="Q94" t="str">
        <f ca="1">IF(A94&lt;=RBStarters,"Starter",IF(A94&gt;RBStarters+RBBench,"Undrafted","Bench"))</f>
        <v>Undrafted</v>
      </c>
      <c r="R94">
        <f ca="1">IFERROR(MAX(P94-LARGE(RBSheetCount,RBStarters),0),0)</f>
        <v>0</v>
      </c>
      <c r="S94">
        <f ca="1">IFERROR(IF(AllowNegative="Yes",P94-LARGE(RBSheetCount,RBCount),MAX(P94-LARGE(RBSheetCount,RBCount),0)),0)</f>
        <v>-51.350000000000009</v>
      </c>
      <c r="T94" s="85">
        <f ca="1">(S94-R94)*BenchPF+R94*StarterPF</f>
        <v>-9.3106229334484549</v>
      </c>
      <c r="U94" s="85">
        <f ca="1">T94*Auction!$A$2</f>
        <v>-9.3106229334484549</v>
      </c>
      <c r="V94" s="6" t="str">
        <f>IF(OR(INDEX(Auction!$H$13:$H$656,MATCH(B94,Auction!$A$13:$A$656,0))&gt;0,IFERROR(INDEX(CheatSheet!$M$5:$M$64,MATCH(B94,CheatSheet!$J$5:$J$64,0)),"")&lt;&gt;""),"Yes","No")</f>
        <v>No</v>
      </c>
      <c r="W94" s="179"/>
      <c r="Y94" s="78">
        <f t="shared" ca="1" si="6"/>
        <v>1</v>
      </c>
      <c r="Z94">
        <f t="shared" ca="1" si="7"/>
        <v>-25.675000000000004</v>
      </c>
      <c r="AA94" s="116" t="str">
        <f t="shared" ca="1" si="8"/>
        <v>RB10</v>
      </c>
      <c r="AB94">
        <f ca="1">Z94*LeagueInfo!$H$5</f>
        <v>-9.4542626614912226</v>
      </c>
    </row>
    <row r="95" spans="1:28" x14ac:dyDescent="0.25">
      <c r="A95" cm="1">
        <f t="array" aca="1" ref="A95" ca="1">RANK(P95,RBSheetCount)</f>
        <v>93</v>
      </c>
      <c r="B95" t="str">
        <f>RB_Raw!A96</f>
        <v>Giovani Bernard</v>
      </c>
      <c r="C95" t="s">
        <v>28</v>
      </c>
      <c r="D95">
        <f>_xlfn.IFNA(INDEX(BYEs!$E$2:$E$411,MATCH(B95,BYEs!$D$2:$D$411,0)),"N/A")</f>
        <v>29</v>
      </c>
      <c r="E95">
        <f>INDEX(BYEs!$B$2:$B$34,MATCH(F95,BYEs!$A$2:$A$34,0))</f>
        <v>11</v>
      </c>
      <c r="F95" t="str">
        <f>RB_Raw!B96</f>
        <v>TB</v>
      </c>
      <c r="G95" s="206">
        <v>0</v>
      </c>
      <c r="H95" s="207">
        <v>0</v>
      </c>
      <c r="I95" s="206">
        <f>RB_Raw!C96</f>
        <v>16.100000000000001</v>
      </c>
      <c r="J95" s="204">
        <f>RB_Raw!D96</f>
        <v>100.3</v>
      </c>
      <c r="K95" s="207">
        <f>RB_Raw!E96</f>
        <v>0.6</v>
      </c>
      <c r="L95" s="206">
        <f>RB_Raw!F96</f>
        <v>11</v>
      </c>
      <c r="M95" s="204">
        <f>RB_Raw!G96</f>
        <v>82.9</v>
      </c>
      <c r="N95" s="207">
        <f>RB_Raw!H96</f>
        <v>0.6</v>
      </c>
      <c r="O95" s="204">
        <f>RB_Raw!I96</f>
        <v>0.2</v>
      </c>
      <c r="P95" s="209">
        <f>(J95*RBRushingYd)+(K95*RBRushingTD)+(L95*RBReceptions)+(M95*RBRecYd)+(N95*RBRecTD)+(O95*RBFuml)+(I95*RBRushAtt)</f>
        <v>30.620000000000005</v>
      </c>
      <c r="Q95" t="str">
        <f ca="1">IF(A95&lt;=RBStarters,"Starter",IF(A95&gt;RBStarters+RBBench,"Undrafted","Bench"))</f>
        <v>Undrafted</v>
      </c>
      <c r="R95">
        <f ca="1">IFERROR(MAX(P95-LARGE(RBSheetCount,RBStarters),0),0)</f>
        <v>0</v>
      </c>
      <c r="S95">
        <f ca="1">IFERROR(IF(AllowNegative="Yes",P95-LARGE(RBSheetCount,RBCount),MAX(P95-LARGE(RBSheetCount,RBCount),0)),0)</f>
        <v>-51.570000000000007</v>
      </c>
      <c r="T95" s="85">
        <f ca="1">(S95-R95)*BenchPF+R95*StarterPF</f>
        <v>-9.3505126519559258</v>
      </c>
      <c r="U95" s="85">
        <f ca="1">T95*Auction!$A$2</f>
        <v>-9.3505126519559258</v>
      </c>
      <c r="V95" s="6" t="str">
        <f>IF(OR(INDEX(Auction!$H$13:$H$656,MATCH(B95,Auction!$A$13:$A$656,0))&gt;0,IFERROR(INDEX(CheatSheet!$M$5:$M$64,MATCH(B95,CheatSheet!$J$5:$J$64,0)),"")&lt;&gt;""),"Yes","No")</f>
        <v>No</v>
      </c>
      <c r="W95" s="179"/>
      <c r="Y95" s="78">
        <f t="shared" ca="1" si="6"/>
        <v>1</v>
      </c>
      <c r="Z95">
        <f t="shared" ca="1" si="7"/>
        <v>-25.785000000000004</v>
      </c>
      <c r="AA95" s="116" t="str">
        <f t="shared" ca="1" si="8"/>
        <v>RB10</v>
      </c>
      <c r="AB95">
        <f ca="1">Z95*LeagueInfo!$H$5</f>
        <v>-9.4947677790282832</v>
      </c>
    </row>
    <row r="96" spans="1:28" x14ac:dyDescent="0.25">
      <c r="A96" cm="1">
        <f t="array" aca="1" ref="A96" ca="1">RANK(P96,RBSheetCount)</f>
        <v>94</v>
      </c>
      <c r="B96" t="str">
        <f>RB_Raw!A106</f>
        <v>Ty Montgomery</v>
      </c>
      <c r="C96" t="s">
        <v>28</v>
      </c>
      <c r="D96">
        <f>_xlfn.IFNA(INDEX(BYEs!$E$2:$E$411,MATCH(B96,BYEs!$D$2:$D$411,0)),"N/A")</f>
        <v>28</v>
      </c>
      <c r="E96">
        <f>INDEX(BYEs!$B$2:$B$34,MATCH(F96,BYEs!$A$2:$A$34,0))</f>
        <v>10</v>
      </c>
      <c r="F96" t="str">
        <f>RB_Raw!B106</f>
        <v>NE</v>
      </c>
      <c r="G96" s="206">
        <v>0</v>
      </c>
      <c r="H96" s="207">
        <v>0</v>
      </c>
      <c r="I96" s="206">
        <f>RB_Raw!C106</f>
        <v>17.5</v>
      </c>
      <c r="J96" s="204">
        <f>RB_Raw!D106</f>
        <v>70.900000000000006</v>
      </c>
      <c r="K96" s="207">
        <f>RB_Raw!E106</f>
        <v>0.3</v>
      </c>
      <c r="L96" s="206">
        <f>RB_Raw!F106</f>
        <v>15.3</v>
      </c>
      <c r="M96" s="204">
        <f>RB_Raw!G106</f>
        <v>119</v>
      </c>
      <c r="N96" s="207">
        <f>RB_Raw!H106</f>
        <v>0.3</v>
      </c>
      <c r="O96" s="204">
        <f>RB_Raw!I106</f>
        <v>0.2</v>
      </c>
      <c r="P96" s="209">
        <f>(J96*RBRushingYd)+(K96*RBRushingTD)+(L96*RBReceptions)+(M96*RBRecYd)+(N96*RBRecTD)+(O96*RBFuml)+(I96*RBRushAtt)</f>
        <v>29.84</v>
      </c>
      <c r="Q96" t="str">
        <f ca="1">IF(A96&lt;=RBStarters,"Starter",IF(A96&gt;RBStarters+RBBench,"Undrafted","Bench"))</f>
        <v>Undrafted</v>
      </c>
      <c r="R96">
        <f ca="1">IFERROR(MAX(P96-LARGE(RBSheetCount,RBStarters),0),0)</f>
        <v>0</v>
      </c>
      <c r="S96">
        <f ca="1">IFERROR(IF(AllowNegative="Yes",P96-LARGE(RBSheetCount,RBCount),MAX(P96-LARGE(RBSheetCount,RBCount),0)),0)</f>
        <v>-52.350000000000009</v>
      </c>
      <c r="T96" s="85">
        <f ca="1">(S96-R96)*BenchPF+R96*StarterPF</f>
        <v>-9.4919398357551437</v>
      </c>
      <c r="U96" s="85">
        <f ca="1">T96*Auction!$A$2</f>
        <v>-9.4919398357551437</v>
      </c>
      <c r="V96" s="6" t="str">
        <f>IF(OR(INDEX(Auction!$H$13:$H$656,MATCH(B96,Auction!$A$13:$A$656,0))&gt;0,IFERROR(INDEX(CheatSheet!$M$5:$M$64,MATCH(B96,CheatSheet!$J$5:$J$64,0)),"")&lt;&gt;""),"Yes","No")</f>
        <v>No</v>
      </c>
      <c r="W96" s="179"/>
      <c r="Y96" s="78">
        <f t="shared" ca="1" si="6"/>
        <v>1</v>
      </c>
      <c r="Z96">
        <f t="shared" ca="1" si="7"/>
        <v>-26.175000000000004</v>
      </c>
      <c r="AA96" s="116" t="str">
        <f t="shared" ca="1" si="8"/>
        <v>RB10</v>
      </c>
      <c r="AB96">
        <f ca="1">Z96*LeagueInfo!$H$5</f>
        <v>-9.6383768321142256</v>
      </c>
    </row>
    <row r="97" spans="1:28" x14ac:dyDescent="0.25">
      <c r="A97" cm="1">
        <f t="array" aca="1" ref="A97" ca="1">RANK(P97,RBSheetCount)</f>
        <v>95</v>
      </c>
      <c r="B97" t="str">
        <f>RB_Raw!A94</f>
        <v>Benny Snell Jr.</v>
      </c>
      <c r="C97" t="s">
        <v>28</v>
      </c>
      <c r="D97" t="str">
        <f>_xlfn.IFNA(INDEX(BYEs!$E$2:$E$411,MATCH(B97,BYEs!$D$2:$D$411,0)),"N/A")</f>
        <v>N/A</v>
      </c>
      <c r="E97">
        <f>INDEX(BYEs!$B$2:$B$34,MATCH(F97,BYEs!$A$2:$A$34,0))</f>
        <v>9</v>
      </c>
      <c r="F97" t="str">
        <f>RB_Raw!B94</f>
        <v>PIT</v>
      </c>
      <c r="G97" s="206">
        <v>0</v>
      </c>
      <c r="H97" s="207">
        <v>0</v>
      </c>
      <c r="I97" s="206">
        <f>RB_Raw!C94</f>
        <v>39.200000000000003</v>
      </c>
      <c r="J97" s="204">
        <f>RB_Raw!D94</f>
        <v>168.2</v>
      </c>
      <c r="K97" s="207">
        <f>RB_Raw!E94</f>
        <v>1</v>
      </c>
      <c r="L97" s="206">
        <f>RB_Raw!F94</f>
        <v>5.2</v>
      </c>
      <c r="M97" s="204">
        <f>RB_Raw!G94</f>
        <v>36.4</v>
      </c>
      <c r="N97" s="207">
        <f>RB_Raw!H94</f>
        <v>0.1</v>
      </c>
      <c r="O97" s="204">
        <f>RB_Raw!I94</f>
        <v>0.2</v>
      </c>
      <c r="P97" s="209">
        <f>(J97*RBRushingYd)+(K97*RBRushingTD)+(L97*RBReceptions)+(M97*RBRecYd)+(N97*RBRecTD)+(O97*RBFuml)+(I97*RBRushAtt)</f>
        <v>29.260000000000005</v>
      </c>
      <c r="Q97" t="str">
        <f ca="1">IF(A97&lt;=RBStarters,"Starter",IF(A97&gt;RBStarters+RBBench,"Undrafted","Bench"))</f>
        <v>Undrafted</v>
      </c>
      <c r="R97">
        <f ca="1">IFERROR(MAX(P97-LARGE(RBSheetCount,RBStarters),0),0)</f>
        <v>0</v>
      </c>
      <c r="S97">
        <f ca="1">IFERROR(IF(AllowNegative="Yes",P97-LARGE(RBSheetCount,RBCount),MAX(P97-LARGE(RBSheetCount,RBCount),0)),0)</f>
        <v>-52.930000000000007</v>
      </c>
      <c r="T97" s="85">
        <f ca="1">(S97-R97)*BenchPF+R97*StarterPF</f>
        <v>-9.5971036390930227</v>
      </c>
      <c r="U97" s="85">
        <f ca="1">T97*Auction!$A$2</f>
        <v>-9.5971036390930227</v>
      </c>
      <c r="V97" s="6" t="str">
        <f>IF(OR(INDEX(Auction!$H$13:$H$656,MATCH(B97,Auction!$A$13:$A$656,0))&gt;0,IFERROR(INDEX(CheatSheet!$M$5:$M$64,MATCH(B97,CheatSheet!$J$5:$J$64,0)),"")&lt;&gt;""),"Yes","No")</f>
        <v>No</v>
      </c>
      <c r="W97" s="179"/>
      <c r="Y97" s="78">
        <f t="shared" ca="1" si="6"/>
        <v>1</v>
      </c>
      <c r="Z97">
        <f t="shared" ca="1" si="7"/>
        <v>-26.465000000000003</v>
      </c>
      <c r="AA97" s="116" t="str">
        <f t="shared" ca="1" si="8"/>
        <v>RB10</v>
      </c>
      <c r="AB97">
        <f ca="1">Z97*LeagueInfo!$H$5</f>
        <v>-9.7451630510755685</v>
      </c>
    </row>
    <row r="98" spans="1:28" x14ac:dyDescent="0.25">
      <c r="A98" cm="1">
        <f t="array" aca="1" ref="A98" ca="1">RANK(P98,RBSheetCount)</f>
        <v>96</v>
      </c>
      <c r="B98" t="str">
        <f>RB_Raw!A93</f>
        <v>Tyler Badie</v>
      </c>
      <c r="C98" t="s">
        <v>28</v>
      </c>
      <c r="D98" t="str">
        <f>_xlfn.IFNA(INDEX(BYEs!$E$2:$E$411,MATCH(B98,BYEs!$D$2:$D$411,0)),"N/A")</f>
        <v>N/A</v>
      </c>
      <c r="E98">
        <f>INDEX(BYEs!$B$2:$B$34,MATCH(F98,BYEs!$A$2:$A$34,0))</f>
        <v>10</v>
      </c>
      <c r="F98" t="str">
        <f>RB_Raw!B93</f>
        <v>BAL</v>
      </c>
      <c r="G98" s="206">
        <v>0</v>
      </c>
      <c r="H98" s="207">
        <v>0</v>
      </c>
      <c r="I98" s="206">
        <f>RB_Raw!C93</f>
        <v>38</v>
      </c>
      <c r="J98" s="204">
        <f>RB_Raw!D93</f>
        <v>196</v>
      </c>
      <c r="K98" s="207">
        <f>RB_Raw!E93</f>
        <v>1</v>
      </c>
      <c r="L98" s="206">
        <f>RB_Raw!F93</f>
        <v>2</v>
      </c>
      <c r="M98" s="204">
        <f>RB_Raw!G93</f>
        <v>18</v>
      </c>
      <c r="N98" s="207">
        <f>RB_Raw!H93</f>
        <v>0</v>
      </c>
      <c r="O98" s="204">
        <f>RB_Raw!I93</f>
        <v>0</v>
      </c>
      <c r="P98" s="209">
        <f>(J98*RBRushingYd)+(K98*RBRushingTD)+(L98*RBReceptions)+(M98*RBRecYd)+(N98*RBRecTD)+(O98*RBFuml)+(I98*RBRushAtt)</f>
        <v>28.400000000000002</v>
      </c>
      <c r="Q98" t="str">
        <f ca="1">IF(A98&lt;=RBStarters,"Starter",IF(A98&gt;RBStarters+RBBench,"Undrafted","Bench"))</f>
        <v>Undrafted</v>
      </c>
      <c r="R98">
        <f ca="1">IFERROR(MAX(P98-LARGE(RBSheetCount,RBStarters),0),0)</f>
        <v>0</v>
      </c>
      <c r="S98">
        <f ca="1">IFERROR(IF(AllowNegative="Yes",P98-LARGE(RBSheetCount,RBCount),MAX(P98-LARGE(RBSheetCount,RBCount),0)),0)</f>
        <v>-53.790000000000006</v>
      </c>
      <c r="T98" s="85">
        <f ca="1">(S98-R98)*BenchPF+R98*StarterPF</f>
        <v>-9.7530361750767742</v>
      </c>
      <c r="U98" s="85">
        <f ca="1">T98*Auction!$A$2</f>
        <v>-9.7530361750767742</v>
      </c>
      <c r="V98" s="6" t="str">
        <f>IF(OR(INDEX(Auction!$H$13:$H$656,MATCH(B98,Auction!$A$13:$A$656,0))&gt;0,IFERROR(INDEX(CheatSheet!$M$5:$M$64,MATCH(B98,CheatSheet!$J$5:$J$64,0)),"")&lt;&gt;""),"Yes","No")</f>
        <v>No</v>
      </c>
      <c r="W98" s="179"/>
      <c r="Y98" s="78">
        <f t="shared" ca="1" si="6"/>
        <v>1</v>
      </c>
      <c r="Z98">
        <f t="shared" ca="1" si="7"/>
        <v>-26.895000000000003</v>
      </c>
      <c r="AA98" s="116" t="str">
        <f t="shared" ca="1" si="8"/>
        <v>RB10</v>
      </c>
      <c r="AB98">
        <f ca="1">Z98*LeagueInfo!$H$5</f>
        <v>-9.9035012378113514</v>
      </c>
    </row>
    <row r="99" spans="1:28" x14ac:dyDescent="0.25">
      <c r="A99" cm="1">
        <f t="array" aca="1" ref="A99" ca="1">RANK(P99,RBSheetCount)</f>
        <v>97</v>
      </c>
      <c r="B99" t="str">
        <f>RB_Raw!A97</f>
        <v>Trey Sermon</v>
      </c>
      <c r="C99" t="s">
        <v>28</v>
      </c>
      <c r="D99" t="str">
        <f>_xlfn.IFNA(INDEX(BYEs!$E$2:$E$411,MATCH(B99,BYEs!$D$2:$D$411,0)),"N/A")</f>
        <v>N/A</v>
      </c>
      <c r="E99">
        <f>INDEX(BYEs!$B$2:$B$34,MATCH(F99,BYEs!$A$2:$A$34,0))</f>
        <v>7</v>
      </c>
      <c r="F99" t="str">
        <f>RB_Raw!B97</f>
        <v>PHI</v>
      </c>
      <c r="G99" s="206">
        <v>0</v>
      </c>
      <c r="H99" s="207">
        <v>0</v>
      </c>
      <c r="I99" s="206">
        <f>RB_Raw!C97</f>
        <v>26.7</v>
      </c>
      <c r="J99" s="204">
        <f>RB_Raw!D97</f>
        <v>129.9</v>
      </c>
      <c r="K99" s="207">
        <f>RB_Raw!E97</f>
        <v>1.1000000000000001</v>
      </c>
      <c r="L99" s="206">
        <f>RB_Raw!F97</f>
        <v>6.5</v>
      </c>
      <c r="M99" s="204">
        <f>RB_Raw!G97</f>
        <v>42.7</v>
      </c>
      <c r="N99" s="207">
        <f>RB_Raw!H97</f>
        <v>0.2</v>
      </c>
      <c r="O99" s="204">
        <f>RB_Raw!I97</f>
        <v>0.1</v>
      </c>
      <c r="P99" s="209">
        <f>(J99*RBRushingYd)+(K99*RBRushingTD)+(L99*RBReceptions)+(M99*RBRecYd)+(N99*RBRecTD)+(O99*RBFuml)+(I99*RBRushAtt)</f>
        <v>28.110000000000003</v>
      </c>
      <c r="Q99" t="str">
        <f ca="1">IF(A99&lt;=RBStarters,"Starter",IF(A99&gt;RBStarters+RBBench,"Undrafted","Bench"))</f>
        <v>Undrafted</v>
      </c>
      <c r="R99">
        <f ca="1">IFERROR(MAX(P99-LARGE(RBSheetCount,RBStarters),0),0)</f>
        <v>0</v>
      </c>
      <c r="S99">
        <f ca="1">IFERROR(IF(AllowNegative="Yes",P99-LARGE(RBSheetCount,RBCount),MAX(P99-LARGE(RBSheetCount,RBCount),0)),0)</f>
        <v>-54.080000000000013</v>
      </c>
      <c r="T99" s="85">
        <f ca="1">(S99-R99)*BenchPF+R99*StarterPF</f>
        <v>-9.8056180767457146</v>
      </c>
      <c r="U99" s="85">
        <f ca="1">T99*Auction!$A$2</f>
        <v>-9.8056180767457146</v>
      </c>
      <c r="V99" s="6" t="str">
        <f>IF(OR(INDEX(Auction!$H$13:$H$656,MATCH(B99,Auction!$A$13:$A$656,0))&gt;0,IFERROR(INDEX(CheatSheet!$M$5:$M$64,MATCH(B99,CheatSheet!$J$5:$J$64,0)),"")&lt;&gt;""),"Yes","No")</f>
        <v>No</v>
      </c>
      <c r="W99" s="179"/>
      <c r="Y99" s="78">
        <f t="shared" ref="Y99:Y130" ca="1" si="9">SUMIFS($Z$3:$Z$138,$Z$3:$Z$138,"&gt;0",$V$3:$V$138,"No")/SUMIF($Z$3:$Z$138,"&gt;0")</f>
        <v>1</v>
      </c>
      <c r="Z99">
        <f t="shared" ref="Z99:Z130" ca="1" si="10">AVERAGE(R99:S99)</f>
        <v>-27.040000000000006</v>
      </c>
      <c r="AA99" s="116" t="str">
        <f t="shared" ref="AA99:AA130" ca="1" si="11">CONCATENATE("RB",ROUND((LARGE($Z$3:$Z$138,1)-$Z99)/(STDEVP($Z$3:$Z$138)/2)+1,0))</f>
        <v>RB10</v>
      </c>
      <c r="AB99">
        <f ca="1">Z99*LeagueInfo!$H$5</f>
        <v>-9.9568943472920228</v>
      </c>
    </row>
    <row r="100" spans="1:28" x14ac:dyDescent="0.25">
      <c r="A100" cm="1">
        <f t="array" aca="1" ref="A100" ca="1">RANK(P100,RBSheetCount)</f>
        <v>98</v>
      </c>
      <c r="B100" t="str">
        <f>RB_Raw!A98</f>
        <v>Deon Jackson</v>
      </c>
      <c r="C100" t="s">
        <v>28</v>
      </c>
      <c r="D100" t="str">
        <f>_xlfn.IFNA(INDEX(BYEs!$E$2:$E$411,MATCH(B100,BYEs!$D$2:$D$411,0)),"N/A")</f>
        <v>N/A</v>
      </c>
      <c r="E100">
        <f>INDEX(BYEs!$B$2:$B$34,MATCH(F100,BYEs!$A$2:$A$34,0))</f>
        <v>14</v>
      </c>
      <c r="F100" t="str">
        <f>RB_Raw!B98</f>
        <v>IND</v>
      </c>
      <c r="G100" s="206">
        <v>0</v>
      </c>
      <c r="H100" s="207">
        <v>0</v>
      </c>
      <c r="I100" s="206">
        <f>RB_Raw!C98</f>
        <v>29.8</v>
      </c>
      <c r="J100" s="204">
        <f>RB_Raw!D98</f>
        <v>126.2</v>
      </c>
      <c r="K100" s="207">
        <f>RB_Raw!E98</f>
        <v>1.1000000000000001</v>
      </c>
      <c r="L100" s="206">
        <f>RB_Raw!F98</f>
        <v>6.1</v>
      </c>
      <c r="M100" s="204">
        <f>RB_Raw!G98</f>
        <v>44</v>
      </c>
      <c r="N100" s="207">
        <f>RB_Raw!H98</f>
        <v>0.3</v>
      </c>
      <c r="O100" s="204">
        <f>RB_Raw!I98</f>
        <v>0.2</v>
      </c>
      <c r="P100" s="209">
        <f>(J100*RBRushingYd)+(K100*RBRushingTD)+(L100*RBReceptions)+(M100*RBRecYd)+(N100*RBRecTD)+(O100*RBFuml)+(I100*RBRushAtt)</f>
        <v>28.070000000000004</v>
      </c>
      <c r="Q100" t="str">
        <f ca="1">IF(A100&lt;=RBStarters,"Starter",IF(A100&gt;RBStarters+RBBench,"Undrafted","Bench"))</f>
        <v>Undrafted</v>
      </c>
      <c r="R100">
        <f ca="1">IFERROR(MAX(P100-LARGE(RBSheetCount,RBStarters),0),0)</f>
        <v>0</v>
      </c>
      <c r="S100">
        <f ca="1">IFERROR(IF(AllowNegative="Yes",P100-LARGE(RBSheetCount,RBCount),MAX(P100-LARGE(RBSheetCount,RBCount),0)),0)</f>
        <v>-54.120000000000005</v>
      </c>
      <c r="T100" s="85">
        <f ca="1">(S100-R100)*BenchPF+R100*StarterPF</f>
        <v>-9.8128707528379806</v>
      </c>
      <c r="U100" s="85">
        <f ca="1">T100*Auction!$A$2</f>
        <v>-9.8128707528379806</v>
      </c>
      <c r="V100" s="6" t="str">
        <f>IF(OR(INDEX(Auction!$H$13:$H$656,MATCH(B100,Auction!$A$13:$A$656,0))&gt;0,IFERROR(INDEX(CheatSheet!$M$5:$M$64,MATCH(B100,CheatSheet!$J$5:$J$64,0)),"")&lt;&gt;""),"Yes","No")</f>
        <v>No</v>
      </c>
      <c r="W100" s="179"/>
      <c r="Y100" s="78">
        <f t="shared" ca="1" si="9"/>
        <v>1</v>
      </c>
      <c r="Z100">
        <f t="shared" ca="1" si="10"/>
        <v>-27.060000000000002</v>
      </c>
      <c r="AA100" s="116" t="str">
        <f t="shared" ca="1" si="11"/>
        <v>RB10</v>
      </c>
      <c r="AB100">
        <f ca="1">Z100*LeagueInfo!$H$5</f>
        <v>-9.9642589141169413</v>
      </c>
    </row>
    <row r="101" spans="1:28" x14ac:dyDescent="0.25">
      <c r="A101" cm="1">
        <f t="array" aca="1" ref="A101" ca="1">RANK(P101,RBSheetCount)</f>
        <v>99</v>
      </c>
      <c r="B101" t="str">
        <f>RB_Raw!A104</f>
        <v>Dare Ogunbowale</v>
      </c>
      <c r="C101" t="s">
        <v>28</v>
      </c>
      <c r="D101" t="str">
        <f>_xlfn.IFNA(INDEX(BYEs!$E$2:$E$411,MATCH(B101,BYEs!$D$2:$D$411,0)),"N/A")</f>
        <v>N/A</v>
      </c>
      <c r="E101">
        <f>INDEX(BYEs!$B$2:$B$34,MATCH(F101,BYEs!$A$2:$A$34,0))</f>
        <v>6</v>
      </c>
      <c r="F101" t="str">
        <f>RB_Raw!B104</f>
        <v>HOU</v>
      </c>
      <c r="G101" s="206">
        <v>0</v>
      </c>
      <c r="H101" s="207">
        <v>0</v>
      </c>
      <c r="I101" s="206">
        <f>RB_Raw!C104</f>
        <v>12.6</v>
      </c>
      <c r="J101" s="204">
        <f>RB_Raw!D104</f>
        <v>91.7</v>
      </c>
      <c r="K101" s="207">
        <f>RB_Raw!E104</f>
        <v>0.6</v>
      </c>
      <c r="L101" s="206">
        <f>RB_Raw!F104</f>
        <v>10.3</v>
      </c>
      <c r="M101" s="204">
        <f>RB_Raw!G104</f>
        <v>82.3</v>
      </c>
      <c r="N101" s="207">
        <f>RB_Raw!H104</f>
        <v>0.3</v>
      </c>
      <c r="O101" s="204">
        <f>RB_Raw!I104</f>
        <v>0.1</v>
      </c>
      <c r="P101" s="209">
        <f>(J101*RBRushingYd)+(K101*RBRushingTD)+(L101*RBReceptions)+(M101*RBRecYd)+(N101*RBRecTD)+(O101*RBFuml)+(I101*RBRushAtt)</f>
        <v>27.750000000000004</v>
      </c>
      <c r="Q101" t="str">
        <f ca="1">IF(A101&lt;=RBStarters,"Starter",IF(A101&gt;RBStarters+RBBench,"Undrafted","Bench"))</f>
        <v>Undrafted</v>
      </c>
      <c r="R101">
        <f ca="1">IFERROR(MAX(P101-LARGE(RBSheetCount,RBStarters),0),0)</f>
        <v>0</v>
      </c>
      <c r="S101">
        <f ca="1">IFERROR(IF(AllowNegative="Yes",P101-LARGE(RBSheetCount,RBCount),MAX(P101-LARGE(RBSheetCount,RBCount),0)),0)</f>
        <v>-54.440000000000012</v>
      </c>
      <c r="T101" s="85">
        <f ca="1">(S101-R101)*BenchPF+R101*StarterPF</f>
        <v>-9.8708921615761227</v>
      </c>
      <c r="U101" s="85">
        <f ca="1">T101*Auction!$A$2</f>
        <v>-9.8708921615761227</v>
      </c>
      <c r="V101" s="6" t="str">
        <f>IF(OR(INDEX(Auction!$H$13:$H$656,MATCH(B101,Auction!$A$13:$A$656,0))&gt;0,IFERROR(INDEX(CheatSheet!$M$5:$M$64,MATCH(B101,CheatSheet!$J$5:$J$64,0)),"")&lt;&gt;""),"Yes","No")</f>
        <v>No</v>
      </c>
      <c r="W101" s="179"/>
      <c r="Y101" s="78">
        <f t="shared" ca="1" si="9"/>
        <v>1</v>
      </c>
      <c r="Z101">
        <f t="shared" ca="1" si="10"/>
        <v>-27.220000000000006</v>
      </c>
      <c r="AA101" s="116" t="str">
        <f t="shared" ca="1" si="11"/>
        <v>RB10</v>
      </c>
      <c r="AB101">
        <f ca="1">Z101*LeagueInfo!$H$5</f>
        <v>-10.023175448716303</v>
      </c>
    </row>
    <row r="102" spans="1:28" x14ac:dyDescent="0.25">
      <c r="A102" cm="1">
        <f t="array" aca="1" ref="A102" ca="1">RANK(P102,RBSheetCount)</f>
        <v>100</v>
      </c>
      <c r="B102" t="str">
        <f>RB_Raw!A99</f>
        <v>Kyren Williams</v>
      </c>
      <c r="C102" t="s">
        <v>28</v>
      </c>
      <c r="D102" t="str">
        <f>_xlfn.IFNA(INDEX(BYEs!$E$2:$E$411,MATCH(B102,BYEs!$D$2:$D$411,0)),"N/A")</f>
        <v>N/A</v>
      </c>
      <c r="E102">
        <f>INDEX(BYEs!$B$2:$B$34,MATCH(F102,BYEs!$A$2:$A$34,0))</f>
        <v>7</v>
      </c>
      <c r="F102" t="str">
        <f>RB_Raw!B99</f>
        <v>LAR</v>
      </c>
      <c r="G102" s="206">
        <v>0</v>
      </c>
      <c r="H102" s="207">
        <v>0</v>
      </c>
      <c r="I102" s="206">
        <f>RB_Raw!C99</f>
        <v>18.3</v>
      </c>
      <c r="J102" s="204">
        <f>RB_Raw!D99</f>
        <v>119.2</v>
      </c>
      <c r="K102" s="207">
        <f>RB_Raw!E99</f>
        <v>1.3</v>
      </c>
      <c r="L102" s="206">
        <f>RB_Raw!F99</f>
        <v>5.5</v>
      </c>
      <c r="M102" s="204">
        <f>RB_Raw!G99</f>
        <v>43.7</v>
      </c>
      <c r="N102" s="207">
        <f>RB_Raw!H99</f>
        <v>0.1</v>
      </c>
      <c r="O102" s="204">
        <f>RB_Raw!I99</f>
        <v>0.2</v>
      </c>
      <c r="P102" s="209">
        <f>(J102*RBRushingYd)+(K102*RBRushingTD)+(L102*RBReceptions)+(M102*RBRecYd)+(N102*RBRecTD)+(O102*RBFuml)+(I102*RBRushAtt)</f>
        <v>27.040000000000006</v>
      </c>
      <c r="Q102" t="str">
        <f ca="1">IF(A102&lt;=RBStarters,"Starter",IF(A102&gt;RBStarters+RBBench,"Undrafted","Bench"))</f>
        <v>Undrafted</v>
      </c>
      <c r="R102">
        <f ca="1">IFERROR(MAX(P102-LARGE(RBSheetCount,RBStarters),0),0)</f>
        <v>0</v>
      </c>
      <c r="S102">
        <f ca="1">IFERROR(IF(AllowNegative="Yes",P102-LARGE(RBSheetCount,RBCount),MAX(P102-LARGE(RBSheetCount,RBCount),0)),0)</f>
        <v>-55.150000000000006</v>
      </c>
      <c r="T102" s="85">
        <f ca="1">(S102-R102)*BenchPF+R102*StarterPF</f>
        <v>-9.999627162213871</v>
      </c>
      <c r="U102" s="85">
        <f ca="1">T102*Auction!$A$2</f>
        <v>-9.999627162213871</v>
      </c>
      <c r="V102" s="6" t="str">
        <f>IF(OR(INDEX(Auction!$H$13:$H$656,MATCH(B102,Auction!$A$13:$A$656,0))&gt;0,IFERROR(INDEX(CheatSheet!$M$5:$M$64,MATCH(B102,CheatSheet!$J$5:$J$64,0)),"")&lt;&gt;""),"Yes","No")</f>
        <v>No</v>
      </c>
      <c r="W102" s="179"/>
      <c r="Y102" s="78">
        <f t="shared" ca="1" si="9"/>
        <v>1</v>
      </c>
      <c r="Z102">
        <f t="shared" ca="1" si="10"/>
        <v>-27.575000000000003</v>
      </c>
      <c r="AA102" s="116" t="str">
        <f t="shared" ca="1" si="11"/>
        <v>RB10</v>
      </c>
      <c r="AB102">
        <f ca="1">Z102*LeagueInfo!$H$5</f>
        <v>-10.153896509858635</v>
      </c>
    </row>
    <row r="103" spans="1:28" x14ac:dyDescent="0.25">
      <c r="A103" cm="1">
        <f t="array" aca="1" ref="A103" ca="1">RANK(P103,RBSheetCount)</f>
        <v>101</v>
      </c>
      <c r="B103" t="str">
        <f>RB_Raw!A100</f>
        <v>Pierre Strong Jr.</v>
      </c>
      <c r="C103" t="s">
        <v>28</v>
      </c>
      <c r="D103" t="str">
        <f>_xlfn.IFNA(INDEX(BYEs!$E$2:$E$411,MATCH(B103,BYEs!$D$2:$D$411,0)),"N/A")</f>
        <v>N/A</v>
      </c>
      <c r="E103">
        <f>INDEX(BYEs!$B$2:$B$34,MATCH(F103,BYEs!$A$2:$A$34,0))</f>
        <v>10</v>
      </c>
      <c r="F103" t="str">
        <f>RB_Raw!B100</f>
        <v>NE</v>
      </c>
      <c r="G103" s="206">
        <v>0</v>
      </c>
      <c r="H103" s="207">
        <v>0</v>
      </c>
      <c r="I103" s="206">
        <f>RB_Raw!C100</f>
        <v>20.399999999999999</v>
      </c>
      <c r="J103" s="204">
        <f>RB_Raw!D100</f>
        <v>126.7</v>
      </c>
      <c r="K103" s="207">
        <f>RB_Raw!E100</f>
        <v>1.1000000000000001</v>
      </c>
      <c r="L103" s="206">
        <f>RB_Raw!F100</f>
        <v>5.4</v>
      </c>
      <c r="M103" s="204">
        <f>RB_Raw!G100</f>
        <v>41.3</v>
      </c>
      <c r="N103" s="207">
        <f>RB_Raw!H100</f>
        <v>0.1</v>
      </c>
      <c r="O103" s="204">
        <f>RB_Raw!I100</f>
        <v>0.1</v>
      </c>
      <c r="P103" s="209">
        <f>(J103*RBRushingYd)+(K103*RBRushingTD)+(L103*RBReceptions)+(M103*RBRecYd)+(N103*RBRecTD)+(O103*RBFuml)+(I103*RBRushAtt)</f>
        <v>26.500000000000004</v>
      </c>
      <c r="Q103" t="str">
        <f ca="1">IF(A103&lt;=RBStarters,"Starter",IF(A103&gt;RBStarters+RBBench,"Undrafted","Bench"))</f>
        <v>Undrafted</v>
      </c>
      <c r="R103">
        <f ca="1">IFERROR(MAX(P103-LARGE(RBSheetCount,RBStarters),0),0)</f>
        <v>0</v>
      </c>
      <c r="S103">
        <f ca="1">IFERROR(IF(AllowNegative="Yes",P103-LARGE(RBSheetCount,RBCount),MAX(P103-LARGE(RBSheetCount,RBCount),0)),0)</f>
        <v>-55.690000000000012</v>
      </c>
      <c r="T103" s="85">
        <f ca="1">(S103-R103)*BenchPF+R103*StarterPF</f>
        <v>-10.097538289459484</v>
      </c>
      <c r="U103" s="85">
        <f ca="1">T103*Auction!$A$2</f>
        <v>-10.097538289459484</v>
      </c>
      <c r="V103" s="6" t="str">
        <f>IF(OR(INDEX(Auction!$H$13:$H$656,MATCH(B103,Auction!$A$13:$A$656,0))&gt;0,IFERROR(INDEX(CheatSheet!$M$5:$M$64,MATCH(B103,CheatSheet!$J$5:$J$64,0)),"")&lt;&gt;""),"Yes","No")</f>
        <v>No</v>
      </c>
      <c r="W103" s="179"/>
      <c r="Y103" s="78">
        <f t="shared" ca="1" si="9"/>
        <v>1</v>
      </c>
      <c r="Z103">
        <f t="shared" ca="1" si="10"/>
        <v>-27.845000000000006</v>
      </c>
      <c r="AA103" s="116" t="str">
        <f t="shared" ca="1" si="11"/>
        <v>RB10</v>
      </c>
      <c r="AB103">
        <f ca="1">Z103*LeagueInfo!$H$5</f>
        <v>-10.253318161995058</v>
      </c>
    </row>
    <row r="104" spans="1:28" x14ac:dyDescent="0.25">
      <c r="A104" cm="1">
        <f t="array" aca="1" ref="A104" ca="1">RANK(P104,RBSheetCount)</f>
        <v>102</v>
      </c>
      <c r="B104" t="str">
        <f>RB_Raw!A101</f>
        <v>Jermar Jefferson</v>
      </c>
      <c r="C104" t="s">
        <v>28</v>
      </c>
      <c r="D104" t="str">
        <f>_xlfn.IFNA(INDEX(BYEs!$E$2:$E$411,MATCH(B104,BYEs!$D$2:$D$411,0)),"N/A")</f>
        <v>N/A</v>
      </c>
      <c r="E104">
        <f>INDEX(BYEs!$B$2:$B$34,MATCH(F104,BYEs!$A$2:$A$34,0))</f>
        <v>6</v>
      </c>
      <c r="F104" t="str">
        <f>RB_Raw!B101</f>
        <v>DET</v>
      </c>
      <c r="G104" s="206">
        <v>0</v>
      </c>
      <c r="H104" s="207">
        <v>0</v>
      </c>
      <c r="I104" s="206">
        <f>RB_Raw!C101</f>
        <v>25.5</v>
      </c>
      <c r="J104" s="204">
        <f>RB_Raw!D101</f>
        <v>111.4</v>
      </c>
      <c r="K104" s="207">
        <f>RB_Raw!E101</f>
        <v>1.4</v>
      </c>
      <c r="L104" s="206">
        <f>RB_Raw!F101</f>
        <v>4.7</v>
      </c>
      <c r="M104" s="204">
        <f>RB_Raw!G101</f>
        <v>31.3</v>
      </c>
      <c r="N104" s="207">
        <f>RB_Raw!H101</f>
        <v>0.1</v>
      </c>
      <c r="O104" s="204">
        <f>RB_Raw!I101</f>
        <v>0</v>
      </c>
      <c r="P104" s="209">
        <f>(J104*RBRushingYd)+(K104*RBRushingTD)+(L104*RBReceptions)+(M104*RBRecYd)+(N104*RBRecTD)+(O104*RBFuml)+(I104*RBRushAtt)</f>
        <v>25.62</v>
      </c>
      <c r="Q104" t="str">
        <f ca="1">IF(A104&lt;=RBStarters,"Starter",IF(A104&gt;RBStarters+RBBench,"Undrafted","Bench"))</f>
        <v>Undrafted</v>
      </c>
      <c r="R104">
        <f ca="1">IFERROR(MAX(P104-LARGE(RBSheetCount,RBStarters),0),0)</f>
        <v>0</v>
      </c>
      <c r="S104">
        <f ca="1">IFERROR(IF(AllowNegative="Yes",P104-LARGE(RBSheetCount,RBCount),MAX(P104-LARGE(RBSheetCount,RBCount),0)),0)</f>
        <v>-56.570000000000007</v>
      </c>
      <c r="T104" s="85">
        <f ca="1">(S104-R104)*BenchPF+R104*StarterPF</f>
        <v>-10.25709716348937</v>
      </c>
      <c r="U104" s="85">
        <f ca="1">T104*Auction!$A$2</f>
        <v>-10.25709716348937</v>
      </c>
      <c r="V104" s="6" t="str">
        <f>IF(OR(INDEX(Auction!$H$13:$H$656,MATCH(B104,Auction!$A$13:$A$656,0))&gt;0,IFERROR(INDEX(CheatSheet!$M$5:$M$64,MATCH(B104,CheatSheet!$J$5:$J$64,0)),"")&lt;&gt;""),"Yes","No")</f>
        <v>No</v>
      </c>
      <c r="W104" s="179"/>
      <c r="Y104" s="78">
        <f t="shared" ca="1" si="9"/>
        <v>1</v>
      </c>
      <c r="Z104">
        <f t="shared" ca="1" si="10"/>
        <v>-28.285000000000004</v>
      </c>
      <c r="AA104" s="116" t="str">
        <f t="shared" ca="1" si="11"/>
        <v>RB10</v>
      </c>
      <c r="AB104">
        <f ca="1">Z104*LeagueInfo!$H$5</f>
        <v>-10.4153386321433</v>
      </c>
    </row>
    <row r="105" spans="1:28" x14ac:dyDescent="0.25">
      <c r="A105" cm="1">
        <f t="array" aca="1" ref="A105" ca="1">RANK(P105,RBSheetCount)</f>
        <v>103</v>
      </c>
      <c r="B105" t="str">
        <f>RB_Raw!A103</f>
        <v>Snoop Conner</v>
      </c>
      <c r="C105" t="s">
        <v>28</v>
      </c>
      <c r="D105" t="str">
        <f>_xlfn.IFNA(INDEX(BYEs!$E$2:$E$411,MATCH(B105,BYEs!$D$2:$D$411,0)),"N/A")</f>
        <v>N/A</v>
      </c>
      <c r="E105">
        <f>INDEX(BYEs!$B$2:$B$34,MATCH(F105,BYEs!$A$2:$A$34,0))</f>
        <v>11</v>
      </c>
      <c r="F105" t="str">
        <f>RB_Raw!B103</f>
        <v>JAC</v>
      </c>
      <c r="G105" s="206">
        <v>0</v>
      </c>
      <c r="H105" s="207">
        <v>0</v>
      </c>
      <c r="I105" s="206">
        <f>RB_Raw!C103</f>
        <v>25.2</v>
      </c>
      <c r="J105" s="204">
        <f>RB_Raw!D103</f>
        <v>127.6</v>
      </c>
      <c r="K105" s="207">
        <f>RB_Raw!E103</f>
        <v>0.9</v>
      </c>
      <c r="L105" s="206">
        <f>RB_Raw!F103</f>
        <v>6.1</v>
      </c>
      <c r="M105" s="204">
        <f>RB_Raw!G103</f>
        <v>41.7</v>
      </c>
      <c r="N105" s="207">
        <f>RB_Raw!H103</f>
        <v>0.1</v>
      </c>
      <c r="O105" s="204">
        <f>RB_Raw!I103</f>
        <v>0.2</v>
      </c>
      <c r="P105" s="209">
        <f>(J105*RBRushingYd)+(K105*RBRushingTD)+(L105*RBReceptions)+(M105*RBRecYd)+(N105*RBRecTD)+(O105*RBFuml)+(I105*RBRushAtt)</f>
        <v>25.580000000000005</v>
      </c>
      <c r="Q105" t="str">
        <f ca="1">IF(A105&lt;=RBStarters,"Starter",IF(A105&gt;RBStarters+RBBench,"Undrafted","Bench"))</f>
        <v>Undrafted</v>
      </c>
      <c r="R105">
        <f ca="1">IFERROR(MAX(P105-LARGE(RBSheetCount,RBStarters),0),0)</f>
        <v>0</v>
      </c>
      <c r="S105">
        <f ca="1">IFERROR(IF(AllowNegative="Yes",P105-LARGE(RBSheetCount,RBCount),MAX(P105-LARGE(RBSheetCount,RBCount),0)),0)</f>
        <v>-56.610000000000007</v>
      </c>
      <c r="T105" s="85">
        <f ca="1">(S105-R105)*BenchPF+R105*StarterPF</f>
        <v>-10.264349839581635</v>
      </c>
      <c r="U105" s="85">
        <f ca="1">T105*Auction!$A$2</f>
        <v>-10.264349839581635</v>
      </c>
      <c r="V105" s="6" t="str">
        <f>IF(OR(INDEX(Auction!$H$13:$H$656,MATCH(B105,Auction!$A$13:$A$656,0))&gt;0,IFERROR(INDEX(CheatSheet!$M$5:$M$64,MATCH(B105,CheatSheet!$J$5:$J$64,0)),"")&lt;&gt;""),"Yes","No")</f>
        <v>No</v>
      </c>
      <c r="W105" s="179"/>
      <c r="Y105" s="78">
        <f t="shared" ca="1" si="9"/>
        <v>1</v>
      </c>
      <c r="Z105">
        <f t="shared" ca="1" si="10"/>
        <v>-28.305000000000003</v>
      </c>
      <c r="AA105" s="116" t="str">
        <f t="shared" ca="1" si="11"/>
        <v>RB10</v>
      </c>
      <c r="AB105">
        <f ca="1">Z105*LeagueInfo!$H$5</f>
        <v>-10.42270319896822</v>
      </c>
    </row>
    <row r="106" spans="1:28" x14ac:dyDescent="0.25">
      <c r="A106" cm="1">
        <f t="array" aca="1" ref="A106" ca="1">RANK(P106,RBSheetCount)</f>
        <v>104</v>
      </c>
      <c r="B106" t="str">
        <f>RB_Raw!A108</f>
        <v>Ty Johnson</v>
      </c>
      <c r="C106" t="s">
        <v>28</v>
      </c>
      <c r="D106" t="str">
        <f>_xlfn.IFNA(INDEX(BYEs!$E$2:$E$411,MATCH(B106,BYEs!$D$2:$D$411,0)),"N/A")</f>
        <v>N/A</v>
      </c>
      <c r="E106">
        <f>INDEX(BYEs!$B$2:$B$34,MATCH(F106,BYEs!$A$2:$A$34,0))</f>
        <v>10</v>
      </c>
      <c r="F106" t="str">
        <f>RB_Raw!B108</f>
        <v>NYJ</v>
      </c>
      <c r="G106" s="206">
        <v>0</v>
      </c>
      <c r="H106" s="207">
        <v>0</v>
      </c>
      <c r="I106" s="206">
        <f>RB_Raw!C108</f>
        <v>6.6</v>
      </c>
      <c r="J106" s="204">
        <f>RB_Raw!D108</f>
        <v>82.6</v>
      </c>
      <c r="K106" s="207">
        <f>RB_Raw!E108</f>
        <v>0.6</v>
      </c>
      <c r="L106" s="206">
        <f>RB_Raw!F108</f>
        <v>8.8000000000000007</v>
      </c>
      <c r="M106" s="204">
        <f>RB_Raw!G108</f>
        <v>77.599999999999994</v>
      </c>
      <c r="N106" s="207">
        <f>RB_Raw!H108</f>
        <v>0.3</v>
      </c>
      <c r="O106" s="204">
        <f>RB_Raw!I108</f>
        <v>0.2</v>
      </c>
      <c r="P106" s="209">
        <f>(J106*RBRushingYd)+(K106*RBRushingTD)+(L106*RBReceptions)+(M106*RBRecYd)+(N106*RBRecTD)+(O106*RBFuml)+(I106*RBRushAtt)</f>
        <v>25.419999999999998</v>
      </c>
      <c r="Q106" t="str">
        <f ca="1">IF(A106&lt;=RBStarters,"Starter",IF(A106&gt;RBStarters+RBBench,"Undrafted","Bench"))</f>
        <v>Undrafted</v>
      </c>
      <c r="R106">
        <f ca="1">IFERROR(MAX(P106-LARGE(RBSheetCount,RBStarters),0),0)</f>
        <v>0</v>
      </c>
      <c r="S106">
        <f ca="1">IFERROR(IF(AllowNegative="Yes",P106-LARGE(RBSheetCount,RBCount),MAX(P106-LARGE(RBSheetCount,RBCount),0)),0)</f>
        <v>-56.77000000000001</v>
      </c>
      <c r="T106" s="85">
        <f ca="1">(S106-R106)*BenchPF+R106*StarterPF</f>
        <v>-10.293360543950707</v>
      </c>
      <c r="U106" s="85">
        <f ca="1">T106*Auction!$A$2</f>
        <v>-10.293360543950707</v>
      </c>
      <c r="V106" s="6" t="str">
        <f>IF(OR(INDEX(Auction!$H$13:$H$656,MATCH(B106,Auction!$A$13:$A$656,0))&gt;0,IFERROR(INDEX(CheatSheet!$M$5:$M$64,MATCH(B106,CheatSheet!$J$5:$J$64,0)),"")&lt;&gt;""),"Yes","No")</f>
        <v>No</v>
      </c>
      <c r="W106" s="179"/>
      <c r="Y106" s="78">
        <f t="shared" ca="1" si="9"/>
        <v>1</v>
      </c>
      <c r="Z106">
        <f t="shared" ca="1" si="10"/>
        <v>-28.385000000000005</v>
      </c>
      <c r="AA106" s="116" t="str">
        <f t="shared" ca="1" si="11"/>
        <v>RB10</v>
      </c>
      <c r="AB106">
        <f ca="1">Z106*LeagueInfo!$H$5</f>
        <v>-10.452161466267901</v>
      </c>
    </row>
    <row r="107" spans="1:28" x14ac:dyDescent="0.25">
      <c r="A107" cm="1">
        <f t="array" aca="1" ref="A107" ca="1">RANK(P107,RBSheetCount)</f>
        <v>105</v>
      </c>
      <c r="B107" t="str">
        <f>RB_Raw!A102</f>
        <v>Jaylen Warren</v>
      </c>
      <c r="C107" t="s">
        <v>28</v>
      </c>
      <c r="D107" t="str">
        <f>_xlfn.IFNA(INDEX(BYEs!$E$2:$E$411,MATCH(B107,BYEs!$D$2:$D$411,0)),"N/A")</f>
        <v>N/A</v>
      </c>
      <c r="E107">
        <f>INDEX(BYEs!$B$2:$B$34,MATCH(F107,BYEs!$A$2:$A$34,0))</f>
        <v>9</v>
      </c>
      <c r="F107" t="str">
        <f>RB_Raw!B102</f>
        <v>PIT</v>
      </c>
      <c r="G107" s="206">
        <v>0</v>
      </c>
      <c r="H107" s="207">
        <v>0</v>
      </c>
      <c r="I107" s="206">
        <f>RB_Raw!C102</f>
        <v>29.4</v>
      </c>
      <c r="J107" s="204">
        <f>RB_Raw!D102</f>
        <v>134</v>
      </c>
      <c r="K107" s="207">
        <f>RB_Raw!E102</f>
        <v>1</v>
      </c>
      <c r="L107" s="206">
        <f>RB_Raw!F102</f>
        <v>5.0999999999999996</v>
      </c>
      <c r="M107" s="204">
        <f>RB_Raw!G102</f>
        <v>32.6</v>
      </c>
      <c r="N107" s="207">
        <f>RB_Raw!H102</f>
        <v>0.1</v>
      </c>
      <c r="O107" s="204">
        <f>RB_Raw!I102</f>
        <v>0.2</v>
      </c>
      <c r="P107" s="209">
        <f>(J107*RBRushingYd)+(K107*RBRushingTD)+(L107*RBReceptions)+(M107*RBRecYd)+(N107*RBRecTD)+(O107*RBFuml)+(I107*RBRushAtt)</f>
        <v>25.410000000000004</v>
      </c>
      <c r="Q107" t="str">
        <f ca="1">IF(A107&lt;=RBStarters,"Starter",IF(A107&gt;RBStarters+RBBench,"Undrafted","Bench"))</f>
        <v>Undrafted</v>
      </c>
      <c r="R107">
        <f ca="1">IFERROR(MAX(P107-LARGE(RBSheetCount,RBStarters),0),0)</f>
        <v>0</v>
      </c>
      <c r="S107">
        <f ca="1">IFERROR(IF(AllowNegative="Yes",P107-LARGE(RBSheetCount,RBCount),MAX(P107-LARGE(RBSheetCount,RBCount),0)),0)</f>
        <v>-56.780000000000008</v>
      </c>
      <c r="T107" s="85">
        <f ca="1">(S107-R107)*BenchPF+R107*StarterPF</f>
        <v>-10.295173712973774</v>
      </c>
      <c r="U107" s="85">
        <f ca="1">T107*Auction!$A$2</f>
        <v>-10.295173712973774</v>
      </c>
      <c r="V107" s="6" t="str">
        <f>IF(OR(INDEX(Auction!$H$13:$H$656,MATCH(B107,Auction!$A$13:$A$656,0))&gt;0,IFERROR(INDEX(CheatSheet!$M$5:$M$64,MATCH(B107,CheatSheet!$J$5:$J$64,0)),"")&lt;&gt;""),"Yes","No")</f>
        <v>No</v>
      </c>
      <c r="W107" s="179"/>
      <c r="Y107" s="78">
        <f t="shared" ca="1" si="9"/>
        <v>1</v>
      </c>
      <c r="Z107">
        <f t="shared" ca="1" si="10"/>
        <v>-28.390000000000004</v>
      </c>
      <c r="AA107" s="116" t="str">
        <f t="shared" ca="1" si="11"/>
        <v>RB10</v>
      </c>
      <c r="AB107">
        <f ca="1">Z107*LeagueInfo!$H$5</f>
        <v>-10.454002607974131</v>
      </c>
    </row>
    <row r="108" spans="1:28" x14ac:dyDescent="0.25">
      <c r="A108" cm="1">
        <f t="array" aca="1" ref="A108" ca="1">RANK(P108,RBSheetCount)</f>
        <v>106</v>
      </c>
      <c r="B108" t="str">
        <f>RB_Raw!A105</f>
        <v>Royce Freeman</v>
      </c>
      <c r="C108" t="s">
        <v>28</v>
      </c>
      <c r="D108">
        <f>_xlfn.IFNA(INDEX(BYEs!$E$2:$E$411,MATCH(B108,BYEs!$D$2:$D$411,0)),"N/A")</f>
        <v>25</v>
      </c>
      <c r="E108">
        <f>INDEX(BYEs!$B$2:$B$34,MATCH(F108,BYEs!$A$2:$A$34,0))</f>
        <v>6</v>
      </c>
      <c r="F108" t="str">
        <f>RB_Raw!B105</f>
        <v>HOU</v>
      </c>
      <c r="G108" s="206">
        <v>0</v>
      </c>
      <c r="H108" s="207">
        <v>0</v>
      </c>
      <c r="I108" s="206">
        <f>RB_Raw!C105</f>
        <v>22.4</v>
      </c>
      <c r="J108" s="204">
        <f>RB_Raw!D105</f>
        <v>123.4</v>
      </c>
      <c r="K108" s="207">
        <f>RB_Raw!E105</f>
        <v>0.7</v>
      </c>
      <c r="L108" s="206">
        <f>RB_Raw!F105</f>
        <v>6.4</v>
      </c>
      <c r="M108" s="204">
        <f>RB_Raw!G105</f>
        <v>43.8</v>
      </c>
      <c r="N108" s="207">
        <f>RB_Raw!H105</f>
        <v>0.2</v>
      </c>
      <c r="O108" s="204">
        <f>RB_Raw!I105</f>
        <v>0.1</v>
      </c>
      <c r="P108" s="209">
        <f>(J108*RBRushingYd)+(K108*RBRushingTD)+(L108*RBReceptions)+(M108*RBRecYd)+(N108*RBRecTD)+(O108*RBFuml)+(I108*RBRushAtt)</f>
        <v>25.119999999999997</v>
      </c>
      <c r="Q108" t="str">
        <f ca="1">IF(A108&lt;=RBStarters,"Starter",IF(A108&gt;RBStarters+RBBench,"Undrafted","Bench"))</f>
        <v>Undrafted</v>
      </c>
      <c r="R108">
        <f ca="1">IFERROR(MAX(P108-LARGE(RBSheetCount,RBStarters),0),0)</f>
        <v>0</v>
      </c>
      <c r="S108">
        <f ca="1">IFERROR(IF(AllowNegative="Yes",P108-LARGE(RBSheetCount,RBCount),MAX(P108-LARGE(RBSheetCount,RBCount),0)),0)</f>
        <v>-57.070000000000014</v>
      </c>
      <c r="T108" s="85">
        <f ca="1">(S108-R108)*BenchPF+R108*StarterPF</f>
        <v>-10.347755614642715</v>
      </c>
      <c r="U108" s="85">
        <f ca="1">T108*Auction!$A$2</f>
        <v>-10.347755614642715</v>
      </c>
      <c r="V108" s="6" t="str">
        <f>IF(OR(INDEX(Auction!$H$13:$H$656,MATCH(B108,Auction!$A$13:$A$656,0))&gt;0,IFERROR(INDEX(CheatSheet!$M$5:$M$64,MATCH(B108,CheatSheet!$J$5:$J$64,0)),"")&lt;&gt;""),"Yes","No")</f>
        <v>No</v>
      </c>
      <c r="W108" s="179"/>
      <c r="Y108" s="78">
        <f t="shared" ca="1" si="9"/>
        <v>1</v>
      </c>
      <c r="Z108">
        <f t="shared" ca="1" si="10"/>
        <v>-28.535000000000007</v>
      </c>
      <c r="AA108" s="116" t="str">
        <f t="shared" ca="1" si="11"/>
        <v>RB10</v>
      </c>
      <c r="AB108">
        <f ca="1">Z108*LeagueInfo!$H$5</f>
        <v>-10.507395717454804</v>
      </c>
    </row>
    <row r="109" spans="1:28" x14ac:dyDescent="0.25">
      <c r="A109" cm="1">
        <f t="array" aca="1" ref="A109" ca="1">RANK(P109,RBSheetCount)</f>
        <v>107</v>
      </c>
      <c r="B109" t="str">
        <f>RB_Raw!A107</f>
        <v>Qadree Ollison</v>
      </c>
      <c r="C109" t="s">
        <v>28</v>
      </c>
      <c r="D109">
        <f>_xlfn.IFNA(INDEX(BYEs!$E$2:$E$411,MATCH(B109,BYEs!$D$2:$D$411,0)),"N/A")</f>
        <v>24</v>
      </c>
      <c r="E109">
        <f>INDEX(BYEs!$B$2:$B$34,MATCH(F109,BYEs!$A$2:$A$34,0))</f>
        <v>9</v>
      </c>
      <c r="F109" t="str">
        <f>RB_Raw!B107</f>
        <v>DAL</v>
      </c>
      <c r="G109" s="206">
        <v>0</v>
      </c>
      <c r="H109" s="207">
        <v>0</v>
      </c>
      <c r="I109" s="206">
        <f>RB_Raw!C107</f>
        <v>9.9</v>
      </c>
      <c r="J109" s="204">
        <f>RB_Raw!D107</f>
        <v>119.4</v>
      </c>
      <c r="K109" s="207">
        <f>RB_Raw!E107</f>
        <v>1</v>
      </c>
      <c r="L109" s="206">
        <f>RB_Raw!F107</f>
        <v>5.9</v>
      </c>
      <c r="M109" s="204">
        <f>RB_Raw!G107</f>
        <v>37.799999999999997</v>
      </c>
      <c r="N109" s="207">
        <f>RB_Raw!H107</f>
        <v>0.2</v>
      </c>
      <c r="O109" s="204">
        <f>RB_Raw!I107</f>
        <v>0.6</v>
      </c>
      <c r="P109" s="209">
        <f>(J109*RBRushingYd)+(K109*RBRushingTD)+(L109*RBReceptions)+(M109*RBRecYd)+(N109*RBRecTD)+(O109*RBFuml)+(I109*RBRushAtt)</f>
        <v>24.67</v>
      </c>
      <c r="Q109" t="str">
        <f ca="1">IF(A109&lt;=RBStarters,"Starter",IF(A109&gt;RBStarters+RBBench,"Undrafted","Bench"))</f>
        <v>Undrafted</v>
      </c>
      <c r="R109">
        <f ca="1">IFERROR(MAX(P109-LARGE(RBSheetCount,RBStarters),0),0)</f>
        <v>0</v>
      </c>
      <c r="S109">
        <f ca="1">IFERROR(IF(AllowNegative="Yes",P109-LARGE(RBSheetCount,RBCount),MAX(P109-LARGE(RBSheetCount,RBCount),0)),0)</f>
        <v>-57.52000000000001</v>
      </c>
      <c r="T109" s="85">
        <f ca="1">(S109-R109)*BenchPF+R109*StarterPF</f>
        <v>-10.429348220680723</v>
      </c>
      <c r="U109" s="85">
        <f ca="1">T109*Auction!$A$2</f>
        <v>-10.429348220680723</v>
      </c>
      <c r="V109" s="6" t="str">
        <f>IF(OR(INDEX(Auction!$H$13:$H$656,MATCH(B109,Auction!$A$13:$A$656,0))&gt;0,IFERROR(INDEX(CheatSheet!$M$5:$M$64,MATCH(B109,CheatSheet!$J$5:$J$64,0)),"")&lt;&gt;""),"Yes","No")</f>
        <v>No</v>
      </c>
      <c r="W109" s="179"/>
      <c r="Y109" s="78">
        <f t="shared" ca="1" si="9"/>
        <v>1</v>
      </c>
      <c r="Z109">
        <f t="shared" ca="1" si="10"/>
        <v>-28.760000000000005</v>
      </c>
      <c r="AA109" s="116" t="str">
        <f t="shared" ca="1" si="11"/>
        <v>RB10</v>
      </c>
      <c r="AB109">
        <f ca="1">Z109*LeagueInfo!$H$5</f>
        <v>-10.590247094235155</v>
      </c>
    </row>
    <row r="110" spans="1:28" x14ac:dyDescent="0.25">
      <c r="A110" cm="1">
        <f t="array" aca="1" ref="A110" ca="1">RANK(P110,RBSheetCount)</f>
        <v>108</v>
      </c>
      <c r="B110" t="str">
        <f>RB_Raw!A111</f>
        <v>DeeJay Dallas</v>
      </c>
      <c r="C110" t="s">
        <v>28</v>
      </c>
      <c r="D110" t="str">
        <f>_xlfn.IFNA(INDEX(BYEs!$E$2:$E$411,MATCH(B110,BYEs!$D$2:$D$411,0)),"N/A")</f>
        <v>N/A</v>
      </c>
      <c r="E110">
        <f>INDEX(BYEs!$B$2:$B$34,MATCH(F110,BYEs!$A$2:$A$34,0))</f>
        <v>11</v>
      </c>
      <c r="F110" t="str">
        <f>RB_Raw!B111</f>
        <v>SEA</v>
      </c>
      <c r="G110" s="206">
        <v>0</v>
      </c>
      <c r="H110" s="207">
        <v>0</v>
      </c>
      <c r="I110" s="206">
        <f>RB_Raw!C111</f>
        <v>16</v>
      </c>
      <c r="J110" s="204">
        <f>RB_Raw!D111</f>
        <v>82.3</v>
      </c>
      <c r="K110" s="207">
        <f>RB_Raw!E111</f>
        <v>0.6</v>
      </c>
      <c r="L110" s="206">
        <f>RB_Raw!F111</f>
        <v>9.1</v>
      </c>
      <c r="M110" s="204">
        <f>RB_Raw!G111</f>
        <v>61.6</v>
      </c>
      <c r="N110" s="207">
        <f>RB_Raw!H111</f>
        <v>0.2</v>
      </c>
      <c r="O110" s="204">
        <f>RB_Raw!I111</f>
        <v>0.1</v>
      </c>
      <c r="P110" s="209">
        <f>(J110*RBRushingYd)+(K110*RBRushingTD)+(L110*RBReceptions)+(M110*RBRecYd)+(N110*RBRecTD)+(O110*RBFuml)+(I110*RBRushAtt)</f>
        <v>23.54</v>
      </c>
      <c r="Q110" t="str">
        <f ca="1">IF(A110&lt;=RBStarters,"Starter",IF(A110&gt;RBStarters+RBBench,"Undrafted","Bench"))</f>
        <v>Undrafted</v>
      </c>
      <c r="R110">
        <f ca="1">IFERROR(MAX(P110-LARGE(RBSheetCount,RBStarters),0),0)</f>
        <v>0</v>
      </c>
      <c r="S110">
        <f ca="1">IFERROR(IF(AllowNegative="Yes",P110-LARGE(RBSheetCount,RBCount),MAX(P110-LARGE(RBSheetCount,RBCount),0)),0)</f>
        <v>-58.650000000000013</v>
      </c>
      <c r="T110" s="85">
        <f ca="1">(S110-R110)*BenchPF+R110*StarterPF</f>
        <v>-10.634236320287282</v>
      </c>
      <c r="U110" s="85">
        <f ca="1">T110*Auction!$A$2</f>
        <v>-10.634236320287282</v>
      </c>
      <c r="V110" s="6" t="str">
        <f>IF(OR(INDEX(Auction!$H$13:$H$656,MATCH(B110,Auction!$A$13:$A$656,0))&gt;0,IFERROR(INDEX(CheatSheet!$M$5:$M$64,MATCH(B110,CheatSheet!$J$5:$J$64,0)),"")&lt;&gt;""),"Yes","No")</f>
        <v>No</v>
      </c>
      <c r="W110" s="179"/>
      <c r="Y110" s="78">
        <f t="shared" ca="1" si="9"/>
        <v>1</v>
      </c>
      <c r="Z110">
        <f t="shared" ca="1" si="10"/>
        <v>-29.325000000000006</v>
      </c>
      <c r="AA110" s="116" t="str">
        <f t="shared" ca="1" si="11"/>
        <v>RB10</v>
      </c>
      <c r="AB110">
        <f ca="1">Z110*LeagueInfo!$H$5</f>
        <v>-10.798296107039148</v>
      </c>
    </row>
    <row r="111" spans="1:28" x14ac:dyDescent="0.25">
      <c r="A111" cm="1">
        <f t="array" aca="1" ref="A111" ca="1">RANK(P111,RBSheetCount)</f>
        <v>109</v>
      </c>
      <c r="B111" t="str">
        <f>RB_Raw!A109</f>
        <v>Gary Brightwell</v>
      </c>
      <c r="C111" t="s">
        <v>28</v>
      </c>
      <c r="D111" t="str">
        <f>_xlfn.IFNA(INDEX(BYEs!$E$2:$E$411,MATCH(B111,BYEs!$D$2:$D$411,0)),"N/A")</f>
        <v>N/A</v>
      </c>
      <c r="E111">
        <f>INDEX(BYEs!$B$2:$B$34,MATCH(F111,BYEs!$A$2:$A$34,0))</f>
        <v>9</v>
      </c>
      <c r="F111" t="str">
        <f>RB_Raw!B109</f>
        <v>NYG</v>
      </c>
      <c r="G111" s="206">
        <v>0</v>
      </c>
      <c r="H111" s="207">
        <v>0</v>
      </c>
      <c r="I111" s="206">
        <f>RB_Raw!C109</f>
        <v>24.5</v>
      </c>
      <c r="J111" s="204">
        <f>RB_Raw!D109</f>
        <v>99.8</v>
      </c>
      <c r="K111" s="207">
        <f>RB_Raw!E109</f>
        <v>0.8</v>
      </c>
      <c r="L111" s="206">
        <f>RB_Raw!F109</f>
        <v>6.2</v>
      </c>
      <c r="M111" s="204">
        <f>RB_Raw!G109</f>
        <v>44.4</v>
      </c>
      <c r="N111" s="207">
        <f>RB_Raw!H109</f>
        <v>0.1</v>
      </c>
      <c r="O111" s="204">
        <f>RB_Raw!I109</f>
        <v>0.1</v>
      </c>
      <c r="P111" s="209">
        <f>(J111*RBRushingYd)+(K111*RBRushingTD)+(L111*RBReceptions)+(M111*RBRecYd)+(N111*RBRecTD)+(O111*RBFuml)+(I111*RBRushAtt)</f>
        <v>22.720000000000006</v>
      </c>
      <c r="Q111" t="str">
        <f ca="1">IF(A111&lt;=RBStarters,"Starter",IF(A111&gt;RBStarters+RBBench,"Undrafted","Bench"))</f>
        <v>Undrafted</v>
      </c>
      <c r="R111">
        <f ca="1">IFERROR(MAX(P111-LARGE(RBSheetCount,RBStarters),0),0)</f>
        <v>0</v>
      </c>
      <c r="S111">
        <f ca="1">IFERROR(IF(AllowNegative="Yes",P111-LARGE(RBSheetCount,RBCount),MAX(P111-LARGE(RBSheetCount,RBCount),0)),0)</f>
        <v>-59.470000000000006</v>
      </c>
      <c r="T111" s="85">
        <f ca="1">(S111-R111)*BenchPF+R111*StarterPF</f>
        <v>-10.782916180178765</v>
      </c>
      <c r="U111" s="85">
        <f ca="1">T111*Auction!$A$2</f>
        <v>-10.782916180178765</v>
      </c>
      <c r="V111" s="6" t="str">
        <f>IF(OR(INDEX(Auction!$H$13:$H$656,MATCH(B111,Auction!$A$13:$A$656,0))&gt;0,IFERROR(INDEX(CheatSheet!$M$5:$M$64,MATCH(B111,CheatSheet!$J$5:$J$64,0)),"")&lt;&gt;""),"Yes","No")</f>
        <v>No</v>
      </c>
      <c r="W111" s="179"/>
      <c r="Y111" s="78">
        <f t="shared" ca="1" si="9"/>
        <v>1</v>
      </c>
      <c r="Z111">
        <f t="shared" ca="1" si="10"/>
        <v>-29.735000000000003</v>
      </c>
      <c r="AA111" s="116" t="str">
        <f t="shared" ca="1" si="11"/>
        <v>RB10</v>
      </c>
      <c r="AB111">
        <f ca="1">Z111*LeagueInfo!$H$5</f>
        <v>-10.949269726950009</v>
      </c>
    </row>
    <row r="112" spans="1:28" x14ac:dyDescent="0.25">
      <c r="A112" cm="1">
        <f t="array" aca="1" ref="A112" ca="1">RANK(P112,RBSheetCount)</f>
        <v>110</v>
      </c>
      <c r="B112" t="str">
        <f>RB_Raw!A121</f>
        <v>Demetric Felton Jr.</v>
      </c>
      <c r="C112" t="s">
        <v>28</v>
      </c>
      <c r="D112" t="str">
        <f>_xlfn.IFNA(INDEX(BYEs!$E$2:$E$411,MATCH(B112,BYEs!$D$2:$D$411,0)),"N/A")</f>
        <v>N/A</v>
      </c>
      <c r="E112">
        <f>INDEX(BYEs!$B$2:$B$34,MATCH(F112,BYEs!$A$2:$A$34,0))</f>
        <v>9</v>
      </c>
      <c r="F112" t="str">
        <f>RB_Raw!B121</f>
        <v>CLE</v>
      </c>
      <c r="G112" s="206">
        <v>0</v>
      </c>
      <c r="H112" s="207">
        <v>0</v>
      </c>
      <c r="I112" s="206">
        <f>RB_Raw!C121</f>
        <v>2.7</v>
      </c>
      <c r="J112" s="204">
        <f>RB_Raw!D121</f>
        <v>21.9</v>
      </c>
      <c r="K112" s="207">
        <f>RB_Raw!E121</f>
        <v>0.1</v>
      </c>
      <c r="L112" s="206">
        <f>RB_Raw!F121</f>
        <v>10.4</v>
      </c>
      <c r="M112" s="204">
        <f>RB_Raw!G121</f>
        <v>97.5</v>
      </c>
      <c r="N112" s="207">
        <f>RB_Raw!H121</f>
        <v>0.7</v>
      </c>
      <c r="O112" s="204">
        <f>RB_Raw!I121</f>
        <v>0.5</v>
      </c>
      <c r="P112" s="209">
        <f>(J112*RBRushingYd)+(K112*RBRushingTD)+(L112*RBReceptions)+(M112*RBRecYd)+(N112*RBRecTD)+(O112*RBFuml)+(I112*RBRushAtt)</f>
        <v>20.94</v>
      </c>
      <c r="Q112" t="str">
        <f ca="1">IF(A112&lt;=RBStarters,"Starter",IF(A112&gt;RBStarters+RBBench,"Undrafted","Bench"))</f>
        <v>Undrafted</v>
      </c>
      <c r="R112">
        <f ca="1">IFERROR(MAX(P112-LARGE(RBSheetCount,RBStarters),0),0)</f>
        <v>0</v>
      </c>
      <c r="S112">
        <f ca="1">IFERROR(IF(AllowNegative="Yes",P112-LARGE(RBSheetCount,RBCount),MAX(P112-LARGE(RBSheetCount,RBCount),0)),0)</f>
        <v>-61.250000000000014</v>
      </c>
      <c r="T112" s="85">
        <f ca="1">(S112-R112)*BenchPF+R112*StarterPF</f>
        <v>-11.105660266284673</v>
      </c>
      <c r="U112" s="85">
        <f ca="1">T112*Auction!$A$2</f>
        <v>-11.105660266284673</v>
      </c>
      <c r="V112" s="6" t="str">
        <f>IF(OR(INDEX(Auction!$H$13:$H$656,MATCH(B112,Auction!$A$13:$A$656,0))&gt;0,IFERROR(INDEX(CheatSheet!$M$5:$M$64,MATCH(B112,CheatSheet!$J$5:$J$64,0)),"")&lt;&gt;""),"Yes","No")</f>
        <v>No</v>
      </c>
      <c r="W112" s="179"/>
      <c r="Y112" s="78">
        <f t="shared" ca="1" si="9"/>
        <v>1</v>
      </c>
      <c r="Z112">
        <f t="shared" ca="1" si="10"/>
        <v>-30.625000000000007</v>
      </c>
      <c r="AA112" s="116" t="str">
        <f t="shared" ca="1" si="11"/>
        <v>RB10</v>
      </c>
      <c r="AB112">
        <f ca="1">Z112*LeagueInfo!$H$5</f>
        <v>-11.276992950658958</v>
      </c>
    </row>
    <row r="113" spans="1:28" x14ac:dyDescent="0.25">
      <c r="A113" cm="1">
        <f t="array" aca="1" ref="A113" ca="1">RANK(P113,RBSheetCount)</f>
        <v>111</v>
      </c>
      <c r="B113" t="str">
        <f>RB_Raw!A112</f>
        <v>Jerome Ford</v>
      </c>
      <c r="C113" t="s">
        <v>28</v>
      </c>
      <c r="D113" t="str">
        <f>_xlfn.IFNA(INDEX(BYEs!$E$2:$E$411,MATCH(B113,BYEs!$D$2:$D$411,0)),"N/A")</f>
        <v>N/A</v>
      </c>
      <c r="E113">
        <f>INDEX(BYEs!$B$2:$B$34,MATCH(F113,BYEs!$A$2:$A$34,0))</f>
        <v>9</v>
      </c>
      <c r="F113" t="str">
        <f>RB_Raw!B112</f>
        <v>CLE</v>
      </c>
      <c r="G113" s="206">
        <v>0</v>
      </c>
      <c r="H113" s="207">
        <v>0</v>
      </c>
      <c r="I113" s="206">
        <f>RB_Raw!C112</f>
        <v>20.3</v>
      </c>
      <c r="J113" s="204">
        <f>RB_Raw!D112</f>
        <v>103.3</v>
      </c>
      <c r="K113" s="207">
        <f>RB_Raw!E112</f>
        <v>0.7</v>
      </c>
      <c r="L113" s="206">
        <f>RB_Raw!F112</f>
        <v>4.7</v>
      </c>
      <c r="M113" s="204">
        <f>RB_Raw!G112</f>
        <v>36.1</v>
      </c>
      <c r="N113" s="207">
        <f>RB_Raw!H112</f>
        <v>0.1</v>
      </c>
      <c r="O113" s="204">
        <f>RB_Raw!I112</f>
        <v>0.1</v>
      </c>
      <c r="P113" s="209">
        <f>(J113*RBRushingYd)+(K113*RBRushingTD)+(L113*RBReceptions)+(M113*RBRecYd)+(N113*RBRecTD)+(O113*RBFuml)+(I113*RBRushAtt)</f>
        <v>20.89</v>
      </c>
      <c r="Q113" t="str">
        <f ca="1">IF(A113&lt;=RBStarters,"Starter",IF(A113&gt;RBStarters+RBBench,"Undrafted","Bench"))</f>
        <v>Undrafted</v>
      </c>
      <c r="R113">
        <f ca="1">IFERROR(MAX(P113-LARGE(RBSheetCount,RBStarters),0),0)</f>
        <v>0</v>
      </c>
      <c r="S113">
        <f ca="1">IFERROR(IF(AllowNegative="Yes",P113-LARGE(RBSheetCount,RBCount),MAX(P113-LARGE(RBSheetCount,RBCount),0)),0)</f>
        <v>-61.300000000000011</v>
      </c>
      <c r="T113" s="85">
        <f ca="1">(S113-R113)*BenchPF+R113*StarterPF</f>
        <v>-11.114726111400007</v>
      </c>
      <c r="U113" s="85">
        <f ca="1">T113*Auction!$A$2</f>
        <v>-11.114726111400007</v>
      </c>
      <c r="V113" s="6" t="str">
        <f>IF(OR(INDEX(Auction!$H$13:$H$656,MATCH(B113,Auction!$A$13:$A$656,0))&gt;0,IFERROR(INDEX(CheatSheet!$M$5:$M$64,MATCH(B113,CheatSheet!$J$5:$J$64,0)),"")&lt;&gt;""),"Yes","No")</f>
        <v>No</v>
      </c>
      <c r="W113" s="179"/>
      <c r="Y113" s="78">
        <f t="shared" ca="1" si="9"/>
        <v>1</v>
      </c>
      <c r="Z113">
        <f t="shared" ca="1" si="10"/>
        <v>-30.650000000000006</v>
      </c>
      <c r="AA113" s="116" t="str">
        <f t="shared" ca="1" si="11"/>
        <v>RB10</v>
      </c>
      <c r="AB113">
        <f ca="1">Z113*LeagueInfo!$H$5</f>
        <v>-11.286198659190106</v>
      </c>
    </row>
    <row r="114" spans="1:28" x14ac:dyDescent="0.25">
      <c r="A114" cm="1">
        <f t="array" aca="1" ref="A114" ca="1">RANK(P114,RBSheetCount)</f>
        <v>112</v>
      </c>
      <c r="B114" t="str">
        <f>RB_Raw!A110</f>
        <v>Patrick Taylor Jr.</v>
      </c>
      <c r="C114" t="s">
        <v>28</v>
      </c>
      <c r="D114" t="str">
        <f>_xlfn.IFNA(INDEX(BYEs!$E$2:$E$411,MATCH(B114,BYEs!$D$2:$D$411,0)),"N/A")</f>
        <v>N/A</v>
      </c>
      <c r="E114">
        <f>INDEX(BYEs!$B$2:$B$34,MATCH(F114,BYEs!$A$2:$A$34,0))</f>
        <v>14</v>
      </c>
      <c r="F114" t="str">
        <f>RB_Raw!B110</f>
        <v>GB</v>
      </c>
      <c r="G114" s="206">
        <v>0</v>
      </c>
      <c r="H114" s="207">
        <v>0</v>
      </c>
      <c r="I114" s="206">
        <f>RB_Raw!C110</f>
        <v>0</v>
      </c>
      <c r="J114" s="204">
        <f>RB_Raw!D110</f>
        <v>112.8</v>
      </c>
      <c r="K114" s="207">
        <f>RB_Raw!E110</f>
        <v>1</v>
      </c>
      <c r="L114" s="206">
        <f>RB_Raw!F110</f>
        <v>3</v>
      </c>
      <c r="M114" s="204">
        <f>RB_Raw!G110</f>
        <v>20.399999999999999</v>
      </c>
      <c r="N114" s="207">
        <f>RB_Raw!H110</f>
        <v>0.1</v>
      </c>
      <c r="O114" s="204">
        <f>RB_Raw!I110</f>
        <v>0.3</v>
      </c>
      <c r="P114" s="209">
        <f>(J114*RBRushingYd)+(K114*RBRushingTD)+(L114*RBReceptions)+(M114*RBRecYd)+(N114*RBRecTD)+(O114*RBFuml)+(I114*RBRushAtt)</f>
        <v>20.82</v>
      </c>
      <c r="Q114" t="str">
        <f ca="1">IF(A114&lt;=RBStarters,"Starter",IF(A114&gt;RBStarters+RBBench,"Undrafted","Bench"))</f>
        <v>Undrafted</v>
      </c>
      <c r="R114">
        <f ca="1">IFERROR(MAX(P114-LARGE(RBSheetCount,RBStarters),0),0)</f>
        <v>0</v>
      </c>
      <c r="S114">
        <f ca="1">IFERROR(IF(AllowNegative="Yes",P114-LARGE(RBSheetCount,RBCount),MAX(P114-LARGE(RBSheetCount,RBCount),0)),0)</f>
        <v>-61.370000000000012</v>
      </c>
      <c r="T114" s="85">
        <f ca="1">(S114-R114)*BenchPF+R114*StarterPF</f>
        <v>-11.127418294561474</v>
      </c>
      <c r="U114" s="85">
        <f ca="1">T114*Auction!$A$2</f>
        <v>-11.127418294561474</v>
      </c>
      <c r="V114" s="6" t="str">
        <f>IF(OR(INDEX(Auction!$H$13:$H$656,MATCH(B114,Auction!$A$13:$A$656,0))&gt;0,IFERROR(INDEX(CheatSheet!$M$5:$M$64,MATCH(B114,CheatSheet!$J$5:$J$64,0)),"")&lt;&gt;""),"Yes","No")</f>
        <v>No</v>
      </c>
      <c r="W114" s="179"/>
      <c r="Y114" s="78">
        <f t="shared" ca="1" si="9"/>
        <v>1</v>
      </c>
      <c r="Z114">
        <f t="shared" ca="1" si="10"/>
        <v>-30.685000000000006</v>
      </c>
      <c r="AA114" s="116" t="str">
        <f t="shared" ca="1" si="11"/>
        <v>RB10</v>
      </c>
      <c r="AB114">
        <f ca="1">Z114*LeagueInfo!$H$5</f>
        <v>-11.299086651133717</v>
      </c>
    </row>
    <row r="115" spans="1:28" x14ac:dyDescent="0.25">
      <c r="A115" cm="1">
        <f t="array" aca="1" ref="A115" ca="1">RANK(P115,RBSheetCount)</f>
        <v>113</v>
      </c>
      <c r="B115" t="str">
        <f>RB_Raw!A117</f>
        <v>Trestan Ebner</v>
      </c>
      <c r="C115" t="s">
        <v>28</v>
      </c>
      <c r="D115" t="str">
        <f>_xlfn.IFNA(INDEX(BYEs!$E$2:$E$411,MATCH(B115,BYEs!$D$2:$D$411,0)),"N/A")</f>
        <v>N/A</v>
      </c>
      <c r="E115">
        <f>INDEX(BYEs!$B$2:$B$34,MATCH(F115,BYEs!$A$2:$A$34,0))</f>
        <v>14</v>
      </c>
      <c r="F115" t="str">
        <f>RB_Raw!B117</f>
        <v>CHI</v>
      </c>
      <c r="G115" s="206">
        <v>0</v>
      </c>
      <c r="H115" s="207">
        <v>0</v>
      </c>
      <c r="I115" s="206">
        <f>RB_Raw!C117</f>
        <v>9.8000000000000007</v>
      </c>
      <c r="J115" s="204">
        <f>RB_Raw!D117</f>
        <v>75</v>
      </c>
      <c r="K115" s="207">
        <f>RB_Raw!E117</f>
        <v>0.6</v>
      </c>
      <c r="L115" s="206">
        <f>RB_Raw!F117</f>
        <v>6</v>
      </c>
      <c r="M115" s="204">
        <f>RB_Raw!G117</f>
        <v>46.2</v>
      </c>
      <c r="N115" s="207">
        <f>RB_Raw!H117</f>
        <v>0.2</v>
      </c>
      <c r="O115" s="204">
        <f>RB_Raw!I117</f>
        <v>0.1</v>
      </c>
      <c r="P115" s="209">
        <f>(J115*RBRushingYd)+(K115*RBRushingTD)+(L115*RBReceptions)+(M115*RBRecYd)+(N115*RBRecTD)+(O115*RBFuml)+(I115*RBRushAtt)</f>
        <v>19.72</v>
      </c>
      <c r="Q115" t="str">
        <f ca="1">IF(A115&lt;=RBStarters,"Starter",IF(A115&gt;RBStarters+RBBench,"Undrafted","Bench"))</f>
        <v>Undrafted</v>
      </c>
      <c r="R115">
        <f ca="1">IFERROR(MAX(P115-LARGE(RBSheetCount,RBStarters),0),0)</f>
        <v>0</v>
      </c>
      <c r="S115">
        <f ca="1">IFERROR(IF(AllowNegative="Yes",P115-LARGE(RBSheetCount,RBCount),MAX(P115-LARGE(RBSheetCount,RBCount),0)),0)</f>
        <v>-62.470000000000013</v>
      </c>
      <c r="T115" s="85">
        <f ca="1">(S115-R115)*BenchPF+R115*StarterPF</f>
        <v>-11.326866887098832</v>
      </c>
      <c r="U115" s="85">
        <f ca="1">T115*Auction!$A$2</f>
        <v>-11.326866887098832</v>
      </c>
      <c r="V115" s="6" t="str">
        <f>IF(OR(INDEX(Auction!$H$13:$H$656,MATCH(B115,Auction!$A$13:$A$656,0))&gt;0,IFERROR(INDEX(CheatSheet!$M$5:$M$64,MATCH(B115,CheatSheet!$J$5:$J$64,0)),"")&lt;&gt;""),"Yes","No")</f>
        <v>No</v>
      </c>
      <c r="W115" s="179"/>
      <c r="Y115" s="78">
        <f t="shared" ca="1" si="9"/>
        <v>1</v>
      </c>
      <c r="Z115">
        <f t="shared" ca="1" si="10"/>
        <v>-31.235000000000007</v>
      </c>
      <c r="AA115" s="116" t="str">
        <f t="shared" ca="1" si="11"/>
        <v>RB10</v>
      </c>
      <c r="AB115">
        <f ca="1">Z115*LeagueInfo!$H$5</f>
        <v>-11.501612238819021</v>
      </c>
    </row>
    <row r="116" spans="1:28" x14ac:dyDescent="0.25">
      <c r="A116" cm="1">
        <f t="array" aca="1" ref="A116" ca="1">RANK(P116,RBSheetCount)</f>
        <v>114</v>
      </c>
      <c r="B116" t="str">
        <f>RB_Raw!A114</f>
        <v>Darrynton Evans</v>
      </c>
      <c r="C116" t="s">
        <v>28</v>
      </c>
      <c r="D116" t="str">
        <f>_xlfn.IFNA(INDEX(BYEs!$E$2:$E$411,MATCH(B116,BYEs!$D$2:$D$411,0)),"N/A")</f>
        <v>N/A</v>
      </c>
      <c r="E116">
        <f>INDEX(BYEs!$B$2:$B$34,MATCH(F116,BYEs!$A$2:$A$34,0))</f>
        <v>14</v>
      </c>
      <c r="F116" t="str">
        <f>RB_Raw!B114</f>
        <v>CHI</v>
      </c>
      <c r="G116" s="206">
        <v>0</v>
      </c>
      <c r="H116" s="207">
        <v>0</v>
      </c>
      <c r="I116" s="206">
        <f>RB_Raw!C114</f>
        <v>21.9</v>
      </c>
      <c r="J116" s="204">
        <f>RB_Raw!D114</f>
        <v>94.8</v>
      </c>
      <c r="K116" s="207">
        <f>RB_Raw!E114</f>
        <v>0.6</v>
      </c>
      <c r="L116" s="206">
        <f>RB_Raw!F114</f>
        <v>4.8</v>
      </c>
      <c r="M116" s="204">
        <f>RB_Raw!G114</f>
        <v>35.1</v>
      </c>
      <c r="N116" s="207">
        <f>RB_Raw!H114</f>
        <v>0.1</v>
      </c>
      <c r="O116" s="204">
        <f>RB_Raw!I114</f>
        <v>0</v>
      </c>
      <c r="P116" s="209">
        <f>(J116*RBRushingYd)+(K116*RBRushingTD)+(L116*RBReceptions)+(M116*RBRecYd)+(N116*RBRecTD)+(O116*RBFuml)+(I116*RBRushAtt)</f>
        <v>19.590000000000003</v>
      </c>
      <c r="Q116" t="str">
        <f ca="1">IF(A116&lt;=RBStarters,"Starter",IF(A116&gt;RBStarters+RBBench,"Undrafted","Bench"))</f>
        <v>Undrafted</v>
      </c>
      <c r="R116">
        <f ca="1">IFERROR(MAX(P116-LARGE(RBSheetCount,RBStarters),0),0)</f>
        <v>0</v>
      </c>
      <c r="S116">
        <f ca="1">IFERROR(IF(AllowNegative="Yes",P116-LARGE(RBSheetCount,RBCount),MAX(P116-LARGE(RBSheetCount,RBCount),0)),0)</f>
        <v>-62.600000000000009</v>
      </c>
      <c r="T116" s="85">
        <f ca="1">(S116-R116)*BenchPF+R116*StarterPF</f>
        <v>-11.3504380843987</v>
      </c>
      <c r="U116" s="85">
        <f ca="1">T116*Auction!$A$2</f>
        <v>-11.3504380843987</v>
      </c>
      <c r="V116" s="6" t="str">
        <f>IF(OR(INDEX(Auction!$H$13:$H$656,MATCH(B116,Auction!$A$13:$A$656,0))&gt;0,IFERROR(INDEX(CheatSheet!$M$5:$M$64,MATCH(B116,CheatSheet!$J$5:$J$64,0)),"")&lt;&gt;""),"Yes","No")</f>
        <v>No</v>
      </c>
      <c r="W116" s="179"/>
      <c r="Y116" s="78">
        <f t="shared" ca="1" si="9"/>
        <v>1</v>
      </c>
      <c r="Z116">
        <f t="shared" ca="1" si="10"/>
        <v>-31.300000000000004</v>
      </c>
      <c r="AA116" s="116" t="str">
        <f t="shared" ca="1" si="11"/>
        <v>RB10</v>
      </c>
      <c r="AB116">
        <f ca="1">Z116*LeagueInfo!$H$5</f>
        <v>-11.52554708100001</v>
      </c>
    </row>
    <row r="117" spans="1:28" x14ac:dyDescent="0.25">
      <c r="A117" cm="1">
        <f t="array" aca="1" ref="A117" ca="1">RANK(P117,RBSheetCount)</f>
        <v>115</v>
      </c>
      <c r="B117" t="str">
        <f>RB_Raw!A116</f>
        <v>Jonathan Williams</v>
      </c>
      <c r="C117" t="s">
        <v>28</v>
      </c>
      <c r="D117" t="str">
        <f>_xlfn.IFNA(INDEX(BYEs!$E$2:$E$411,MATCH(B117,BYEs!$D$2:$D$411,0)),"N/A")</f>
        <v>N/A</v>
      </c>
      <c r="E117">
        <f>INDEX(BYEs!$B$2:$B$34,MATCH(F117,BYEs!$A$2:$A$34,0))</f>
        <v>14</v>
      </c>
      <c r="F117" t="str">
        <f>RB_Raw!B116</f>
        <v>WAS</v>
      </c>
      <c r="G117" s="206">
        <v>0</v>
      </c>
      <c r="H117" s="207">
        <v>0</v>
      </c>
      <c r="I117" s="206">
        <f>RB_Raw!C116</f>
        <v>9.6999999999999993</v>
      </c>
      <c r="J117" s="204">
        <f>RB_Raw!D116</f>
        <v>89.7</v>
      </c>
      <c r="K117" s="207">
        <f>RB_Raw!E116</f>
        <v>0.7</v>
      </c>
      <c r="L117" s="206">
        <f>RB_Raw!F116</f>
        <v>4.9000000000000004</v>
      </c>
      <c r="M117" s="204">
        <f>RB_Raw!G116</f>
        <v>37.200000000000003</v>
      </c>
      <c r="N117" s="207">
        <f>RB_Raw!H116</f>
        <v>0.2</v>
      </c>
      <c r="O117" s="204">
        <f>RB_Raw!I116</f>
        <v>0.5</v>
      </c>
      <c r="P117" s="209">
        <f>(J117*RBRushingYd)+(K117*RBRushingTD)+(L117*RBReceptions)+(M117*RBRecYd)+(N117*RBRecTD)+(O117*RBFuml)+(I117*RBRushAtt)</f>
        <v>19.540000000000003</v>
      </c>
      <c r="Q117" t="str">
        <f ca="1">IF(A117&lt;=RBStarters,"Starter",IF(A117&gt;RBStarters+RBBench,"Undrafted","Bench"))</f>
        <v>Undrafted</v>
      </c>
      <c r="R117">
        <f ca="1">IFERROR(MAX(P117-LARGE(RBSheetCount,RBStarters),0),0)</f>
        <v>0</v>
      </c>
      <c r="S117">
        <f ca="1">IFERROR(IF(AllowNegative="Yes",P117-LARGE(RBSheetCount,RBCount),MAX(P117-LARGE(RBSheetCount,RBCount),0)),0)</f>
        <v>-62.650000000000006</v>
      </c>
      <c r="T117" s="85">
        <f ca="1">(S117-R117)*BenchPF+R117*StarterPF</f>
        <v>-11.359503929514034</v>
      </c>
      <c r="U117" s="85">
        <f ca="1">T117*Auction!$A$2</f>
        <v>-11.359503929514034</v>
      </c>
      <c r="V117" s="6" t="str">
        <f>IF(OR(INDEX(Auction!$H$13:$H$656,MATCH(B117,Auction!$A$13:$A$656,0))&gt;0,IFERROR(INDEX(CheatSheet!$M$5:$M$64,MATCH(B117,CheatSheet!$J$5:$J$64,0)),"")&lt;&gt;""),"Yes","No")</f>
        <v>No</v>
      </c>
      <c r="W117" s="179"/>
      <c r="Y117" s="78">
        <f t="shared" ca="1" si="9"/>
        <v>1</v>
      </c>
      <c r="Z117">
        <f t="shared" ca="1" si="10"/>
        <v>-31.325000000000003</v>
      </c>
      <c r="AA117" s="116" t="str">
        <f t="shared" ca="1" si="11"/>
        <v>RB10</v>
      </c>
      <c r="AB117">
        <f ca="1">Z117*LeagueInfo!$H$5</f>
        <v>-11.53475278953116</v>
      </c>
    </row>
    <row r="118" spans="1:28" x14ac:dyDescent="0.25">
      <c r="A118" cm="1">
        <f t="array" aca="1" ref="A118" ca="1">RANK(P118,RBSheetCount)</f>
        <v>116</v>
      </c>
      <c r="B118" t="str">
        <f>RB_Raw!A118</f>
        <v>Tory Carter</v>
      </c>
      <c r="C118" t="s">
        <v>28</v>
      </c>
      <c r="D118" t="str">
        <f>_xlfn.IFNA(INDEX(BYEs!$E$2:$E$411,MATCH(B118,BYEs!$D$2:$D$411,0)),"N/A")</f>
        <v>N/A</v>
      </c>
      <c r="E118">
        <f>INDEX(BYEs!$B$2:$B$34,MATCH(F118,BYEs!$A$2:$A$34,0))</f>
        <v>6</v>
      </c>
      <c r="F118" t="str">
        <f>RB_Raw!B118</f>
        <v>TEN</v>
      </c>
      <c r="G118" s="206">
        <v>0</v>
      </c>
      <c r="H118" s="207">
        <v>0</v>
      </c>
      <c r="I118" s="206">
        <f>RB_Raw!C118</f>
        <v>9.5</v>
      </c>
      <c r="J118" s="204">
        <f>RB_Raw!D118</f>
        <v>44.5</v>
      </c>
      <c r="K118" s="207">
        <f>RB_Raw!E118</f>
        <v>0.5</v>
      </c>
      <c r="L118" s="206">
        <f>RB_Raw!F118</f>
        <v>6.9</v>
      </c>
      <c r="M118" s="204">
        <f>RB_Raw!G118</f>
        <v>49.7</v>
      </c>
      <c r="N118" s="207">
        <f>RB_Raw!H118</f>
        <v>0.6</v>
      </c>
      <c r="O118" s="204">
        <f>RB_Raw!I118</f>
        <v>0</v>
      </c>
      <c r="P118" s="209">
        <f>(J118*RBRushingYd)+(K118*RBRushingTD)+(L118*RBReceptions)+(M118*RBRecYd)+(N118*RBRecTD)+(O118*RBFuml)+(I118*RBRushAtt)</f>
        <v>19.47</v>
      </c>
      <c r="Q118" t="str">
        <f ca="1">IF(A118&lt;=RBStarters,"Starter",IF(A118&gt;RBStarters+RBBench,"Undrafted","Bench"))</f>
        <v>Undrafted</v>
      </c>
      <c r="R118">
        <f ca="1">IFERROR(MAX(P118-LARGE(RBSheetCount,RBStarters),0),0)</f>
        <v>0</v>
      </c>
      <c r="S118">
        <f ca="1">IFERROR(IF(AllowNegative="Yes",P118-LARGE(RBSheetCount,RBCount),MAX(P118-LARGE(RBSheetCount,RBCount),0)),0)</f>
        <v>-62.720000000000013</v>
      </c>
      <c r="T118" s="85">
        <f ca="1">(S118-R118)*BenchPF+R118*StarterPF</f>
        <v>-11.372196112675503</v>
      </c>
      <c r="U118" s="85">
        <f ca="1">T118*Auction!$A$2</f>
        <v>-11.372196112675503</v>
      </c>
      <c r="V118" s="6" t="str">
        <f>IF(OR(INDEX(Auction!$H$13:$H$656,MATCH(B118,Auction!$A$13:$A$656,0))&gt;0,IFERROR(INDEX(CheatSheet!$M$5:$M$64,MATCH(B118,CheatSheet!$J$5:$J$64,0)),"")&lt;&gt;""),"Yes","No")</f>
        <v>No</v>
      </c>
      <c r="W118" s="179"/>
      <c r="Y118" s="78">
        <f t="shared" ca="1" si="9"/>
        <v>1</v>
      </c>
      <c r="Z118">
        <f t="shared" ca="1" si="10"/>
        <v>-31.360000000000007</v>
      </c>
      <c r="AA118" s="116" t="str">
        <f t="shared" ca="1" si="11"/>
        <v>RB10</v>
      </c>
      <c r="AB118">
        <f ca="1">Z118*LeagueInfo!$H$5</f>
        <v>-11.547640781474772</v>
      </c>
    </row>
    <row r="119" spans="1:28" x14ac:dyDescent="0.25">
      <c r="A119" cm="1">
        <f t="array" aca="1" ref="A119" ca="1">RANK(P119,RBSheetCount)</f>
        <v>117</v>
      </c>
      <c r="B119" t="str">
        <f>RB_Raw!A115</f>
        <v>Tony Jones Jr.</v>
      </c>
      <c r="C119" t="s">
        <v>28</v>
      </c>
      <c r="D119" t="str">
        <f>_xlfn.IFNA(INDEX(BYEs!$E$2:$E$411,MATCH(B119,BYEs!$D$2:$D$411,0)),"N/A")</f>
        <v>N/A</v>
      </c>
      <c r="E119">
        <f>INDEX(BYEs!$B$2:$B$34,MATCH(F119,BYEs!$A$2:$A$34,0))</f>
        <v>14</v>
      </c>
      <c r="F119" t="str">
        <f>RB_Raw!B115</f>
        <v>NO</v>
      </c>
      <c r="G119" s="206">
        <v>0</v>
      </c>
      <c r="H119" s="207">
        <v>0</v>
      </c>
      <c r="I119" s="206">
        <f>RB_Raw!C115</f>
        <v>26.4</v>
      </c>
      <c r="J119" s="204">
        <f>RB_Raw!D115</f>
        <v>106.5</v>
      </c>
      <c r="K119" s="207">
        <f>RB_Raw!E115</f>
        <v>0.5</v>
      </c>
      <c r="L119" s="206">
        <f>RB_Raw!F115</f>
        <v>4.4000000000000004</v>
      </c>
      <c r="M119" s="204">
        <f>RB_Raw!G115</f>
        <v>31.3</v>
      </c>
      <c r="N119" s="207">
        <f>RB_Raw!H115</f>
        <v>0.1</v>
      </c>
      <c r="O119" s="204">
        <f>RB_Raw!I115</f>
        <v>0.1</v>
      </c>
      <c r="P119" s="209">
        <f>(J119*RBRushingYd)+(K119*RBRushingTD)+(L119*RBReceptions)+(M119*RBRecYd)+(N119*RBRecTD)+(O119*RBFuml)+(I119*RBRushAtt)</f>
        <v>19.380000000000003</v>
      </c>
      <c r="Q119" t="str">
        <f ca="1">IF(A119&lt;=RBStarters,"Starter",IF(A119&gt;RBStarters+RBBench,"Undrafted","Bench"))</f>
        <v>Undrafted</v>
      </c>
      <c r="R119">
        <f ca="1">IFERROR(MAX(P119-LARGE(RBSheetCount,RBStarters),0),0)</f>
        <v>0</v>
      </c>
      <c r="S119">
        <f ca="1">IFERROR(IF(AllowNegative="Yes",P119-LARGE(RBSheetCount,RBCount),MAX(P119-LARGE(RBSheetCount,RBCount),0)),0)</f>
        <v>-62.810000000000009</v>
      </c>
      <c r="T119" s="85">
        <f ca="1">(S119-R119)*BenchPF+R119*StarterPF</f>
        <v>-11.388514633883105</v>
      </c>
      <c r="U119" s="85">
        <f ca="1">T119*Auction!$A$2</f>
        <v>-11.388514633883105</v>
      </c>
      <c r="V119" s="6" t="str">
        <f>IF(OR(INDEX(Auction!$H$13:$H$656,MATCH(B119,Auction!$A$13:$A$656,0))&gt;0,IFERROR(INDEX(CheatSheet!$M$5:$M$64,MATCH(B119,CheatSheet!$J$5:$J$64,0)),"")&lt;&gt;""),"Yes","No")</f>
        <v>No</v>
      </c>
      <c r="W119" s="179"/>
      <c r="Y119" s="78">
        <f t="shared" ca="1" si="9"/>
        <v>1</v>
      </c>
      <c r="Z119">
        <f t="shared" ca="1" si="10"/>
        <v>-31.405000000000005</v>
      </c>
      <c r="AA119" s="116" t="str">
        <f t="shared" ca="1" si="11"/>
        <v>RB10</v>
      </c>
      <c r="AB119">
        <f ca="1">Z119*LeagueInfo!$H$5</f>
        <v>-11.564211056830841</v>
      </c>
    </row>
    <row r="120" spans="1:28" x14ac:dyDescent="0.25">
      <c r="A120" cm="1">
        <f t="array" aca="1" ref="A120" ca="1">RANK(P120,RBSheetCount)</f>
        <v>118</v>
      </c>
      <c r="B120" t="str">
        <f>RB_Raw!A113</f>
        <v>Antonio Williams</v>
      </c>
      <c r="C120" t="s">
        <v>28</v>
      </c>
      <c r="D120" t="str">
        <f>_xlfn.IFNA(INDEX(BYEs!$E$2:$E$411,MATCH(B120,BYEs!$D$2:$D$411,0)),"N/A")</f>
        <v>N/A</v>
      </c>
      <c r="E120">
        <f>INDEX(BYEs!$B$2:$B$34,MATCH(F120,BYEs!$A$2:$A$34,0))</f>
        <v>9</v>
      </c>
      <c r="F120" t="str">
        <f>RB_Raw!B113</f>
        <v>NYG</v>
      </c>
      <c r="G120" s="206">
        <v>0</v>
      </c>
      <c r="H120" s="207">
        <v>0</v>
      </c>
      <c r="I120" s="206">
        <f>RB_Raw!C113</f>
        <v>10.3</v>
      </c>
      <c r="J120" s="204">
        <f>RB_Raw!D113</f>
        <v>95.2</v>
      </c>
      <c r="K120" s="207">
        <f>RB_Raw!E113</f>
        <v>0.7</v>
      </c>
      <c r="L120" s="206">
        <f>RB_Raw!F113</f>
        <v>3.5</v>
      </c>
      <c r="M120" s="204">
        <f>RB_Raw!G113</f>
        <v>27.6</v>
      </c>
      <c r="N120" s="207">
        <f>RB_Raw!H113</f>
        <v>0.1</v>
      </c>
      <c r="O120" s="204">
        <f>RB_Raw!I113</f>
        <v>0.1</v>
      </c>
      <c r="P120" s="209">
        <f>(J120*RBRushingYd)+(K120*RBRushingTD)+(L120*RBReceptions)+(M120*RBRecYd)+(N120*RBRecTD)+(O120*RBFuml)+(I120*RBRushAtt)</f>
        <v>18.630000000000003</v>
      </c>
      <c r="Q120" t="str">
        <f ca="1">IF(A120&lt;=RBStarters,"Starter",IF(A120&gt;RBStarters+RBBench,"Undrafted","Bench"))</f>
        <v>Undrafted</v>
      </c>
      <c r="R120">
        <f ca="1">IFERROR(MAX(P120-LARGE(RBSheetCount,RBStarters),0),0)</f>
        <v>0</v>
      </c>
      <c r="S120">
        <f ca="1">IFERROR(IF(AllowNegative="Yes",P120-LARGE(RBSheetCount,RBCount),MAX(P120-LARGE(RBSheetCount,RBCount),0)),0)</f>
        <v>-63.560000000000009</v>
      </c>
      <c r="T120" s="85">
        <f ca="1">(S120-R120)*BenchPF+R120*StarterPF</f>
        <v>-11.524502310613121</v>
      </c>
      <c r="U120" s="85">
        <f ca="1">T120*Auction!$A$2</f>
        <v>-11.524502310613121</v>
      </c>
      <c r="V120" s="6" t="str">
        <f>IF(OR(INDEX(Auction!$H$13:$H$656,MATCH(B120,Auction!$A$13:$A$656,0))&gt;0,IFERROR(INDEX(CheatSheet!$M$5:$M$64,MATCH(B120,CheatSheet!$J$5:$J$64,0)),"")&lt;&gt;""),"Yes","No")</f>
        <v>No</v>
      </c>
      <c r="W120" s="179"/>
      <c r="Y120" s="78">
        <f t="shared" ca="1" si="9"/>
        <v>1</v>
      </c>
      <c r="Z120">
        <f t="shared" ca="1" si="10"/>
        <v>-31.780000000000005</v>
      </c>
      <c r="AA120" s="116" t="str">
        <f t="shared" ca="1" si="11"/>
        <v>RB10</v>
      </c>
      <c r="AB120">
        <f ca="1">Z120*LeagueInfo!$H$5</f>
        <v>-11.702296684798094</v>
      </c>
    </row>
    <row r="121" spans="1:28" x14ac:dyDescent="0.25">
      <c r="A121" cm="1">
        <f t="array" aca="1" ref="A121" ca="1">RANK(P121,RBSheetCount)</f>
        <v>119</v>
      </c>
      <c r="B121" t="str">
        <f>RB_Raw!A119</f>
        <v>Jordan Mason</v>
      </c>
      <c r="C121" t="s">
        <v>28</v>
      </c>
      <c r="D121" t="str">
        <f>_xlfn.IFNA(INDEX(BYEs!$E$2:$E$411,MATCH(B121,BYEs!$D$2:$D$411,0)),"N/A")</f>
        <v>N/A</v>
      </c>
      <c r="E121">
        <f>INDEX(BYEs!$B$2:$B$34,MATCH(F121,BYEs!$A$2:$A$34,0))</f>
        <v>9</v>
      </c>
      <c r="F121" t="str">
        <f>RB_Raw!B119</f>
        <v>SF</v>
      </c>
      <c r="G121" s="206">
        <v>0</v>
      </c>
      <c r="H121" s="207">
        <v>0</v>
      </c>
      <c r="I121" s="206">
        <f>RB_Raw!C119</f>
        <v>18.5</v>
      </c>
      <c r="J121" s="204">
        <f>RB_Raw!D119</f>
        <v>81.900000000000006</v>
      </c>
      <c r="K121" s="207">
        <f>RB_Raw!E119</f>
        <v>0.6</v>
      </c>
      <c r="L121" s="206">
        <f>RB_Raw!F119</f>
        <v>4.8</v>
      </c>
      <c r="M121" s="204">
        <f>RB_Raw!G119</f>
        <v>29.3</v>
      </c>
      <c r="N121" s="207">
        <f>RB_Raw!H119</f>
        <v>0.2</v>
      </c>
      <c r="O121" s="204">
        <f>RB_Raw!I119</f>
        <v>0.1</v>
      </c>
      <c r="P121" s="209">
        <f>(J121*RBRushingYd)+(K121*RBRushingTD)+(L121*RBReceptions)+(M121*RBRecYd)+(N121*RBRecTD)+(O121*RBFuml)+(I121*RBRushAtt)</f>
        <v>18.12</v>
      </c>
      <c r="Q121" t="str">
        <f ca="1">IF(A121&lt;=RBStarters,"Starter",IF(A121&gt;RBStarters+RBBench,"Undrafted","Bench"))</f>
        <v>Undrafted</v>
      </c>
      <c r="R121">
        <f ca="1">IFERROR(MAX(P121-LARGE(RBSheetCount,RBStarters),0),0)</f>
        <v>0</v>
      </c>
      <c r="S121">
        <f ca="1">IFERROR(IF(AllowNegative="Yes",P121-LARGE(RBSheetCount,RBCount),MAX(P121-LARGE(RBSheetCount,RBCount),0)),0)</f>
        <v>-64.070000000000007</v>
      </c>
      <c r="T121" s="85">
        <f ca="1">(S121-R121)*BenchPF+R121*StarterPF</f>
        <v>-11.616973930789532</v>
      </c>
      <c r="U121" s="85">
        <f ca="1">T121*Auction!$A$2</f>
        <v>-11.616973930789532</v>
      </c>
      <c r="V121" s="6" t="str">
        <f>IF(OR(INDEX(Auction!$H$13:$H$656,MATCH(B121,Auction!$A$13:$A$656,0))&gt;0,IFERROR(INDEX(CheatSheet!$M$5:$M$64,MATCH(B121,CheatSheet!$J$5:$J$64,0)),"")&lt;&gt;""),"Yes","No")</f>
        <v>No</v>
      </c>
      <c r="W121" s="179"/>
      <c r="Y121" s="78">
        <f t="shared" ca="1" si="9"/>
        <v>1</v>
      </c>
      <c r="Z121">
        <f t="shared" ca="1" si="10"/>
        <v>-32.035000000000004</v>
      </c>
      <c r="AA121" s="116" t="str">
        <f t="shared" ca="1" si="11"/>
        <v>RB10</v>
      </c>
      <c r="AB121">
        <f ca="1">Z121*LeagueInfo!$H$5</f>
        <v>-11.796194911815824</v>
      </c>
    </row>
    <row r="122" spans="1:28" x14ac:dyDescent="0.25">
      <c r="A122" cm="1">
        <f t="array" aca="1" ref="A122" ca="1">RANK(P122,RBSheetCount)</f>
        <v>120</v>
      </c>
      <c r="B122" t="str">
        <f>RB_Raw!A124</f>
        <v>Ty Chandler</v>
      </c>
      <c r="C122" t="s">
        <v>28</v>
      </c>
      <c r="D122" t="str">
        <f>_xlfn.IFNA(INDEX(BYEs!$E$2:$E$411,MATCH(B122,BYEs!$D$2:$D$411,0)),"N/A")</f>
        <v>N/A</v>
      </c>
      <c r="E122">
        <f>INDEX(BYEs!$B$2:$B$34,MATCH(F122,BYEs!$A$2:$A$34,0))</f>
        <v>7</v>
      </c>
      <c r="F122" t="str">
        <f>RB_Raw!B124</f>
        <v>MIN</v>
      </c>
      <c r="G122" s="206">
        <v>0</v>
      </c>
      <c r="H122" s="207">
        <v>0</v>
      </c>
      <c r="I122" s="206">
        <f>RB_Raw!C124</f>
        <v>16</v>
      </c>
      <c r="J122" s="204">
        <f>RB_Raw!D124</f>
        <v>76.400000000000006</v>
      </c>
      <c r="K122" s="207">
        <f>RB_Raw!E124</f>
        <v>0.3</v>
      </c>
      <c r="L122" s="206">
        <f>RB_Raw!F124</f>
        <v>6.6</v>
      </c>
      <c r="M122" s="204">
        <f>RB_Raw!G124</f>
        <v>43.5</v>
      </c>
      <c r="N122" s="207">
        <f>RB_Raw!H124</f>
        <v>0.1</v>
      </c>
      <c r="O122" s="204">
        <f>RB_Raw!I124</f>
        <v>0.1</v>
      </c>
      <c r="P122" s="209">
        <f>(J122*RBRushingYd)+(K122*RBRushingTD)+(L122*RBReceptions)+(M122*RBRecYd)+(N122*RBRecTD)+(O122*RBFuml)+(I122*RBRushAtt)</f>
        <v>17.490000000000006</v>
      </c>
      <c r="Q122" t="str">
        <f ca="1">IF(A122&lt;=RBStarters,"Starter",IF(A122&gt;RBStarters+RBBench,"Undrafted","Bench"))</f>
        <v>Undrafted</v>
      </c>
      <c r="R122">
        <f ca="1">IFERROR(MAX(P122-LARGE(RBSheetCount,RBStarters),0),0)</f>
        <v>0</v>
      </c>
      <c r="S122">
        <f ca="1">IFERROR(IF(AllowNegative="Yes",P122-LARGE(RBSheetCount,RBCount),MAX(P122-LARGE(RBSheetCount,RBCount),0)),0)</f>
        <v>-64.7</v>
      </c>
      <c r="T122" s="85">
        <f ca="1">(S122-R122)*BenchPF+R122*StarterPF</f>
        <v>-11.731203579242745</v>
      </c>
      <c r="U122" s="85">
        <f ca="1">T122*Auction!$A$2</f>
        <v>-11.731203579242745</v>
      </c>
      <c r="V122" s="6" t="str">
        <f>IF(OR(INDEX(Auction!$H$13:$H$656,MATCH(B122,Auction!$A$13:$A$656,0))&gt;0,IFERROR(INDEX(CheatSheet!$M$5:$M$64,MATCH(B122,CheatSheet!$J$5:$J$64,0)),"")&lt;&gt;""),"Yes","No")</f>
        <v>No</v>
      </c>
      <c r="W122" s="179"/>
      <c r="Y122" s="78">
        <f t="shared" ca="1" si="9"/>
        <v>1</v>
      </c>
      <c r="Z122">
        <f t="shared" ca="1" si="10"/>
        <v>-32.35</v>
      </c>
      <c r="AA122" s="116" t="str">
        <f t="shared" ca="1" si="11"/>
        <v>RB10</v>
      </c>
      <c r="AB122">
        <f ca="1">Z122*LeagueInfo!$H$5</f>
        <v>-11.912186839308317</v>
      </c>
    </row>
    <row r="123" spans="1:28" x14ac:dyDescent="0.25">
      <c r="A123" cm="1">
        <f t="array" aca="1" ref="A123" ca="1">RANK(P123,RBSheetCount)</f>
        <v>121</v>
      </c>
      <c r="B123" t="str">
        <f>RB_Raw!A131</f>
        <v>Patrick Ricard</v>
      </c>
      <c r="C123" t="s">
        <v>28</v>
      </c>
      <c r="D123" t="str">
        <f>_xlfn.IFNA(INDEX(BYEs!$E$2:$E$411,MATCH(B123,BYEs!$D$2:$D$411,0)),"N/A")</f>
        <v>N/A</v>
      </c>
      <c r="E123">
        <f>INDEX(BYEs!$B$2:$B$34,MATCH(F123,BYEs!$A$2:$A$34,0))</f>
        <v>10</v>
      </c>
      <c r="F123" t="str">
        <f>RB_Raw!B131</f>
        <v>BAL</v>
      </c>
      <c r="G123" s="206">
        <v>0</v>
      </c>
      <c r="H123" s="207">
        <v>0</v>
      </c>
      <c r="I123" s="206">
        <f>RB_Raw!C131</f>
        <v>2.7</v>
      </c>
      <c r="J123" s="204">
        <f>RB_Raw!D131</f>
        <v>6.9</v>
      </c>
      <c r="K123" s="207">
        <f>RB_Raw!E131</f>
        <v>0.1</v>
      </c>
      <c r="L123" s="206">
        <f>RB_Raw!F131</f>
        <v>10.1</v>
      </c>
      <c r="M123" s="204">
        <f>RB_Raw!G131</f>
        <v>68.900000000000006</v>
      </c>
      <c r="N123" s="207">
        <f>RB_Raw!H131</f>
        <v>0.7</v>
      </c>
      <c r="O123" s="204">
        <f>RB_Raw!I131</f>
        <v>0</v>
      </c>
      <c r="P123" s="209">
        <f>(J123*RBRushingYd)+(K123*RBRushingTD)+(L123*RBReceptions)+(M123*RBRecYd)+(N123*RBRecTD)+(O123*RBFuml)+(I123*RBRushAtt)</f>
        <v>17.43</v>
      </c>
      <c r="Q123" t="str">
        <f ca="1">IF(A123&lt;=RBStarters,"Starter",IF(A123&gt;RBStarters+RBBench,"Undrafted","Bench"))</f>
        <v>Undrafted</v>
      </c>
      <c r="R123">
        <f ca="1">IFERROR(MAX(P123-LARGE(RBSheetCount,RBStarters),0),0)</f>
        <v>0</v>
      </c>
      <c r="S123">
        <f ca="1">IFERROR(IF(AllowNegative="Yes",P123-LARGE(RBSheetCount,RBCount),MAX(P123-LARGE(RBSheetCount,RBCount),0)),0)</f>
        <v>-64.760000000000019</v>
      </c>
      <c r="T123" s="85">
        <f ca="1">(S123-R123)*BenchPF+R123*StarterPF</f>
        <v>-11.74208259338115</v>
      </c>
      <c r="U123" s="85">
        <f ca="1">T123*Auction!$A$2</f>
        <v>-11.74208259338115</v>
      </c>
      <c r="V123" s="6" t="str">
        <f>IF(OR(INDEX(Auction!$H$13:$H$656,MATCH(B123,Auction!$A$13:$A$656,0))&gt;0,IFERROR(INDEX(CheatSheet!$M$5:$M$64,MATCH(B123,CheatSheet!$J$5:$J$64,0)),"")&lt;&gt;""),"Yes","No")</f>
        <v>No</v>
      </c>
      <c r="W123" s="179"/>
      <c r="Y123" s="78">
        <f t="shared" ca="1" si="9"/>
        <v>1</v>
      </c>
      <c r="Z123">
        <f t="shared" ca="1" si="10"/>
        <v>-32.38000000000001</v>
      </c>
      <c r="AA123" s="116" t="str">
        <f t="shared" ca="1" si="11"/>
        <v>RB10</v>
      </c>
      <c r="AB123">
        <f ca="1">Z123*LeagueInfo!$H$5</f>
        <v>-11.9232336895457</v>
      </c>
    </row>
    <row r="124" spans="1:28" x14ac:dyDescent="0.25">
      <c r="A124" cm="1">
        <f t="array" aca="1" ref="A124" ca="1">RANK(P124,RBSheetCount)</f>
        <v>122</v>
      </c>
      <c r="B124" t="str">
        <f>RB_Raw!A120</f>
        <v>Keaontay Ingram</v>
      </c>
      <c r="C124" t="s">
        <v>28</v>
      </c>
      <c r="D124" t="str">
        <f>_xlfn.IFNA(INDEX(BYEs!$E$2:$E$411,MATCH(B124,BYEs!$D$2:$D$411,0)),"N/A")</f>
        <v>N/A</v>
      </c>
      <c r="E124">
        <f>INDEX(BYEs!$B$2:$B$34,MATCH(F124,BYEs!$A$2:$A$34,0))</f>
        <v>13</v>
      </c>
      <c r="F124" t="str">
        <f>RB_Raw!B120</f>
        <v>ARI</v>
      </c>
      <c r="G124" s="206">
        <v>0</v>
      </c>
      <c r="H124" s="207">
        <v>0</v>
      </c>
      <c r="I124" s="206">
        <f>RB_Raw!C120</f>
        <v>25.1</v>
      </c>
      <c r="J124" s="204">
        <f>RB_Raw!D120</f>
        <v>102.8</v>
      </c>
      <c r="K124" s="207">
        <f>RB_Raw!E120</f>
        <v>0.5</v>
      </c>
      <c r="L124" s="206">
        <f>RB_Raw!F120</f>
        <v>3.1</v>
      </c>
      <c r="M124" s="204">
        <f>RB_Raw!G120</f>
        <v>25.6</v>
      </c>
      <c r="N124" s="207">
        <f>RB_Raw!H120</f>
        <v>0</v>
      </c>
      <c r="O124" s="204">
        <f>RB_Raw!I120</f>
        <v>0</v>
      </c>
      <c r="P124" s="209">
        <f>(J124*RBRushingYd)+(K124*RBRushingTD)+(L124*RBReceptions)+(M124*RBRecYd)+(N124*RBRecTD)+(O124*RBFuml)+(I124*RBRushAtt)</f>
        <v>17.39</v>
      </c>
      <c r="Q124" t="str">
        <f ca="1">IF(A124&lt;=RBStarters,"Starter",IF(A124&gt;RBStarters+RBBench,"Undrafted","Bench"))</f>
        <v>Undrafted</v>
      </c>
      <c r="R124">
        <f ca="1">IFERROR(MAX(P124-LARGE(RBSheetCount,RBStarters),0),0)</f>
        <v>0</v>
      </c>
      <c r="S124">
        <f ca="1">IFERROR(IF(AllowNegative="Yes",P124-LARGE(RBSheetCount,RBCount),MAX(P124-LARGE(RBSheetCount,RBCount),0)),0)</f>
        <v>-64.800000000000011</v>
      </c>
      <c r="T124" s="85">
        <f ca="1">(S124-R124)*BenchPF+R124*StarterPF</f>
        <v>-11.749335269473416</v>
      </c>
      <c r="U124" s="85">
        <f ca="1">T124*Auction!$A$2</f>
        <v>-11.749335269473416</v>
      </c>
      <c r="V124" s="6" t="str">
        <f>IF(OR(INDEX(Auction!$H$13:$H$656,MATCH(B124,Auction!$A$13:$A$656,0))&gt;0,IFERROR(INDEX(CheatSheet!$M$5:$M$64,MATCH(B124,CheatSheet!$J$5:$J$64,0)),"")&lt;&gt;""),"Yes","No")</f>
        <v>No</v>
      </c>
      <c r="W124" s="179"/>
      <c r="Y124" s="78">
        <f t="shared" ca="1" si="9"/>
        <v>1</v>
      </c>
      <c r="Z124">
        <f t="shared" ca="1" si="10"/>
        <v>-32.400000000000006</v>
      </c>
      <c r="AA124" s="116" t="str">
        <f t="shared" ca="1" si="11"/>
        <v>RB10</v>
      </c>
      <c r="AB124">
        <f ca="1">Z124*LeagueInfo!$H$5</f>
        <v>-11.930598256370619</v>
      </c>
    </row>
    <row r="125" spans="1:28" x14ac:dyDescent="0.25">
      <c r="A125" cm="1">
        <f t="array" aca="1" ref="A125" ca="1">RANK(P125,RBSheetCount)</f>
        <v>123</v>
      </c>
      <c r="B125" t="str">
        <f>RB_Raw!A123</f>
        <v>Dwayne Washington</v>
      </c>
      <c r="C125" t="s">
        <v>28</v>
      </c>
      <c r="D125" t="str">
        <f>_xlfn.IFNA(INDEX(BYEs!$E$2:$E$411,MATCH(B125,BYEs!$D$2:$D$411,0)),"N/A")</f>
        <v>N/A</v>
      </c>
      <c r="E125">
        <f>INDEX(BYEs!$B$2:$B$34,MATCH(F125,BYEs!$A$2:$A$34,0))</f>
        <v>14</v>
      </c>
      <c r="F125" t="str">
        <f>RB_Raw!B123</f>
        <v>NO</v>
      </c>
      <c r="G125" s="206">
        <v>0</v>
      </c>
      <c r="H125" s="207">
        <v>0</v>
      </c>
      <c r="I125" s="206">
        <f>RB_Raw!C123</f>
        <v>16.8</v>
      </c>
      <c r="J125" s="204">
        <f>RB_Raw!D123</f>
        <v>71.900000000000006</v>
      </c>
      <c r="K125" s="207">
        <f>RB_Raw!E123</f>
        <v>0.5</v>
      </c>
      <c r="L125" s="206">
        <f>RB_Raw!F123</f>
        <v>4.7</v>
      </c>
      <c r="M125" s="204">
        <f>RB_Raw!G123</f>
        <v>35.799999999999997</v>
      </c>
      <c r="N125" s="207">
        <f>RB_Raw!H123</f>
        <v>0.2</v>
      </c>
      <c r="O125" s="204">
        <f>RB_Raw!I123</f>
        <v>0.1</v>
      </c>
      <c r="P125" s="209">
        <f>(J125*RBRushingYd)+(K125*RBRushingTD)+(L125*RBReceptions)+(M125*RBRecYd)+(N125*RBRecTD)+(O125*RBFuml)+(I125*RBRushAtt)</f>
        <v>17.12</v>
      </c>
      <c r="Q125" t="str">
        <f ca="1">IF(A125&lt;=RBStarters,"Starter",IF(A125&gt;RBStarters+RBBench,"Undrafted","Bench"))</f>
        <v>Undrafted</v>
      </c>
      <c r="R125">
        <f ca="1">IFERROR(MAX(P125-LARGE(RBSheetCount,RBStarters),0),0)</f>
        <v>0</v>
      </c>
      <c r="S125">
        <f ca="1">IFERROR(IF(AllowNegative="Yes",P125-LARGE(RBSheetCount,RBCount),MAX(P125-LARGE(RBSheetCount,RBCount),0)),0)</f>
        <v>-65.070000000000007</v>
      </c>
      <c r="T125" s="85">
        <f ca="1">(S125-R125)*BenchPF+R125*StarterPF</f>
        <v>-11.798290833096221</v>
      </c>
      <c r="U125" s="85">
        <f ca="1">T125*Auction!$A$2</f>
        <v>-11.798290833096221</v>
      </c>
      <c r="V125" s="6" t="str">
        <f>IF(OR(INDEX(Auction!$H$13:$H$656,MATCH(B125,Auction!$A$13:$A$656,0))&gt;0,IFERROR(INDEX(CheatSheet!$M$5:$M$64,MATCH(B125,CheatSheet!$J$5:$J$64,0)),"")&lt;&gt;""),"Yes","No")</f>
        <v>No</v>
      </c>
      <c r="W125" s="179"/>
      <c r="Y125" s="78">
        <f t="shared" ca="1" si="9"/>
        <v>1</v>
      </c>
      <c r="Z125">
        <f t="shared" ca="1" si="10"/>
        <v>-32.535000000000004</v>
      </c>
      <c r="AA125" s="116" t="str">
        <f t="shared" ca="1" si="11"/>
        <v>RB10</v>
      </c>
      <c r="AB125">
        <f ca="1">Z125*LeagueInfo!$H$5</f>
        <v>-11.980309082438829</v>
      </c>
    </row>
    <row r="126" spans="1:28" x14ac:dyDescent="0.25">
      <c r="A126" cm="1">
        <f t="array" aca="1" ref="A126" ca="1">RANK(P126,RBSheetCount)</f>
        <v>124</v>
      </c>
      <c r="B126" t="str">
        <f>RB_Raw!A126</f>
        <v>Darwin Thompson</v>
      </c>
      <c r="C126" t="s">
        <v>28</v>
      </c>
      <c r="D126">
        <f>_xlfn.IFNA(INDEX(BYEs!$E$2:$E$411,MATCH(B126,BYEs!$D$2:$D$411,0)),"N/A")</f>
        <v>24</v>
      </c>
      <c r="E126">
        <f>INDEX(BYEs!$B$2:$B$34,MATCH(F126,BYEs!$A$2:$A$34,0))</f>
        <v>11</v>
      </c>
      <c r="F126" t="str">
        <f>RB_Raw!B126</f>
        <v>SEA</v>
      </c>
      <c r="G126" s="206">
        <v>0</v>
      </c>
      <c r="H126" s="207">
        <v>0</v>
      </c>
      <c r="I126" s="206">
        <f>RB_Raw!C126</f>
        <v>0</v>
      </c>
      <c r="J126" s="204">
        <f>RB_Raw!D126</f>
        <v>75.599999999999994</v>
      </c>
      <c r="K126" s="207">
        <f>RB_Raw!E126</f>
        <v>0.6</v>
      </c>
      <c r="L126" s="206">
        <f>RB_Raw!F126</f>
        <v>3.8</v>
      </c>
      <c r="M126" s="204">
        <f>RB_Raw!G126</f>
        <v>28.8</v>
      </c>
      <c r="N126" s="207">
        <f>RB_Raw!H126</f>
        <v>0.2</v>
      </c>
      <c r="O126" s="204">
        <f>RB_Raw!I126</f>
        <v>0.1</v>
      </c>
      <c r="P126" s="209">
        <f>(J126*RBRushingYd)+(K126*RBRushingTD)+(L126*RBReceptions)+(M126*RBRecYd)+(N126*RBRecTD)+(O126*RBFuml)+(I126*RBRushAtt)</f>
        <v>16.940000000000001</v>
      </c>
      <c r="Q126" t="str">
        <f ca="1">IF(A126&lt;=RBStarters,"Starter",IF(A126&gt;RBStarters+RBBench,"Undrafted","Bench"))</f>
        <v>Undrafted</v>
      </c>
      <c r="R126">
        <f ca="1">IFERROR(MAX(P126-LARGE(RBSheetCount,RBStarters),0),0)</f>
        <v>0</v>
      </c>
      <c r="S126">
        <f ca="1">IFERROR(IF(AllowNegative="Yes",P126-LARGE(RBSheetCount,RBCount),MAX(P126-LARGE(RBSheetCount,RBCount),0)),0)</f>
        <v>-65.250000000000014</v>
      </c>
      <c r="T126" s="85">
        <f ca="1">(S126-R126)*BenchPF+R126*StarterPF</f>
        <v>-11.830927875511426</v>
      </c>
      <c r="U126" s="85">
        <f ca="1">T126*Auction!$A$2</f>
        <v>-11.830927875511426</v>
      </c>
      <c r="V126" s="6" t="str">
        <f>IF(OR(INDEX(Auction!$H$13:$H$656,MATCH(B126,Auction!$A$13:$A$656,0))&gt;0,IFERROR(INDEX(CheatSheet!$M$5:$M$64,MATCH(B126,CheatSheet!$J$5:$J$64,0)),"")&lt;&gt;""),"Yes","No")</f>
        <v>No</v>
      </c>
      <c r="W126" s="179"/>
      <c r="Y126" s="78">
        <f t="shared" ca="1" si="9"/>
        <v>1</v>
      </c>
      <c r="Z126">
        <f t="shared" ca="1" si="10"/>
        <v>-32.625000000000007</v>
      </c>
      <c r="AA126" s="116" t="str">
        <f t="shared" ca="1" si="11"/>
        <v>RB10</v>
      </c>
      <c r="AB126">
        <f ca="1">Z126*LeagueInfo!$H$5</f>
        <v>-12.013449633150969</v>
      </c>
    </row>
    <row r="127" spans="1:28" x14ac:dyDescent="0.25">
      <c r="A127" cm="1">
        <f t="array" aca="1" ref="A127" ca="1">RANK(P127,RBSheetCount)</f>
        <v>125</v>
      </c>
      <c r="B127" t="str">
        <f>RB_Raw!A129</f>
        <v>JaMycal Hasty</v>
      </c>
      <c r="C127" t="s">
        <v>28</v>
      </c>
      <c r="D127" t="str">
        <f>_xlfn.IFNA(INDEX(BYEs!$E$2:$E$411,MATCH(B127,BYEs!$D$2:$D$411,0)),"N/A")</f>
        <v>N/A</v>
      </c>
      <c r="E127">
        <f>INDEX(BYEs!$B$2:$B$34,MATCH(F127,BYEs!$A$2:$A$34,0))</f>
        <v>11</v>
      </c>
      <c r="F127" t="str">
        <f>RB_Raw!B129</f>
        <v>JAC</v>
      </c>
      <c r="G127" s="206">
        <v>0</v>
      </c>
      <c r="H127" s="207">
        <v>0</v>
      </c>
      <c r="I127" s="206">
        <f>RB_Raw!C129</f>
        <v>11.9</v>
      </c>
      <c r="J127" s="204">
        <f>RB_Raw!D129</f>
        <v>48.4</v>
      </c>
      <c r="K127" s="207">
        <f>RB_Raw!E129</f>
        <v>0.5</v>
      </c>
      <c r="L127" s="206">
        <f>RB_Raw!F129</f>
        <v>7.1</v>
      </c>
      <c r="M127" s="204">
        <f>RB_Raw!G129</f>
        <v>48.4</v>
      </c>
      <c r="N127" s="207">
        <f>RB_Raw!H129</f>
        <v>0.1</v>
      </c>
      <c r="O127" s="204">
        <f>RB_Raw!I129</f>
        <v>0</v>
      </c>
      <c r="P127" s="209">
        <f>(J127*RBRushingYd)+(K127*RBRushingTD)+(L127*RBReceptions)+(M127*RBRecYd)+(N127*RBRecTD)+(O127*RBFuml)+(I127*RBRushAtt)</f>
        <v>16.830000000000002</v>
      </c>
      <c r="Q127" t="str">
        <f ca="1">IF(A127&lt;=RBStarters,"Starter",IF(A127&gt;RBStarters+RBBench,"Undrafted","Bench"))</f>
        <v>Undrafted</v>
      </c>
      <c r="R127">
        <f ca="1">IFERROR(MAX(P127-LARGE(RBSheetCount,RBStarters),0),0)</f>
        <v>0</v>
      </c>
      <c r="S127">
        <f ca="1">IFERROR(IF(AllowNegative="Yes",P127-LARGE(RBSheetCount,RBCount),MAX(P127-LARGE(RBSheetCount,RBCount),0)),0)</f>
        <v>-65.360000000000014</v>
      </c>
      <c r="T127" s="85">
        <f ca="1">(S127-R127)*BenchPF+R127*StarterPF</f>
        <v>-11.850872734765161</v>
      </c>
      <c r="U127" s="85">
        <f ca="1">T127*Auction!$A$2</f>
        <v>-11.850872734765161</v>
      </c>
      <c r="V127" s="6" t="str">
        <f>IF(OR(INDEX(Auction!$H$13:$H$656,MATCH(B127,Auction!$A$13:$A$656,0))&gt;0,IFERROR(INDEX(CheatSheet!$M$5:$M$64,MATCH(B127,CheatSheet!$J$5:$J$64,0)),"")&lt;&gt;""),"Yes","No")</f>
        <v>No</v>
      </c>
      <c r="W127" s="179"/>
      <c r="Y127" s="78">
        <f t="shared" ca="1" si="9"/>
        <v>1</v>
      </c>
      <c r="Z127">
        <f t="shared" ca="1" si="10"/>
        <v>-32.680000000000007</v>
      </c>
      <c r="AA127" s="116" t="str">
        <f t="shared" ca="1" si="11"/>
        <v>RB10</v>
      </c>
      <c r="AB127">
        <f ca="1">Z127*LeagueInfo!$H$5</f>
        <v>-12.033702191919501</v>
      </c>
    </row>
    <row r="128" spans="1:28" x14ac:dyDescent="0.25">
      <c r="A128" cm="1">
        <f t="array" aca="1" ref="A128" ca="1">RANK(P128,RBSheetCount)</f>
        <v>126</v>
      </c>
      <c r="B128" t="str">
        <f>RB_Raw!A127</f>
        <v>Trenton Cannon</v>
      </c>
      <c r="C128" t="s">
        <v>28</v>
      </c>
      <c r="D128">
        <f>_xlfn.IFNA(INDEX(BYEs!$E$2:$E$411,MATCH(B128,BYEs!$D$2:$D$411,0)),"N/A")</f>
        <v>27</v>
      </c>
      <c r="E128">
        <f>INDEX(BYEs!$B$2:$B$34,MATCH(F128,BYEs!$A$2:$A$34,0))</f>
        <v>6</v>
      </c>
      <c r="F128" t="str">
        <f>RB_Raw!B127</f>
        <v>TEN</v>
      </c>
      <c r="G128" s="206">
        <v>0</v>
      </c>
      <c r="H128" s="207">
        <v>0</v>
      </c>
      <c r="I128" s="206">
        <f>RB_Raw!C127</f>
        <v>10.4</v>
      </c>
      <c r="J128" s="204">
        <f>RB_Raw!D127</f>
        <v>41.1</v>
      </c>
      <c r="K128" s="207">
        <f>RB_Raw!E127</f>
        <v>0.2</v>
      </c>
      <c r="L128" s="206">
        <f>RB_Raw!F127</f>
        <v>7.7</v>
      </c>
      <c r="M128" s="204">
        <f>RB_Raw!G127</f>
        <v>57.4</v>
      </c>
      <c r="N128" s="207">
        <f>RB_Raw!H127</f>
        <v>0.3</v>
      </c>
      <c r="O128" s="204">
        <f>RB_Raw!I127</f>
        <v>0</v>
      </c>
      <c r="P128" s="209">
        <f>(J128*RBRushingYd)+(K128*RBRushingTD)+(L128*RBReceptions)+(M128*RBRecYd)+(N128*RBRecTD)+(O128*RBFuml)+(I128*RBRushAtt)</f>
        <v>16.7</v>
      </c>
      <c r="Q128" t="str">
        <f ca="1">IF(A128&lt;=RBStarters,"Starter",IF(A128&gt;RBStarters+RBBench,"Undrafted","Bench"))</f>
        <v>Undrafted</v>
      </c>
      <c r="R128">
        <f ca="1">IFERROR(MAX(P128-LARGE(RBSheetCount,RBStarters),0),0)</f>
        <v>0</v>
      </c>
      <c r="S128">
        <f ca="1">IFERROR(IF(AllowNegative="Yes",P128-LARGE(RBSheetCount,RBCount),MAX(P128-LARGE(RBSheetCount,RBCount),0)),0)</f>
        <v>-65.490000000000009</v>
      </c>
      <c r="T128" s="85">
        <f ca="1">(S128-R128)*BenchPF+R128*StarterPF</f>
        <v>-11.874443932065031</v>
      </c>
      <c r="U128" s="85">
        <f ca="1">T128*Auction!$A$2</f>
        <v>-11.874443932065031</v>
      </c>
      <c r="V128" s="6" t="str">
        <f>IF(OR(INDEX(Auction!$H$13:$H$656,MATCH(B128,Auction!$A$13:$A$656,0))&gt;0,IFERROR(INDEX(CheatSheet!$M$5:$M$64,MATCH(B128,CheatSheet!$J$5:$J$64,0)),"")&lt;&gt;""),"Yes","No")</f>
        <v>No</v>
      </c>
      <c r="W128" s="179"/>
      <c r="Y128" s="78">
        <f t="shared" ca="1" si="9"/>
        <v>1</v>
      </c>
      <c r="Z128">
        <f t="shared" ca="1" si="10"/>
        <v>-32.745000000000005</v>
      </c>
      <c r="AA128" s="116" t="str">
        <f t="shared" ca="1" si="11"/>
        <v>RB10</v>
      </c>
      <c r="AB128">
        <f ca="1">Z128*LeagueInfo!$H$5</f>
        <v>-12.057637034100491</v>
      </c>
    </row>
    <row r="129" spans="1:28" x14ac:dyDescent="0.25">
      <c r="A129" cm="1">
        <f t="array" aca="1" ref="A129" ca="1">RANK(P129,RBSheetCount)</f>
        <v>127</v>
      </c>
      <c r="B129" t="str">
        <f>RB_Raw!A122</f>
        <v>Kene Nwangwu</v>
      </c>
      <c r="C129" t="s">
        <v>28</v>
      </c>
      <c r="D129" t="str">
        <f>_xlfn.IFNA(INDEX(BYEs!$E$2:$E$411,MATCH(B129,BYEs!$D$2:$D$411,0)),"N/A")</f>
        <v>N/A</v>
      </c>
      <c r="E129">
        <f>INDEX(BYEs!$B$2:$B$34,MATCH(F129,BYEs!$A$2:$A$34,0))</f>
        <v>7</v>
      </c>
      <c r="F129" t="str">
        <f>RB_Raw!B122</f>
        <v>MIN</v>
      </c>
      <c r="G129" s="206">
        <v>0</v>
      </c>
      <c r="H129" s="207">
        <v>0</v>
      </c>
      <c r="I129" s="206">
        <f>RB_Raw!C122</f>
        <v>21.5</v>
      </c>
      <c r="J129" s="204">
        <f>RB_Raw!D122</f>
        <v>82.9</v>
      </c>
      <c r="K129" s="207">
        <f>RB_Raw!E122</f>
        <v>0.6</v>
      </c>
      <c r="L129" s="206">
        <f>RB_Raw!F122</f>
        <v>3.9</v>
      </c>
      <c r="M129" s="204">
        <f>RB_Raw!G122</f>
        <v>23.8</v>
      </c>
      <c r="N129" s="207">
        <f>RB_Raw!H122</f>
        <v>0.1</v>
      </c>
      <c r="O129" s="204">
        <f>RB_Raw!I122</f>
        <v>0.1</v>
      </c>
      <c r="P129" s="209">
        <f>(J129*RBRushingYd)+(K129*RBRushingTD)+(L129*RBReceptions)+(M129*RBRecYd)+(N129*RBRecTD)+(O129*RBFuml)+(I129*RBRushAtt)</f>
        <v>16.62</v>
      </c>
      <c r="Q129" t="str">
        <f ca="1">IF(A129&lt;=RBStarters,"Starter",IF(A129&gt;RBStarters+RBBench,"Undrafted","Bench"))</f>
        <v>Undrafted</v>
      </c>
      <c r="R129">
        <f ca="1">IFERROR(MAX(P129-LARGE(RBSheetCount,RBStarters),0),0)</f>
        <v>0</v>
      </c>
      <c r="S129">
        <f ca="1">IFERROR(IF(AllowNegative="Yes",P129-LARGE(RBSheetCount,RBCount),MAX(P129-LARGE(RBSheetCount,RBCount),0)),0)</f>
        <v>-65.570000000000007</v>
      </c>
      <c r="T129" s="85">
        <f ca="1">(S129-R129)*BenchPF+R129*StarterPF</f>
        <v>-11.888949284249565</v>
      </c>
      <c r="U129" s="85">
        <f ca="1">T129*Auction!$A$2</f>
        <v>-11.888949284249565</v>
      </c>
      <c r="V129" s="6" t="str">
        <f>IF(OR(INDEX(Auction!$H$13:$H$656,MATCH(B129,Auction!$A$13:$A$656,0))&gt;0,IFERROR(INDEX(CheatSheet!$M$5:$M$64,MATCH(B129,CheatSheet!$J$5:$J$64,0)),"")&lt;&gt;""),"Yes","No")</f>
        <v>No</v>
      </c>
      <c r="W129" s="179"/>
      <c r="Y129" s="78">
        <f t="shared" ca="1" si="9"/>
        <v>1</v>
      </c>
      <c r="Z129">
        <f t="shared" ca="1" si="10"/>
        <v>-32.785000000000004</v>
      </c>
      <c r="AA129" s="116" t="str">
        <f t="shared" ca="1" si="11"/>
        <v>RB10</v>
      </c>
      <c r="AB129">
        <f ca="1">Z129*LeagueInfo!$H$5</f>
        <v>-12.07236616775033</v>
      </c>
    </row>
    <row r="130" spans="1:28" x14ac:dyDescent="0.25">
      <c r="A130" cm="1">
        <f t="array" aca="1" ref="A130" ca="1">RANK(P130,RBSheetCount)</f>
        <v>128</v>
      </c>
      <c r="B130" t="str">
        <f>RB_Raw!A125</f>
        <v>Mike Boone</v>
      </c>
      <c r="C130" t="s">
        <v>28</v>
      </c>
      <c r="D130">
        <f>_xlfn.IFNA(INDEX(BYEs!$E$2:$E$411,MATCH(B130,BYEs!$D$2:$D$411,0)),"N/A")</f>
        <v>26</v>
      </c>
      <c r="E130">
        <f>INDEX(BYEs!$B$2:$B$34,MATCH(F130,BYEs!$A$2:$A$34,0))</f>
        <v>9</v>
      </c>
      <c r="F130" t="str">
        <f>RB_Raw!B125</f>
        <v>DEN</v>
      </c>
      <c r="G130" s="206">
        <v>0</v>
      </c>
      <c r="H130" s="207">
        <v>0</v>
      </c>
      <c r="I130" s="206">
        <f>RB_Raw!C125</f>
        <v>14</v>
      </c>
      <c r="J130" s="204">
        <f>RB_Raw!D125</f>
        <v>75</v>
      </c>
      <c r="K130" s="207">
        <f>RB_Raw!E125</f>
        <v>0.7</v>
      </c>
      <c r="L130" s="206">
        <f>RB_Raw!F125</f>
        <v>3.5</v>
      </c>
      <c r="M130" s="204">
        <f>RB_Raw!G125</f>
        <v>25.3</v>
      </c>
      <c r="N130" s="207">
        <f>RB_Raw!H125</f>
        <v>0.1</v>
      </c>
      <c r="O130" s="204">
        <f>RB_Raw!I125</f>
        <v>0</v>
      </c>
      <c r="P130" s="209">
        <f>(J130*RBRushingYd)+(K130*RBRushingTD)+(L130*RBReceptions)+(M130*RBRecYd)+(N130*RBRecTD)+(O130*RBFuml)+(I130*RBRushAtt)</f>
        <v>16.580000000000002</v>
      </c>
      <c r="Q130" t="str">
        <f ca="1">IF(A130&lt;=RBStarters,"Starter",IF(A130&gt;RBStarters+RBBench,"Undrafted","Bench"))</f>
        <v>Undrafted</v>
      </c>
      <c r="R130">
        <f ca="1">IFERROR(MAX(P130-LARGE(RBSheetCount,RBStarters),0),0)</f>
        <v>0</v>
      </c>
      <c r="S130">
        <f ca="1">IFERROR(IF(AllowNegative="Yes",P130-LARGE(RBSheetCount,RBCount),MAX(P130-LARGE(RBSheetCount,RBCount),0)),0)</f>
        <v>-65.610000000000014</v>
      </c>
      <c r="T130" s="85">
        <f ca="1">(S130-R130)*BenchPF+R130*StarterPF</f>
        <v>-11.896201960341834</v>
      </c>
      <c r="U130" s="85">
        <f ca="1">T130*Auction!$A$2</f>
        <v>-11.896201960341834</v>
      </c>
      <c r="V130" s="6" t="str">
        <f>IF(OR(INDEX(Auction!$H$13:$H$656,MATCH(B130,Auction!$A$13:$A$656,0))&gt;0,IFERROR(INDEX(CheatSheet!$M$5:$M$64,MATCH(B130,CheatSheet!$J$5:$J$64,0)),"")&lt;&gt;""),"Yes","No")</f>
        <v>No</v>
      </c>
      <c r="W130" s="179"/>
      <c r="Y130" s="78">
        <f t="shared" ca="1" si="9"/>
        <v>1</v>
      </c>
      <c r="Z130">
        <f t="shared" ca="1" si="10"/>
        <v>-32.805000000000007</v>
      </c>
      <c r="AA130" s="116" t="str">
        <f t="shared" ca="1" si="11"/>
        <v>RB10</v>
      </c>
      <c r="AB130">
        <f ca="1">Z130*LeagueInfo!$H$5</f>
        <v>-12.079730734575252</v>
      </c>
    </row>
    <row r="131" spans="1:28" x14ac:dyDescent="0.25">
      <c r="A131" cm="1">
        <f t="array" aca="1" ref="A131" ca="1">RANK(P131,RBSheetCount)</f>
        <v>129</v>
      </c>
      <c r="B131" t="str">
        <f>RB_Raw!A132</f>
        <v>Kylin Hill</v>
      </c>
      <c r="C131" t="s">
        <v>28</v>
      </c>
      <c r="D131" t="str">
        <f>_xlfn.IFNA(INDEX(BYEs!$E$2:$E$411,MATCH(B131,BYEs!$D$2:$D$411,0)),"N/A")</f>
        <v>N/A</v>
      </c>
      <c r="E131">
        <f>INDEX(BYEs!$B$2:$B$34,MATCH(F131,BYEs!$A$2:$A$34,0))</f>
        <v>14</v>
      </c>
      <c r="F131" t="str">
        <f>RB_Raw!B132</f>
        <v>GB</v>
      </c>
      <c r="G131" s="206">
        <v>0</v>
      </c>
      <c r="H131" s="207">
        <v>0</v>
      </c>
      <c r="I131" s="206">
        <f>RB_Raw!C132</f>
        <v>13</v>
      </c>
      <c r="J131" s="204">
        <f>RB_Raw!D132</f>
        <v>50</v>
      </c>
      <c r="K131" s="207">
        <f>RB_Raw!E132</f>
        <v>0</v>
      </c>
      <c r="L131" s="206">
        <f>RB_Raw!F132</f>
        <v>9</v>
      </c>
      <c r="M131" s="204">
        <f>RB_Raw!G132</f>
        <v>67</v>
      </c>
      <c r="N131" s="207">
        <f>RB_Raw!H132</f>
        <v>0</v>
      </c>
      <c r="O131" s="204">
        <f>RB_Raw!I132</f>
        <v>0</v>
      </c>
      <c r="P131" s="209">
        <f>(J131*RBRushingYd)+(K131*RBRushingTD)+(L131*RBReceptions)+(M131*RBRecYd)+(N131*RBRecTD)+(O131*RBFuml)+(I131*RBRushAtt)</f>
        <v>16.2</v>
      </c>
      <c r="Q131" t="str">
        <f ca="1">IF(A131&lt;=RBStarters,"Starter",IF(A131&gt;RBStarters+RBBench,"Undrafted","Bench"))</f>
        <v>Undrafted</v>
      </c>
      <c r="R131">
        <f ca="1">IFERROR(MAX(P131-LARGE(RBSheetCount,RBStarters),0),0)</f>
        <v>0</v>
      </c>
      <c r="S131">
        <f ca="1">IFERROR(IF(AllowNegative="Yes",P131-LARGE(RBSheetCount,RBCount),MAX(P131-LARGE(RBSheetCount,RBCount),0)),0)</f>
        <v>-65.990000000000009</v>
      </c>
      <c r="T131" s="85">
        <f ca="1">(S131-R131)*BenchPF+R131*StarterPF</f>
        <v>-11.965102383218374</v>
      </c>
      <c r="U131" s="85">
        <f ca="1">T131*Auction!$A$2</f>
        <v>-11.965102383218374</v>
      </c>
      <c r="V131" s="6" t="str">
        <f>IF(OR(INDEX(Auction!$H$13:$H$656,MATCH(B131,Auction!$A$13:$A$656,0))&gt;0,IFERROR(INDEX(CheatSheet!$M$5:$M$64,MATCH(B131,CheatSheet!$J$5:$J$64,0)),"")&lt;&gt;""),"Yes","No")</f>
        <v>No</v>
      </c>
      <c r="W131" s="179"/>
      <c r="Y131" s="78">
        <f t="shared" ref="Y131:Y139" ca="1" si="12">SUMIFS($Z$3:$Z$138,$Z$3:$Z$138,"&gt;0",$V$3:$V$138,"No")/SUMIF($Z$3:$Z$138,"&gt;0")</f>
        <v>1</v>
      </c>
      <c r="Z131">
        <f t="shared" ref="Z131:Z138" ca="1" si="13">AVERAGE(R131:S131)</f>
        <v>-32.995000000000005</v>
      </c>
      <c r="AA131" s="116" t="str">
        <f t="shared" ref="AA131:AA139" ca="1" si="14">CONCATENATE("RB",ROUND((LARGE($Z$3:$Z$138,1)-$Z131)/(STDEVP($Z$3:$Z$138)/2)+1,0))</f>
        <v>RB10</v>
      </c>
      <c r="AB131">
        <f ca="1">Z131*LeagueInfo!$H$5</f>
        <v>-12.149694119411992</v>
      </c>
    </row>
    <row r="132" spans="1:28" x14ac:dyDescent="0.25">
      <c r="A132" cm="1">
        <f t="array" aca="1" ref="A132" ca="1">RANK(P132,RBSheetCount)</f>
        <v>130</v>
      </c>
      <c r="B132" t="str">
        <f>RB_Raw!A130</f>
        <v>Rico Dowdle</v>
      </c>
      <c r="C132" t="s">
        <v>28</v>
      </c>
      <c r="D132" t="str">
        <f>_xlfn.IFNA(INDEX(BYEs!$E$2:$E$411,MATCH(B132,BYEs!$D$2:$D$411,0)),"N/A")</f>
        <v>N/A</v>
      </c>
      <c r="E132">
        <f>INDEX(BYEs!$B$2:$B$34,MATCH(F132,BYEs!$A$2:$A$34,0))</f>
        <v>9</v>
      </c>
      <c r="F132" t="str">
        <f>RB_Raw!B130</f>
        <v>DAL</v>
      </c>
      <c r="G132" s="206">
        <v>0</v>
      </c>
      <c r="H132" s="207">
        <v>0</v>
      </c>
      <c r="I132" s="206">
        <f>RB_Raw!C130</f>
        <v>16</v>
      </c>
      <c r="J132" s="204">
        <f>RB_Raw!D130</f>
        <v>64.900000000000006</v>
      </c>
      <c r="K132" s="207">
        <f>RB_Raw!E130</f>
        <v>0.4</v>
      </c>
      <c r="L132" s="206">
        <f>RB_Raw!F130</f>
        <v>4.4000000000000004</v>
      </c>
      <c r="M132" s="204">
        <f>RB_Raw!G130</f>
        <v>34.700000000000003</v>
      </c>
      <c r="N132" s="207">
        <f>RB_Raw!H130</f>
        <v>0.2</v>
      </c>
      <c r="O132" s="204">
        <f>RB_Raw!I130</f>
        <v>0.1</v>
      </c>
      <c r="P132" s="209">
        <f>(J132*RBRushingYd)+(K132*RBRushingTD)+(L132*RBReceptions)+(M132*RBRecYd)+(N132*RBRecTD)+(O132*RBFuml)+(I132*RBRushAtt)</f>
        <v>15.560000000000002</v>
      </c>
      <c r="Q132" t="str">
        <f ca="1">IF(A132&lt;=RBStarters,"Starter",IF(A132&gt;RBStarters+RBBench,"Undrafted","Bench"))</f>
        <v>Undrafted</v>
      </c>
      <c r="R132">
        <f ca="1">IFERROR(MAX(P132-LARGE(RBSheetCount,RBStarters),0),0)</f>
        <v>0</v>
      </c>
      <c r="S132">
        <f ca="1">IFERROR(IF(AllowNegative="Yes",P132-LARGE(RBSheetCount,RBCount),MAX(P132-LARGE(RBSheetCount,RBCount),0)),0)</f>
        <v>-66.63000000000001</v>
      </c>
      <c r="T132" s="85">
        <f ca="1">(S132-R132)*BenchPF+R132*StarterPF</f>
        <v>-12.081145200694655</v>
      </c>
      <c r="U132" s="85">
        <f ca="1">T132*Auction!$A$2</f>
        <v>-12.081145200694655</v>
      </c>
      <c r="V132" s="6" t="str">
        <f>IF(OR(INDEX(Auction!$H$13:$H$656,MATCH(B132,Auction!$A$13:$A$656,0))&gt;0,IFERROR(INDEX(CheatSheet!$M$5:$M$64,MATCH(B132,CheatSheet!$J$5:$J$64,0)),"")&lt;&gt;""),"Yes","No")</f>
        <v>No</v>
      </c>
      <c r="W132" s="179"/>
      <c r="Y132" s="78">
        <f t="shared" ca="1" si="12"/>
        <v>1</v>
      </c>
      <c r="Z132">
        <f t="shared" ca="1" si="13"/>
        <v>-33.315000000000005</v>
      </c>
      <c r="AA132" s="116" t="str">
        <f t="shared" ca="1" si="14"/>
        <v>RB10</v>
      </c>
      <c r="AB132">
        <f ca="1">Z132*LeagueInfo!$H$5</f>
        <v>-12.267527188610714</v>
      </c>
    </row>
    <row r="133" spans="1:28" x14ac:dyDescent="0.25">
      <c r="A133" cm="1">
        <f t="array" aca="1" ref="A133" ca="1">RANK(P133,RBSheetCount)</f>
        <v>131</v>
      </c>
      <c r="B133" t="str">
        <f>RB_Raw!A134</f>
        <v>C.J. Ham</v>
      </c>
      <c r="C133" t="s">
        <v>28</v>
      </c>
      <c r="D133" t="str">
        <f>_xlfn.IFNA(INDEX(BYEs!$E$2:$E$411,MATCH(B133,BYEs!$D$2:$D$411,0)),"N/A")</f>
        <v>N/A</v>
      </c>
      <c r="E133">
        <f>INDEX(BYEs!$B$2:$B$34,MATCH(F133,BYEs!$A$2:$A$34,0))</f>
        <v>7</v>
      </c>
      <c r="F133" t="str">
        <f>RB_Raw!B134</f>
        <v>MIN</v>
      </c>
      <c r="G133" s="206">
        <v>0</v>
      </c>
      <c r="H133" s="207">
        <v>0</v>
      </c>
      <c r="I133" s="206">
        <f>RB_Raw!C134</f>
        <v>5.5</v>
      </c>
      <c r="J133" s="204">
        <f>RB_Raw!D134</f>
        <v>15.3</v>
      </c>
      <c r="K133" s="207">
        <f>RB_Raw!E134</f>
        <v>0.1</v>
      </c>
      <c r="L133" s="206">
        <f>RB_Raw!F134</f>
        <v>9.4</v>
      </c>
      <c r="M133" s="204">
        <f>RB_Raw!G134</f>
        <v>68.400000000000006</v>
      </c>
      <c r="N133" s="207">
        <f>RB_Raw!H134</f>
        <v>0.3</v>
      </c>
      <c r="O133" s="204">
        <f>RB_Raw!I134</f>
        <v>0</v>
      </c>
      <c r="P133" s="209">
        <f>(J133*RBRushingYd)+(K133*RBRushingTD)+(L133*RBReceptions)+(M133*RBRecYd)+(N133*RBRecTD)+(O133*RBFuml)+(I133*RBRushAtt)</f>
        <v>15.470000000000002</v>
      </c>
      <c r="Q133" t="str">
        <f ca="1">IF(A133&lt;=RBStarters,"Starter",IF(A133&gt;RBStarters+RBBench,"Undrafted","Bench"))</f>
        <v>Undrafted</v>
      </c>
      <c r="R133">
        <f ca="1">IFERROR(MAX(P133-LARGE(RBSheetCount,RBStarters),0),0)</f>
        <v>0</v>
      </c>
      <c r="S133">
        <f ca="1">IFERROR(IF(AllowNegative="Yes",P133-LARGE(RBSheetCount,RBCount),MAX(P133-LARGE(RBSheetCount,RBCount),0)),0)</f>
        <v>-66.720000000000013</v>
      </c>
      <c r="T133" s="85">
        <f ca="1">(S133-R133)*BenchPF+R133*StarterPF</f>
        <v>-12.097463721902258</v>
      </c>
      <c r="U133" s="85">
        <f ca="1">T133*Auction!$A$2</f>
        <v>-12.097463721902258</v>
      </c>
      <c r="V133" s="6" t="str">
        <f>IF(OR(INDEX(Auction!$H$13:$H$656,MATCH(B133,Auction!$A$13:$A$656,0))&gt;0,IFERROR(INDEX(CheatSheet!$M$5:$M$64,MATCH(B133,CheatSheet!$J$5:$J$64,0)),"")&lt;&gt;""),"Yes","No")</f>
        <v>No</v>
      </c>
      <c r="W133" s="179"/>
      <c r="Y133" s="78">
        <f t="shared" ca="1" si="12"/>
        <v>1</v>
      </c>
      <c r="Z133">
        <f t="shared" ca="1" si="13"/>
        <v>-33.360000000000007</v>
      </c>
      <c r="AA133" s="116" t="str">
        <f t="shared" ca="1" si="14"/>
        <v>RB10</v>
      </c>
      <c r="AB133">
        <f ca="1">Z133*LeagueInfo!$H$5</f>
        <v>-12.284097463966786</v>
      </c>
    </row>
    <row r="134" spans="1:28" x14ac:dyDescent="0.25">
      <c r="A134" cm="1">
        <f t="array" aca="1" ref="A134" ca="1">RANK(P134,RBSheetCount)</f>
        <v>132</v>
      </c>
      <c r="B134" t="str">
        <f>RB_Raw!A133</f>
        <v>Keith Smith</v>
      </c>
      <c r="C134" t="s">
        <v>28</v>
      </c>
      <c r="D134" t="str">
        <f>_xlfn.IFNA(INDEX(BYEs!$E$2:$E$411,MATCH(B134,BYEs!$D$2:$D$411,0)),"N/A")</f>
        <v>N/A</v>
      </c>
      <c r="E134">
        <f>INDEX(BYEs!$B$2:$B$34,MATCH(F134,BYEs!$A$2:$A$34,0))</f>
        <v>14</v>
      </c>
      <c r="F134" t="str">
        <f>RB_Raw!B133</f>
        <v>ATL</v>
      </c>
      <c r="G134" s="206">
        <v>0</v>
      </c>
      <c r="H134" s="207">
        <v>0</v>
      </c>
      <c r="I134" s="206">
        <f>RB_Raw!C133</f>
        <v>8.1</v>
      </c>
      <c r="J134" s="204">
        <f>RB_Raw!D133</f>
        <v>32.700000000000003</v>
      </c>
      <c r="K134" s="207">
        <f>RB_Raw!E133</f>
        <v>0.2</v>
      </c>
      <c r="L134" s="206">
        <f>RB_Raw!F133</f>
        <v>7.9</v>
      </c>
      <c r="M134" s="204">
        <f>RB_Raw!G133</f>
        <v>53.8</v>
      </c>
      <c r="N134" s="207">
        <f>RB_Raw!H133</f>
        <v>0.3</v>
      </c>
      <c r="O134" s="204">
        <f>RB_Raw!I133</f>
        <v>0.1</v>
      </c>
      <c r="P134" s="209">
        <f>(J134*RBRushingYd)+(K134*RBRushingTD)+(L134*RBReceptions)+(M134*RBRecYd)+(N134*RBRecTD)+(O134*RBFuml)+(I134*RBRushAtt)</f>
        <v>15.400000000000002</v>
      </c>
      <c r="Q134" t="str">
        <f ca="1">IF(A134&lt;=RBStarters,"Starter",IF(A134&gt;RBStarters+RBBench,"Undrafted","Bench"))</f>
        <v>Undrafted</v>
      </c>
      <c r="R134">
        <f ca="1">IFERROR(MAX(P134-LARGE(RBSheetCount,RBStarters),0),0)</f>
        <v>0</v>
      </c>
      <c r="S134">
        <f ca="1">IFERROR(IF(AllowNegative="Yes",P134-LARGE(RBSheetCount,RBCount),MAX(P134-LARGE(RBSheetCount,RBCount),0)),0)</f>
        <v>-66.790000000000006</v>
      </c>
      <c r="T134" s="85">
        <f ca="1">(S134-R134)*BenchPF+R134*StarterPF</f>
        <v>-12.110155905063724</v>
      </c>
      <c r="U134" s="85">
        <f ca="1">T134*Auction!$A$2</f>
        <v>-12.110155905063724</v>
      </c>
      <c r="V134" s="6" t="str">
        <f>IF(OR(INDEX(Auction!$H$13:$H$656,MATCH(B134,Auction!$A$13:$A$656,0))&gt;0,IFERROR(INDEX(CheatSheet!$M$5:$M$64,MATCH(B134,CheatSheet!$J$5:$J$64,0)),"")&lt;&gt;""),"Yes","No")</f>
        <v>No</v>
      </c>
      <c r="W134" s="179"/>
      <c r="Y134" s="78">
        <f t="shared" ca="1" si="12"/>
        <v>1</v>
      </c>
      <c r="Z134">
        <f t="shared" ca="1" si="13"/>
        <v>-33.395000000000003</v>
      </c>
      <c r="AA134" s="116" t="str">
        <f t="shared" ca="1" si="14"/>
        <v>RB10</v>
      </c>
      <c r="AB134">
        <f ca="1">Z134*LeagueInfo!$H$5</f>
        <v>-12.296985455910393</v>
      </c>
    </row>
    <row r="135" spans="1:28" x14ac:dyDescent="0.25">
      <c r="A135" cm="1">
        <f t="array" aca="1" ref="A135" ca="1">RANK(P135,RBSheetCount)</f>
        <v>133</v>
      </c>
      <c r="B135" t="str">
        <f>RB_Raw!A128</f>
        <v>Trayveon Williams</v>
      </c>
      <c r="C135" t="s">
        <v>28</v>
      </c>
      <c r="D135">
        <f>_xlfn.IFNA(INDEX(BYEs!$E$2:$E$411,MATCH(B135,BYEs!$D$2:$D$411,0)),"N/A")</f>
        <v>23</v>
      </c>
      <c r="E135">
        <f>INDEX(BYEs!$B$2:$B$34,MATCH(F135,BYEs!$A$2:$A$34,0))</f>
        <v>10</v>
      </c>
      <c r="F135" t="str">
        <f>RB_Raw!B128</f>
        <v>CIN</v>
      </c>
      <c r="G135" s="206">
        <v>0</v>
      </c>
      <c r="H135" s="207">
        <v>0</v>
      </c>
      <c r="I135" s="206">
        <f>RB_Raw!C128</f>
        <v>4.4000000000000004</v>
      </c>
      <c r="J135" s="204">
        <f>RB_Raw!D128</f>
        <v>81</v>
      </c>
      <c r="K135" s="207">
        <f>RB_Raw!E128</f>
        <v>0.5</v>
      </c>
      <c r="L135" s="206">
        <f>RB_Raw!F128</f>
        <v>3.9</v>
      </c>
      <c r="M135" s="204">
        <f>RB_Raw!G128</f>
        <v>22.5</v>
      </c>
      <c r="N135" s="207">
        <f>RB_Raw!H128</f>
        <v>0.1</v>
      </c>
      <c r="O135" s="204">
        <f>RB_Raw!I128</f>
        <v>0.5</v>
      </c>
      <c r="P135" s="209">
        <f>(J135*RBRushingYd)+(K135*RBRushingTD)+(L135*RBReceptions)+(M135*RBRecYd)+(N135*RBRecTD)+(O135*RBFuml)+(I135*RBRushAtt)</f>
        <v>14.899999999999999</v>
      </c>
      <c r="Q135" t="str">
        <f ca="1">IF(A135&lt;=RBStarters,"Starter",IF(A135&gt;RBStarters+RBBench,"Undrafted","Bench"))</f>
        <v>Undrafted</v>
      </c>
      <c r="R135">
        <f ca="1">IFERROR(MAX(P135-LARGE(RBSheetCount,RBStarters),0),0)</f>
        <v>0</v>
      </c>
      <c r="S135">
        <f ca="1">IFERROR(IF(AllowNegative="Yes",P135-LARGE(RBSheetCount,RBCount),MAX(P135-LARGE(RBSheetCount,RBCount),0)),0)</f>
        <v>-67.29000000000002</v>
      </c>
      <c r="T135" s="85">
        <f ca="1">(S135-R135)*BenchPF+R135*StarterPF</f>
        <v>-12.200814356217071</v>
      </c>
      <c r="U135" s="85">
        <f ca="1">T135*Auction!$A$2</f>
        <v>-12.200814356217071</v>
      </c>
      <c r="V135" s="6" t="str">
        <f>IF(OR(INDEX(Auction!$H$13:$H$656,MATCH(B135,Auction!$A$13:$A$656,0))&gt;0,IFERROR(INDEX(CheatSheet!$M$5:$M$64,MATCH(B135,CheatSheet!$J$5:$J$64,0)),"")&lt;&gt;""),"Yes","No")</f>
        <v>No</v>
      </c>
      <c r="W135" s="179"/>
      <c r="Y135" s="78">
        <f t="shared" ca="1" si="12"/>
        <v>1</v>
      </c>
      <c r="Z135">
        <f t="shared" ca="1" si="13"/>
        <v>-33.64500000000001</v>
      </c>
      <c r="AA135" s="116" t="str">
        <f t="shared" ca="1" si="14"/>
        <v>RB10</v>
      </c>
      <c r="AB135">
        <f ca="1">Z135*LeagueInfo!$H$5</f>
        <v>-12.389042541221899</v>
      </c>
    </row>
    <row r="136" spans="1:28" x14ac:dyDescent="0.25">
      <c r="A136" cm="1">
        <f t="array" aca="1" ref="A136" ca="1">RANK(P136,RBSheetCount)</f>
        <v>134</v>
      </c>
      <c r="B136" t="str">
        <f>RB_Raw!A136</f>
        <v>Alec Ingold</v>
      </c>
      <c r="C136" t="s">
        <v>28</v>
      </c>
      <c r="D136" t="str">
        <f>_xlfn.IFNA(INDEX(BYEs!$E$2:$E$411,MATCH(B136,BYEs!$D$2:$D$411,0)),"N/A")</f>
        <v>N/A</v>
      </c>
      <c r="E136">
        <f>INDEX(BYEs!$B$2:$B$34,MATCH(F136,BYEs!$A$2:$A$34,0))</f>
        <v>11</v>
      </c>
      <c r="F136" t="str">
        <f>RB_Raw!B136</f>
        <v>MIA</v>
      </c>
      <c r="G136" s="206">
        <v>0</v>
      </c>
      <c r="H136" s="207">
        <v>0</v>
      </c>
      <c r="I136" s="206">
        <f>RB_Raw!C136</f>
        <v>4.3</v>
      </c>
      <c r="J136" s="204">
        <f>RB_Raw!D136</f>
        <v>14.9</v>
      </c>
      <c r="K136" s="207">
        <f>RB_Raw!E136</f>
        <v>0.1</v>
      </c>
      <c r="L136" s="206">
        <f>RB_Raw!F136</f>
        <v>6.5</v>
      </c>
      <c r="M136" s="204">
        <f>RB_Raw!G136</f>
        <v>48.1</v>
      </c>
      <c r="N136" s="207">
        <f>RB_Raw!H136</f>
        <v>0.3</v>
      </c>
      <c r="O136" s="204">
        <f>RB_Raw!I136</f>
        <v>0</v>
      </c>
      <c r="P136" s="209">
        <f>(J136*RBRushingYd)+(K136*RBRushingTD)+(L136*RBReceptions)+(M136*RBRecYd)+(N136*RBRecTD)+(O136*RBFuml)+(I136*RBRushAtt)</f>
        <v>11.95</v>
      </c>
      <c r="Q136" t="str">
        <f ca="1">IF(A136&lt;=RBStarters,"Starter",IF(A136&gt;RBStarters+RBBench,"Undrafted","Bench"))</f>
        <v>Undrafted</v>
      </c>
      <c r="R136">
        <f ca="1">IFERROR(MAX(P136-LARGE(RBSheetCount,RBStarters),0),0)</f>
        <v>0</v>
      </c>
      <c r="S136">
        <f ca="1">IFERROR(IF(AllowNegative="Yes",P136-LARGE(RBSheetCount,RBCount),MAX(P136-LARGE(RBSheetCount,RBCount),0)),0)</f>
        <v>-70.240000000000009</v>
      </c>
      <c r="T136" s="85">
        <f ca="1">(S136-R136)*BenchPF+R136*StarterPF</f>
        <v>-12.7356992180218</v>
      </c>
      <c r="U136" s="85">
        <f ca="1">T136*Auction!$A$2</f>
        <v>-12.7356992180218</v>
      </c>
      <c r="V136" s="6" t="str">
        <f>IF(OR(INDEX(Auction!$H$13:$H$656,MATCH(B136,Auction!$A$13:$A$656,0))&gt;0,IFERROR(INDEX(CheatSheet!$M$5:$M$64,MATCH(B136,CheatSheet!$J$5:$J$64,0)),"")&lt;&gt;""),"Yes","No")</f>
        <v>No</v>
      </c>
      <c r="W136" s="179"/>
      <c r="Y136" s="78">
        <f t="shared" ca="1" si="12"/>
        <v>1</v>
      </c>
      <c r="Z136">
        <f t="shared" ca="1" si="13"/>
        <v>-35.120000000000005</v>
      </c>
      <c r="AA136" s="116" t="str">
        <f t="shared" ca="1" si="14"/>
        <v>RB10</v>
      </c>
      <c r="AB136">
        <f ca="1">Z136*LeagueInfo!$H$5</f>
        <v>-12.932179344559756</v>
      </c>
    </row>
    <row r="137" spans="1:28" x14ac:dyDescent="0.25">
      <c r="A137" cm="1">
        <f t="array" aca="1" ref="A137" ca="1">RANK(P137,RBSheetCount)</f>
        <v>135</v>
      </c>
      <c r="B137" t="str">
        <f>RB_Raw!A135</f>
        <v>Justice Hill</v>
      </c>
      <c r="C137" t="s">
        <v>28</v>
      </c>
      <c r="D137">
        <f>_xlfn.IFNA(INDEX(BYEs!$E$2:$E$411,MATCH(B137,BYEs!$D$2:$D$411,0)),"N/A")</f>
        <v>23</v>
      </c>
      <c r="E137">
        <f>INDEX(BYEs!$B$2:$B$34,MATCH(F137,BYEs!$A$2:$A$34,0))</f>
        <v>10</v>
      </c>
      <c r="F137" t="str">
        <f>RB_Raw!B135</f>
        <v>BAL</v>
      </c>
      <c r="G137" s="206">
        <v>0</v>
      </c>
      <c r="H137" s="207">
        <v>0</v>
      </c>
      <c r="I137" s="206">
        <f>RB_Raw!C135</f>
        <v>10.3</v>
      </c>
      <c r="J137" s="204">
        <f>RB_Raw!D135</f>
        <v>44.2</v>
      </c>
      <c r="K137" s="207">
        <f>RB_Raw!E135</f>
        <v>0.4</v>
      </c>
      <c r="L137" s="206">
        <f>RB_Raw!F135</f>
        <v>2.6</v>
      </c>
      <c r="M137" s="204">
        <f>RB_Raw!G135</f>
        <v>18.2</v>
      </c>
      <c r="N137" s="207">
        <f>RB_Raw!H135</f>
        <v>0.1</v>
      </c>
      <c r="O137" s="204">
        <f>RB_Raw!I135</f>
        <v>0</v>
      </c>
      <c r="P137" s="209">
        <f>(J137*RBRushingYd)+(K137*RBRushingTD)+(L137*RBReceptions)+(M137*RBRecYd)+(N137*RBRecTD)+(O137*RBFuml)+(I137*RBRushAtt)</f>
        <v>10.540000000000001</v>
      </c>
      <c r="Q137" t="str">
        <f ca="1">IF(A137&lt;=RBStarters,"Starter",IF(A137&gt;RBStarters+RBBench,"Undrafted","Bench"))</f>
        <v>Undrafted</v>
      </c>
      <c r="R137">
        <f ca="1">IFERROR(MAX(P137-LARGE(RBSheetCount,RBStarters),0),0)</f>
        <v>0</v>
      </c>
      <c r="S137">
        <f ca="1">IFERROR(IF(AllowNegative="Yes",P137-LARGE(RBSheetCount,RBCount),MAX(P137-LARGE(RBSheetCount,RBCount),0)),0)</f>
        <v>-71.650000000000006</v>
      </c>
      <c r="T137" s="85">
        <f ca="1">(S137-R137)*BenchPF+R137*StarterPF</f>
        <v>-12.991356050274231</v>
      </c>
      <c r="U137" s="85">
        <f ca="1">T137*Auction!$A$2</f>
        <v>-12.991356050274231</v>
      </c>
      <c r="V137" s="6" t="str">
        <f>IF(OR(INDEX(Auction!$H$13:$H$656,MATCH(B137,Auction!$A$13:$A$656,0))&gt;0,IFERROR(INDEX(CheatSheet!$M$5:$M$64,MATCH(B137,CheatSheet!$J$5:$J$64,0)),"")&lt;&gt;""),"Yes","No")</f>
        <v>No</v>
      </c>
      <c r="W137" s="179"/>
      <c r="Y137" s="78">
        <f t="shared" ca="1" si="12"/>
        <v>1</v>
      </c>
      <c r="Z137">
        <f t="shared" ca="1" si="13"/>
        <v>-35.825000000000003</v>
      </c>
      <c r="AA137" s="116" t="str">
        <f t="shared" ca="1" si="14"/>
        <v>RB10</v>
      </c>
      <c r="AB137">
        <f ca="1">Z137*LeagueInfo!$H$5</f>
        <v>-13.19178032513819</v>
      </c>
    </row>
    <row r="138" spans="1:28" x14ac:dyDescent="0.25">
      <c r="A138" cm="1">
        <f t="array" aca="1" ref="A138" ca="1">RANK(P138,RBSheetCount)</f>
        <v>136</v>
      </c>
      <c r="B138" t="str">
        <f>RB_Raw!A137</f>
        <v>Jake Funk</v>
      </c>
      <c r="C138" t="s">
        <v>28</v>
      </c>
      <c r="D138" t="str">
        <f>_xlfn.IFNA(INDEX(BYEs!$E$2:$E$411,MATCH(B138,BYEs!$D$2:$D$411,0)),"N/A")</f>
        <v>N/A</v>
      </c>
      <c r="E138">
        <f>INDEX(BYEs!$B$2:$B$34,MATCH(F138,BYEs!$A$2:$A$34,0))</f>
        <v>7</v>
      </c>
      <c r="F138" t="str">
        <f>RB_Raw!B137</f>
        <v>LAR</v>
      </c>
      <c r="G138" s="206">
        <v>0</v>
      </c>
      <c r="H138" s="207">
        <v>0</v>
      </c>
      <c r="I138" s="206">
        <f>RB_Raw!C137</f>
        <v>6.9</v>
      </c>
      <c r="J138" s="204">
        <f>RB_Raw!D137</f>
        <v>41.2</v>
      </c>
      <c r="K138" s="207">
        <f>RB_Raw!E137</f>
        <v>0.3</v>
      </c>
      <c r="L138" s="206">
        <f>RB_Raw!F137</f>
        <v>3</v>
      </c>
      <c r="M138" s="204">
        <f>RB_Raw!G137</f>
        <v>21.7</v>
      </c>
      <c r="N138" s="207">
        <f>RB_Raw!H137</f>
        <v>0.1</v>
      </c>
      <c r="O138" s="204">
        <f>RB_Raw!I137</f>
        <v>0.1</v>
      </c>
      <c r="P138" s="209">
        <f>(J138*RBRushingYd)+(K138*RBRushingTD)+(L138*RBReceptions)+(M138*RBRecYd)+(N138*RBRecTD)+(O138*RBFuml)+(I138*RBRushAtt)</f>
        <v>9.99</v>
      </c>
      <c r="Q138" t="str">
        <f ca="1">IF(A138&lt;=RBStarters,"Starter",IF(A138&gt;RBStarters+RBBench,"Undrafted","Bench"))</f>
        <v>Undrafted</v>
      </c>
      <c r="R138">
        <f ca="1">IFERROR(MAX(P138-LARGE(RBSheetCount,RBStarters),0),0)</f>
        <v>0</v>
      </c>
      <c r="S138">
        <f ca="1">IFERROR(IF(AllowNegative="Yes",P138-LARGE(RBSheetCount,RBCount),MAX(P138-LARGE(RBSheetCount,RBCount),0)),0)</f>
        <v>-72.200000000000017</v>
      </c>
      <c r="T138" s="85">
        <f ca="1">(S138-R138)*BenchPF+R138*StarterPF</f>
        <v>-13.091080346542912</v>
      </c>
      <c r="U138" s="85">
        <f ca="1">T138*Auction!$A$2</f>
        <v>-13.091080346542912</v>
      </c>
      <c r="V138" s="6" t="str">
        <f>IF(OR(INDEX(Auction!$H$13:$H$656,MATCH(B138,Auction!$A$13:$A$656,0))&gt;0,IFERROR(INDEX(CheatSheet!$M$5:$M$64,MATCH(B138,CheatSheet!$J$5:$J$64,0)),"")&lt;&gt;""),"Yes","No")</f>
        <v>No</v>
      </c>
      <c r="W138" s="179"/>
      <c r="Y138" s="78">
        <f t="shared" ca="1" si="12"/>
        <v>1</v>
      </c>
      <c r="Z138">
        <f t="shared" ca="1" si="13"/>
        <v>-36.100000000000009</v>
      </c>
      <c r="AA138" s="116" t="str">
        <f t="shared" ca="1" si="14"/>
        <v>RB10</v>
      </c>
      <c r="AB138">
        <f ca="1">Z138*LeagueInfo!$H$5</f>
        <v>-13.293043118980844</v>
      </c>
    </row>
    <row r="139" spans="1:28" x14ac:dyDescent="0.25">
      <c r="A139" cm="1">
        <f t="array" aca="1" ref="A139" ca="1">RANK(P139,RBSheetCount)</f>
        <v>137</v>
      </c>
      <c r="B139" t="str">
        <f>RB_Raw!A160</f>
        <v>Jaret Patterson</v>
      </c>
      <c r="C139" t="s">
        <v>28</v>
      </c>
      <c r="D139" t="str">
        <f>_xlfn.IFNA(INDEX(BYEs!$E$2:$E$411,MATCH(B139,BYEs!$D$2:$D$411,0)),"N/A")</f>
        <v>N/A</v>
      </c>
      <c r="E139">
        <f>INDEX(BYEs!$B$2:$B$34,MATCH(F139,BYEs!$A$2:$A$34,0))</f>
        <v>14</v>
      </c>
      <c r="F139" t="str">
        <f>RB_Raw!B160</f>
        <v>WAS</v>
      </c>
      <c r="G139" s="206">
        <v>0</v>
      </c>
      <c r="H139" s="207">
        <v>0</v>
      </c>
      <c r="I139" s="206">
        <f>RB_Raw!C160</f>
        <v>0</v>
      </c>
      <c r="J139" s="204">
        <f>RB_Raw!D160</f>
        <v>0</v>
      </c>
      <c r="K139" s="207">
        <f>RB_Raw!E160</f>
        <v>0</v>
      </c>
      <c r="L139" s="206">
        <f>RB_Raw!F160</f>
        <v>0</v>
      </c>
      <c r="M139" s="204">
        <f>RB_Raw!G160</f>
        <v>0</v>
      </c>
      <c r="N139" s="207">
        <f>RB_Raw!H160</f>
        <v>0</v>
      </c>
      <c r="O139" s="204">
        <f>RB_Raw!I160</f>
        <v>0</v>
      </c>
      <c r="P139" s="209">
        <f>(J139*RBRushingYd)+(K139*RBRushingTD)+(L139*RBReceptions)+(M139*RBRecYd)+(N139*RBRecTD)+(O139*RBFuml)+(I139*RBRushAtt)</f>
        <v>0</v>
      </c>
      <c r="Q139" t="str">
        <f ca="1">IF(A139&lt;=RBStarters,"Starter",IF(A139&gt;RBStarters+RBBench,"Undrafted","Bench"))</f>
        <v>Undrafted</v>
      </c>
      <c r="R139">
        <f ca="1">IFERROR(MAX(P139-LARGE(RBSheetCount,RBStarters),0),0)</f>
        <v>0</v>
      </c>
      <c r="S139">
        <f ca="1">IFERROR(IF(AllowNegative="Yes",P139-LARGE(RBSheetCount,RBCount),MAX(P139-LARGE(RBSheetCount,RBCount),0)),0)</f>
        <v>-82.190000000000012</v>
      </c>
      <c r="T139" s="85">
        <f ca="1">(S139-R139)*BenchPF+R139*StarterPF</f>
        <v>-14.902436200586729</v>
      </c>
      <c r="U139" s="85">
        <f ca="1">T139*Auction!$A$2</f>
        <v>-14.902436200586729</v>
      </c>
      <c r="V139" s="6" t="str">
        <f>IF(OR(INDEX(Auction!$H$13:$H$656,MATCH(B139,Auction!$A$13:$A$656,0))&gt;0,IFERROR(INDEX(CheatSheet!$M$5:$M$64,MATCH(B139,CheatSheet!$J$5:$J$64,0)),"")&lt;&gt;""),"Yes","No")</f>
        <v>No</v>
      </c>
      <c r="W139" s="179"/>
      <c r="Y139" s="78">
        <f t="shared" ca="1" si="12"/>
        <v>1</v>
      </c>
      <c r="Z139">
        <f t="shared" ref="Z139" ca="1" si="15">AVERAGE(R139:S139)</f>
        <v>-41.095000000000006</v>
      </c>
      <c r="AA139" s="116" t="str">
        <f t="shared" ca="1" si="14"/>
        <v>RB10</v>
      </c>
      <c r="AB139">
        <f ca="1">Z139*LeagueInfo!$H$5</f>
        <v>-15.132343683504647</v>
      </c>
    </row>
  </sheetData>
  <autoFilter ref="A2:AB138" xr:uid="{10EF7688-3859-445F-9534-6F44193B6B42}"/>
  <sortState xmlns:xlrd2="http://schemas.microsoft.com/office/spreadsheetml/2017/richdata2" ref="A3:V139">
    <sortCondition ref="A2:A225"/>
  </sortState>
  <mergeCells count="3">
    <mergeCell ref="G1:H1"/>
    <mergeCell ref="I1:K1"/>
    <mergeCell ref="L1:N1"/>
  </mergeCells>
  <conditionalFormatting sqref="B3:V3 B4:Q138 T4:V138 R4:S139">
    <cfRule type="expression" dxfId="90" priority="21">
      <formula>$V3="Yes"</formula>
    </cfRule>
  </conditionalFormatting>
  <conditionalFormatting sqref="G3:N3">
    <cfRule type="expression" dxfId="89" priority="19">
      <formula>$V3="Yes"</formula>
    </cfRule>
  </conditionalFormatting>
  <conditionalFormatting sqref="P2:T2 A2 G2:H2 C2:E2">
    <cfRule type="expression" dxfId="88" priority="267">
      <formula>#REF!="Yes"</formula>
    </cfRule>
  </conditionalFormatting>
  <conditionalFormatting sqref="B139:Q139 T139:V139">
    <cfRule type="expression" dxfId="87" priority="1">
      <formula>$V139="Yes"</formula>
    </cfRule>
  </conditionalFormatting>
  <hyperlinks>
    <hyperlink ref="B36" r:id="rId1" display="http://www.fantasypros.com/nfl/players/danny-ware.php" xr:uid="{00000000-0004-0000-0500-000000000000}"/>
    <hyperlink ref="B89" r:id="rId2" display="http://www.fantasypros.com/nfl/players/david-johnson.php" xr:uid="{00000000-0004-0000-0500-000001000000}"/>
    <hyperlink ref="B131" r:id="rId3" display="http://www.fantasypros.com/nfl/players/jewel-hampton.php" xr:uid="{00000000-0004-0000-0500-000002000000}"/>
  </hyperlinks>
  <pageMargins left="0.7" right="0.7" top="0.75" bottom="0.75" header="0.3" footer="0.3"/>
  <pageSetup orientation="portrait" horizontalDpi="4294967294" verticalDpi="4294967294"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0000000}">
          <x14:formula1>
            <xm:f>LeagueInfo!$H$97:$H$100</xm:f>
          </x14:formula1>
          <xm:sqref>W3:W139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60"/>
  <sheetViews>
    <sheetView workbookViewId="0">
      <selection activeCell="D3" sqref="D3"/>
    </sheetView>
  </sheetViews>
  <sheetFormatPr defaultColWidth="8.85546875" defaultRowHeight="15" x14ac:dyDescent="0.25"/>
  <cols>
    <col min="1" max="1" width="21.42578125" bestFit="1" customWidth="1"/>
    <col min="2" max="2" width="8.140625" bestFit="1" customWidth="1"/>
    <col min="3" max="3" width="15.42578125" bestFit="1" customWidth="1"/>
    <col min="4" max="4" width="15.5703125" bestFit="1" customWidth="1"/>
    <col min="5" max="5" width="15.42578125" bestFit="1" customWidth="1"/>
    <col min="6" max="6" width="16.7109375" bestFit="1" customWidth="1"/>
    <col min="7" max="7" width="16.85546875" bestFit="1" customWidth="1"/>
    <col min="8" max="8" width="16.7109375" bestFit="1" customWidth="1"/>
    <col min="9" max="9" width="10.140625" bestFit="1" customWidth="1"/>
    <col min="10" max="10" width="12.42578125" bestFit="1" customWidth="1"/>
  </cols>
  <sheetData>
    <row r="1" spans="1:10" x14ac:dyDescent="0.25">
      <c r="A1" t="s">
        <v>85</v>
      </c>
      <c r="B1" t="s">
        <v>452</v>
      </c>
      <c r="C1" t="s">
        <v>609</v>
      </c>
      <c r="D1" t="s">
        <v>610</v>
      </c>
      <c r="E1" t="s">
        <v>611</v>
      </c>
      <c r="F1" t="s">
        <v>614</v>
      </c>
      <c r="G1" t="s">
        <v>615</v>
      </c>
      <c r="H1" t="s">
        <v>616</v>
      </c>
      <c r="I1" t="s">
        <v>612</v>
      </c>
      <c r="J1" t="s">
        <v>613</v>
      </c>
    </row>
    <row r="2" spans="1:10" x14ac:dyDescent="0.25">
      <c r="A2" t="s">
        <v>879</v>
      </c>
      <c r="B2" t="s">
        <v>280</v>
      </c>
      <c r="C2">
        <v>327.2</v>
      </c>
      <c r="D2">
        <v>1631.9</v>
      </c>
      <c r="E2">
        <v>15</v>
      </c>
      <c r="F2">
        <v>42.8</v>
      </c>
      <c r="G2">
        <v>356.9</v>
      </c>
      <c r="H2">
        <v>2</v>
      </c>
      <c r="I2">
        <v>2.4</v>
      </c>
      <c r="J2">
        <v>296.3</v>
      </c>
    </row>
    <row r="3" spans="1:10" x14ac:dyDescent="0.25">
      <c r="A3" t="s">
        <v>148</v>
      </c>
      <c r="B3" t="s">
        <v>284</v>
      </c>
      <c r="C3">
        <v>365.9</v>
      </c>
      <c r="D3">
        <v>1639.3</v>
      </c>
      <c r="E3">
        <v>13</v>
      </c>
      <c r="F3">
        <v>27.4</v>
      </c>
      <c r="G3">
        <v>216</v>
      </c>
      <c r="H3">
        <v>0.9</v>
      </c>
      <c r="I3">
        <v>2</v>
      </c>
      <c r="J3">
        <v>264.8</v>
      </c>
    </row>
    <row r="4" spans="1:10" x14ac:dyDescent="0.25">
      <c r="A4" t="s">
        <v>116</v>
      </c>
      <c r="B4" t="s">
        <v>282</v>
      </c>
      <c r="C4">
        <v>237.7</v>
      </c>
      <c r="D4">
        <v>1057.9000000000001</v>
      </c>
      <c r="E4">
        <v>7.6</v>
      </c>
      <c r="F4">
        <v>89</v>
      </c>
      <c r="G4">
        <v>757.6</v>
      </c>
      <c r="H4">
        <v>4.0999999999999996</v>
      </c>
      <c r="I4">
        <v>1.4</v>
      </c>
      <c r="J4">
        <v>248.9</v>
      </c>
    </row>
    <row r="5" spans="1:10" x14ac:dyDescent="0.25">
      <c r="A5" t="s">
        <v>549</v>
      </c>
      <c r="B5" t="s">
        <v>286</v>
      </c>
      <c r="C5">
        <v>221.1</v>
      </c>
      <c r="D5">
        <v>959.7</v>
      </c>
      <c r="E5">
        <v>9.3000000000000007</v>
      </c>
      <c r="F5">
        <v>73.099999999999994</v>
      </c>
      <c r="G5">
        <v>652.1</v>
      </c>
      <c r="H5">
        <v>5.3</v>
      </c>
      <c r="I5">
        <v>1.5</v>
      </c>
      <c r="J5">
        <v>245.6</v>
      </c>
    </row>
    <row r="6" spans="1:10" x14ac:dyDescent="0.25">
      <c r="A6" t="s">
        <v>118</v>
      </c>
      <c r="B6" t="s">
        <v>290</v>
      </c>
      <c r="C6">
        <v>287.39999999999998</v>
      </c>
      <c r="D6">
        <v>1194.3</v>
      </c>
      <c r="E6">
        <v>9.6999999999999993</v>
      </c>
      <c r="F6">
        <v>46.7</v>
      </c>
      <c r="G6">
        <v>339.4</v>
      </c>
      <c r="H6">
        <v>2.5</v>
      </c>
      <c r="I6">
        <v>1.6</v>
      </c>
      <c r="J6">
        <v>223.7</v>
      </c>
    </row>
    <row r="7" spans="1:10" x14ac:dyDescent="0.25">
      <c r="A7" t="s">
        <v>139</v>
      </c>
      <c r="B7" t="s">
        <v>297</v>
      </c>
      <c r="C7">
        <v>276.2</v>
      </c>
      <c r="D7">
        <v>1242</v>
      </c>
      <c r="E7">
        <v>9.8000000000000007</v>
      </c>
      <c r="F7">
        <v>44.9</v>
      </c>
      <c r="G7">
        <v>334.7</v>
      </c>
      <c r="H7">
        <v>1.5</v>
      </c>
      <c r="I7">
        <v>2.5</v>
      </c>
      <c r="J7">
        <v>220.5</v>
      </c>
    </row>
    <row r="8" spans="1:10" x14ac:dyDescent="0.25">
      <c r="A8" t="s">
        <v>335</v>
      </c>
      <c r="B8" t="s">
        <v>277</v>
      </c>
      <c r="C8">
        <v>223.1</v>
      </c>
      <c r="D8">
        <v>978.3</v>
      </c>
      <c r="E8">
        <v>7.9</v>
      </c>
      <c r="F8">
        <v>59.8</v>
      </c>
      <c r="G8">
        <v>526.29999999999995</v>
      </c>
      <c r="H8">
        <v>4.0999999999999996</v>
      </c>
      <c r="I8">
        <v>1.2</v>
      </c>
      <c r="J8">
        <v>220.1</v>
      </c>
    </row>
    <row r="9" spans="1:10" x14ac:dyDescent="0.25">
      <c r="A9" t="s">
        <v>926</v>
      </c>
      <c r="B9" t="s">
        <v>288</v>
      </c>
      <c r="C9">
        <v>299.10000000000002</v>
      </c>
      <c r="D9">
        <v>1185.9000000000001</v>
      </c>
      <c r="E9">
        <v>7.7</v>
      </c>
      <c r="F9">
        <v>60.7</v>
      </c>
      <c r="G9">
        <v>397.2</v>
      </c>
      <c r="H9">
        <v>2.1</v>
      </c>
      <c r="I9">
        <v>1.6</v>
      </c>
      <c r="J9">
        <v>214</v>
      </c>
    </row>
    <row r="10" spans="1:10" x14ac:dyDescent="0.25">
      <c r="A10" t="s">
        <v>346</v>
      </c>
      <c r="B10" t="s">
        <v>275</v>
      </c>
      <c r="C10">
        <v>195.2</v>
      </c>
      <c r="D10">
        <v>935.2</v>
      </c>
      <c r="E10">
        <v>6.2</v>
      </c>
      <c r="F10">
        <v>61.7</v>
      </c>
      <c r="G10">
        <v>505.9</v>
      </c>
      <c r="H10">
        <v>3.9</v>
      </c>
      <c r="I10">
        <v>1.5</v>
      </c>
      <c r="J10">
        <v>202</v>
      </c>
    </row>
    <row r="11" spans="1:10" x14ac:dyDescent="0.25">
      <c r="A11" t="s">
        <v>111</v>
      </c>
      <c r="B11" t="s">
        <v>281</v>
      </c>
      <c r="C11">
        <v>230.8</v>
      </c>
      <c r="D11">
        <v>956.1</v>
      </c>
      <c r="E11">
        <v>9</v>
      </c>
      <c r="F11">
        <v>60.4</v>
      </c>
      <c r="G11">
        <v>411.6</v>
      </c>
      <c r="H11">
        <v>2.1</v>
      </c>
      <c r="I11">
        <v>1.3</v>
      </c>
      <c r="J11">
        <v>201</v>
      </c>
    </row>
    <row r="12" spans="1:10" x14ac:dyDescent="0.25">
      <c r="A12" t="s">
        <v>339</v>
      </c>
      <c r="B12" t="s">
        <v>294</v>
      </c>
      <c r="C12">
        <v>227.4</v>
      </c>
      <c r="D12">
        <v>919.9</v>
      </c>
      <c r="E12">
        <v>10.199999999999999</v>
      </c>
      <c r="F12">
        <v>43.4</v>
      </c>
      <c r="G12">
        <v>351.9</v>
      </c>
      <c r="H12">
        <v>2.2999999999999998</v>
      </c>
      <c r="I12">
        <v>1.6</v>
      </c>
      <c r="J12">
        <v>199.2</v>
      </c>
    </row>
    <row r="13" spans="1:10" x14ac:dyDescent="0.25">
      <c r="A13" t="s">
        <v>548</v>
      </c>
      <c r="B13" t="s">
        <v>308</v>
      </c>
      <c r="C13">
        <v>249.5</v>
      </c>
      <c r="D13">
        <v>1228.8</v>
      </c>
      <c r="E13">
        <v>8.6</v>
      </c>
      <c r="F13">
        <v>24.8</v>
      </c>
      <c r="G13">
        <v>200</v>
      </c>
      <c r="H13">
        <v>1</v>
      </c>
      <c r="I13">
        <v>1.6</v>
      </c>
      <c r="J13">
        <v>197.2</v>
      </c>
    </row>
    <row r="14" spans="1:10" x14ac:dyDescent="0.25">
      <c r="A14" t="s">
        <v>927</v>
      </c>
      <c r="B14" t="s">
        <v>306</v>
      </c>
      <c r="C14">
        <v>232.5</v>
      </c>
      <c r="D14">
        <v>1025.5999999999999</v>
      </c>
      <c r="E14">
        <v>7.8</v>
      </c>
      <c r="F14">
        <v>45.9</v>
      </c>
      <c r="G14">
        <v>345.6</v>
      </c>
      <c r="H14">
        <v>2.7</v>
      </c>
      <c r="I14">
        <v>1.7</v>
      </c>
      <c r="J14">
        <v>196.5</v>
      </c>
    </row>
    <row r="15" spans="1:10" x14ac:dyDescent="0.25">
      <c r="A15" t="s">
        <v>541</v>
      </c>
      <c r="B15" t="s">
        <v>292</v>
      </c>
      <c r="C15">
        <v>244.7</v>
      </c>
      <c r="D15">
        <v>1018.4</v>
      </c>
      <c r="E15">
        <v>6.6</v>
      </c>
      <c r="F15">
        <v>57.2</v>
      </c>
      <c r="G15">
        <v>422.4</v>
      </c>
      <c r="H15">
        <v>2.2000000000000002</v>
      </c>
      <c r="I15">
        <v>1.5</v>
      </c>
      <c r="J15">
        <v>193.7</v>
      </c>
    </row>
    <row r="16" spans="1:10" x14ac:dyDescent="0.25">
      <c r="A16" t="s">
        <v>880</v>
      </c>
      <c r="B16" t="s">
        <v>287</v>
      </c>
      <c r="C16">
        <v>216</v>
      </c>
      <c r="D16">
        <v>916.3</v>
      </c>
      <c r="E16">
        <v>6.5</v>
      </c>
      <c r="F16">
        <v>65.7</v>
      </c>
      <c r="G16">
        <v>487.9</v>
      </c>
      <c r="H16">
        <v>2.6</v>
      </c>
      <c r="I16">
        <v>1.9</v>
      </c>
      <c r="J16">
        <v>191.7</v>
      </c>
    </row>
    <row r="17" spans="1:10" x14ac:dyDescent="0.25">
      <c r="A17" t="s">
        <v>661</v>
      </c>
      <c r="B17" t="s">
        <v>299</v>
      </c>
      <c r="C17">
        <v>234.8</v>
      </c>
      <c r="D17">
        <v>948.1</v>
      </c>
      <c r="E17">
        <v>7.6</v>
      </c>
      <c r="F17">
        <v>44.4</v>
      </c>
      <c r="G17">
        <v>345</v>
      </c>
      <c r="H17">
        <v>1.8</v>
      </c>
      <c r="I17">
        <v>1.4</v>
      </c>
      <c r="J17">
        <v>183</v>
      </c>
    </row>
    <row r="18" spans="1:10" x14ac:dyDescent="0.25">
      <c r="A18" t="s">
        <v>93</v>
      </c>
      <c r="B18" t="s">
        <v>285</v>
      </c>
      <c r="C18">
        <v>229.9</v>
      </c>
      <c r="D18">
        <v>962.3</v>
      </c>
      <c r="E18">
        <v>7.9</v>
      </c>
      <c r="F18">
        <v>40</v>
      </c>
      <c r="G18">
        <v>273.7</v>
      </c>
      <c r="H18">
        <v>1.8</v>
      </c>
      <c r="I18">
        <v>2.1</v>
      </c>
      <c r="J18">
        <v>177.7</v>
      </c>
    </row>
    <row r="19" spans="1:10" x14ac:dyDescent="0.25">
      <c r="A19" t="s">
        <v>882</v>
      </c>
      <c r="B19" t="s">
        <v>295</v>
      </c>
      <c r="C19">
        <v>198.7</v>
      </c>
      <c r="D19">
        <v>956.2</v>
      </c>
      <c r="E19">
        <v>8.4</v>
      </c>
      <c r="F19">
        <v>31.3</v>
      </c>
      <c r="G19">
        <v>228.8</v>
      </c>
      <c r="H19">
        <v>1.1000000000000001</v>
      </c>
      <c r="I19">
        <v>1</v>
      </c>
      <c r="J19">
        <v>173.7</v>
      </c>
    </row>
    <row r="20" spans="1:10" x14ac:dyDescent="0.25">
      <c r="A20" t="s">
        <v>665</v>
      </c>
      <c r="B20" t="s">
        <v>276</v>
      </c>
      <c r="C20">
        <v>213.3</v>
      </c>
      <c r="D20">
        <v>983.4</v>
      </c>
      <c r="E20">
        <v>10.199999999999999</v>
      </c>
      <c r="F20">
        <v>18.5</v>
      </c>
      <c r="G20">
        <v>138.6</v>
      </c>
      <c r="H20">
        <v>0.5</v>
      </c>
      <c r="I20">
        <v>1.4</v>
      </c>
      <c r="J20">
        <v>173.3</v>
      </c>
    </row>
    <row r="21" spans="1:10" x14ac:dyDescent="0.25">
      <c r="A21" t="s">
        <v>935</v>
      </c>
      <c r="B21" t="s">
        <v>301</v>
      </c>
      <c r="C21">
        <v>238.8</v>
      </c>
      <c r="D21">
        <v>1022.1</v>
      </c>
      <c r="E21">
        <v>7.3</v>
      </c>
      <c r="F21">
        <v>26.2</v>
      </c>
      <c r="G21">
        <v>199.6</v>
      </c>
      <c r="H21">
        <v>1.3</v>
      </c>
      <c r="I21">
        <v>1.2</v>
      </c>
      <c r="J21">
        <v>171.7</v>
      </c>
    </row>
    <row r="22" spans="1:10" x14ac:dyDescent="0.25">
      <c r="A22" t="s">
        <v>881</v>
      </c>
      <c r="B22" t="s">
        <v>303</v>
      </c>
      <c r="C22">
        <v>229.8</v>
      </c>
      <c r="D22">
        <v>995.1</v>
      </c>
      <c r="E22">
        <v>6.9</v>
      </c>
      <c r="F22">
        <v>34.4</v>
      </c>
      <c r="G22">
        <v>276.10000000000002</v>
      </c>
      <c r="H22">
        <v>1.6</v>
      </c>
      <c r="I22">
        <v>3.2</v>
      </c>
      <c r="J22">
        <v>171.1</v>
      </c>
    </row>
    <row r="23" spans="1:10" x14ac:dyDescent="0.25">
      <c r="A23" t="s">
        <v>660</v>
      </c>
      <c r="B23" t="s">
        <v>814</v>
      </c>
      <c r="C23">
        <v>223.8</v>
      </c>
      <c r="D23">
        <v>938.9</v>
      </c>
      <c r="E23">
        <v>8.1</v>
      </c>
      <c r="F23">
        <v>37</v>
      </c>
      <c r="G23">
        <v>258.7</v>
      </c>
      <c r="H23">
        <v>0.8</v>
      </c>
      <c r="I23">
        <v>1.9</v>
      </c>
      <c r="J23">
        <v>169.3</v>
      </c>
    </row>
    <row r="24" spans="1:10" x14ac:dyDescent="0.25">
      <c r="A24" t="s">
        <v>2444</v>
      </c>
      <c r="B24" t="s">
        <v>291</v>
      </c>
      <c r="C24">
        <v>178.7</v>
      </c>
      <c r="D24">
        <v>823.2</v>
      </c>
      <c r="E24">
        <v>5.7</v>
      </c>
      <c r="F24">
        <v>49.2</v>
      </c>
      <c r="G24">
        <v>401.2</v>
      </c>
      <c r="H24">
        <v>2</v>
      </c>
      <c r="I24">
        <v>1.7</v>
      </c>
      <c r="J24">
        <v>165.1</v>
      </c>
    </row>
    <row r="25" spans="1:10" x14ac:dyDescent="0.25">
      <c r="A25" t="s">
        <v>663</v>
      </c>
      <c r="B25" t="s">
        <v>293</v>
      </c>
      <c r="C25">
        <v>203.2</v>
      </c>
      <c r="D25">
        <v>1032.5999999999999</v>
      </c>
      <c r="E25">
        <v>5.7</v>
      </c>
      <c r="F25">
        <v>30.3</v>
      </c>
      <c r="G25">
        <v>214.6</v>
      </c>
      <c r="H25">
        <v>1.1000000000000001</v>
      </c>
      <c r="I25">
        <v>1.6</v>
      </c>
      <c r="J25">
        <v>162</v>
      </c>
    </row>
    <row r="26" spans="1:10" x14ac:dyDescent="0.25">
      <c r="A26" t="s">
        <v>848</v>
      </c>
      <c r="B26" t="s">
        <v>283</v>
      </c>
      <c r="C26">
        <v>202</v>
      </c>
      <c r="D26">
        <v>884.2</v>
      </c>
      <c r="E26">
        <v>6.8</v>
      </c>
      <c r="F26">
        <v>33.1</v>
      </c>
      <c r="G26">
        <v>240.3</v>
      </c>
      <c r="H26">
        <v>1.5</v>
      </c>
      <c r="I26">
        <v>2</v>
      </c>
      <c r="J26">
        <v>158.5</v>
      </c>
    </row>
    <row r="27" spans="1:10" x14ac:dyDescent="0.25">
      <c r="A27" t="s">
        <v>898</v>
      </c>
      <c r="B27" t="s">
        <v>275</v>
      </c>
      <c r="C27">
        <v>182.1</v>
      </c>
      <c r="D27">
        <v>801.7</v>
      </c>
      <c r="E27">
        <v>6.4</v>
      </c>
      <c r="F27">
        <v>33.6</v>
      </c>
      <c r="G27">
        <v>281</v>
      </c>
      <c r="H27">
        <v>1.6</v>
      </c>
      <c r="I27">
        <v>1.2</v>
      </c>
      <c r="J27">
        <v>153.5</v>
      </c>
    </row>
    <row r="28" spans="1:10" x14ac:dyDescent="0.25">
      <c r="A28" t="s">
        <v>2447</v>
      </c>
      <c r="B28" t="s">
        <v>307</v>
      </c>
      <c r="C28">
        <v>208.3</v>
      </c>
      <c r="D28">
        <v>879</v>
      </c>
      <c r="E28">
        <v>6</v>
      </c>
      <c r="F28">
        <v>31.5</v>
      </c>
      <c r="G28">
        <v>249.3</v>
      </c>
      <c r="H28">
        <v>1.3</v>
      </c>
      <c r="I28">
        <v>1.6</v>
      </c>
      <c r="J28">
        <v>152.9</v>
      </c>
    </row>
    <row r="29" spans="1:10" x14ac:dyDescent="0.25">
      <c r="A29" t="s">
        <v>543</v>
      </c>
      <c r="B29" t="s">
        <v>279</v>
      </c>
      <c r="C29">
        <v>189.6</v>
      </c>
      <c r="D29">
        <v>958.8</v>
      </c>
      <c r="E29">
        <v>6.7</v>
      </c>
      <c r="F29">
        <v>19.2</v>
      </c>
      <c r="G29">
        <v>144</v>
      </c>
      <c r="H29">
        <v>0.5</v>
      </c>
      <c r="I29">
        <v>1.2</v>
      </c>
      <c r="J29">
        <v>151.4</v>
      </c>
    </row>
    <row r="30" spans="1:10" x14ac:dyDescent="0.25">
      <c r="A30" t="s">
        <v>878</v>
      </c>
      <c r="B30" t="s">
        <v>296</v>
      </c>
      <c r="C30">
        <v>184.4</v>
      </c>
      <c r="D30">
        <v>797.9</v>
      </c>
      <c r="E30">
        <v>5.6</v>
      </c>
      <c r="F30">
        <v>36.200000000000003</v>
      </c>
      <c r="G30">
        <v>268.89999999999998</v>
      </c>
      <c r="H30">
        <v>2.1</v>
      </c>
      <c r="I30">
        <v>1.3</v>
      </c>
      <c r="J30">
        <v>150.19999999999999</v>
      </c>
    </row>
    <row r="31" spans="1:10" x14ac:dyDescent="0.25">
      <c r="A31" t="s">
        <v>2443</v>
      </c>
      <c r="B31" t="s">
        <v>304</v>
      </c>
      <c r="C31">
        <v>212.5</v>
      </c>
      <c r="D31">
        <v>833.4</v>
      </c>
      <c r="E31">
        <v>5.6</v>
      </c>
      <c r="F31">
        <v>34.9</v>
      </c>
      <c r="G31">
        <v>278</v>
      </c>
      <c r="H31">
        <v>1.4</v>
      </c>
      <c r="I31">
        <v>1.5</v>
      </c>
      <c r="J31">
        <v>150.1</v>
      </c>
    </row>
    <row r="32" spans="1:10" x14ac:dyDescent="0.25">
      <c r="A32" t="s">
        <v>668</v>
      </c>
      <c r="B32" t="s">
        <v>289</v>
      </c>
      <c r="C32">
        <v>182.2</v>
      </c>
      <c r="D32">
        <v>842.5</v>
      </c>
      <c r="E32">
        <v>6</v>
      </c>
      <c r="F32">
        <v>33.5</v>
      </c>
      <c r="G32">
        <v>225.2</v>
      </c>
      <c r="H32">
        <v>1.3</v>
      </c>
      <c r="I32">
        <v>1.3</v>
      </c>
      <c r="J32">
        <v>147.80000000000001</v>
      </c>
    </row>
    <row r="33" spans="1:10" x14ac:dyDescent="0.25">
      <c r="A33" t="s">
        <v>670</v>
      </c>
      <c r="B33" t="s">
        <v>285</v>
      </c>
      <c r="C33">
        <v>158.4</v>
      </c>
      <c r="D33">
        <v>752.5</v>
      </c>
      <c r="E33">
        <v>3.8</v>
      </c>
      <c r="F33">
        <v>47.3</v>
      </c>
      <c r="G33">
        <v>386.1</v>
      </c>
      <c r="H33">
        <v>2</v>
      </c>
      <c r="I33">
        <v>1.3</v>
      </c>
      <c r="J33">
        <v>146.1</v>
      </c>
    </row>
    <row r="34" spans="1:10" x14ac:dyDescent="0.25">
      <c r="A34" t="s">
        <v>933</v>
      </c>
      <c r="B34" t="s">
        <v>276</v>
      </c>
      <c r="C34">
        <v>174.5</v>
      </c>
      <c r="D34">
        <v>740.5</v>
      </c>
      <c r="E34">
        <v>6.5</v>
      </c>
      <c r="F34">
        <v>32.1</v>
      </c>
      <c r="G34">
        <v>248.5</v>
      </c>
      <c r="H34">
        <v>1.1000000000000001</v>
      </c>
      <c r="I34">
        <v>1</v>
      </c>
      <c r="J34">
        <v>142.4</v>
      </c>
    </row>
    <row r="35" spans="1:10" x14ac:dyDescent="0.25">
      <c r="A35" t="s">
        <v>391</v>
      </c>
      <c r="B35" t="s">
        <v>278</v>
      </c>
      <c r="C35">
        <v>137.30000000000001</v>
      </c>
      <c r="D35">
        <v>601.6</v>
      </c>
      <c r="E35">
        <v>4.5</v>
      </c>
      <c r="F35">
        <v>43.4</v>
      </c>
      <c r="G35">
        <v>397</v>
      </c>
      <c r="H35">
        <v>2.8</v>
      </c>
      <c r="I35">
        <v>0.9</v>
      </c>
      <c r="J35">
        <v>141.69999999999999</v>
      </c>
    </row>
    <row r="36" spans="1:10" x14ac:dyDescent="0.25">
      <c r="A36" t="s">
        <v>552</v>
      </c>
      <c r="B36" t="s">
        <v>298</v>
      </c>
      <c r="C36">
        <v>165.7</v>
      </c>
      <c r="D36">
        <v>723.9</v>
      </c>
      <c r="E36">
        <v>4</v>
      </c>
      <c r="F36">
        <v>48</v>
      </c>
      <c r="G36">
        <v>343.6</v>
      </c>
      <c r="H36">
        <v>1.7</v>
      </c>
      <c r="I36">
        <v>0.9</v>
      </c>
      <c r="J36">
        <v>139.19999999999999</v>
      </c>
    </row>
    <row r="37" spans="1:10" x14ac:dyDescent="0.25">
      <c r="A37" t="s">
        <v>928</v>
      </c>
      <c r="B37" t="s">
        <v>306</v>
      </c>
      <c r="C37">
        <v>153.5</v>
      </c>
      <c r="D37">
        <v>697.1</v>
      </c>
      <c r="E37">
        <v>6.2</v>
      </c>
      <c r="F37">
        <v>24</v>
      </c>
      <c r="G37">
        <v>181.6</v>
      </c>
      <c r="H37">
        <v>1.3</v>
      </c>
      <c r="I37">
        <v>1.9</v>
      </c>
      <c r="J37">
        <v>129.4</v>
      </c>
    </row>
    <row r="38" spans="1:10" x14ac:dyDescent="0.25">
      <c r="A38" t="s">
        <v>161</v>
      </c>
      <c r="B38" t="s">
        <v>308</v>
      </c>
      <c r="C38">
        <v>135.1</v>
      </c>
      <c r="D38">
        <v>574.5</v>
      </c>
      <c r="E38">
        <v>4.8</v>
      </c>
      <c r="F38">
        <v>41.7</v>
      </c>
      <c r="G38">
        <v>316.39999999999998</v>
      </c>
      <c r="H38">
        <v>1.7</v>
      </c>
      <c r="I38">
        <v>0.8</v>
      </c>
      <c r="J38">
        <v>126.4</v>
      </c>
    </row>
    <row r="39" spans="1:10" x14ac:dyDescent="0.25">
      <c r="A39" t="s">
        <v>929</v>
      </c>
      <c r="B39" t="s">
        <v>304</v>
      </c>
      <c r="C39">
        <v>136.80000000000001</v>
      </c>
      <c r="D39">
        <v>667.2</v>
      </c>
      <c r="E39">
        <v>3.9</v>
      </c>
      <c r="F39">
        <v>35.299999999999997</v>
      </c>
      <c r="G39">
        <v>287.5</v>
      </c>
      <c r="H39">
        <v>1.2</v>
      </c>
      <c r="I39">
        <v>0.9</v>
      </c>
      <c r="J39">
        <v>124.6</v>
      </c>
    </row>
    <row r="40" spans="1:10" x14ac:dyDescent="0.25">
      <c r="A40" t="s">
        <v>893</v>
      </c>
      <c r="B40" t="s">
        <v>291</v>
      </c>
      <c r="C40">
        <v>147.69999999999999</v>
      </c>
      <c r="D40">
        <v>599.9</v>
      </c>
      <c r="E40">
        <v>5</v>
      </c>
      <c r="F40">
        <v>24</v>
      </c>
      <c r="G40">
        <v>178.9</v>
      </c>
      <c r="H40">
        <v>0.7</v>
      </c>
      <c r="I40">
        <v>1.2</v>
      </c>
      <c r="J40">
        <v>110.1</v>
      </c>
    </row>
    <row r="41" spans="1:10" x14ac:dyDescent="0.25">
      <c r="A41" t="s">
        <v>353</v>
      </c>
      <c r="B41" t="s">
        <v>298</v>
      </c>
      <c r="C41">
        <v>128.4</v>
      </c>
      <c r="D41">
        <v>642</v>
      </c>
      <c r="E41">
        <v>4.3</v>
      </c>
      <c r="F41">
        <v>16.899999999999999</v>
      </c>
      <c r="G41">
        <v>133.80000000000001</v>
      </c>
      <c r="H41">
        <v>0.9</v>
      </c>
      <c r="I41">
        <v>1.4</v>
      </c>
      <c r="J41">
        <v>106.2</v>
      </c>
    </row>
    <row r="42" spans="1:10" x14ac:dyDescent="0.25">
      <c r="A42" t="s">
        <v>798</v>
      </c>
      <c r="B42" t="s">
        <v>303</v>
      </c>
      <c r="C42">
        <v>131.80000000000001</v>
      </c>
      <c r="D42">
        <v>531.5</v>
      </c>
      <c r="E42">
        <v>4</v>
      </c>
      <c r="F42">
        <v>23.2</v>
      </c>
      <c r="G42">
        <v>177.6</v>
      </c>
      <c r="H42">
        <v>1.4</v>
      </c>
      <c r="I42">
        <v>0.7</v>
      </c>
      <c r="J42">
        <v>102</v>
      </c>
    </row>
    <row r="43" spans="1:10" x14ac:dyDescent="0.25">
      <c r="A43" t="s">
        <v>2445</v>
      </c>
      <c r="B43" t="s">
        <v>279</v>
      </c>
      <c r="C43">
        <v>159.1</v>
      </c>
      <c r="D43">
        <v>619.6</v>
      </c>
      <c r="E43">
        <v>4.4000000000000004</v>
      </c>
      <c r="F43">
        <v>17.899999999999999</v>
      </c>
      <c r="G43">
        <v>133</v>
      </c>
      <c r="H43">
        <v>0.5</v>
      </c>
      <c r="I43">
        <v>1.4</v>
      </c>
      <c r="J43">
        <v>101.6</v>
      </c>
    </row>
    <row r="44" spans="1:10" x14ac:dyDescent="0.25">
      <c r="A44" t="s">
        <v>2446</v>
      </c>
      <c r="B44" t="s">
        <v>289</v>
      </c>
      <c r="C44">
        <v>108.2</v>
      </c>
      <c r="D44">
        <v>467.4</v>
      </c>
      <c r="E44">
        <v>3.6</v>
      </c>
      <c r="F44">
        <v>29.6</v>
      </c>
      <c r="G44">
        <v>238</v>
      </c>
      <c r="H44">
        <v>1.6</v>
      </c>
      <c r="I44">
        <v>0.9</v>
      </c>
      <c r="J44">
        <v>99.8</v>
      </c>
    </row>
    <row r="45" spans="1:10" x14ac:dyDescent="0.25">
      <c r="A45" t="s">
        <v>184</v>
      </c>
      <c r="B45" t="s">
        <v>287</v>
      </c>
      <c r="C45">
        <v>137.6</v>
      </c>
      <c r="D45">
        <v>572.29999999999995</v>
      </c>
      <c r="E45">
        <v>3.5</v>
      </c>
      <c r="F45">
        <v>23.6</v>
      </c>
      <c r="G45">
        <v>153.19999999999999</v>
      </c>
      <c r="H45">
        <v>0.8</v>
      </c>
      <c r="I45">
        <v>0.8</v>
      </c>
      <c r="J45">
        <v>97</v>
      </c>
    </row>
    <row r="46" spans="1:10" x14ac:dyDescent="0.25">
      <c r="A46" t="s">
        <v>2451</v>
      </c>
      <c r="B46" t="s">
        <v>283</v>
      </c>
      <c r="C46">
        <v>134.69999999999999</v>
      </c>
      <c r="D46">
        <v>574.70000000000005</v>
      </c>
      <c r="E46">
        <v>4.3</v>
      </c>
      <c r="F46">
        <v>16.100000000000001</v>
      </c>
      <c r="G46">
        <v>123.1</v>
      </c>
      <c r="H46">
        <v>0.6</v>
      </c>
      <c r="I46">
        <v>1.1000000000000001</v>
      </c>
      <c r="J46">
        <v>97</v>
      </c>
    </row>
    <row r="47" spans="1:10" x14ac:dyDescent="0.25">
      <c r="A47" t="s">
        <v>930</v>
      </c>
      <c r="B47" t="s">
        <v>293</v>
      </c>
      <c r="C47">
        <v>91.9</v>
      </c>
      <c r="D47">
        <v>380.9</v>
      </c>
      <c r="E47">
        <v>4</v>
      </c>
      <c r="F47">
        <v>31</v>
      </c>
      <c r="G47">
        <v>248</v>
      </c>
      <c r="H47">
        <v>1.3</v>
      </c>
      <c r="I47">
        <v>1.1000000000000001</v>
      </c>
      <c r="J47">
        <v>92.6</v>
      </c>
    </row>
    <row r="48" spans="1:10" x14ac:dyDescent="0.25">
      <c r="A48" t="s">
        <v>550</v>
      </c>
      <c r="B48" t="s">
        <v>280</v>
      </c>
      <c r="C48">
        <v>75.5</v>
      </c>
      <c r="D48">
        <v>302.3</v>
      </c>
      <c r="E48">
        <v>2</v>
      </c>
      <c r="F48">
        <v>45.6</v>
      </c>
      <c r="G48">
        <v>361.5</v>
      </c>
      <c r="H48">
        <v>1.9</v>
      </c>
      <c r="I48">
        <v>1.6</v>
      </c>
      <c r="J48">
        <v>86.4</v>
      </c>
    </row>
    <row r="49" spans="1:10" x14ac:dyDescent="0.25">
      <c r="A49" t="s">
        <v>666</v>
      </c>
      <c r="B49" t="s">
        <v>297</v>
      </c>
      <c r="C49">
        <v>114.7</v>
      </c>
      <c r="D49">
        <v>460.6</v>
      </c>
      <c r="E49">
        <v>2.8</v>
      </c>
      <c r="F49">
        <v>25.2</v>
      </c>
      <c r="G49">
        <v>188</v>
      </c>
      <c r="H49">
        <v>0.9</v>
      </c>
      <c r="I49">
        <v>0.9</v>
      </c>
      <c r="J49">
        <v>85.7</v>
      </c>
    </row>
    <row r="50" spans="1:10" x14ac:dyDescent="0.25">
      <c r="A50" t="s">
        <v>797</v>
      </c>
      <c r="B50" t="s">
        <v>277</v>
      </c>
      <c r="C50">
        <v>120.4</v>
      </c>
      <c r="D50">
        <v>476.1</v>
      </c>
      <c r="E50">
        <v>3.4</v>
      </c>
      <c r="F50">
        <v>19.5</v>
      </c>
      <c r="G50">
        <v>147.19999999999999</v>
      </c>
      <c r="H50">
        <v>0.7</v>
      </c>
      <c r="I50">
        <v>1</v>
      </c>
      <c r="J50">
        <v>84.6</v>
      </c>
    </row>
    <row r="51" spans="1:10" x14ac:dyDescent="0.25">
      <c r="A51" t="s">
        <v>2450</v>
      </c>
      <c r="B51" t="s">
        <v>278</v>
      </c>
      <c r="C51">
        <v>138.69999999999999</v>
      </c>
      <c r="D51">
        <v>514.5</v>
      </c>
      <c r="E51">
        <v>2.9</v>
      </c>
      <c r="F51">
        <v>17.399999999999999</v>
      </c>
      <c r="G51">
        <v>134.69999999999999</v>
      </c>
      <c r="H51">
        <v>0.6</v>
      </c>
      <c r="I51">
        <v>1.3</v>
      </c>
      <c r="J51">
        <v>83.6</v>
      </c>
    </row>
    <row r="52" spans="1:10" x14ac:dyDescent="0.25">
      <c r="A52" t="s">
        <v>558</v>
      </c>
      <c r="B52" t="s">
        <v>283</v>
      </c>
      <c r="C52">
        <v>54.9</v>
      </c>
      <c r="D52">
        <v>243.2</v>
      </c>
      <c r="E52">
        <v>1.6</v>
      </c>
      <c r="F52">
        <v>46.5</v>
      </c>
      <c r="G52">
        <v>365.7</v>
      </c>
      <c r="H52">
        <v>1.9</v>
      </c>
      <c r="I52">
        <v>0.5</v>
      </c>
      <c r="J52">
        <v>81.099999999999994</v>
      </c>
    </row>
    <row r="53" spans="1:10" x14ac:dyDescent="0.25">
      <c r="A53" t="s">
        <v>2448</v>
      </c>
      <c r="B53" t="s">
        <v>281</v>
      </c>
      <c r="C53">
        <v>93.7</v>
      </c>
      <c r="D53">
        <v>367.7</v>
      </c>
      <c r="E53">
        <v>3.4</v>
      </c>
      <c r="F53">
        <v>20.9</v>
      </c>
      <c r="G53">
        <v>166.5</v>
      </c>
      <c r="H53">
        <v>1.1000000000000001</v>
      </c>
      <c r="I53">
        <v>0.9</v>
      </c>
      <c r="J53">
        <v>78.3</v>
      </c>
    </row>
    <row r="54" spans="1:10" x14ac:dyDescent="0.25">
      <c r="A54" t="s">
        <v>329</v>
      </c>
      <c r="B54" t="s">
        <v>307</v>
      </c>
      <c r="C54">
        <v>79.099999999999994</v>
      </c>
      <c r="D54">
        <v>327.60000000000002</v>
      </c>
      <c r="E54">
        <v>2.4</v>
      </c>
      <c r="F54">
        <v>29.2</v>
      </c>
      <c r="G54">
        <v>235.3</v>
      </c>
      <c r="H54">
        <v>1.1000000000000001</v>
      </c>
      <c r="I54">
        <v>0.5</v>
      </c>
      <c r="J54">
        <v>76.8</v>
      </c>
    </row>
    <row r="55" spans="1:10" x14ac:dyDescent="0.25">
      <c r="A55" t="s">
        <v>940</v>
      </c>
      <c r="B55" t="s">
        <v>299</v>
      </c>
      <c r="C55">
        <v>115.7</v>
      </c>
      <c r="D55">
        <v>428.5</v>
      </c>
      <c r="E55">
        <v>2.7</v>
      </c>
      <c r="F55">
        <v>17.7</v>
      </c>
      <c r="G55">
        <v>130.9</v>
      </c>
      <c r="H55">
        <v>0.5</v>
      </c>
      <c r="I55">
        <v>0.9</v>
      </c>
      <c r="J55">
        <v>73.3</v>
      </c>
    </row>
    <row r="56" spans="1:10" x14ac:dyDescent="0.25">
      <c r="A56" t="s">
        <v>637</v>
      </c>
      <c r="B56" t="s">
        <v>295</v>
      </c>
      <c r="C56">
        <v>99.5</v>
      </c>
      <c r="D56">
        <v>442.7</v>
      </c>
      <c r="E56">
        <v>3</v>
      </c>
      <c r="F56">
        <v>7.7</v>
      </c>
      <c r="G56">
        <v>66.5</v>
      </c>
      <c r="H56">
        <v>0.2</v>
      </c>
      <c r="I56">
        <v>0.7</v>
      </c>
      <c r="J56">
        <v>68.7</v>
      </c>
    </row>
    <row r="57" spans="1:10" x14ac:dyDescent="0.25">
      <c r="A57" t="s">
        <v>2452</v>
      </c>
      <c r="B57" t="s">
        <v>814</v>
      </c>
      <c r="C57">
        <v>99.7</v>
      </c>
      <c r="D57">
        <v>367.8</v>
      </c>
      <c r="E57">
        <v>3.3</v>
      </c>
      <c r="F57">
        <v>12</v>
      </c>
      <c r="G57">
        <v>94.4</v>
      </c>
      <c r="H57">
        <v>0.4</v>
      </c>
      <c r="I57">
        <v>0.9</v>
      </c>
      <c r="J57">
        <v>66.900000000000006</v>
      </c>
    </row>
    <row r="58" spans="1:10" x14ac:dyDescent="0.25">
      <c r="A58" t="s">
        <v>333</v>
      </c>
      <c r="B58" t="s">
        <v>296</v>
      </c>
      <c r="C58">
        <v>48.2</v>
      </c>
      <c r="D58">
        <v>216.4</v>
      </c>
      <c r="E58">
        <v>1.5</v>
      </c>
      <c r="F58">
        <v>28.5</v>
      </c>
      <c r="G58">
        <v>233.3</v>
      </c>
      <c r="H58">
        <v>1.4</v>
      </c>
      <c r="I58">
        <v>0.5</v>
      </c>
      <c r="J58">
        <v>61.5</v>
      </c>
    </row>
    <row r="59" spans="1:10" x14ac:dyDescent="0.25">
      <c r="A59" t="s">
        <v>334</v>
      </c>
      <c r="B59" t="s">
        <v>282</v>
      </c>
      <c r="C59">
        <v>85.4</v>
      </c>
      <c r="D59">
        <v>403.4</v>
      </c>
      <c r="E59">
        <v>2.5</v>
      </c>
      <c r="F59">
        <v>6.7</v>
      </c>
      <c r="G59">
        <v>61.9</v>
      </c>
      <c r="H59">
        <v>0.2</v>
      </c>
      <c r="I59">
        <v>0.9</v>
      </c>
      <c r="J59">
        <v>61</v>
      </c>
    </row>
    <row r="60" spans="1:10" x14ac:dyDescent="0.25">
      <c r="A60" t="s">
        <v>337</v>
      </c>
      <c r="B60" t="s">
        <v>278</v>
      </c>
      <c r="C60">
        <v>76.900000000000006</v>
      </c>
      <c r="D60">
        <v>283.2</v>
      </c>
      <c r="E60">
        <v>2.1</v>
      </c>
      <c r="F60">
        <v>20.5</v>
      </c>
      <c r="G60">
        <v>151.6</v>
      </c>
      <c r="H60">
        <v>0.8</v>
      </c>
      <c r="I60">
        <v>0.9</v>
      </c>
      <c r="J60">
        <v>58.8</v>
      </c>
    </row>
    <row r="61" spans="1:10" x14ac:dyDescent="0.25">
      <c r="A61" t="s">
        <v>2449</v>
      </c>
      <c r="B61" t="s">
        <v>286</v>
      </c>
      <c r="C61">
        <v>71.5</v>
      </c>
      <c r="D61">
        <v>282</v>
      </c>
      <c r="E61">
        <v>2.1</v>
      </c>
      <c r="F61">
        <v>15.2</v>
      </c>
      <c r="G61">
        <v>122.7</v>
      </c>
      <c r="H61">
        <v>0.7</v>
      </c>
      <c r="I61">
        <v>0.8</v>
      </c>
      <c r="J61">
        <v>55.6</v>
      </c>
    </row>
    <row r="62" spans="1:10" x14ac:dyDescent="0.25">
      <c r="A62" t="s">
        <v>679</v>
      </c>
      <c r="B62" t="s">
        <v>294</v>
      </c>
      <c r="C62">
        <v>65.5</v>
      </c>
      <c r="D62">
        <v>249.1</v>
      </c>
      <c r="E62">
        <v>2.2999999999999998</v>
      </c>
      <c r="F62">
        <v>16.8</v>
      </c>
      <c r="G62">
        <v>138.5</v>
      </c>
      <c r="H62">
        <v>0.6</v>
      </c>
      <c r="I62">
        <v>0.7</v>
      </c>
      <c r="J62">
        <v>55</v>
      </c>
    </row>
    <row r="63" spans="1:10" x14ac:dyDescent="0.25">
      <c r="A63" t="s">
        <v>159</v>
      </c>
      <c r="B63" t="s">
        <v>814</v>
      </c>
      <c r="C63">
        <v>37.200000000000003</v>
      </c>
      <c r="D63">
        <v>167.3</v>
      </c>
      <c r="E63">
        <v>0.8</v>
      </c>
      <c r="F63">
        <v>34.4</v>
      </c>
      <c r="G63">
        <v>254.7</v>
      </c>
      <c r="H63">
        <v>1.3</v>
      </c>
      <c r="I63">
        <v>0.4</v>
      </c>
      <c r="J63">
        <v>53.8</v>
      </c>
    </row>
    <row r="64" spans="1:10" x14ac:dyDescent="0.25">
      <c r="A64" t="s">
        <v>546</v>
      </c>
      <c r="B64" t="s">
        <v>286</v>
      </c>
      <c r="C64">
        <v>79.2</v>
      </c>
      <c r="D64">
        <v>326.7</v>
      </c>
      <c r="E64">
        <v>2.2999999999999998</v>
      </c>
      <c r="F64">
        <v>9.6</v>
      </c>
      <c r="G64">
        <v>67.8</v>
      </c>
      <c r="H64">
        <v>0.2</v>
      </c>
      <c r="I64">
        <v>0.5</v>
      </c>
      <c r="J64">
        <v>53.1</v>
      </c>
    </row>
    <row r="65" spans="1:10" x14ac:dyDescent="0.25">
      <c r="A65" t="s">
        <v>688</v>
      </c>
      <c r="B65" t="s">
        <v>284</v>
      </c>
      <c r="C65">
        <v>47.2</v>
      </c>
      <c r="D65">
        <v>237.4</v>
      </c>
      <c r="E65">
        <v>1.5</v>
      </c>
      <c r="F65">
        <v>25.7</v>
      </c>
      <c r="G65">
        <v>180.3</v>
      </c>
      <c r="H65">
        <v>0.6</v>
      </c>
      <c r="I65">
        <v>1</v>
      </c>
      <c r="J65">
        <v>52.6</v>
      </c>
    </row>
    <row r="66" spans="1:10" x14ac:dyDescent="0.25">
      <c r="A66" t="s">
        <v>2465</v>
      </c>
      <c r="B66" t="s">
        <v>296</v>
      </c>
      <c r="C66">
        <v>65.8</v>
      </c>
      <c r="D66">
        <v>266.2</v>
      </c>
      <c r="E66">
        <v>2.2999999999999998</v>
      </c>
      <c r="F66">
        <v>13.7</v>
      </c>
      <c r="G66">
        <v>103.7</v>
      </c>
      <c r="H66">
        <v>0.5</v>
      </c>
      <c r="I66">
        <v>0.8</v>
      </c>
      <c r="J66">
        <v>52</v>
      </c>
    </row>
    <row r="67" spans="1:10" x14ac:dyDescent="0.25">
      <c r="A67" t="s">
        <v>559</v>
      </c>
      <c r="B67" t="s">
        <v>293</v>
      </c>
      <c r="C67">
        <v>62.6</v>
      </c>
      <c r="D67">
        <v>275.2</v>
      </c>
      <c r="E67">
        <v>2.8</v>
      </c>
      <c r="F67">
        <v>8</v>
      </c>
      <c r="G67">
        <v>58</v>
      </c>
      <c r="H67">
        <v>0.2</v>
      </c>
      <c r="I67">
        <v>0.2</v>
      </c>
      <c r="J67">
        <v>50.8</v>
      </c>
    </row>
    <row r="68" spans="1:10" x14ac:dyDescent="0.25">
      <c r="A68" t="s">
        <v>529</v>
      </c>
      <c r="B68" t="s">
        <v>292</v>
      </c>
      <c r="C68">
        <v>73.900000000000006</v>
      </c>
      <c r="D68">
        <v>296.3</v>
      </c>
      <c r="E68">
        <v>1.4</v>
      </c>
      <c r="F68">
        <v>12.9</v>
      </c>
      <c r="G68">
        <v>99.3</v>
      </c>
      <c r="H68">
        <v>0.7</v>
      </c>
      <c r="I68">
        <v>1.4</v>
      </c>
      <c r="J68">
        <v>49.6</v>
      </c>
    </row>
    <row r="69" spans="1:10" x14ac:dyDescent="0.25">
      <c r="A69" t="s">
        <v>165</v>
      </c>
      <c r="B69" t="s">
        <v>290</v>
      </c>
      <c r="C69">
        <v>65.8</v>
      </c>
      <c r="D69">
        <v>251.1</v>
      </c>
      <c r="E69">
        <v>1.3</v>
      </c>
      <c r="F69">
        <v>18.7</v>
      </c>
      <c r="G69">
        <v>132.1</v>
      </c>
      <c r="H69">
        <v>0.7</v>
      </c>
      <c r="I69">
        <v>0.5</v>
      </c>
      <c r="J69">
        <v>49.2</v>
      </c>
    </row>
    <row r="70" spans="1:10" x14ac:dyDescent="0.25">
      <c r="A70" t="s">
        <v>544</v>
      </c>
      <c r="B70" t="s">
        <v>296</v>
      </c>
      <c r="C70">
        <v>55.1</v>
      </c>
      <c r="D70">
        <v>266</v>
      </c>
      <c r="E70">
        <v>2.6</v>
      </c>
      <c r="F70">
        <v>8.6</v>
      </c>
      <c r="G70">
        <v>58.3</v>
      </c>
      <c r="H70">
        <v>0.2</v>
      </c>
      <c r="I70">
        <v>0.6</v>
      </c>
      <c r="J70">
        <v>47.8</v>
      </c>
    </row>
    <row r="71" spans="1:10" x14ac:dyDescent="0.25">
      <c r="A71" t="s">
        <v>2455</v>
      </c>
      <c r="B71" t="s">
        <v>289</v>
      </c>
      <c r="C71">
        <v>47.5</v>
      </c>
      <c r="D71">
        <v>237</v>
      </c>
      <c r="E71">
        <v>2</v>
      </c>
      <c r="F71">
        <v>12.5</v>
      </c>
      <c r="G71">
        <v>112</v>
      </c>
      <c r="H71">
        <v>0.5</v>
      </c>
      <c r="I71">
        <v>1</v>
      </c>
      <c r="J71">
        <v>47.6</v>
      </c>
    </row>
    <row r="72" spans="1:10" x14ac:dyDescent="0.25">
      <c r="A72" t="s">
        <v>889</v>
      </c>
      <c r="B72" t="s">
        <v>294</v>
      </c>
      <c r="C72">
        <v>59.9</v>
      </c>
      <c r="D72">
        <v>243.1</v>
      </c>
      <c r="E72">
        <v>1.7</v>
      </c>
      <c r="F72">
        <v>12.3</v>
      </c>
      <c r="G72">
        <v>98.3</v>
      </c>
      <c r="H72">
        <v>0.3</v>
      </c>
      <c r="I72">
        <v>0.3</v>
      </c>
      <c r="J72">
        <v>46.2</v>
      </c>
    </row>
    <row r="73" spans="1:10" x14ac:dyDescent="0.25">
      <c r="A73" t="s">
        <v>2453</v>
      </c>
      <c r="B73" t="s">
        <v>284</v>
      </c>
      <c r="C73">
        <v>66.599999999999994</v>
      </c>
      <c r="D73">
        <v>270.2</v>
      </c>
      <c r="E73">
        <v>1.8</v>
      </c>
      <c r="F73">
        <v>8.4</v>
      </c>
      <c r="G73">
        <v>65.599999999999994</v>
      </c>
      <c r="H73">
        <v>0.4</v>
      </c>
      <c r="I73">
        <v>0.8</v>
      </c>
      <c r="J73">
        <v>44.9</v>
      </c>
    </row>
    <row r="74" spans="1:10" x14ac:dyDescent="0.25">
      <c r="A74" t="s">
        <v>340</v>
      </c>
      <c r="B74" t="s">
        <v>295</v>
      </c>
      <c r="C74">
        <v>44.7</v>
      </c>
      <c r="D74">
        <v>204.4</v>
      </c>
      <c r="E74">
        <v>1.4</v>
      </c>
      <c r="F74">
        <v>16.5</v>
      </c>
      <c r="G74">
        <v>122.1</v>
      </c>
      <c r="H74">
        <v>0.6</v>
      </c>
      <c r="I74">
        <v>0.4</v>
      </c>
      <c r="J74">
        <v>43.8</v>
      </c>
    </row>
    <row r="75" spans="1:10" x14ac:dyDescent="0.25">
      <c r="A75" t="s">
        <v>932</v>
      </c>
      <c r="B75" t="s">
        <v>282</v>
      </c>
      <c r="C75">
        <v>53.6</v>
      </c>
      <c r="D75">
        <v>207.9</v>
      </c>
      <c r="E75">
        <v>1.5</v>
      </c>
      <c r="F75">
        <v>13.7</v>
      </c>
      <c r="G75">
        <v>95.4</v>
      </c>
      <c r="H75">
        <v>0.6</v>
      </c>
      <c r="I75">
        <v>0.5</v>
      </c>
      <c r="J75">
        <v>41.6</v>
      </c>
    </row>
    <row r="76" spans="1:10" x14ac:dyDescent="0.25">
      <c r="A76" t="s">
        <v>2454</v>
      </c>
      <c r="B76" t="s">
        <v>301</v>
      </c>
      <c r="C76">
        <v>47.6</v>
      </c>
      <c r="D76">
        <v>198.3</v>
      </c>
      <c r="E76">
        <v>1.7</v>
      </c>
      <c r="F76">
        <v>10.6</v>
      </c>
      <c r="G76">
        <v>92.1</v>
      </c>
      <c r="H76">
        <v>0.4</v>
      </c>
      <c r="I76">
        <v>0.8</v>
      </c>
      <c r="J76">
        <v>39.6</v>
      </c>
    </row>
    <row r="77" spans="1:10" x14ac:dyDescent="0.25">
      <c r="A77" t="s">
        <v>617</v>
      </c>
      <c r="B77" t="s">
        <v>295</v>
      </c>
      <c r="C77">
        <v>47.1</v>
      </c>
      <c r="D77">
        <v>223.5</v>
      </c>
      <c r="E77">
        <v>1.7</v>
      </c>
      <c r="F77">
        <v>10.4</v>
      </c>
      <c r="G77">
        <v>71.5</v>
      </c>
      <c r="H77">
        <v>0.2</v>
      </c>
      <c r="I77">
        <v>0.7</v>
      </c>
      <c r="J77">
        <v>39.200000000000003</v>
      </c>
    </row>
    <row r="78" spans="1:10" x14ac:dyDescent="0.25">
      <c r="A78" t="s">
        <v>799</v>
      </c>
      <c r="B78" t="s">
        <v>301</v>
      </c>
      <c r="C78">
        <v>51.1</v>
      </c>
      <c r="D78">
        <v>184.1</v>
      </c>
      <c r="E78">
        <v>1.6</v>
      </c>
      <c r="F78">
        <v>11</v>
      </c>
      <c r="G78">
        <v>81</v>
      </c>
      <c r="H78">
        <v>0.6</v>
      </c>
      <c r="I78">
        <v>0.5</v>
      </c>
      <c r="J78">
        <v>38.9</v>
      </c>
    </row>
    <row r="79" spans="1:10" x14ac:dyDescent="0.25">
      <c r="A79" t="s">
        <v>561</v>
      </c>
      <c r="B79" t="s">
        <v>280</v>
      </c>
      <c r="C79">
        <v>46</v>
      </c>
      <c r="D79">
        <v>250.6</v>
      </c>
      <c r="E79">
        <v>1.5</v>
      </c>
      <c r="F79">
        <v>3.3</v>
      </c>
      <c r="G79">
        <v>26.5</v>
      </c>
      <c r="H79">
        <v>0.1</v>
      </c>
      <c r="I79">
        <v>0.1</v>
      </c>
      <c r="J79">
        <v>37</v>
      </c>
    </row>
    <row r="80" spans="1:10" x14ac:dyDescent="0.25">
      <c r="A80" t="s">
        <v>897</v>
      </c>
      <c r="B80" t="s">
        <v>287</v>
      </c>
      <c r="C80">
        <v>44</v>
      </c>
      <c r="D80">
        <v>210.9</v>
      </c>
      <c r="E80">
        <v>1.1000000000000001</v>
      </c>
      <c r="F80">
        <v>10.7</v>
      </c>
      <c r="G80">
        <v>79.8</v>
      </c>
      <c r="H80">
        <v>0.4</v>
      </c>
      <c r="I80">
        <v>0.5</v>
      </c>
      <c r="J80">
        <v>36.9</v>
      </c>
    </row>
    <row r="81" spans="1:10" x14ac:dyDescent="0.25">
      <c r="A81" t="s">
        <v>811</v>
      </c>
      <c r="B81" t="s">
        <v>308</v>
      </c>
      <c r="C81">
        <v>33.700000000000003</v>
      </c>
      <c r="D81">
        <v>193</v>
      </c>
      <c r="E81">
        <v>1.4</v>
      </c>
      <c r="F81">
        <v>8.8000000000000007</v>
      </c>
      <c r="G81">
        <v>68.8</v>
      </c>
      <c r="H81">
        <v>0.2</v>
      </c>
      <c r="I81">
        <v>0.1</v>
      </c>
      <c r="J81">
        <v>35.299999999999997</v>
      </c>
    </row>
    <row r="82" spans="1:10" x14ac:dyDescent="0.25">
      <c r="A82" t="s">
        <v>884</v>
      </c>
      <c r="B82" t="s">
        <v>281</v>
      </c>
      <c r="C82">
        <v>47.2</v>
      </c>
      <c r="D82">
        <v>195.2</v>
      </c>
      <c r="E82">
        <v>1.9</v>
      </c>
      <c r="F82">
        <v>6.7</v>
      </c>
      <c r="G82">
        <v>45.8</v>
      </c>
      <c r="H82">
        <v>0.1</v>
      </c>
      <c r="I82">
        <v>0.6</v>
      </c>
      <c r="J82">
        <v>35</v>
      </c>
    </row>
    <row r="83" spans="1:10" x14ac:dyDescent="0.25">
      <c r="A83" t="s">
        <v>2657</v>
      </c>
      <c r="B83" t="s">
        <v>275</v>
      </c>
      <c r="C83">
        <v>0</v>
      </c>
      <c r="D83">
        <v>170.3</v>
      </c>
      <c r="E83">
        <v>1.6</v>
      </c>
      <c r="F83">
        <v>7.8</v>
      </c>
      <c r="G83">
        <v>63.8</v>
      </c>
      <c r="H83">
        <v>0.4</v>
      </c>
      <c r="I83">
        <v>0.2</v>
      </c>
      <c r="J83">
        <v>34.799999999999997</v>
      </c>
    </row>
    <row r="84" spans="1:10" x14ac:dyDescent="0.25">
      <c r="A84" t="s">
        <v>343</v>
      </c>
      <c r="B84" t="s">
        <v>301</v>
      </c>
      <c r="C84">
        <v>11.5</v>
      </c>
      <c r="D84">
        <v>36.700000000000003</v>
      </c>
      <c r="E84">
        <v>0.6</v>
      </c>
      <c r="F84">
        <v>24.1</v>
      </c>
      <c r="G84">
        <v>198.6</v>
      </c>
      <c r="H84">
        <v>1.2</v>
      </c>
      <c r="I84">
        <v>0.1</v>
      </c>
      <c r="J84">
        <v>34.200000000000003</v>
      </c>
    </row>
    <row r="85" spans="1:10" x14ac:dyDescent="0.25">
      <c r="A85" t="s">
        <v>887</v>
      </c>
      <c r="B85" t="s">
        <v>288</v>
      </c>
      <c r="C85">
        <v>35</v>
      </c>
      <c r="D85">
        <v>165.8</v>
      </c>
      <c r="E85">
        <v>1</v>
      </c>
      <c r="F85">
        <v>7.1</v>
      </c>
      <c r="G85">
        <v>52.7</v>
      </c>
      <c r="H85">
        <v>0.7</v>
      </c>
      <c r="I85">
        <v>0.2</v>
      </c>
      <c r="J85">
        <v>32</v>
      </c>
    </row>
    <row r="86" spans="1:10" x14ac:dyDescent="0.25">
      <c r="A86" t="s">
        <v>895</v>
      </c>
      <c r="B86" t="s">
        <v>276</v>
      </c>
      <c r="C86">
        <v>35</v>
      </c>
      <c r="D86">
        <v>163.5</v>
      </c>
      <c r="E86">
        <v>2</v>
      </c>
      <c r="F86">
        <v>4.4000000000000004</v>
      </c>
      <c r="G86">
        <v>29.6</v>
      </c>
      <c r="H86">
        <v>0.1</v>
      </c>
      <c r="I86">
        <v>0.1</v>
      </c>
      <c r="J86">
        <v>31.8</v>
      </c>
    </row>
    <row r="87" spans="1:10" x14ac:dyDescent="0.25">
      <c r="A87" t="s">
        <v>555</v>
      </c>
      <c r="B87" t="s">
        <v>287</v>
      </c>
      <c r="C87">
        <v>23.5</v>
      </c>
      <c r="D87">
        <v>152.19999999999999</v>
      </c>
      <c r="E87">
        <v>1.2</v>
      </c>
      <c r="F87">
        <v>8.8000000000000007</v>
      </c>
      <c r="G87">
        <v>72</v>
      </c>
      <c r="H87">
        <v>0.4</v>
      </c>
      <c r="I87">
        <v>0.2</v>
      </c>
      <c r="J87">
        <v>31.5</v>
      </c>
    </row>
    <row r="88" spans="1:10" x14ac:dyDescent="0.25">
      <c r="A88" t="s">
        <v>886</v>
      </c>
      <c r="B88" t="s">
        <v>286</v>
      </c>
      <c r="C88">
        <v>45</v>
      </c>
      <c r="D88">
        <v>177.1</v>
      </c>
      <c r="E88">
        <v>1.3</v>
      </c>
      <c r="F88">
        <v>6.8</v>
      </c>
      <c r="G88">
        <v>46</v>
      </c>
      <c r="H88">
        <v>0.2</v>
      </c>
      <c r="I88">
        <v>0.6</v>
      </c>
      <c r="J88">
        <v>30.1</v>
      </c>
    </row>
    <row r="89" spans="1:10" x14ac:dyDescent="0.25">
      <c r="A89" t="s">
        <v>677</v>
      </c>
      <c r="B89" t="s">
        <v>298</v>
      </c>
      <c r="C89">
        <v>34.299999999999997</v>
      </c>
      <c r="D89">
        <v>168.8</v>
      </c>
      <c r="E89">
        <v>1</v>
      </c>
      <c r="F89">
        <v>10.9</v>
      </c>
      <c r="G89">
        <v>68.599999999999994</v>
      </c>
      <c r="H89">
        <v>0.2</v>
      </c>
      <c r="I89">
        <v>0.5</v>
      </c>
      <c r="J89">
        <v>29.9</v>
      </c>
    </row>
    <row r="90" spans="1:10" x14ac:dyDescent="0.25">
      <c r="A90" t="s">
        <v>883</v>
      </c>
      <c r="B90" t="s">
        <v>289</v>
      </c>
      <c r="C90">
        <v>37.4</v>
      </c>
      <c r="D90">
        <v>159.6</v>
      </c>
      <c r="E90">
        <v>1.3</v>
      </c>
      <c r="F90">
        <v>6.4</v>
      </c>
      <c r="G90">
        <v>47.8</v>
      </c>
      <c r="H90">
        <v>0.3</v>
      </c>
      <c r="I90">
        <v>0.1</v>
      </c>
      <c r="J90">
        <v>29.6</v>
      </c>
    </row>
    <row r="91" spans="1:10" x14ac:dyDescent="0.25">
      <c r="A91" t="s">
        <v>939</v>
      </c>
      <c r="B91" t="s">
        <v>290</v>
      </c>
      <c r="C91">
        <v>27.4</v>
      </c>
      <c r="D91">
        <v>100.2</v>
      </c>
      <c r="E91">
        <v>0.6</v>
      </c>
      <c r="F91">
        <v>15.3</v>
      </c>
      <c r="G91">
        <v>111.3</v>
      </c>
      <c r="H91">
        <v>0.8</v>
      </c>
      <c r="I91">
        <v>0.1</v>
      </c>
      <c r="J91">
        <v>29</v>
      </c>
    </row>
    <row r="92" spans="1:10" x14ac:dyDescent="0.25">
      <c r="A92" t="s">
        <v>678</v>
      </c>
      <c r="B92" t="s">
        <v>814</v>
      </c>
      <c r="C92">
        <v>23</v>
      </c>
      <c r="D92">
        <v>95</v>
      </c>
      <c r="E92">
        <v>0.6</v>
      </c>
      <c r="F92">
        <v>15.4</v>
      </c>
      <c r="G92">
        <v>138.5</v>
      </c>
      <c r="H92">
        <v>0.4</v>
      </c>
      <c r="I92">
        <v>0.4</v>
      </c>
      <c r="J92">
        <v>28.5</v>
      </c>
    </row>
    <row r="93" spans="1:10" x14ac:dyDescent="0.25">
      <c r="A93" t="s">
        <v>2460</v>
      </c>
      <c r="B93" t="s">
        <v>295</v>
      </c>
      <c r="C93">
        <v>38</v>
      </c>
      <c r="D93">
        <v>196</v>
      </c>
      <c r="E93">
        <v>1</v>
      </c>
      <c r="F93">
        <v>2</v>
      </c>
      <c r="G93">
        <v>18</v>
      </c>
      <c r="H93">
        <v>0</v>
      </c>
      <c r="I93">
        <v>0</v>
      </c>
      <c r="J93">
        <v>27.4</v>
      </c>
    </row>
    <row r="94" spans="1:10" x14ac:dyDescent="0.25">
      <c r="A94" t="s">
        <v>673</v>
      </c>
      <c r="B94" t="s">
        <v>288</v>
      </c>
      <c r="C94">
        <v>39.200000000000003</v>
      </c>
      <c r="D94">
        <v>168.2</v>
      </c>
      <c r="E94">
        <v>1</v>
      </c>
      <c r="F94">
        <v>5.2</v>
      </c>
      <c r="G94">
        <v>36.4</v>
      </c>
      <c r="H94">
        <v>0.1</v>
      </c>
      <c r="I94">
        <v>0.2</v>
      </c>
      <c r="J94">
        <v>26.6</v>
      </c>
    </row>
    <row r="95" spans="1:10" x14ac:dyDescent="0.25">
      <c r="A95" t="s">
        <v>681</v>
      </c>
      <c r="B95" t="s">
        <v>279</v>
      </c>
      <c r="C95">
        <v>17.2</v>
      </c>
      <c r="D95">
        <v>94.7</v>
      </c>
      <c r="E95">
        <v>0.6</v>
      </c>
      <c r="F95">
        <v>11.5</v>
      </c>
      <c r="G95">
        <v>92.2</v>
      </c>
      <c r="H95">
        <v>0.5</v>
      </c>
      <c r="I95">
        <v>0.1</v>
      </c>
      <c r="J95">
        <v>25.2</v>
      </c>
    </row>
    <row r="96" spans="1:10" x14ac:dyDescent="0.25">
      <c r="A96" t="s">
        <v>327</v>
      </c>
      <c r="B96" t="s">
        <v>281</v>
      </c>
      <c r="C96">
        <v>16.100000000000001</v>
      </c>
      <c r="D96">
        <v>100.3</v>
      </c>
      <c r="E96">
        <v>0.6</v>
      </c>
      <c r="F96">
        <v>11</v>
      </c>
      <c r="G96">
        <v>82.9</v>
      </c>
      <c r="H96">
        <v>0.6</v>
      </c>
      <c r="I96">
        <v>0.2</v>
      </c>
      <c r="J96">
        <v>25.2</v>
      </c>
    </row>
    <row r="97" spans="1:10" x14ac:dyDescent="0.25">
      <c r="A97" t="s">
        <v>2735</v>
      </c>
      <c r="B97" t="s">
        <v>293</v>
      </c>
      <c r="C97">
        <v>26.7</v>
      </c>
      <c r="D97">
        <v>129.9</v>
      </c>
      <c r="E97">
        <v>1.1000000000000001</v>
      </c>
      <c r="F97">
        <v>6.5</v>
      </c>
      <c r="G97">
        <v>42.7</v>
      </c>
      <c r="H97">
        <v>0.2</v>
      </c>
      <c r="I97">
        <v>0.1</v>
      </c>
      <c r="J97">
        <v>24.8</v>
      </c>
    </row>
    <row r="98" spans="1:10" x14ac:dyDescent="0.25">
      <c r="A98" t="s">
        <v>2468</v>
      </c>
      <c r="B98" t="s">
        <v>280</v>
      </c>
      <c r="C98">
        <v>29.8</v>
      </c>
      <c r="D98">
        <v>126.2</v>
      </c>
      <c r="E98">
        <v>1.1000000000000001</v>
      </c>
      <c r="F98">
        <v>6.1</v>
      </c>
      <c r="G98">
        <v>44</v>
      </c>
      <c r="H98">
        <v>0.3</v>
      </c>
      <c r="I98">
        <v>0.2</v>
      </c>
      <c r="J98">
        <v>24.5</v>
      </c>
    </row>
    <row r="99" spans="1:10" x14ac:dyDescent="0.25">
      <c r="A99" t="s">
        <v>2459</v>
      </c>
      <c r="B99" t="s">
        <v>303</v>
      </c>
      <c r="C99">
        <v>18.3</v>
      </c>
      <c r="D99">
        <v>119.2</v>
      </c>
      <c r="E99">
        <v>1.3</v>
      </c>
      <c r="F99">
        <v>5.5</v>
      </c>
      <c r="G99">
        <v>43.7</v>
      </c>
      <c r="H99">
        <v>0.1</v>
      </c>
      <c r="I99">
        <v>0.2</v>
      </c>
      <c r="J99">
        <v>24.2</v>
      </c>
    </row>
    <row r="100" spans="1:10" x14ac:dyDescent="0.25">
      <c r="A100" t="s">
        <v>2456</v>
      </c>
      <c r="B100" t="s">
        <v>276</v>
      </c>
      <c r="C100">
        <v>20.399999999999999</v>
      </c>
      <c r="D100">
        <v>126.7</v>
      </c>
      <c r="E100">
        <v>1.1000000000000001</v>
      </c>
      <c r="F100">
        <v>5.4</v>
      </c>
      <c r="G100">
        <v>41.3</v>
      </c>
      <c r="H100">
        <v>0.1</v>
      </c>
      <c r="I100">
        <v>0.1</v>
      </c>
      <c r="J100">
        <v>23.8</v>
      </c>
    </row>
    <row r="101" spans="1:10" x14ac:dyDescent="0.25">
      <c r="A101" t="s">
        <v>934</v>
      </c>
      <c r="B101" t="s">
        <v>287</v>
      </c>
      <c r="C101">
        <v>25.5</v>
      </c>
      <c r="D101">
        <v>111.4</v>
      </c>
      <c r="E101">
        <v>1.4</v>
      </c>
      <c r="F101">
        <v>4.7</v>
      </c>
      <c r="G101">
        <v>31.3</v>
      </c>
      <c r="H101">
        <v>0.1</v>
      </c>
      <c r="I101">
        <v>0</v>
      </c>
      <c r="J101">
        <v>22.9</v>
      </c>
    </row>
    <row r="102" spans="1:10" x14ac:dyDescent="0.25">
      <c r="A102" t="s">
        <v>2618</v>
      </c>
      <c r="B102" t="s">
        <v>288</v>
      </c>
      <c r="C102">
        <v>29.4</v>
      </c>
      <c r="D102">
        <v>134</v>
      </c>
      <c r="E102">
        <v>1</v>
      </c>
      <c r="F102">
        <v>5.0999999999999996</v>
      </c>
      <c r="G102">
        <v>32.6</v>
      </c>
      <c r="H102">
        <v>0.1</v>
      </c>
      <c r="I102">
        <v>0.2</v>
      </c>
      <c r="J102">
        <v>22.8</v>
      </c>
    </row>
    <row r="103" spans="1:10" x14ac:dyDescent="0.25">
      <c r="A103" t="s">
        <v>2463</v>
      </c>
      <c r="B103" t="s">
        <v>291</v>
      </c>
      <c r="C103">
        <v>25.2</v>
      </c>
      <c r="D103">
        <v>127.6</v>
      </c>
      <c r="E103">
        <v>0.9</v>
      </c>
      <c r="F103">
        <v>6.1</v>
      </c>
      <c r="G103">
        <v>41.7</v>
      </c>
      <c r="H103">
        <v>0.1</v>
      </c>
      <c r="I103">
        <v>0.2</v>
      </c>
      <c r="J103">
        <v>22.6</v>
      </c>
    </row>
    <row r="104" spans="1:10" x14ac:dyDescent="0.25">
      <c r="A104" t="s">
        <v>689</v>
      </c>
      <c r="B104" t="s">
        <v>307</v>
      </c>
      <c r="C104">
        <v>12.6</v>
      </c>
      <c r="D104">
        <v>91.7</v>
      </c>
      <c r="E104">
        <v>0.6</v>
      </c>
      <c r="F104">
        <v>10.3</v>
      </c>
      <c r="G104">
        <v>82.3</v>
      </c>
      <c r="H104">
        <v>0.3</v>
      </c>
      <c r="I104">
        <v>0.1</v>
      </c>
      <c r="J104">
        <v>22.3</v>
      </c>
    </row>
    <row r="105" spans="1:10" x14ac:dyDescent="0.25">
      <c r="A105" t="s">
        <v>542</v>
      </c>
      <c r="B105" t="s">
        <v>307</v>
      </c>
      <c r="C105">
        <v>22.4</v>
      </c>
      <c r="D105">
        <v>123.4</v>
      </c>
      <c r="E105">
        <v>0.7</v>
      </c>
      <c r="F105">
        <v>6.4</v>
      </c>
      <c r="G105">
        <v>43.8</v>
      </c>
      <c r="H105">
        <v>0.2</v>
      </c>
      <c r="I105">
        <v>0.1</v>
      </c>
      <c r="J105">
        <v>22.1</v>
      </c>
    </row>
    <row r="106" spans="1:10" x14ac:dyDescent="0.25">
      <c r="A106" t="s">
        <v>134</v>
      </c>
      <c r="B106" t="s">
        <v>276</v>
      </c>
      <c r="C106">
        <v>17.5</v>
      </c>
      <c r="D106">
        <v>70.900000000000006</v>
      </c>
      <c r="E106">
        <v>0.3</v>
      </c>
      <c r="F106">
        <v>15.3</v>
      </c>
      <c r="G106">
        <v>119</v>
      </c>
      <c r="H106">
        <v>0.3</v>
      </c>
      <c r="I106">
        <v>0.2</v>
      </c>
      <c r="J106">
        <v>22.1</v>
      </c>
    </row>
    <row r="107" spans="1:10" x14ac:dyDescent="0.25">
      <c r="A107" t="s">
        <v>682</v>
      </c>
      <c r="B107" t="s">
        <v>285</v>
      </c>
      <c r="C107">
        <v>9.9</v>
      </c>
      <c r="D107">
        <v>119.4</v>
      </c>
      <c r="E107">
        <v>1</v>
      </c>
      <c r="F107">
        <v>5.9</v>
      </c>
      <c r="G107">
        <v>37.799999999999997</v>
      </c>
      <c r="H107">
        <v>0.2</v>
      </c>
      <c r="I107">
        <v>0.6</v>
      </c>
      <c r="J107">
        <v>21.6</v>
      </c>
    </row>
    <row r="108" spans="1:10" x14ac:dyDescent="0.25">
      <c r="A108" t="s">
        <v>692</v>
      </c>
      <c r="B108" t="s">
        <v>304</v>
      </c>
      <c r="C108">
        <v>6.6</v>
      </c>
      <c r="D108">
        <v>82.6</v>
      </c>
      <c r="E108">
        <v>0.6</v>
      </c>
      <c r="F108">
        <v>8.8000000000000007</v>
      </c>
      <c r="G108">
        <v>77.599999999999994</v>
      </c>
      <c r="H108">
        <v>0.3</v>
      </c>
      <c r="I108">
        <v>0.2</v>
      </c>
      <c r="J108">
        <v>21</v>
      </c>
    </row>
    <row r="109" spans="1:10" x14ac:dyDescent="0.25">
      <c r="A109" t="s">
        <v>937</v>
      </c>
      <c r="B109" t="s">
        <v>292</v>
      </c>
      <c r="C109">
        <v>24.5</v>
      </c>
      <c r="D109">
        <v>99.8</v>
      </c>
      <c r="E109">
        <v>0.8</v>
      </c>
      <c r="F109">
        <v>6.2</v>
      </c>
      <c r="G109">
        <v>44.4</v>
      </c>
      <c r="H109">
        <v>0.1</v>
      </c>
      <c r="I109">
        <v>0.1</v>
      </c>
      <c r="J109">
        <v>19.5</v>
      </c>
    </row>
    <row r="110" spans="1:10" x14ac:dyDescent="0.25">
      <c r="A110" t="s">
        <v>2469</v>
      </c>
      <c r="B110" t="s">
        <v>275</v>
      </c>
      <c r="C110">
        <v>0</v>
      </c>
      <c r="D110">
        <v>112.8</v>
      </c>
      <c r="E110">
        <v>1</v>
      </c>
      <c r="F110">
        <v>3</v>
      </c>
      <c r="G110">
        <v>20.399999999999999</v>
      </c>
      <c r="H110">
        <v>0.1</v>
      </c>
      <c r="I110">
        <v>0.3</v>
      </c>
      <c r="J110">
        <v>19.399999999999999</v>
      </c>
    </row>
    <row r="111" spans="1:10" x14ac:dyDescent="0.25">
      <c r="A111" t="s">
        <v>888</v>
      </c>
      <c r="B111" t="s">
        <v>279</v>
      </c>
      <c r="C111">
        <v>16</v>
      </c>
      <c r="D111">
        <v>82.3</v>
      </c>
      <c r="E111">
        <v>0.6</v>
      </c>
      <c r="F111">
        <v>9.1</v>
      </c>
      <c r="G111">
        <v>61.6</v>
      </c>
      <c r="H111">
        <v>0.2</v>
      </c>
      <c r="I111">
        <v>0.1</v>
      </c>
      <c r="J111">
        <v>19</v>
      </c>
    </row>
    <row r="112" spans="1:10" x14ac:dyDescent="0.25">
      <c r="A112" t="s">
        <v>2461</v>
      </c>
      <c r="B112" t="s">
        <v>308</v>
      </c>
      <c r="C112">
        <v>20.3</v>
      </c>
      <c r="D112">
        <v>103.3</v>
      </c>
      <c r="E112">
        <v>0.7</v>
      </c>
      <c r="F112">
        <v>4.7</v>
      </c>
      <c r="G112">
        <v>36.1</v>
      </c>
      <c r="H112">
        <v>0.1</v>
      </c>
      <c r="I112">
        <v>0.1</v>
      </c>
      <c r="J112">
        <v>18.899999999999999</v>
      </c>
    </row>
    <row r="113" spans="1:10" x14ac:dyDescent="0.25">
      <c r="A113" t="s">
        <v>941</v>
      </c>
      <c r="B113" t="s">
        <v>292</v>
      </c>
      <c r="C113">
        <v>10.3</v>
      </c>
      <c r="D113">
        <v>95.2</v>
      </c>
      <c r="E113">
        <v>0.7</v>
      </c>
      <c r="F113">
        <v>3.5</v>
      </c>
      <c r="G113">
        <v>27.6</v>
      </c>
      <c r="H113">
        <v>0.1</v>
      </c>
      <c r="I113">
        <v>0.1</v>
      </c>
      <c r="J113">
        <v>17.100000000000001</v>
      </c>
    </row>
    <row r="114" spans="1:10" x14ac:dyDescent="0.25">
      <c r="A114" t="s">
        <v>885</v>
      </c>
      <c r="B114" t="s">
        <v>299</v>
      </c>
      <c r="C114">
        <v>21.9</v>
      </c>
      <c r="D114">
        <v>94.8</v>
      </c>
      <c r="E114">
        <v>0.6</v>
      </c>
      <c r="F114">
        <v>4.8</v>
      </c>
      <c r="G114">
        <v>35.1</v>
      </c>
      <c r="H114">
        <v>0.1</v>
      </c>
      <c r="I114">
        <v>0</v>
      </c>
      <c r="J114">
        <v>17</v>
      </c>
    </row>
    <row r="115" spans="1:10" x14ac:dyDescent="0.25">
      <c r="A115" t="s">
        <v>943</v>
      </c>
      <c r="B115" t="s">
        <v>277</v>
      </c>
      <c r="C115">
        <v>26.4</v>
      </c>
      <c r="D115">
        <v>106.5</v>
      </c>
      <c r="E115">
        <v>0.5</v>
      </c>
      <c r="F115">
        <v>4.4000000000000004</v>
      </c>
      <c r="G115">
        <v>31.3</v>
      </c>
      <c r="H115">
        <v>0.1</v>
      </c>
      <c r="I115">
        <v>0.1</v>
      </c>
      <c r="J115">
        <v>17</v>
      </c>
    </row>
    <row r="116" spans="1:10" x14ac:dyDescent="0.25">
      <c r="A116" t="s">
        <v>693</v>
      </c>
      <c r="B116" t="s">
        <v>283</v>
      </c>
      <c r="C116">
        <v>9.6999999999999993</v>
      </c>
      <c r="D116">
        <v>89.7</v>
      </c>
      <c r="E116">
        <v>0.7</v>
      </c>
      <c r="F116">
        <v>4.9000000000000004</v>
      </c>
      <c r="G116">
        <v>37.200000000000003</v>
      </c>
      <c r="H116">
        <v>0.2</v>
      </c>
      <c r="I116">
        <v>0.5</v>
      </c>
      <c r="J116">
        <v>16.7</v>
      </c>
    </row>
    <row r="117" spans="1:10" x14ac:dyDescent="0.25">
      <c r="A117" t="s">
        <v>2466</v>
      </c>
      <c r="B117" t="s">
        <v>299</v>
      </c>
      <c r="C117">
        <v>9.8000000000000007</v>
      </c>
      <c r="D117">
        <v>75</v>
      </c>
      <c r="E117">
        <v>0.6</v>
      </c>
      <c r="F117">
        <v>6</v>
      </c>
      <c r="G117">
        <v>46.2</v>
      </c>
      <c r="H117">
        <v>0.2</v>
      </c>
      <c r="I117">
        <v>0.1</v>
      </c>
      <c r="J117">
        <v>16.5</v>
      </c>
    </row>
    <row r="118" spans="1:10" x14ac:dyDescent="0.25">
      <c r="A118" t="s">
        <v>2462</v>
      </c>
      <c r="B118" t="s">
        <v>284</v>
      </c>
      <c r="C118">
        <v>9.5</v>
      </c>
      <c r="D118">
        <v>44.5</v>
      </c>
      <c r="E118">
        <v>0.5</v>
      </c>
      <c r="F118">
        <v>6.9</v>
      </c>
      <c r="G118">
        <v>49.7</v>
      </c>
      <c r="H118">
        <v>0.6</v>
      </c>
      <c r="I118">
        <v>0</v>
      </c>
      <c r="J118">
        <v>15.9</v>
      </c>
    </row>
    <row r="119" spans="1:10" x14ac:dyDescent="0.25">
      <c r="A119" t="s">
        <v>2670</v>
      </c>
      <c r="B119" t="s">
        <v>301</v>
      </c>
      <c r="C119">
        <v>18.5</v>
      </c>
      <c r="D119">
        <v>81.900000000000006</v>
      </c>
      <c r="E119">
        <v>0.6</v>
      </c>
      <c r="F119">
        <v>4.8</v>
      </c>
      <c r="G119">
        <v>29.3</v>
      </c>
      <c r="H119">
        <v>0.2</v>
      </c>
      <c r="I119">
        <v>0.1</v>
      </c>
      <c r="J119">
        <v>15.8</v>
      </c>
    </row>
    <row r="120" spans="1:10" x14ac:dyDescent="0.25">
      <c r="A120" t="s">
        <v>2457</v>
      </c>
      <c r="B120" t="s">
        <v>294</v>
      </c>
      <c r="C120">
        <v>25.1</v>
      </c>
      <c r="D120">
        <v>102.8</v>
      </c>
      <c r="E120">
        <v>0.5</v>
      </c>
      <c r="F120">
        <v>3.1</v>
      </c>
      <c r="G120">
        <v>25.6</v>
      </c>
      <c r="H120">
        <v>0</v>
      </c>
      <c r="I120">
        <v>0</v>
      </c>
      <c r="J120">
        <v>15.7</v>
      </c>
    </row>
    <row r="121" spans="1:10" x14ac:dyDescent="0.25">
      <c r="A121" t="s">
        <v>2458</v>
      </c>
      <c r="B121" t="s">
        <v>308</v>
      </c>
      <c r="C121">
        <v>2.7</v>
      </c>
      <c r="D121">
        <v>21.9</v>
      </c>
      <c r="E121">
        <v>0.1</v>
      </c>
      <c r="F121">
        <v>10.4</v>
      </c>
      <c r="G121">
        <v>97.5</v>
      </c>
      <c r="H121">
        <v>0.7</v>
      </c>
      <c r="I121">
        <v>0.5</v>
      </c>
      <c r="J121">
        <v>15.5</v>
      </c>
    </row>
    <row r="122" spans="1:10" x14ac:dyDescent="0.25">
      <c r="A122" t="s">
        <v>936</v>
      </c>
      <c r="B122" t="s">
        <v>297</v>
      </c>
      <c r="C122">
        <v>21.5</v>
      </c>
      <c r="D122">
        <v>82.9</v>
      </c>
      <c r="E122">
        <v>0.6</v>
      </c>
      <c r="F122">
        <v>3.9</v>
      </c>
      <c r="G122">
        <v>23.8</v>
      </c>
      <c r="H122">
        <v>0.1</v>
      </c>
      <c r="I122">
        <v>0.1</v>
      </c>
      <c r="J122">
        <v>14.9</v>
      </c>
    </row>
    <row r="123" spans="1:10" x14ac:dyDescent="0.25">
      <c r="A123" t="s">
        <v>685</v>
      </c>
      <c r="B123" t="s">
        <v>277</v>
      </c>
      <c r="C123">
        <v>16.8</v>
      </c>
      <c r="D123">
        <v>71.900000000000006</v>
      </c>
      <c r="E123">
        <v>0.5</v>
      </c>
      <c r="F123">
        <v>4.7</v>
      </c>
      <c r="G123">
        <v>35.799999999999997</v>
      </c>
      <c r="H123">
        <v>0.2</v>
      </c>
      <c r="I123">
        <v>0.1</v>
      </c>
      <c r="J123">
        <v>14.8</v>
      </c>
    </row>
    <row r="124" spans="1:10" x14ac:dyDescent="0.25">
      <c r="A124" t="s">
        <v>2464</v>
      </c>
      <c r="B124" t="s">
        <v>297</v>
      </c>
      <c r="C124">
        <v>16</v>
      </c>
      <c r="D124">
        <v>76.400000000000006</v>
      </c>
      <c r="E124">
        <v>0.3</v>
      </c>
      <c r="F124">
        <v>6.6</v>
      </c>
      <c r="G124">
        <v>43.5</v>
      </c>
      <c r="H124">
        <v>0.1</v>
      </c>
      <c r="I124">
        <v>0.1</v>
      </c>
      <c r="J124">
        <v>14.6</v>
      </c>
    </row>
    <row r="125" spans="1:10" x14ac:dyDescent="0.25">
      <c r="A125" t="s">
        <v>638</v>
      </c>
      <c r="B125" t="s">
        <v>306</v>
      </c>
      <c r="C125">
        <v>14</v>
      </c>
      <c r="D125">
        <v>75</v>
      </c>
      <c r="E125">
        <v>0.7</v>
      </c>
      <c r="F125">
        <v>3.5</v>
      </c>
      <c r="G125">
        <v>25.3</v>
      </c>
      <c r="H125">
        <v>0.1</v>
      </c>
      <c r="I125">
        <v>0</v>
      </c>
      <c r="J125">
        <v>14.5</v>
      </c>
    </row>
    <row r="126" spans="1:10" x14ac:dyDescent="0.25">
      <c r="A126" t="s">
        <v>669</v>
      </c>
      <c r="B126" t="s">
        <v>279</v>
      </c>
      <c r="C126">
        <v>0</v>
      </c>
      <c r="D126">
        <v>75.599999999999994</v>
      </c>
      <c r="E126">
        <v>0.6</v>
      </c>
      <c r="F126">
        <v>3.8</v>
      </c>
      <c r="G126">
        <v>28.8</v>
      </c>
      <c r="H126">
        <v>0.2</v>
      </c>
      <c r="I126">
        <v>0.1</v>
      </c>
      <c r="J126">
        <v>14.5</v>
      </c>
    </row>
    <row r="127" spans="1:10" x14ac:dyDescent="0.25">
      <c r="A127" t="s">
        <v>562</v>
      </c>
      <c r="B127" t="s">
        <v>284</v>
      </c>
      <c r="C127">
        <v>10.4</v>
      </c>
      <c r="D127">
        <v>41.1</v>
      </c>
      <c r="E127">
        <v>0.2</v>
      </c>
      <c r="F127">
        <v>7.7</v>
      </c>
      <c r="G127">
        <v>57.4</v>
      </c>
      <c r="H127">
        <v>0.3</v>
      </c>
      <c r="I127">
        <v>0</v>
      </c>
      <c r="J127">
        <v>13.3</v>
      </c>
    </row>
    <row r="128" spans="1:10" x14ac:dyDescent="0.25">
      <c r="A128" t="s">
        <v>684</v>
      </c>
      <c r="B128" t="s">
        <v>290</v>
      </c>
      <c r="C128">
        <v>4.4000000000000004</v>
      </c>
      <c r="D128">
        <v>81</v>
      </c>
      <c r="E128">
        <v>0.5</v>
      </c>
      <c r="F128">
        <v>3.9</v>
      </c>
      <c r="G128">
        <v>22.5</v>
      </c>
      <c r="H128">
        <v>0.1</v>
      </c>
      <c r="I128">
        <v>0.5</v>
      </c>
      <c r="J128">
        <v>13.2</v>
      </c>
    </row>
    <row r="129" spans="1:10" x14ac:dyDescent="0.25">
      <c r="A129" t="s">
        <v>892</v>
      </c>
      <c r="B129" t="s">
        <v>291</v>
      </c>
      <c r="C129">
        <v>11.9</v>
      </c>
      <c r="D129">
        <v>48.4</v>
      </c>
      <c r="E129">
        <v>0.5</v>
      </c>
      <c r="F129">
        <v>7.1</v>
      </c>
      <c r="G129">
        <v>48.4</v>
      </c>
      <c r="H129">
        <v>0.1</v>
      </c>
      <c r="I129">
        <v>0</v>
      </c>
      <c r="J129">
        <v>13.1</v>
      </c>
    </row>
    <row r="130" spans="1:10" x14ac:dyDescent="0.25">
      <c r="A130" t="s">
        <v>910</v>
      </c>
      <c r="B130" t="s">
        <v>285</v>
      </c>
      <c r="C130">
        <v>16</v>
      </c>
      <c r="D130">
        <v>64.900000000000006</v>
      </c>
      <c r="E130">
        <v>0.4</v>
      </c>
      <c r="F130">
        <v>4.4000000000000004</v>
      </c>
      <c r="G130">
        <v>34.700000000000003</v>
      </c>
      <c r="H130">
        <v>0.2</v>
      </c>
      <c r="I130">
        <v>0.1</v>
      </c>
      <c r="J130">
        <v>12.8</v>
      </c>
    </row>
    <row r="131" spans="1:10" x14ac:dyDescent="0.25">
      <c r="A131" t="s">
        <v>686</v>
      </c>
      <c r="B131" t="s">
        <v>295</v>
      </c>
      <c r="C131">
        <v>2.7</v>
      </c>
      <c r="D131">
        <v>6.9</v>
      </c>
      <c r="E131">
        <v>0.1</v>
      </c>
      <c r="F131">
        <v>10.1</v>
      </c>
      <c r="G131">
        <v>68.900000000000006</v>
      </c>
      <c r="H131">
        <v>0.7</v>
      </c>
      <c r="I131">
        <v>0</v>
      </c>
      <c r="J131">
        <v>12.3</v>
      </c>
    </row>
    <row r="132" spans="1:10" x14ac:dyDescent="0.25">
      <c r="A132" t="s">
        <v>938</v>
      </c>
      <c r="B132" t="s">
        <v>275</v>
      </c>
      <c r="C132">
        <v>13</v>
      </c>
      <c r="D132">
        <v>50</v>
      </c>
      <c r="E132">
        <v>0</v>
      </c>
      <c r="F132">
        <v>9</v>
      </c>
      <c r="G132">
        <v>67</v>
      </c>
      <c r="H132">
        <v>0</v>
      </c>
      <c r="I132">
        <v>0</v>
      </c>
      <c r="J132">
        <v>11.7</v>
      </c>
    </row>
    <row r="133" spans="1:10" x14ac:dyDescent="0.25">
      <c r="A133" t="s">
        <v>354</v>
      </c>
      <c r="B133" t="s">
        <v>278</v>
      </c>
      <c r="C133">
        <v>8.1</v>
      </c>
      <c r="D133">
        <v>32.700000000000003</v>
      </c>
      <c r="E133">
        <v>0.2</v>
      </c>
      <c r="F133">
        <v>7.9</v>
      </c>
      <c r="G133">
        <v>53.8</v>
      </c>
      <c r="H133">
        <v>0.3</v>
      </c>
      <c r="I133">
        <v>0.1</v>
      </c>
      <c r="J133">
        <v>11.6</v>
      </c>
    </row>
    <row r="134" spans="1:10" x14ac:dyDescent="0.25">
      <c r="A134" t="s">
        <v>900</v>
      </c>
      <c r="B134" t="s">
        <v>297</v>
      </c>
      <c r="C134">
        <v>5.5</v>
      </c>
      <c r="D134">
        <v>15.3</v>
      </c>
      <c r="E134">
        <v>0.1</v>
      </c>
      <c r="F134">
        <v>9.4</v>
      </c>
      <c r="G134">
        <v>68.400000000000006</v>
      </c>
      <c r="H134">
        <v>0.3</v>
      </c>
      <c r="I134">
        <v>0</v>
      </c>
      <c r="J134">
        <v>11</v>
      </c>
    </row>
    <row r="135" spans="1:10" x14ac:dyDescent="0.25">
      <c r="A135" t="s">
        <v>667</v>
      </c>
      <c r="B135" t="s">
        <v>295</v>
      </c>
      <c r="C135">
        <v>10.3</v>
      </c>
      <c r="D135">
        <v>44.2</v>
      </c>
      <c r="E135">
        <v>0.4</v>
      </c>
      <c r="F135">
        <v>2.6</v>
      </c>
      <c r="G135">
        <v>18.2</v>
      </c>
      <c r="H135">
        <v>0.1</v>
      </c>
      <c r="I135">
        <v>0</v>
      </c>
      <c r="J135">
        <v>9.1999999999999993</v>
      </c>
    </row>
    <row r="136" spans="1:10" x14ac:dyDescent="0.25">
      <c r="A136" t="s">
        <v>890</v>
      </c>
      <c r="B136" t="s">
        <v>298</v>
      </c>
      <c r="C136">
        <v>4.3</v>
      </c>
      <c r="D136">
        <v>14.9</v>
      </c>
      <c r="E136">
        <v>0.1</v>
      </c>
      <c r="F136">
        <v>6.5</v>
      </c>
      <c r="G136">
        <v>48.1</v>
      </c>
      <c r="H136">
        <v>0.3</v>
      </c>
      <c r="I136">
        <v>0</v>
      </c>
      <c r="J136">
        <v>9.1</v>
      </c>
    </row>
    <row r="137" spans="1:10" x14ac:dyDescent="0.25">
      <c r="A137" t="s">
        <v>931</v>
      </c>
      <c r="B137" t="s">
        <v>303</v>
      </c>
      <c r="C137">
        <v>6.9</v>
      </c>
      <c r="D137">
        <v>41.2</v>
      </c>
      <c r="E137">
        <v>0.3</v>
      </c>
      <c r="F137">
        <v>3</v>
      </c>
      <c r="G137">
        <v>21.7</v>
      </c>
      <c r="H137">
        <v>0.1</v>
      </c>
      <c r="I137">
        <v>0.1</v>
      </c>
      <c r="J137">
        <v>8.9</v>
      </c>
    </row>
    <row r="138" spans="1:10" x14ac:dyDescent="0.25">
      <c r="A138" t="s">
        <v>358</v>
      </c>
      <c r="B138" t="s">
        <v>296</v>
      </c>
      <c r="C138">
        <v>5.8</v>
      </c>
      <c r="D138">
        <v>23.7</v>
      </c>
      <c r="E138">
        <v>0.3</v>
      </c>
      <c r="F138">
        <v>3.5</v>
      </c>
      <c r="G138">
        <v>25.2</v>
      </c>
      <c r="H138">
        <v>0.2</v>
      </c>
      <c r="I138">
        <v>0</v>
      </c>
      <c r="J138">
        <v>7.5</v>
      </c>
    </row>
    <row r="139" spans="1:10" x14ac:dyDescent="0.25">
      <c r="A139" t="s">
        <v>818</v>
      </c>
      <c r="B139" t="s">
        <v>306</v>
      </c>
      <c r="C139">
        <v>4.7</v>
      </c>
      <c r="D139">
        <v>18.8</v>
      </c>
      <c r="E139">
        <v>0.2</v>
      </c>
      <c r="F139">
        <v>4.4000000000000004</v>
      </c>
      <c r="G139">
        <v>33</v>
      </c>
      <c r="H139">
        <v>0.2</v>
      </c>
      <c r="I139">
        <v>0</v>
      </c>
      <c r="J139">
        <v>7.2</v>
      </c>
    </row>
    <row r="140" spans="1:10" x14ac:dyDescent="0.25">
      <c r="A140" t="s">
        <v>894</v>
      </c>
      <c r="B140" t="s">
        <v>814</v>
      </c>
      <c r="C140">
        <v>4</v>
      </c>
      <c r="D140">
        <v>16.399999999999999</v>
      </c>
      <c r="E140">
        <v>0.2</v>
      </c>
      <c r="F140">
        <v>4.4000000000000004</v>
      </c>
      <c r="G140">
        <v>32.6</v>
      </c>
      <c r="H140">
        <v>0.3</v>
      </c>
      <c r="I140">
        <v>0.1</v>
      </c>
      <c r="J140">
        <v>7.2</v>
      </c>
    </row>
    <row r="141" spans="1:10" x14ac:dyDescent="0.25">
      <c r="A141" t="s">
        <v>2467</v>
      </c>
      <c r="B141" t="s">
        <v>282</v>
      </c>
      <c r="C141">
        <v>4.5999999999999996</v>
      </c>
      <c r="D141">
        <v>18.2</v>
      </c>
      <c r="E141">
        <v>0.1</v>
      </c>
      <c r="F141">
        <v>4</v>
      </c>
      <c r="G141">
        <v>31.2</v>
      </c>
      <c r="H141">
        <v>0.2</v>
      </c>
      <c r="I141">
        <v>0</v>
      </c>
      <c r="J141">
        <v>6.8</v>
      </c>
    </row>
    <row r="142" spans="1:10" x14ac:dyDescent="0.25">
      <c r="A142" t="s">
        <v>2629</v>
      </c>
      <c r="B142" t="s">
        <v>284</v>
      </c>
      <c r="C142">
        <v>4.5</v>
      </c>
      <c r="D142">
        <v>18.899999999999999</v>
      </c>
      <c r="E142">
        <v>0.1</v>
      </c>
      <c r="F142">
        <v>3.8</v>
      </c>
      <c r="G142">
        <v>28</v>
      </c>
      <c r="H142">
        <v>0.2</v>
      </c>
      <c r="I142">
        <v>0</v>
      </c>
      <c r="J142">
        <v>6.3</v>
      </c>
    </row>
    <row r="143" spans="1:10" x14ac:dyDescent="0.25">
      <c r="A143" t="s">
        <v>2671</v>
      </c>
      <c r="B143" t="s">
        <v>304</v>
      </c>
      <c r="C143">
        <v>7.5</v>
      </c>
      <c r="D143">
        <v>31.3</v>
      </c>
      <c r="E143">
        <v>0.2</v>
      </c>
      <c r="F143">
        <v>2.1</v>
      </c>
      <c r="G143">
        <v>14.3</v>
      </c>
      <c r="H143">
        <v>0.1</v>
      </c>
      <c r="I143">
        <v>0</v>
      </c>
      <c r="J143">
        <v>6.2</v>
      </c>
    </row>
    <row r="144" spans="1:10" x14ac:dyDescent="0.25">
      <c r="A144" t="s">
        <v>352</v>
      </c>
      <c r="B144" t="s">
        <v>288</v>
      </c>
      <c r="C144">
        <v>2.2000000000000002</v>
      </c>
      <c r="D144">
        <v>8.6999999999999993</v>
      </c>
      <c r="E144">
        <v>0.1</v>
      </c>
      <c r="F144">
        <v>4.4000000000000004</v>
      </c>
      <c r="G144">
        <v>32.5</v>
      </c>
      <c r="H144">
        <v>0.2</v>
      </c>
      <c r="I144">
        <v>0</v>
      </c>
      <c r="J144">
        <v>5.6</v>
      </c>
    </row>
    <row r="145" spans="1:10" x14ac:dyDescent="0.25">
      <c r="A145" t="s">
        <v>942</v>
      </c>
      <c r="B145" t="s">
        <v>287</v>
      </c>
      <c r="C145">
        <v>3</v>
      </c>
      <c r="D145">
        <v>12.5</v>
      </c>
      <c r="E145">
        <v>0.1</v>
      </c>
      <c r="F145">
        <v>3.6</v>
      </c>
      <c r="G145">
        <v>26.6</v>
      </c>
      <c r="H145">
        <v>0.2</v>
      </c>
      <c r="I145">
        <v>0</v>
      </c>
      <c r="J145">
        <v>5.6</v>
      </c>
    </row>
    <row r="146" spans="1:10" x14ac:dyDescent="0.25">
      <c r="A146" t="s">
        <v>891</v>
      </c>
      <c r="B146" t="s">
        <v>299</v>
      </c>
      <c r="C146">
        <v>2.4</v>
      </c>
      <c r="D146">
        <v>9.8000000000000007</v>
      </c>
      <c r="E146">
        <v>0.1</v>
      </c>
      <c r="F146">
        <v>3.8</v>
      </c>
      <c r="G146">
        <v>29.2</v>
      </c>
      <c r="H146">
        <v>0.2</v>
      </c>
      <c r="I146">
        <v>0</v>
      </c>
      <c r="J146">
        <v>5.5</v>
      </c>
    </row>
    <row r="147" spans="1:10" x14ac:dyDescent="0.25">
      <c r="A147" t="s">
        <v>896</v>
      </c>
      <c r="B147" t="s">
        <v>298</v>
      </c>
      <c r="C147">
        <v>7.6</v>
      </c>
      <c r="D147">
        <v>31.8</v>
      </c>
      <c r="E147">
        <v>0.2</v>
      </c>
      <c r="F147">
        <v>1</v>
      </c>
      <c r="G147">
        <v>7.7</v>
      </c>
      <c r="H147">
        <v>0</v>
      </c>
      <c r="I147">
        <v>0</v>
      </c>
      <c r="J147">
        <v>5.4</v>
      </c>
    </row>
    <row r="148" spans="1:10" x14ac:dyDescent="0.25">
      <c r="A148" t="s">
        <v>755</v>
      </c>
      <c r="B148" t="s">
        <v>299</v>
      </c>
      <c r="C148">
        <v>0</v>
      </c>
      <c r="D148">
        <v>0</v>
      </c>
      <c r="E148">
        <v>0</v>
      </c>
      <c r="F148">
        <v>3.5</v>
      </c>
      <c r="G148">
        <v>36.6</v>
      </c>
      <c r="H148">
        <v>0.3</v>
      </c>
      <c r="I148">
        <v>0</v>
      </c>
      <c r="J148">
        <v>5.2</v>
      </c>
    </row>
    <row r="149" spans="1:10" x14ac:dyDescent="0.25">
      <c r="A149" t="s">
        <v>2470</v>
      </c>
      <c r="B149" t="s">
        <v>277</v>
      </c>
      <c r="C149">
        <v>4.4000000000000004</v>
      </c>
      <c r="D149">
        <v>18.7</v>
      </c>
      <c r="E149">
        <v>0.1</v>
      </c>
      <c r="F149">
        <v>2</v>
      </c>
      <c r="G149">
        <v>14.7</v>
      </c>
      <c r="H149">
        <v>0.1</v>
      </c>
      <c r="I149">
        <v>0</v>
      </c>
      <c r="J149">
        <v>5</v>
      </c>
    </row>
    <row r="150" spans="1:10" x14ac:dyDescent="0.25">
      <c r="A150" t="s">
        <v>911</v>
      </c>
      <c r="B150" t="s">
        <v>289</v>
      </c>
      <c r="C150">
        <v>0</v>
      </c>
      <c r="D150">
        <v>0</v>
      </c>
      <c r="E150">
        <v>0</v>
      </c>
      <c r="F150">
        <v>4.4000000000000004</v>
      </c>
      <c r="G150">
        <v>32.6</v>
      </c>
      <c r="H150">
        <v>0.2</v>
      </c>
      <c r="I150">
        <v>0</v>
      </c>
      <c r="J150">
        <v>4.5999999999999996</v>
      </c>
    </row>
    <row r="151" spans="1:10" x14ac:dyDescent="0.25">
      <c r="A151" t="s">
        <v>2672</v>
      </c>
      <c r="B151" t="s">
        <v>814</v>
      </c>
      <c r="C151">
        <v>3.7</v>
      </c>
      <c r="D151">
        <v>15.6</v>
      </c>
      <c r="E151">
        <v>0.1</v>
      </c>
      <c r="F151">
        <v>2.1</v>
      </c>
      <c r="G151">
        <v>15.4</v>
      </c>
      <c r="H151">
        <v>0.1</v>
      </c>
      <c r="I151">
        <v>0</v>
      </c>
      <c r="J151">
        <v>4.4000000000000004</v>
      </c>
    </row>
    <row r="152" spans="1:10" x14ac:dyDescent="0.25">
      <c r="A152" t="s">
        <v>1027</v>
      </c>
      <c r="B152" t="s">
        <v>291</v>
      </c>
      <c r="C152">
        <v>2.2000000000000002</v>
      </c>
      <c r="D152">
        <v>8.9</v>
      </c>
      <c r="E152">
        <v>0.1</v>
      </c>
      <c r="F152">
        <v>2.1</v>
      </c>
      <c r="G152">
        <v>15.9</v>
      </c>
      <c r="H152">
        <v>0.1</v>
      </c>
      <c r="I152">
        <v>0</v>
      </c>
      <c r="J152">
        <v>3.5</v>
      </c>
    </row>
    <row r="153" spans="1:10" x14ac:dyDescent="0.25">
      <c r="A153" t="s">
        <v>2673</v>
      </c>
      <c r="B153" t="s">
        <v>286</v>
      </c>
      <c r="C153">
        <v>4.4000000000000004</v>
      </c>
      <c r="D153">
        <v>18.399999999999999</v>
      </c>
      <c r="E153">
        <v>0.2</v>
      </c>
      <c r="F153">
        <v>0</v>
      </c>
      <c r="G153">
        <v>0</v>
      </c>
      <c r="H153">
        <v>0</v>
      </c>
      <c r="I153">
        <v>0</v>
      </c>
      <c r="J153">
        <v>2.7</v>
      </c>
    </row>
    <row r="154" spans="1:10" x14ac:dyDescent="0.25">
      <c r="A154" t="s">
        <v>2557</v>
      </c>
      <c r="B154" t="s">
        <v>285</v>
      </c>
      <c r="C154">
        <v>0</v>
      </c>
      <c r="D154">
        <v>0</v>
      </c>
      <c r="E154">
        <v>0</v>
      </c>
      <c r="F154">
        <v>0</v>
      </c>
      <c r="G154">
        <v>0</v>
      </c>
      <c r="H154">
        <v>0</v>
      </c>
      <c r="I154">
        <v>0</v>
      </c>
      <c r="J154">
        <v>0</v>
      </c>
    </row>
    <row r="155" spans="1:10" x14ac:dyDescent="0.25">
      <c r="A155" t="s">
        <v>1004</v>
      </c>
      <c r="B155" t="s">
        <v>298</v>
      </c>
      <c r="C155">
        <v>0</v>
      </c>
      <c r="D155">
        <v>0</v>
      </c>
      <c r="E155">
        <v>0</v>
      </c>
      <c r="F155">
        <v>0</v>
      </c>
      <c r="G155">
        <v>0</v>
      </c>
      <c r="H155">
        <v>0</v>
      </c>
      <c r="I155">
        <v>0</v>
      </c>
      <c r="J155">
        <v>0</v>
      </c>
    </row>
    <row r="156" spans="1:10" x14ac:dyDescent="0.25">
      <c r="A156" t="s">
        <v>2736</v>
      </c>
      <c r="B156" t="s">
        <v>286</v>
      </c>
      <c r="C156">
        <v>0</v>
      </c>
      <c r="D156">
        <v>0</v>
      </c>
      <c r="E156">
        <v>0</v>
      </c>
      <c r="F156">
        <v>0</v>
      </c>
      <c r="G156">
        <v>0</v>
      </c>
      <c r="H156">
        <v>0</v>
      </c>
      <c r="I156">
        <v>0</v>
      </c>
      <c r="J156">
        <v>0</v>
      </c>
    </row>
    <row r="157" spans="1:10" x14ac:dyDescent="0.25">
      <c r="A157" t="s">
        <v>355</v>
      </c>
      <c r="B157" t="s">
        <v>289</v>
      </c>
      <c r="C157">
        <v>0</v>
      </c>
      <c r="D157">
        <v>0</v>
      </c>
      <c r="E157">
        <v>0</v>
      </c>
      <c r="F157">
        <v>0</v>
      </c>
      <c r="G157">
        <v>0</v>
      </c>
      <c r="H157">
        <v>0</v>
      </c>
      <c r="I157">
        <v>0</v>
      </c>
      <c r="J157">
        <v>0</v>
      </c>
    </row>
    <row r="158" spans="1:10" x14ac:dyDescent="0.25">
      <c r="A158" t="s">
        <v>2737</v>
      </c>
      <c r="B158" t="s">
        <v>288</v>
      </c>
      <c r="C158">
        <v>0</v>
      </c>
      <c r="D158">
        <v>0</v>
      </c>
      <c r="E158">
        <v>0</v>
      </c>
      <c r="F158">
        <v>0</v>
      </c>
      <c r="G158">
        <v>0</v>
      </c>
      <c r="H158">
        <v>0</v>
      </c>
      <c r="I158">
        <v>0</v>
      </c>
      <c r="J158">
        <v>0</v>
      </c>
    </row>
    <row r="159" spans="1:10" x14ac:dyDescent="0.25">
      <c r="A159" t="s">
        <v>2471</v>
      </c>
      <c r="B159" t="s">
        <v>289</v>
      </c>
      <c r="C159">
        <v>0</v>
      </c>
      <c r="D159">
        <v>0</v>
      </c>
      <c r="E159">
        <v>0</v>
      </c>
      <c r="F159">
        <v>0</v>
      </c>
      <c r="G159">
        <v>0</v>
      </c>
      <c r="H159">
        <v>0</v>
      </c>
      <c r="I159">
        <v>0</v>
      </c>
      <c r="J159">
        <v>0</v>
      </c>
    </row>
    <row r="160" spans="1:10" x14ac:dyDescent="0.25">
      <c r="A160" t="s">
        <v>1009</v>
      </c>
      <c r="B160" t="s">
        <v>283</v>
      </c>
      <c r="C160">
        <v>0</v>
      </c>
      <c r="D160">
        <v>0</v>
      </c>
      <c r="E160">
        <v>0</v>
      </c>
      <c r="F160">
        <v>0</v>
      </c>
      <c r="G160">
        <v>0</v>
      </c>
      <c r="H160">
        <v>0</v>
      </c>
      <c r="I160">
        <v>0</v>
      </c>
      <c r="J160">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B213"/>
  <sheetViews>
    <sheetView workbookViewId="0">
      <selection activeCell="A3" sqref="A3:V213"/>
    </sheetView>
  </sheetViews>
  <sheetFormatPr defaultColWidth="9.85546875" defaultRowHeight="15" x14ac:dyDescent="0.25"/>
  <cols>
    <col min="1" max="1" width="4.85546875" bestFit="1" customWidth="1"/>
    <col min="2" max="2" width="24.28515625" bestFit="1" customWidth="1"/>
    <col min="3" max="3" width="4.140625" bestFit="1" customWidth="1"/>
    <col min="4" max="4" width="4.5703125" bestFit="1" customWidth="1"/>
    <col min="5" max="5" width="3.85546875" bestFit="1" customWidth="1"/>
    <col min="6" max="6" width="5.140625" bestFit="1" customWidth="1"/>
    <col min="7" max="7" width="4.140625" bestFit="1" customWidth="1"/>
    <col min="8" max="9" width="4.5703125" bestFit="1" customWidth="1"/>
    <col min="10" max="10" width="5.5703125" bestFit="1" customWidth="1"/>
    <col min="11" max="11" width="4" bestFit="1" customWidth="1"/>
    <col min="12" max="12" width="5.5703125" bestFit="1" customWidth="1"/>
    <col min="13" max="13" width="6.5703125" bestFit="1" customWidth="1"/>
    <col min="14" max="14" width="4.5703125" bestFit="1" customWidth="1"/>
    <col min="15" max="15" width="3.5703125" bestFit="1" customWidth="1"/>
    <col min="16" max="16" width="5.5703125" bestFit="1" customWidth="1"/>
    <col min="17" max="17" width="11.28515625" customWidth="1"/>
    <col min="18" max="18" width="7.85546875" bestFit="1" customWidth="1"/>
    <col min="19" max="19" width="9" bestFit="1" customWidth="1"/>
    <col min="20" max="20" width="7.28515625" bestFit="1" customWidth="1"/>
    <col min="21" max="21" width="8.140625" bestFit="1" customWidth="1"/>
    <col min="22" max="22" width="7.7109375" style="6" bestFit="1" customWidth="1"/>
    <col min="23" max="23" width="7.140625" bestFit="1" customWidth="1"/>
    <col min="25" max="25" width="8.140625" bestFit="1" customWidth="1"/>
    <col min="26" max="26" width="8" bestFit="1" customWidth="1"/>
    <col min="27" max="27" width="6" bestFit="1" customWidth="1"/>
    <col min="28" max="28" width="12.7109375" bestFit="1" customWidth="1"/>
  </cols>
  <sheetData>
    <row r="1" spans="1:28" x14ac:dyDescent="0.25">
      <c r="G1" s="265" t="s">
        <v>251</v>
      </c>
      <c r="H1" s="265"/>
      <c r="I1" s="265" t="s">
        <v>252</v>
      </c>
      <c r="J1" s="265"/>
      <c r="K1" s="265"/>
      <c r="L1" s="265" t="s">
        <v>324</v>
      </c>
      <c r="M1" s="265"/>
      <c r="N1" s="265"/>
    </row>
    <row r="2" spans="1:28" ht="15.75" thickBot="1" x14ac:dyDescent="0.3">
      <c r="A2" s="100" t="s">
        <v>253</v>
      </c>
      <c r="B2" s="100" t="s">
        <v>85</v>
      </c>
      <c r="C2" s="100" t="s">
        <v>254</v>
      </c>
      <c r="D2" s="100" t="s">
        <v>795</v>
      </c>
      <c r="E2" s="100" t="s">
        <v>255</v>
      </c>
      <c r="F2" s="100" t="s">
        <v>256</v>
      </c>
      <c r="G2" s="100" t="s">
        <v>257</v>
      </c>
      <c r="H2" s="100" t="s">
        <v>258</v>
      </c>
      <c r="I2" s="100" t="s">
        <v>257</v>
      </c>
      <c r="J2" s="100" t="s">
        <v>259</v>
      </c>
      <c r="K2" s="100" t="s">
        <v>260</v>
      </c>
      <c r="L2" s="100" t="s">
        <v>325</v>
      </c>
      <c r="M2" s="100" t="s">
        <v>259</v>
      </c>
      <c r="N2" s="100" t="s">
        <v>260</v>
      </c>
      <c r="O2" s="100" t="s">
        <v>262</v>
      </c>
      <c r="P2" s="100" t="s">
        <v>263</v>
      </c>
      <c r="Q2" s="100" t="s">
        <v>264</v>
      </c>
      <c r="R2" s="100" t="s">
        <v>265</v>
      </c>
      <c r="S2" s="100" t="s">
        <v>266</v>
      </c>
      <c r="T2" s="100" t="s">
        <v>267</v>
      </c>
      <c r="U2" s="100" t="s">
        <v>268</v>
      </c>
      <c r="V2" s="100" t="s">
        <v>269</v>
      </c>
      <c r="W2" s="100" t="s">
        <v>270</v>
      </c>
      <c r="Y2" s="100" t="s">
        <v>271</v>
      </c>
      <c r="Z2" s="100" t="s">
        <v>272</v>
      </c>
      <c r="AA2" s="100" t="s">
        <v>273</v>
      </c>
      <c r="AB2" s="100" t="s">
        <v>274</v>
      </c>
    </row>
    <row r="3" spans="1:28" ht="15.75" thickBot="1" x14ac:dyDescent="0.3">
      <c r="A3">
        <f>RANK(P3,P$3:P$213)</f>
        <v>1</v>
      </c>
      <c r="B3" t="str">
        <f>WR_Raw!A2</f>
        <v>Cooper Kupp</v>
      </c>
      <c r="C3" t="s">
        <v>35</v>
      </c>
      <c r="D3">
        <f>_xlfn.IFNA(INDEX(BYEs!$E$2:$E$411,MATCH(B3,BYEs!$D$2:$D$411,0)),"N/A")</f>
        <v>28</v>
      </c>
      <c r="E3">
        <f>INDEX(BYEs!$B$2:$B$34,MATCH(F3,BYEs!$A$2:$A$34,0))</f>
        <v>7</v>
      </c>
      <c r="F3" t="str">
        <f>WR_Raw!B2</f>
        <v>LAR</v>
      </c>
      <c r="G3" s="206">
        <v>0</v>
      </c>
      <c r="H3" s="207">
        <v>0</v>
      </c>
      <c r="I3" s="204">
        <f>WR_Raw!F2</f>
        <v>4.0999999999999996</v>
      </c>
      <c r="J3" s="204">
        <f>WR_Raw!G2</f>
        <v>23.9</v>
      </c>
      <c r="K3" s="204">
        <f>WR_Raw!H2</f>
        <v>0.1</v>
      </c>
      <c r="L3" s="206">
        <f>WR_Raw!C2</f>
        <v>123.1</v>
      </c>
      <c r="M3" s="204">
        <f>WR_Raw!D2</f>
        <v>1598.5</v>
      </c>
      <c r="N3" s="207">
        <f>WR_Raw!E2</f>
        <v>12.4</v>
      </c>
      <c r="O3" s="204">
        <f>WR_Raw!I2</f>
        <v>0.6</v>
      </c>
      <c r="P3" s="208">
        <f>(J3*WRRushingYd)+(K3*WRRushingTD)+(L3*WRRec)+(M3*WRRecYd)+(N3*WRRecTD)+(O3*WRFuml)+(I3*WRRushAtt)</f>
        <v>297.59000000000003</v>
      </c>
      <c r="Q3" t="str">
        <f ca="1">IF(A3&lt;=WRStarters,"Starter",IF(A3&gt;WRStarters+WRBench,"Undrafted","Bench"))</f>
        <v>Starter</v>
      </c>
      <c r="R3">
        <f ca="1">IFERROR(MAX(P3-LARGE(WRSheetCount,WRStarters),0),0)</f>
        <v>129.26000000000005</v>
      </c>
      <c r="S3">
        <f ca="1">IFERROR(IF(AllowNegative="Yes",P3-LARGE(WRSheetCount,WRCount),MAX(P3-LARGE(WRSheetCount,WRCount),0)),0)</f>
        <v>173.98000000000005</v>
      </c>
      <c r="T3" s="85">
        <f ca="1">(S3-R3)*BenchPF+R3*StarterPF</f>
        <v>56.46093065289211</v>
      </c>
      <c r="U3" s="85">
        <f ca="1">T3*Auction!$A$2</f>
        <v>56.46093065289211</v>
      </c>
      <c r="V3" s="6" t="str">
        <f>IF(OR(INDEX(Auction!$H$13:$H$656,MATCH(B3,Auction!$A$13:$A$656,0))&gt;0,IFERROR(INDEX(CheatSheet!$V$5:$V$64,MATCH(B3,CheatSheet!$S$5:$S$64,0)),"")&lt;&gt;""),"Yes","No")</f>
        <v>No</v>
      </c>
      <c r="W3" s="179"/>
      <c r="Y3" s="114">
        <f ca="1">IFERROR(SUMIFS($Z$3:$Z195,$Z$3:$Z$195,"&gt;0",$V$3:$V$195,"No")/SUMIF($Z$3:$Z$195,"&gt;0"),0)</f>
        <v>1</v>
      </c>
      <c r="Z3">
        <f t="shared" ref="Z3" ca="1" si="0">AVERAGE(R3:S3)</f>
        <v>151.62000000000006</v>
      </c>
      <c r="AA3" s="116" t="str">
        <f t="shared" ref="AA3:AA66" ca="1" si="1">CONCATENATE("WR",ROUND((LARGE($Z$3:$Z$195,1)-$Z3)/(STDEVP($Z$3:$Z$195)/2)+1,0))</f>
        <v>WR1</v>
      </c>
      <c r="AB3">
        <f ca="1">Z3*LeagueInfo!$H$5</f>
        <v>55.830781099719552</v>
      </c>
    </row>
    <row r="4" spans="1:28" ht="15.75" thickBot="1" x14ac:dyDescent="0.3">
      <c r="A4">
        <f>RANK(P4,P$3:P$213)</f>
        <v>2</v>
      </c>
      <c r="B4" t="str">
        <f>WR_Raw!A4</f>
        <v>Justin Jefferson</v>
      </c>
      <c r="C4" t="s">
        <v>35</v>
      </c>
      <c r="D4" t="str">
        <f>_xlfn.IFNA(INDEX(BYEs!$E$2:$E$411,MATCH(B4,BYEs!$D$2:$D$411,0)),"N/A")</f>
        <v>N/A</v>
      </c>
      <c r="E4">
        <f>INDEX(BYEs!$B$2:$B$34,MATCH(F4,BYEs!$A$2:$A$34,0))</f>
        <v>7</v>
      </c>
      <c r="F4" t="str">
        <f>WR_Raw!B4</f>
        <v>MIN</v>
      </c>
      <c r="G4" s="206">
        <v>0</v>
      </c>
      <c r="H4" s="207">
        <v>0</v>
      </c>
      <c r="I4" s="204">
        <f>WR_Raw!F4</f>
        <v>3.1</v>
      </c>
      <c r="J4" s="204">
        <f>WR_Raw!G4</f>
        <v>16</v>
      </c>
      <c r="K4" s="204">
        <f>WR_Raw!H4</f>
        <v>0</v>
      </c>
      <c r="L4" s="206">
        <f>WR_Raw!C4</f>
        <v>102.9</v>
      </c>
      <c r="M4" s="204">
        <f>WR_Raw!D4</f>
        <v>1497.9</v>
      </c>
      <c r="N4" s="207">
        <f>WR_Raw!E4</f>
        <v>9.5</v>
      </c>
      <c r="O4" s="204">
        <f>WR_Raw!I4</f>
        <v>0.6</v>
      </c>
      <c r="P4" s="208">
        <f>(J4*WRRushingYd)+(K4*WRRushingTD)+(L4*WRRec)+(M4*WRRecYd)+(N4*WRRecTD)+(O4*WRFuml)+(I4*WRRushAtt)</f>
        <v>258.64000000000004</v>
      </c>
      <c r="Q4" t="str">
        <f ca="1">IF(A4&lt;=WRStarters,"Starter",IF(A4&gt;WRStarters+WRBench,"Undrafted","Bench"))</f>
        <v>Starter</v>
      </c>
      <c r="R4">
        <f ca="1">IFERROR(MAX(P4-LARGE(WRSheetCount,WRStarters),0),0)</f>
        <v>90.310000000000059</v>
      </c>
      <c r="S4">
        <f ca="1">IFERROR(IF(AllowNegative="Yes",P4-LARGE(WRSheetCount,WRCount),MAX(P4-LARGE(WRSheetCount,WRCount),0)),0)</f>
        <v>135.03000000000006</v>
      </c>
      <c r="T4" s="85">
        <f ca="1">(S4-R4)*BenchPF+R4*StarterPF</f>
        <v>41.89085877799922</v>
      </c>
      <c r="U4" s="85">
        <f ca="1">T4*Auction!$A$2</f>
        <v>41.89085877799922</v>
      </c>
      <c r="V4" s="6" t="str">
        <f>IF(OR(INDEX(Auction!$H$13:$H$656,MATCH(B4,Auction!$A$13:$A$656,0))&gt;0,IFERROR(INDEX(CheatSheet!$V$5:$V$64,MATCH(B4,CheatSheet!$S$5:$S$64,0)),"")&lt;&gt;""),"Yes","No")</f>
        <v>No</v>
      </c>
      <c r="W4" s="179"/>
      <c r="Y4" s="114">
        <f ca="1">IFERROR(SUMIFS($Z$3:$Z196,$Z$3:$Z$195,"&gt;0",$V$3:$V$195,"No")/SUMIF($Z$3:$Z$195,"&gt;0"),0)</f>
        <v>0</v>
      </c>
      <c r="Z4">
        <f t="shared" ref="Z4:Z67" ca="1" si="2">AVERAGE(R4:S4)</f>
        <v>112.67000000000006</v>
      </c>
      <c r="AA4" s="116" t="str">
        <f t="shared" ca="1" si="1"/>
        <v>WR3</v>
      </c>
      <c r="AB4">
        <f ca="1">Z4*LeagueInfo!$H$5</f>
        <v>41.488287208187593</v>
      </c>
    </row>
    <row r="5" spans="1:28" ht="15.75" thickBot="1" x14ac:dyDescent="0.3">
      <c r="A5">
        <f>RANK(P5,P$3:P$213)</f>
        <v>3</v>
      </c>
      <c r="B5" t="str">
        <f>WR_Raw!A3</f>
        <v>Ja'Marr Chase</v>
      </c>
      <c r="C5" t="s">
        <v>35</v>
      </c>
      <c r="D5" t="str">
        <f>_xlfn.IFNA(INDEX(BYEs!$E$2:$E$411,MATCH(B5,BYEs!$D$2:$D$411,0)),"N/A")</f>
        <v>N/A</v>
      </c>
      <c r="E5">
        <f>INDEX(BYEs!$B$2:$B$34,MATCH(F5,BYEs!$A$2:$A$34,0))</f>
        <v>10</v>
      </c>
      <c r="F5" t="str">
        <f>WR_Raw!B3</f>
        <v>CIN</v>
      </c>
      <c r="G5" s="206">
        <v>0</v>
      </c>
      <c r="H5" s="207">
        <v>0</v>
      </c>
      <c r="I5" s="204">
        <f>WR_Raw!F3</f>
        <v>8.5</v>
      </c>
      <c r="J5" s="204">
        <f>WR_Raw!G3</f>
        <v>50</v>
      </c>
      <c r="K5" s="204">
        <f>WR_Raw!H3</f>
        <v>0.2</v>
      </c>
      <c r="L5" s="206">
        <f>WR_Raw!C3</f>
        <v>91.6</v>
      </c>
      <c r="M5" s="204">
        <f>WR_Raw!D3</f>
        <v>1412.9</v>
      </c>
      <c r="N5" s="207">
        <f>WR_Raw!E3</f>
        <v>10.5</v>
      </c>
      <c r="O5" s="204">
        <f>WR_Raw!I3</f>
        <v>0.6</v>
      </c>
      <c r="P5" s="208">
        <f>(J5*WRRushingYd)+(K5*WRRushingTD)+(L5*WRRec)+(M5*WRRecYd)+(N5*WRRecTD)+(O5*WRFuml)+(I5*WRRushAtt)</f>
        <v>255.09000000000003</v>
      </c>
      <c r="Q5" t="str">
        <f ca="1">IF(A5&lt;=WRStarters,"Starter",IF(A5&gt;WRStarters+WRBench,"Undrafted","Bench"))</f>
        <v>Starter</v>
      </c>
      <c r="R5">
        <f ca="1">IFERROR(MAX(P5-LARGE(WRSheetCount,WRStarters),0),0)</f>
        <v>86.760000000000048</v>
      </c>
      <c r="S5">
        <f ca="1">IFERROR(IF(AllowNegative="Yes",P5-LARGE(WRSheetCount,WRCount),MAX(P5-LARGE(WRSheetCount,WRCount),0)),0)</f>
        <v>131.48000000000005</v>
      </c>
      <c r="T5" s="85">
        <f ca="1">(S5-R5)*BenchPF+R5*StarterPF</f>
        <v>40.562906142418477</v>
      </c>
      <c r="U5" s="85">
        <f ca="1">T5*Auction!$A$2</f>
        <v>40.562906142418477</v>
      </c>
      <c r="V5" s="6" t="str">
        <f>IF(OR(INDEX(Auction!$H$13:$H$656,MATCH(B5,Auction!$A$13:$A$656,0))&gt;0,IFERROR(INDEX(CheatSheet!$V$5:$V$64,MATCH(B5,CheatSheet!$S$5:$S$64,0)),"")&lt;&gt;""),"Yes","No")</f>
        <v>No</v>
      </c>
      <c r="W5" s="179"/>
      <c r="Y5" s="114">
        <f ca="1">IFERROR(SUMIFS($Z$3:$Z197,$Z$3:$Z$195,"&gt;0",$V$3:$V$195,"No")/SUMIF($Z$3:$Z$195,"&gt;0"),0)</f>
        <v>0</v>
      </c>
      <c r="Z5">
        <f t="shared" ca="1" si="2"/>
        <v>109.12000000000005</v>
      </c>
      <c r="AA5" s="116" t="str">
        <f t="shared" ca="1" si="1"/>
        <v>WR3</v>
      </c>
      <c r="AB5">
        <f ca="1">Z5*LeagueInfo!$H$5</f>
        <v>40.181076596764264</v>
      </c>
    </row>
    <row r="6" spans="1:28" ht="15.75" thickBot="1" x14ac:dyDescent="0.3">
      <c r="A6">
        <f>RANK(P6,P$3:P$213)</f>
        <v>4</v>
      </c>
      <c r="B6" t="str">
        <f>WR_Raw!A6</f>
        <v>Davante Adams</v>
      </c>
      <c r="C6" t="s">
        <v>35</v>
      </c>
      <c r="D6">
        <f>_xlfn.IFNA(INDEX(BYEs!$E$2:$E$411,MATCH(B6,BYEs!$D$2:$D$411,0)),"N/A")</f>
        <v>28</v>
      </c>
      <c r="E6">
        <f>INDEX(BYEs!$B$2:$B$34,MATCH(F6,BYEs!$A$2:$A$34,0))</f>
        <v>6</v>
      </c>
      <c r="F6" t="str">
        <f>WR_Raw!B6</f>
        <v>LV</v>
      </c>
      <c r="G6" s="206">
        <v>0</v>
      </c>
      <c r="H6" s="207">
        <v>0</v>
      </c>
      <c r="I6" s="204">
        <f>WR_Raw!F6</f>
        <v>0</v>
      </c>
      <c r="J6" s="204">
        <f>WR_Raw!G6</f>
        <v>0</v>
      </c>
      <c r="K6" s="204">
        <f>WR_Raw!H6</f>
        <v>0</v>
      </c>
      <c r="L6" s="206">
        <f>WR_Raw!C6</f>
        <v>106.8</v>
      </c>
      <c r="M6" s="204">
        <f>WR_Raw!D6</f>
        <v>1326.6</v>
      </c>
      <c r="N6" s="207">
        <f>WR_Raw!E6</f>
        <v>9.3000000000000007</v>
      </c>
      <c r="O6" s="204">
        <f>WR_Raw!I6</f>
        <v>0.5</v>
      </c>
      <c r="P6" s="208">
        <f>(J6*WRRushingYd)+(K6*WRRushingTD)+(L6*WRRec)+(M6*WRRecYd)+(N6*WRRecTD)+(O6*WRFuml)+(I6*WRRushAtt)</f>
        <v>240.86</v>
      </c>
      <c r="Q6" t="str">
        <f ca="1">IF(A6&lt;=WRStarters,"Starter",IF(A6&gt;WRStarters+WRBench,"Undrafted","Bench"))</f>
        <v>Starter</v>
      </c>
      <c r="R6">
        <f ca="1">IFERROR(MAX(P6-LARGE(WRSheetCount,WRStarters),0),0)</f>
        <v>72.53000000000003</v>
      </c>
      <c r="S6">
        <f ca="1">IFERROR(IF(AllowNegative="Yes",P6-LARGE(WRSheetCount,WRCount),MAX(P6-LARGE(WRSheetCount,WRCount),0)),0)</f>
        <v>117.25000000000003</v>
      </c>
      <c r="T6" s="85">
        <f ca="1">(S6-R6)*BenchPF+R6*StarterPF</f>
        <v>35.239873465146943</v>
      </c>
      <c r="U6" s="85">
        <f ca="1">T6*Auction!$A$2</f>
        <v>35.239873465146943</v>
      </c>
      <c r="V6" s="6" t="str">
        <f>IF(OR(INDEX(Auction!$H$13:$H$656,MATCH(B6,Auction!$A$13:$A$656,0))&gt;0,IFERROR(INDEX(CheatSheet!$V$5:$V$64,MATCH(B6,CheatSheet!$S$5:$S$64,0)),"")&lt;&gt;""),"Yes","No")</f>
        <v>No</v>
      </c>
      <c r="W6" s="179"/>
      <c r="Y6" s="114">
        <f ca="1">IFERROR(SUMIFS($Z$3:$Z198,$Z$3:$Z$195,"&gt;0",$V$3:$V$195,"No")/SUMIF($Z$3:$Z$195,"&gt;0"),0)</f>
        <v>0</v>
      </c>
      <c r="Z6">
        <f t="shared" ca="1" si="2"/>
        <v>94.890000000000029</v>
      </c>
      <c r="AA6" s="116" t="str">
        <f t="shared" ca="1" si="1"/>
        <v>WR4</v>
      </c>
      <c r="AB6">
        <f ca="1">Z6*LeagueInfo!$H$5</f>
        <v>34.941187300833583</v>
      </c>
    </row>
    <row r="7" spans="1:28" ht="15.75" thickBot="1" x14ac:dyDescent="0.3">
      <c r="A7">
        <f>RANK(P7,P$3:P$213)</f>
        <v>5</v>
      </c>
      <c r="B7" t="str">
        <f>WR_Raw!A5</f>
        <v>Deebo Samuel</v>
      </c>
      <c r="C7" t="s">
        <v>35</v>
      </c>
      <c r="D7">
        <f>_xlfn.IFNA(INDEX(BYEs!$E$2:$E$411,MATCH(B7,BYEs!$D$2:$D$411,0)),"N/A")</f>
        <v>25</v>
      </c>
      <c r="E7">
        <f>INDEX(BYEs!$B$2:$B$34,MATCH(F7,BYEs!$A$2:$A$34,0))</f>
        <v>9</v>
      </c>
      <c r="F7" t="str">
        <f>WR_Raw!B5</f>
        <v>SF</v>
      </c>
      <c r="G7" s="206">
        <v>0</v>
      </c>
      <c r="H7" s="207">
        <v>0</v>
      </c>
      <c r="I7" s="204">
        <f>WR_Raw!F5</f>
        <v>66.3</v>
      </c>
      <c r="J7" s="204">
        <f>WR_Raw!G5</f>
        <v>376.8</v>
      </c>
      <c r="K7" s="204">
        <f>WR_Raw!H5</f>
        <v>4.5</v>
      </c>
      <c r="L7" s="206">
        <f>WR_Raw!C5</f>
        <v>70.599999999999994</v>
      </c>
      <c r="M7" s="204">
        <f>WR_Raw!D5</f>
        <v>1053.3</v>
      </c>
      <c r="N7" s="207">
        <f>WR_Raw!E5</f>
        <v>6.1</v>
      </c>
      <c r="O7" s="204">
        <f>WR_Raw!I5</f>
        <v>0.7</v>
      </c>
      <c r="P7" s="208">
        <f>(J7*WRRushingYd)+(K7*WRRushingTD)+(L7*WRRec)+(M7*WRRecYd)+(N7*WRRecTD)+(O7*WRFuml)+(I7*WRRushAtt)</f>
        <v>240.51</v>
      </c>
      <c r="Q7" t="str">
        <f ca="1">IF(A7&lt;=WRStarters,"Starter",IF(A7&gt;WRStarters+WRBench,"Undrafted","Bench"))</f>
        <v>Starter</v>
      </c>
      <c r="R7">
        <f ca="1">IFERROR(MAX(P7-LARGE(WRSheetCount,WRStarters),0),0)</f>
        <v>72.180000000000007</v>
      </c>
      <c r="S7">
        <f ca="1">IFERROR(IF(AllowNegative="Yes",P7-LARGE(WRSheetCount,WRCount),MAX(P7-LARGE(WRSheetCount,WRCount),0)),0)</f>
        <v>116.9</v>
      </c>
      <c r="T7" s="85">
        <f ca="1">(S7-R7)*BenchPF+R7*StarterPF</f>
        <v>35.108948557413626</v>
      </c>
      <c r="U7" s="85">
        <f ca="1">T7*Auction!$A$2</f>
        <v>35.108948557413626</v>
      </c>
      <c r="V7" s="6" t="str">
        <f>IF(OR(INDEX(Auction!$H$13:$H$656,MATCH(B7,Auction!$A$13:$A$656,0))&gt;0,IFERROR(INDEX(CheatSheet!$V$5:$V$64,MATCH(B7,CheatSheet!$S$5:$S$64,0)),"")&lt;&gt;""),"Yes","No")</f>
        <v>No</v>
      </c>
      <c r="W7" s="179"/>
      <c r="Y7" s="114">
        <f ca="1">IFERROR(SUMIFS($Z$3:$Z199,$Z$3:$Z$195,"&gt;0",$V$3:$V$195,"No")/SUMIF($Z$3:$Z$195,"&gt;0"),0)</f>
        <v>0</v>
      </c>
      <c r="Z7">
        <f t="shared" ca="1" si="2"/>
        <v>94.54</v>
      </c>
      <c r="AA7" s="116" t="str">
        <f t="shared" ca="1" si="1"/>
        <v>WR4</v>
      </c>
      <c r="AB7">
        <f ca="1">Z7*LeagueInfo!$H$5</f>
        <v>34.812307381397474</v>
      </c>
    </row>
    <row r="8" spans="1:28" ht="15.75" thickBot="1" x14ac:dyDescent="0.3">
      <c r="A8">
        <f>RANK(P8,P$3:P$213)</f>
        <v>6</v>
      </c>
      <c r="B8" t="str">
        <f>WR_Raw!A7</f>
        <v>Stefon Diggs</v>
      </c>
      <c r="C8" t="s">
        <v>35</v>
      </c>
      <c r="D8">
        <f>_xlfn.IFNA(INDEX(BYEs!$E$2:$E$411,MATCH(B8,BYEs!$D$2:$D$411,0)),"N/A")</f>
        <v>27</v>
      </c>
      <c r="E8">
        <f>INDEX(BYEs!$B$2:$B$34,MATCH(F8,BYEs!$A$2:$A$34,0))</f>
        <v>7</v>
      </c>
      <c r="F8" t="str">
        <f>WR_Raw!B7</f>
        <v>BUF</v>
      </c>
      <c r="G8" s="206">
        <v>0</v>
      </c>
      <c r="H8" s="207">
        <v>0</v>
      </c>
      <c r="I8" s="204">
        <f>WR_Raw!F7</f>
        <v>0.2</v>
      </c>
      <c r="J8" s="204">
        <f>WR_Raw!G7</f>
        <v>2</v>
      </c>
      <c r="K8" s="204">
        <f>WR_Raw!H7</f>
        <v>0</v>
      </c>
      <c r="L8" s="206">
        <f>WR_Raw!C7</f>
        <v>101.6</v>
      </c>
      <c r="M8" s="204">
        <f>WR_Raw!D7</f>
        <v>1254.2</v>
      </c>
      <c r="N8" s="207">
        <f>WR_Raw!E7</f>
        <v>8.9</v>
      </c>
      <c r="O8" s="204">
        <f>WR_Raw!I7</f>
        <v>0.5</v>
      </c>
      <c r="P8" s="208">
        <f>(J8*WRRushingYd)+(K8*WRRushingTD)+(L8*WRRec)+(M8*WRRecYd)+(N8*WRRecTD)+(O8*WRFuml)+(I8*WRRushAtt)</f>
        <v>228.82000000000002</v>
      </c>
      <c r="Q8" t="str">
        <f ca="1">IF(A8&lt;=WRStarters,"Starter",IF(A8&gt;WRStarters+WRBench,"Undrafted","Bench"))</f>
        <v>Starter</v>
      </c>
      <c r="R8">
        <f ca="1">IFERROR(MAX(P8-LARGE(WRSheetCount,WRStarters),0),0)</f>
        <v>60.490000000000038</v>
      </c>
      <c r="S8">
        <f ca="1">IFERROR(IF(AllowNegative="Yes",P8-LARGE(WRSheetCount,WRCount),MAX(P8-LARGE(WRSheetCount,WRCount),0)),0)</f>
        <v>105.21000000000004</v>
      </c>
      <c r="T8" s="85">
        <f ca="1">(S8-R8)*BenchPF+R8*StarterPF</f>
        <v>30.73605663912101</v>
      </c>
      <c r="U8" s="85">
        <f ca="1">T8*Auction!$A$2</f>
        <v>30.73605663912101</v>
      </c>
      <c r="V8" s="6" t="str">
        <f>IF(OR(INDEX(Auction!$H$13:$H$656,MATCH(B8,Auction!$A$13:$A$656,0))&gt;0,IFERROR(INDEX(CheatSheet!$V$5:$V$64,MATCH(B8,CheatSheet!$S$5:$S$64,0)),"")&lt;&gt;""),"Yes","No")</f>
        <v>No</v>
      </c>
      <c r="W8" s="179"/>
      <c r="Y8" s="114">
        <f ca="1">IFERROR(SUMIFS($Z$3:$Z200,$Z$3:$Z$195,"&gt;0",$V$3:$V$195,"No")/SUMIF($Z$3:$Z$195,"&gt;0"),0)</f>
        <v>0</v>
      </c>
      <c r="Z8">
        <f t="shared" ca="1" si="2"/>
        <v>82.850000000000037</v>
      </c>
      <c r="AA8" s="116" t="str">
        <f t="shared" ca="1" si="1"/>
        <v>WR4</v>
      </c>
      <c r="AB8">
        <f ca="1">Z8*LeagueInfo!$H$5</f>
        <v>30.507718072231668</v>
      </c>
    </row>
    <row r="9" spans="1:28" ht="15.75" thickBot="1" x14ac:dyDescent="0.3">
      <c r="A9">
        <f>RANK(P9,P$3:P$213)</f>
        <v>7</v>
      </c>
      <c r="B9" t="str">
        <f>WR_Raw!A9</f>
        <v>CeeDee Lamb</v>
      </c>
      <c r="C9" t="s">
        <v>35</v>
      </c>
      <c r="D9" t="str">
        <f>_xlfn.IFNA(INDEX(BYEs!$E$2:$E$411,MATCH(B9,BYEs!$D$2:$D$411,0)),"N/A")</f>
        <v>N/A</v>
      </c>
      <c r="E9">
        <f>INDEX(BYEs!$B$2:$B$34,MATCH(F9,BYEs!$A$2:$A$34,0))</f>
        <v>9</v>
      </c>
      <c r="F9" t="str">
        <f>WR_Raw!B9</f>
        <v>DAL</v>
      </c>
      <c r="G9" s="206">
        <v>0</v>
      </c>
      <c r="H9" s="207">
        <v>0</v>
      </c>
      <c r="I9" s="204">
        <f>WR_Raw!F9</f>
        <v>6</v>
      </c>
      <c r="J9" s="204">
        <f>WR_Raw!G9</f>
        <v>44.9</v>
      </c>
      <c r="K9" s="204">
        <f>WR_Raw!H9</f>
        <v>0.1</v>
      </c>
      <c r="L9" s="206">
        <f>WR_Raw!C9</f>
        <v>91.2</v>
      </c>
      <c r="M9" s="204">
        <f>WR_Raw!D9</f>
        <v>1236.4000000000001</v>
      </c>
      <c r="N9" s="207">
        <f>WR_Raw!E9</f>
        <v>7.6</v>
      </c>
      <c r="O9" s="204">
        <f>WR_Raw!I9</f>
        <v>0.5</v>
      </c>
      <c r="P9" s="208">
        <f>(J9*WRRushingYd)+(K9*WRRushingTD)+(L9*WRRec)+(M9*WRRecYd)+(N9*WRRecTD)+(O9*WRFuml)+(I9*WRRushAtt)</f>
        <v>218.93</v>
      </c>
      <c r="Q9" t="str">
        <f ca="1">IF(A9&lt;=WRStarters,"Starter",IF(A9&gt;WRStarters+WRBench,"Undrafted","Bench"))</f>
        <v>Starter</v>
      </c>
      <c r="R9">
        <f ca="1">IFERROR(MAX(P9-LARGE(WRSheetCount,WRStarters),0),0)</f>
        <v>50.600000000000023</v>
      </c>
      <c r="S9">
        <f ca="1">IFERROR(IF(AllowNegative="Yes",P9-LARGE(WRSheetCount,WRCount),MAX(P9-LARGE(WRSheetCount,WRCount),0)),0)</f>
        <v>95.320000000000022</v>
      </c>
      <c r="T9" s="85">
        <f ca="1">(S9-R9)*BenchPF+R9*StarterPF</f>
        <v>27.036492817742548</v>
      </c>
      <c r="U9" s="85">
        <f ca="1">T9*Auction!$A$2</f>
        <v>27.036492817742548</v>
      </c>
      <c r="V9" s="6" t="str">
        <f>IF(OR(INDEX(Auction!$H$13:$H$656,MATCH(B9,Auction!$A$13:$A$656,0))&gt;0,IFERROR(INDEX(CheatSheet!$V$5:$V$64,MATCH(B9,CheatSheet!$S$5:$S$64,0)),"")&lt;&gt;""),"Yes","No")</f>
        <v>No</v>
      </c>
      <c r="W9" s="179"/>
      <c r="Y9" s="114">
        <f ca="1">IFERROR(SUMIFS($Z$3:$Z201,$Z$3:$Z$195,"&gt;0",$V$3:$V$195,"No")/SUMIF($Z$3:$Z$195,"&gt;0"),0)</f>
        <v>0</v>
      </c>
      <c r="Z9">
        <f t="shared" ca="1" si="2"/>
        <v>72.960000000000022</v>
      </c>
      <c r="AA9" s="116" t="str">
        <f t="shared" ca="1" si="1"/>
        <v>WR5</v>
      </c>
      <c r="AB9">
        <f ca="1">Z9*LeagueInfo!$H$5</f>
        <v>26.865939777308654</v>
      </c>
    </row>
    <row r="10" spans="1:28" ht="15.75" thickBot="1" x14ac:dyDescent="0.3">
      <c r="A10">
        <f>RANK(P10,P$3:P$213)</f>
        <v>8</v>
      </c>
      <c r="B10" t="str">
        <f>WR_Raw!A10</f>
        <v>Tyreek Hill</v>
      </c>
      <c r="C10" t="s">
        <v>35</v>
      </c>
      <c r="D10">
        <f>_xlfn.IFNA(INDEX(BYEs!$E$2:$E$411,MATCH(B10,BYEs!$D$2:$D$411,0)),"N/A")</f>
        <v>27</v>
      </c>
      <c r="E10">
        <f>INDEX(BYEs!$B$2:$B$34,MATCH(F10,BYEs!$A$2:$A$34,0))</f>
        <v>11</v>
      </c>
      <c r="F10" t="str">
        <f>WR_Raw!B10</f>
        <v>MIA</v>
      </c>
      <c r="G10" s="206">
        <v>0</v>
      </c>
      <c r="H10" s="207">
        <v>0</v>
      </c>
      <c r="I10" s="204">
        <f>WR_Raw!F10</f>
        <v>8.8000000000000007</v>
      </c>
      <c r="J10" s="204">
        <f>WR_Raw!G10</f>
        <v>62.1</v>
      </c>
      <c r="K10" s="204">
        <f>WR_Raw!H10</f>
        <v>0.3</v>
      </c>
      <c r="L10" s="206">
        <f>WR_Raw!C10</f>
        <v>93.1</v>
      </c>
      <c r="M10" s="204">
        <f>WR_Raw!D10</f>
        <v>1164.0999999999999</v>
      </c>
      <c r="N10" s="207">
        <f>WR_Raw!E10</f>
        <v>8.1</v>
      </c>
      <c r="O10" s="204">
        <f>WR_Raw!I10</f>
        <v>0.5</v>
      </c>
      <c r="P10" s="208">
        <f>(J10*WRRushingYd)+(K10*WRRushingTD)+(L10*WRRec)+(M10*WRRecYd)+(N10*WRRecTD)+(O10*WRFuml)+(I10*WRRushAtt)</f>
        <v>218.57</v>
      </c>
      <c r="Q10" t="str">
        <f ca="1">IF(A10&lt;=WRStarters,"Starter",IF(A10&gt;WRStarters+WRBench,"Undrafted","Bench"))</f>
        <v>Starter</v>
      </c>
      <c r="R10">
        <f ca="1">IFERROR(MAX(P10-LARGE(WRSheetCount,WRStarters),0),0)</f>
        <v>50.240000000000009</v>
      </c>
      <c r="S10">
        <f ca="1">IFERROR(IF(AllowNegative="Yes",P10-LARGE(WRSheetCount,WRCount),MAX(P10-LARGE(WRSheetCount,WRCount),0)),0)</f>
        <v>94.960000000000008</v>
      </c>
      <c r="T10" s="85">
        <f ca="1">(S10-R10)*BenchPF+R10*StarterPF</f>
        <v>26.901827198359705</v>
      </c>
      <c r="U10" s="85">
        <f ca="1">T10*Auction!$A$2</f>
        <v>26.901827198359705</v>
      </c>
      <c r="V10" s="6" t="str">
        <f>IF(OR(INDEX(Auction!$H$13:$H$656,MATCH(B10,Auction!$A$13:$A$656,0))&gt;0,IFERROR(INDEX(CheatSheet!$V$5:$V$64,MATCH(B10,CheatSheet!$S$5:$S$64,0)),"")&lt;&gt;""),"Yes","No")</f>
        <v>No</v>
      </c>
      <c r="W10" s="179"/>
      <c r="Y10" s="114">
        <f ca="1">IFERROR(SUMIFS($Z$3:$Z202,$Z$3:$Z$195,"&gt;0",$V$3:$V$195,"No")/SUMIF($Z$3:$Z$195,"&gt;0"),0)</f>
        <v>0</v>
      </c>
      <c r="Z10">
        <f t="shared" ca="1" si="2"/>
        <v>72.600000000000009</v>
      </c>
      <c r="AA10" s="116" t="str">
        <f t="shared" ca="1" si="1"/>
        <v>WR5</v>
      </c>
      <c r="AB10">
        <f ca="1">Z10*LeagueInfo!$H$5</f>
        <v>26.733377574460089</v>
      </c>
    </row>
    <row r="11" spans="1:28" ht="15.75" thickBot="1" x14ac:dyDescent="0.3">
      <c r="A11">
        <f>RANK(P11,P$3:P$213)</f>
        <v>9</v>
      </c>
      <c r="B11" t="str">
        <f>WR_Raw!A8</f>
        <v>Mike Evans</v>
      </c>
      <c r="C11" t="s">
        <v>35</v>
      </c>
      <c r="D11">
        <f>_xlfn.IFNA(INDEX(BYEs!$E$2:$E$411,MATCH(B11,BYEs!$D$2:$D$411,0)),"N/A")</f>
        <v>27</v>
      </c>
      <c r="E11">
        <f>INDEX(BYEs!$B$2:$B$34,MATCH(F11,BYEs!$A$2:$A$34,0))</f>
        <v>11</v>
      </c>
      <c r="F11" t="str">
        <f>WR_Raw!B8</f>
        <v>TB</v>
      </c>
      <c r="G11" s="206">
        <v>0</v>
      </c>
      <c r="H11" s="207">
        <v>0</v>
      </c>
      <c r="I11" s="204">
        <f>WR_Raw!F8</f>
        <v>0.2</v>
      </c>
      <c r="J11" s="204">
        <f>WR_Raw!G8</f>
        <v>1.4</v>
      </c>
      <c r="K11" s="204">
        <f>WR_Raw!H8</f>
        <v>0</v>
      </c>
      <c r="L11" s="206">
        <f>WR_Raw!C8</f>
        <v>82.1</v>
      </c>
      <c r="M11" s="204">
        <f>WR_Raw!D8</f>
        <v>1131.8</v>
      </c>
      <c r="N11" s="207">
        <f>WR_Raw!E8</f>
        <v>10.1</v>
      </c>
      <c r="O11" s="204">
        <f>WR_Raw!I8</f>
        <v>0.5</v>
      </c>
      <c r="P11" s="208">
        <f>(J11*WRRushingYd)+(K11*WRRushingTD)+(L11*WRRec)+(M11*WRRecYd)+(N11*WRRecTD)+(O11*WRFuml)+(I11*WRRushAtt)</f>
        <v>213.97</v>
      </c>
      <c r="Q11" t="str">
        <f ca="1">IF(A11&lt;=WRStarters,"Starter",IF(A11&gt;WRStarters+WRBench,"Undrafted","Bench"))</f>
        <v>Starter</v>
      </c>
      <c r="R11">
        <f ca="1">IFERROR(MAX(P11-LARGE(WRSheetCount,WRStarters),0),0)</f>
        <v>45.640000000000015</v>
      </c>
      <c r="S11">
        <f ca="1">IFERROR(IF(AllowNegative="Yes",P11-LARGE(WRSheetCount,WRCount),MAX(P11-LARGE(WRSheetCount,WRCount),0)),0)</f>
        <v>90.360000000000014</v>
      </c>
      <c r="T11" s="85">
        <f ca="1">(S11-R11)*BenchPF+R11*StarterPF</f>
        <v>25.181099839579034</v>
      </c>
      <c r="U11" s="85">
        <f ca="1">T11*Auction!$A$2</f>
        <v>25.181099839579034</v>
      </c>
      <c r="V11" s="6" t="str">
        <f>IF(OR(INDEX(Auction!$H$13:$H$656,MATCH(B11,Auction!$A$13:$A$656,0))&gt;0,IFERROR(INDEX(CheatSheet!$V$5:$V$64,MATCH(B11,CheatSheet!$S$5:$S$64,0)),"")&lt;&gt;""),"Yes","No")</f>
        <v>No</v>
      </c>
      <c r="W11" s="179"/>
      <c r="Y11" s="114">
        <f ca="1">IFERROR(SUMIFS($Z$3:$Z203,$Z$3:$Z$195,"&gt;0",$V$3:$V$195,"No")/SUMIF($Z$3:$Z$195,"&gt;0"),0)</f>
        <v>0</v>
      </c>
      <c r="Z11">
        <f t="shared" ca="1" si="2"/>
        <v>68.000000000000014</v>
      </c>
      <c r="AA11" s="116" t="str">
        <f t="shared" ca="1" si="1"/>
        <v>WR5</v>
      </c>
      <c r="AB11">
        <f ca="1">Z11*LeagueInfo!$H$5</f>
        <v>25.039527204728458</v>
      </c>
    </row>
    <row r="12" spans="1:28" ht="15.75" thickBot="1" x14ac:dyDescent="0.3">
      <c r="A12">
        <f>RANK(P12,P$3:P$213)</f>
        <v>10</v>
      </c>
      <c r="B12" t="str">
        <f>WR_Raw!A11</f>
        <v>Tee Higgins</v>
      </c>
      <c r="C12" t="s">
        <v>35</v>
      </c>
      <c r="D12" t="str">
        <f>_xlfn.IFNA(INDEX(BYEs!$E$2:$E$411,MATCH(B12,BYEs!$D$2:$D$411,0)),"N/A")</f>
        <v>N/A</v>
      </c>
      <c r="E12">
        <f>INDEX(BYEs!$B$2:$B$34,MATCH(F12,BYEs!$A$2:$A$34,0))</f>
        <v>10</v>
      </c>
      <c r="F12" t="str">
        <f>WR_Raw!B11</f>
        <v>CIN</v>
      </c>
      <c r="G12" s="206">
        <v>0</v>
      </c>
      <c r="H12" s="207">
        <v>0</v>
      </c>
      <c r="I12" s="204">
        <f>WR_Raw!F11</f>
        <v>0.2</v>
      </c>
      <c r="J12" s="204">
        <f>WR_Raw!G11</f>
        <v>0.8</v>
      </c>
      <c r="K12" s="204">
        <f>WR_Raw!H11</f>
        <v>0</v>
      </c>
      <c r="L12" s="206">
        <f>WR_Raw!C11</f>
        <v>85</v>
      </c>
      <c r="M12" s="204">
        <f>WR_Raw!D11</f>
        <v>1186.8</v>
      </c>
      <c r="N12" s="207">
        <f>WR_Raw!E11</f>
        <v>7.8</v>
      </c>
      <c r="O12" s="204">
        <f>WR_Raw!I11</f>
        <v>0.5</v>
      </c>
      <c r="P12" s="208">
        <f>(J12*WRRushingYd)+(K12*WRRushingTD)+(L12*WRRec)+(M12*WRRecYd)+(N12*WRRecTD)+(O12*WRFuml)+(I12*WRRushAtt)</f>
        <v>207.06</v>
      </c>
      <c r="Q12" t="str">
        <f ca="1">IF(A12&lt;=WRStarters,"Starter",IF(A12&gt;WRStarters+WRBench,"Undrafted","Bench"))</f>
        <v>Starter</v>
      </c>
      <c r="R12">
        <f ca="1">IFERROR(MAX(P12-LARGE(WRSheetCount,WRStarters),0),0)</f>
        <v>38.730000000000018</v>
      </c>
      <c r="S12">
        <f ca="1">IFERROR(IF(AllowNegative="Yes",P12-LARGE(WRSheetCount,WRCount),MAX(P12-LARGE(WRSheetCount,WRCount),0)),0)</f>
        <v>83.450000000000017</v>
      </c>
      <c r="T12" s="85">
        <f ca="1">(S12-R12)*BenchPF+R12*StarterPF</f>
        <v>22.5962680897585</v>
      </c>
      <c r="U12" s="85">
        <f ca="1">T12*Auction!$A$2</f>
        <v>22.5962680897585</v>
      </c>
      <c r="V12" s="6" t="str">
        <f>IF(OR(INDEX(Auction!$H$13:$H$656,MATCH(B12,Auction!$A$13:$A$656,0))&gt;0,IFERROR(INDEX(CheatSheet!$V$5:$V$64,MATCH(B12,CheatSheet!$S$5:$S$64,0)),"")&lt;&gt;""),"Yes","No")</f>
        <v>No</v>
      </c>
      <c r="W12" s="179"/>
      <c r="Y12" s="114">
        <f ca="1">IFERROR(SUMIFS($Z$3:$Z204,$Z$3:$Z$195,"&gt;0",$V$3:$V$195,"No")/SUMIF($Z$3:$Z$195,"&gt;0"),0)</f>
        <v>0</v>
      </c>
      <c r="Z12">
        <f t="shared" ca="1" si="2"/>
        <v>61.090000000000018</v>
      </c>
      <c r="AA12" s="116" t="str">
        <f t="shared" ca="1" si="1"/>
        <v>WR6</v>
      </c>
      <c r="AB12">
        <f ca="1">Z12*LeagueInfo!$H$5</f>
        <v>22.495069366718553</v>
      </c>
    </row>
    <row r="13" spans="1:28" ht="15.75" thickBot="1" x14ac:dyDescent="0.3">
      <c r="A13">
        <f>RANK(P13,P$3:P$213)</f>
        <v>11</v>
      </c>
      <c r="B13" t="str">
        <f>WR_Raw!A14</f>
        <v>Michael Pittman Jr.</v>
      </c>
      <c r="C13" t="s">
        <v>35</v>
      </c>
      <c r="D13" t="str">
        <f>_xlfn.IFNA(INDEX(BYEs!$E$2:$E$411,MATCH(B13,BYEs!$D$2:$D$411,0)),"N/A")</f>
        <v>N/A</v>
      </c>
      <c r="E13">
        <f>INDEX(BYEs!$B$2:$B$34,MATCH(F13,BYEs!$A$2:$A$34,0))</f>
        <v>14</v>
      </c>
      <c r="F13" t="str">
        <f>WR_Raw!B14</f>
        <v>IND</v>
      </c>
      <c r="G13" s="206">
        <v>0</v>
      </c>
      <c r="H13" s="207">
        <v>0</v>
      </c>
      <c r="I13" s="204">
        <f>WR_Raw!F14</f>
        <v>4.7</v>
      </c>
      <c r="J13" s="204">
        <f>WR_Raw!G14</f>
        <v>34.799999999999997</v>
      </c>
      <c r="K13" s="204">
        <f>WR_Raw!H14</f>
        <v>0.1</v>
      </c>
      <c r="L13" s="206">
        <f>WR_Raw!C14</f>
        <v>91.6</v>
      </c>
      <c r="M13" s="204">
        <f>WR_Raw!D14</f>
        <v>1132.0999999999999</v>
      </c>
      <c r="N13" s="207">
        <f>WR_Raw!E14</f>
        <v>6.7</v>
      </c>
      <c r="O13" s="204">
        <f>WR_Raw!I14</f>
        <v>0.6</v>
      </c>
      <c r="P13" s="208">
        <f>(J13*WRRushingYd)+(K13*WRRushingTD)+(L13*WRRec)+(M13*WRRecYd)+(N13*WRRecTD)+(O13*WRFuml)+(I13*WRRushAtt)</f>
        <v>202.08999999999997</v>
      </c>
      <c r="Q13" t="str">
        <f ca="1">IF(A13&lt;=WRStarters,"Starter",IF(A13&gt;WRStarters+WRBench,"Undrafted","Bench"))</f>
        <v>Starter</v>
      </c>
      <c r="R13">
        <f ca="1">IFERROR(MAX(P13-LARGE(WRSheetCount,WRStarters),0),0)</f>
        <v>33.759999999999991</v>
      </c>
      <c r="S13">
        <f ca="1">IFERROR(IF(AllowNegative="Yes",P13-LARGE(WRSheetCount,WRCount),MAX(P13-LARGE(WRSheetCount,WRCount),0)),0)</f>
        <v>78.47999999999999</v>
      </c>
      <c r="T13" s="85">
        <f ca="1">(S13-R13)*BenchPF+R13*StarterPF</f>
        <v>20.737134399945454</v>
      </c>
      <c r="U13" s="85">
        <f ca="1">T13*Auction!$A$2</f>
        <v>20.737134399945454</v>
      </c>
      <c r="V13" s="6" t="str">
        <f>IF(OR(INDEX(Auction!$H$13:$H$656,MATCH(B13,Auction!$A$13:$A$656,0))&gt;0,IFERROR(INDEX(CheatSheet!$V$5:$V$64,MATCH(B13,CheatSheet!$S$5:$S$64,0)),"")&lt;&gt;""),"Yes","No")</f>
        <v>No</v>
      </c>
      <c r="W13" s="179"/>
      <c r="Y13" s="114">
        <f ca="1">IFERROR(SUMIFS($Z$3:$Z205,$Z$3:$Z$195,"&gt;0",$V$3:$V$195,"No")/SUMIF($Z$3:$Z$195,"&gt;0"),0)</f>
        <v>0</v>
      </c>
      <c r="Z13">
        <f t="shared" ca="1" si="2"/>
        <v>56.11999999999999</v>
      </c>
      <c r="AA13" s="116" t="str">
        <f t="shared" ca="1" si="1"/>
        <v>WR6</v>
      </c>
      <c r="AB13">
        <f ca="1">Z13*LeagueInfo!$H$5</f>
        <v>20.664974510725891</v>
      </c>
    </row>
    <row r="14" spans="1:28" ht="15.75" thickBot="1" x14ac:dyDescent="0.3">
      <c r="A14">
        <f>RANK(P14,P$3:P$213)</f>
        <v>12</v>
      </c>
      <c r="B14" t="str">
        <f>WR_Raw!A12</f>
        <v>A.J. Brown</v>
      </c>
      <c r="C14" t="s">
        <v>35</v>
      </c>
      <c r="D14">
        <f>_xlfn.IFNA(INDEX(BYEs!$E$2:$E$411,MATCH(B14,BYEs!$D$2:$D$411,0)),"N/A")</f>
        <v>24</v>
      </c>
      <c r="E14">
        <f>INDEX(BYEs!$B$2:$B$34,MATCH(F14,BYEs!$A$2:$A$34,0))</f>
        <v>7</v>
      </c>
      <c r="F14" t="str">
        <f>WR_Raw!B12</f>
        <v>PHI</v>
      </c>
      <c r="G14" s="206">
        <v>0</v>
      </c>
      <c r="H14" s="207">
        <v>0</v>
      </c>
      <c r="I14" s="204">
        <f>WR_Raw!F12</f>
        <v>0.8</v>
      </c>
      <c r="J14" s="204">
        <f>WR_Raw!G12</f>
        <v>7.6</v>
      </c>
      <c r="K14" s="204">
        <f>WR_Raw!H12</f>
        <v>0</v>
      </c>
      <c r="L14" s="206">
        <f>WR_Raw!C12</f>
        <v>78.2</v>
      </c>
      <c r="M14" s="204">
        <f>WR_Raw!D12</f>
        <v>1143.0999999999999</v>
      </c>
      <c r="N14" s="207">
        <f>WR_Raw!E12</f>
        <v>8.1</v>
      </c>
      <c r="O14" s="204">
        <f>WR_Raw!I12</f>
        <v>0.5</v>
      </c>
      <c r="P14" s="208">
        <f>(J14*WRRushingYd)+(K14*WRRushingTD)+(L14*WRRec)+(M14*WRRecYd)+(N14*WRRecTD)+(O14*WRFuml)+(I14*WRRushAtt)</f>
        <v>201.77</v>
      </c>
      <c r="Q14" t="str">
        <f ca="1">IF(A14&lt;=WRStarters,"Starter",IF(A14&gt;WRStarters+WRBench,"Undrafted","Bench"))</f>
        <v>Starter</v>
      </c>
      <c r="R14">
        <f ca="1">IFERROR(MAX(P14-LARGE(WRSheetCount,WRStarters),0),0)</f>
        <v>33.440000000000026</v>
      </c>
      <c r="S14">
        <f ca="1">IFERROR(IF(AllowNegative="Yes",P14-LARGE(WRSheetCount,WRCount),MAX(P14-LARGE(WRSheetCount,WRCount),0)),0)</f>
        <v>78.160000000000025</v>
      </c>
      <c r="T14" s="85">
        <f ca="1">(S14-R14)*BenchPF+R14*StarterPF</f>
        <v>20.617431627160727</v>
      </c>
      <c r="U14" s="85">
        <f ca="1">T14*Auction!$A$2</f>
        <v>20.617431627160727</v>
      </c>
      <c r="V14" s="6" t="str">
        <f>IF(OR(INDEX(Auction!$H$13:$H$656,MATCH(B14,Auction!$A$13:$A$656,0))&gt;0,IFERROR(INDEX(CheatSheet!$V$5:$V$64,MATCH(B14,CheatSheet!$S$5:$S$64,0)),"")&lt;&gt;""),"Yes","No")</f>
        <v>No</v>
      </c>
      <c r="W14" s="179"/>
      <c r="Y14" s="114">
        <f ca="1">IFERROR(SUMIFS($Z$3:$Z206,$Z$3:$Z$195,"&gt;0",$V$3:$V$195,"No")/SUMIF($Z$3:$Z$195,"&gt;0"),0)</f>
        <v>0</v>
      </c>
      <c r="Z14">
        <f t="shared" ca="1" si="2"/>
        <v>55.800000000000026</v>
      </c>
      <c r="AA14" s="116" t="str">
        <f t="shared" ca="1" si="1"/>
        <v>WR6</v>
      </c>
      <c r="AB14">
        <f ca="1">Z14*LeagueInfo!$H$5</f>
        <v>20.547141441527181</v>
      </c>
    </row>
    <row r="15" spans="1:28" ht="15.75" thickBot="1" x14ac:dyDescent="0.3">
      <c r="A15">
        <f>RANK(P15,P$3:P$213)</f>
        <v>13</v>
      </c>
      <c r="B15" t="str">
        <f>WR_Raw!A16</f>
        <v>Keenan Allen</v>
      </c>
      <c r="C15" t="s">
        <v>35</v>
      </c>
      <c r="D15">
        <f>_xlfn.IFNA(INDEX(BYEs!$E$2:$E$411,MATCH(B15,BYEs!$D$2:$D$411,0)),"N/A")</f>
        <v>29</v>
      </c>
      <c r="E15">
        <f>INDEX(BYEs!$B$2:$B$34,MATCH(F15,BYEs!$A$2:$A$34,0))</f>
        <v>8</v>
      </c>
      <c r="F15" t="str">
        <f>WR_Raw!B16</f>
        <v>LAC</v>
      </c>
      <c r="G15" s="206">
        <v>0</v>
      </c>
      <c r="H15" s="207">
        <v>0</v>
      </c>
      <c r="I15" s="204">
        <f>WR_Raw!F16</f>
        <v>0.4</v>
      </c>
      <c r="J15" s="204">
        <f>WR_Raw!G16</f>
        <v>1.8</v>
      </c>
      <c r="K15" s="204">
        <f>WR_Raw!H16</f>
        <v>0</v>
      </c>
      <c r="L15" s="206">
        <f>WR_Raw!C16</f>
        <v>99.9</v>
      </c>
      <c r="M15" s="204">
        <f>WR_Raw!D16</f>
        <v>1089.5</v>
      </c>
      <c r="N15" s="207">
        <f>WR_Raw!E16</f>
        <v>6.9</v>
      </c>
      <c r="O15" s="204">
        <f>WR_Raw!I16</f>
        <v>0.5</v>
      </c>
      <c r="P15" s="208">
        <f>(J15*WRRushingYd)+(K15*WRRushingTD)+(L15*WRRec)+(M15*WRRecYd)+(N15*WRRecTD)+(O15*WRFuml)+(I15*WRRushAtt)</f>
        <v>199.48000000000002</v>
      </c>
      <c r="Q15" t="str">
        <f ca="1">IF(A15&lt;=WRStarters,"Starter",IF(A15&gt;WRStarters+WRBench,"Undrafted","Bench"))</f>
        <v>Starter</v>
      </c>
      <c r="R15">
        <f ca="1">IFERROR(MAX(P15-LARGE(WRSheetCount,WRStarters),0),0)</f>
        <v>31.150000000000034</v>
      </c>
      <c r="S15">
        <f ca="1">IFERROR(IF(AllowNegative="Yes",P15-LARGE(WRSheetCount,WRCount),MAX(P15-LARGE(WRSheetCount,WRCount),0)),0)</f>
        <v>75.870000000000033</v>
      </c>
      <c r="T15" s="85">
        <f ca="1">(S15-R15)*BenchPF+R15*StarterPF</f>
        <v>19.760808659419915</v>
      </c>
      <c r="U15" s="85">
        <f ca="1">T15*Auction!$A$2</f>
        <v>19.760808659419915</v>
      </c>
      <c r="V15" s="6" t="str">
        <f>IF(OR(INDEX(Auction!$H$13:$H$656,MATCH(B15,Auction!$A$13:$A$656,0))&gt;0,IFERROR(INDEX(CheatSheet!$V$5:$V$64,MATCH(B15,CheatSheet!$S$5:$S$64,0)),"")&lt;&gt;""),"Yes","No")</f>
        <v>No</v>
      </c>
      <c r="W15" s="179"/>
      <c r="Y15" s="114">
        <f ca="1">IFERROR(SUMIFS($Z$3:$Z207,$Z$3:$Z$195,"&gt;0",$V$3:$V$195,"No")/SUMIF($Z$3:$Z$195,"&gt;0"),0)</f>
        <v>0</v>
      </c>
      <c r="Z15">
        <f t="shared" ca="1" si="2"/>
        <v>53.510000000000034</v>
      </c>
      <c r="AA15" s="116" t="str">
        <f t="shared" ca="1" si="1"/>
        <v>WR6</v>
      </c>
      <c r="AB15">
        <f ca="1">Z15*LeagueInfo!$H$5</f>
        <v>19.70389854007383</v>
      </c>
    </row>
    <row r="16" spans="1:28" ht="15.75" thickBot="1" x14ac:dyDescent="0.3">
      <c r="A16">
        <f>RANK(P16,P$3:P$213)</f>
        <v>14</v>
      </c>
      <c r="B16" t="str">
        <f>WR_Raw!A18</f>
        <v>Brandin Cooks</v>
      </c>
      <c r="C16" t="s">
        <v>35</v>
      </c>
      <c r="D16">
        <f>_xlfn.IFNA(INDEX(BYEs!$E$2:$E$411,MATCH(B16,BYEs!$D$2:$D$411,0)),"N/A")</f>
        <v>27</v>
      </c>
      <c r="E16">
        <f>INDEX(BYEs!$B$2:$B$34,MATCH(F16,BYEs!$A$2:$A$34,0))</f>
        <v>6</v>
      </c>
      <c r="F16" t="str">
        <f>WR_Raw!B18</f>
        <v>HOU</v>
      </c>
      <c r="G16" s="206">
        <v>0</v>
      </c>
      <c r="H16" s="207">
        <v>0</v>
      </c>
      <c r="I16" s="204">
        <f>WR_Raw!F18</f>
        <v>2.6</v>
      </c>
      <c r="J16" s="204">
        <f>WR_Raw!G18</f>
        <v>18.5</v>
      </c>
      <c r="K16" s="204">
        <f>WR_Raw!H18</f>
        <v>0.1</v>
      </c>
      <c r="L16" s="206">
        <f>WR_Raw!C18</f>
        <v>92.4</v>
      </c>
      <c r="M16" s="204">
        <f>WR_Raw!D18</f>
        <v>1105.9000000000001</v>
      </c>
      <c r="N16" s="207">
        <f>WR_Raw!E18</f>
        <v>6.1</v>
      </c>
      <c r="O16" s="204">
        <f>WR_Raw!I18</f>
        <v>0.5</v>
      </c>
      <c r="P16" s="208">
        <f>(J16*WRRushingYd)+(K16*WRRushingTD)+(L16*WRRec)+(M16*WRRecYd)+(N16*WRRecTD)+(O16*WRFuml)+(I16*WRRushAtt)</f>
        <v>194.84</v>
      </c>
      <c r="Q16" t="str">
        <f ca="1">IF(A16&lt;=WRStarters,"Starter",IF(A16&gt;WRStarters+WRBench,"Undrafted","Bench"))</f>
        <v>Starter</v>
      </c>
      <c r="R16">
        <f ca="1">IFERROR(MAX(P16-LARGE(WRSheetCount,WRStarters),0),0)</f>
        <v>26.510000000000019</v>
      </c>
      <c r="S16">
        <f ca="1">IFERROR(IF(AllowNegative="Yes",P16-LARGE(WRSheetCount,WRCount),MAX(P16-LARGE(WRSheetCount,WRCount),0)),0)</f>
        <v>71.230000000000018</v>
      </c>
      <c r="T16" s="85">
        <f ca="1">(S16-R16)*BenchPF+R16*StarterPF</f>
        <v>18.025118454041142</v>
      </c>
      <c r="U16" s="85">
        <f ca="1">T16*Auction!$A$2</f>
        <v>18.025118454041142</v>
      </c>
      <c r="V16" s="6" t="str">
        <f>IF(OR(INDEX(Auction!$H$13:$H$656,MATCH(B16,Auction!$A$13:$A$656,0))&gt;0,IFERROR(INDEX(CheatSheet!$V$5:$V$64,MATCH(B16,CheatSheet!$S$5:$S$64,0)),"")&lt;&gt;""),"Yes","No")</f>
        <v>No</v>
      </c>
      <c r="W16" s="179"/>
      <c r="Y16" s="114">
        <f ca="1">IFERROR(SUMIFS($Z$3:$Z208,$Z$3:$Z$195,"&gt;0",$V$3:$V$195,"No")/SUMIF($Z$3:$Z$195,"&gt;0"),0)</f>
        <v>0</v>
      </c>
      <c r="Z16">
        <f t="shared" ca="1" si="2"/>
        <v>48.870000000000019</v>
      </c>
      <c r="AA16" s="116" t="str">
        <f t="shared" ca="1" si="1"/>
        <v>WR6</v>
      </c>
      <c r="AB16">
        <f ca="1">Z16*LeagueInfo!$H$5</f>
        <v>17.995319036692354</v>
      </c>
    </row>
    <row r="17" spans="1:28" ht="15.75" thickBot="1" x14ac:dyDescent="0.3">
      <c r="A17">
        <f>RANK(P17,P$3:P$213)</f>
        <v>15</v>
      </c>
      <c r="B17" t="str">
        <f>WR_Raw!A13</f>
        <v>Mike Williams</v>
      </c>
      <c r="C17" t="s">
        <v>35</v>
      </c>
      <c r="D17">
        <f>_xlfn.IFNA(INDEX(BYEs!$E$2:$E$411,MATCH(B17,BYEs!$D$2:$D$411,0)),"N/A")</f>
        <v>26</v>
      </c>
      <c r="E17">
        <f>INDEX(BYEs!$B$2:$B$34,MATCH(F17,BYEs!$A$2:$A$34,0))</f>
        <v>8</v>
      </c>
      <c r="F17" t="str">
        <f>WR_Raw!B13</f>
        <v>LAC</v>
      </c>
      <c r="G17" s="206">
        <v>0</v>
      </c>
      <c r="H17" s="207">
        <v>0</v>
      </c>
      <c r="I17" s="204">
        <f>WR_Raw!F13</f>
        <v>0</v>
      </c>
      <c r="J17" s="204">
        <f>WR_Raw!G13</f>
        <v>0.2</v>
      </c>
      <c r="K17" s="204">
        <f>WR_Raw!H13</f>
        <v>0</v>
      </c>
      <c r="L17" s="206">
        <f>WR_Raw!C13</f>
        <v>74.7</v>
      </c>
      <c r="M17" s="204">
        <f>WR_Raw!D13</f>
        <v>1098</v>
      </c>
      <c r="N17" s="207">
        <f>WR_Raw!E13</f>
        <v>8</v>
      </c>
      <c r="O17" s="204">
        <f>WR_Raw!I13</f>
        <v>0.4</v>
      </c>
      <c r="P17" s="208">
        <f>(J17*WRRushingYd)+(K17*WRRushingTD)+(L17*WRRec)+(M17*WRRecYd)+(N17*WRRecTD)+(O17*WRFuml)+(I17*WRRushAtt)</f>
        <v>194.37</v>
      </c>
      <c r="Q17" t="str">
        <f ca="1">IF(A17&lt;=WRStarters,"Starter",IF(A17&gt;WRStarters+WRBench,"Undrafted","Bench"))</f>
        <v>Starter</v>
      </c>
      <c r="R17">
        <f ca="1">IFERROR(MAX(P17-LARGE(WRSheetCount,WRStarters),0),0)</f>
        <v>26.04000000000002</v>
      </c>
      <c r="S17">
        <f ca="1">IFERROR(IF(AllowNegative="Yes",P17-LARGE(WRSheetCount,WRCount),MAX(P17-LARGE(WRSheetCount,WRCount),0)),0)</f>
        <v>70.760000000000019</v>
      </c>
      <c r="T17" s="85">
        <f ca="1">(S17-R17)*BenchPF+R17*StarterPF</f>
        <v>17.849305006513546</v>
      </c>
      <c r="U17" s="85">
        <f ca="1">T17*Auction!$A$2</f>
        <v>17.849305006513546</v>
      </c>
      <c r="V17" s="6" t="str">
        <f>IF(OR(INDEX(Auction!$H$13:$H$656,MATCH(B17,Auction!$A$13:$A$656,0))&gt;0,IFERROR(INDEX(CheatSheet!$V$5:$V$64,MATCH(B17,CheatSheet!$S$5:$S$64,0)),"")&lt;&gt;""),"Yes","No")</f>
        <v>No</v>
      </c>
      <c r="W17" s="179"/>
      <c r="Y17" s="114">
        <f ca="1">IFERROR(SUMIFS($Z$3:$Z209,$Z$3:$Z$195,"&gt;0",$V$3:$V$195,"No")/SUMIF($Z$3:$Z$195,"&gt;0"),0)</f>
        <v>0</v>
      </c>
      <c r="Z17">
        <f t="shared" ca="1" si="2"/>
        <v>48.40000000000002</v>
      </c>
      <c r="AA17" s="116" t="str">
        <f t="shared" ca="1" si="1"/>
        <v>WR6</v>
      </c>
      <c r="AB17">
        <f ca="1">Z17*LeagueInfo!$H$5</f>
        <v>17.822251716306731</v>
      </c>
    </row>
    <row r="18" spans="1:28" ht="15.75" thickBot="1" x14ac:dyDescent="0.3">
      <c r="A18">
        <f>RANK(P18,P$3:P$213)</f>
        <v>16</v>
      </c>
      <c r="B18" t="str">
        <f>WR_Raw!A15</f>
        <v>DJ Moore</v>
      </c>
      <c r="C18" t="s">
        <v>35</v>
      </c>
      <c r="D18" t="str">
        <f>_xlfn.IFNA(INDEX(BYEs!$E$2:$E$411,MATCH(B18,BYEs!$D$2:$D$411,0)),"N/A")</f>
        <v>N/A</v>
      </c>
      <c r="E18">
        <f>INDEX(BYEs!$B$2:$B$34,MATCH(F18,BYEs!$A$2:$A$34,0))</f>
        <v>13</v>
      </c>
      <c r="F18" t="str">
        <f>WR_Raw!B15</f>
        <v>CAR</v>
      </c>
      <c r="G18" s="206">
        <v>0</v>
      </c>
      <c r="H18" s="207">
        <v>0</v>
      </c>
      <c r="I18" s="204">
        <f>WR_Raw!F15</f>
        <v>5.6</v>
      </c>
      <c r="J18" s="204">
        <f>WR_Raw!G15</f>
        <v>37.9</v>
      </c>
      <c r="K18" s="204">
        <f>WR_Raw!H15</f>
        <v>0.1</v>
      </c>
      <c r="L18" s="206">
        <f>WR_Raw!C15</f>
        <v>86.4</v>
      </c>
      <c r="M18" s="204">
        <f>WR_Raw!D15</f>
        <v>1138</v>
      </c>
      <c r="N18" s="207">
        <f>WR_Raw!E15</f>
        <v>5.6</v>
      </c>
      <c r="O18" s="204">
        <f>WR_Raw!I15</f>
        <v>0.6</v>
      </c>
      <c r="P18" s="208">
        <f>(J18*WRRushingYd)+(K18*WRRushingTD)+(L18*WRRec)+(M18*WRRecYd)+(N18*WRRecTD)+(O18*WRFuml)+(I18*WRRushAtt)</f>
        <v>193.79000000000002</v>
      </c>
      <c r="Q18" t="str">
        <f ca="1">IF(A18&lt;=WRStarters,"Starter",IF(A18&gt;WRStarters+WRBench,"Undrafted","Bench"))</f>
        <v>Starter</v>
      </c>
      <c r="R18">
        <f ca="1">IFERROR(MAX(P18-LARGE(WRSheetCount,WRStarters),0),0)</f>
        <v>25.460000000000036</v>
      </c>
      <c r="S18">
        <f ca="1">IFERROR(IF(AllowNegative="Yes",P18-LARGE(WRSheetCount,WRCount),MAX(P18-LARGE(WRSheetCount,WRCount),0)),0)</f>
        <v>70.180000000000035</v>
      </c>
      <c r="T18" s="85">
        <f ca="1">(S18-R18)*BenchPF+R18*StarterPF</f>
        <v>17.632343730841207</v>
      </c>
      <c r="U18" s="85">
        <f ca="1">T18*Auction!$A$2</f>
        <v>17.632343730841207</v>
      </c>
      <c r="V18" s="6" t="str">
        <f>IF(OR(INDEX(Auction!$H$13:$H$656,MATCH(B18,Auction!$A$13:$A$656,0))&gt;0,IFERROR(INDEX(CheatSheet!$V$5:$V$64,MATCH(B18,CheatSheet!$S$5:$S$64,0)),"")&lt;&gt;""),"Yes","No")</f>
        <v>No</v>
      </c>
      <c r="W18" s="179"/>
      <c r="Y18" s="114">
        <f ca="1">IFERROR(SUMIFS($Z$3:$Z210,$Z$3:$Z$195,"&gt;0",$V$3:$V$195,"No")/SUMIF($Z$3:$Z$195,"&gt;0"),0)</f>
        <v>0</v>
      </c>
      <c r="Z18">
        <f t="shared" ca="1" si="2"/>
        <v>47.820000000000036</v>
      </c>
      <c r="AA18" s="116" t="str">
        <f t="shared" ca="1" si="1"/>
        <v>WR6</v>
      </c>
      <c r="AB18">
        <f ca="1">Z18*LeagueInfo!$H$5</f>
        <v>17.608679278384052</v>
      </c>
    </row>
    <row r="19" spans="1:28" ht="15.75" thickBot="1" x14ac:dyDescent="0.3">
      <c r="A19">
        <f>RANK(P19,P$3:P$213)</f>
        <v>17</v>
      </c>
      <c r="B19" t="str">
        <f>WR_Raw!A20</f>
        <v>Diontae Johnson</v>
      </c>
      <c r="C19" t="s">
        <v>35</v>
      </c>
      <c r="D19">
        <f>_xlfn.IFNA(INDEX(BYEs!$E$2:$E$411,MATCH(B19,BYEs!$D$2:$D$411,0)),"N/A")</f>
        <v>25</v>
      </c>
      <c r="E19">
        <f>INDEX(BYEs!$B$2:$B$34,MATCH(F19,BYEs!$A$2:$A$34,0))</f>
        <v>9</v>
      </c>
      <c r="F19" t="str">
        <f>WR_Raw!B20</f>
        <v>PIT</v>
      </c>
      <c r="G19" s="206">
        <v>0</v>
      </c>
      <c r="H19" s="207">
        <v>0</v>
      </c>
      <c r="I19" s="204">
        <f>WR_Raw!F20</f>
        <v>4.2</v>
      </c>
      <c r="J19" s="204">
        <f>WR_Raw!G20</f>
        <v>31.6</v>
      </c>
      <c r="K19" s="204">
        <f>WR_Raw!H20</f>
        <v>0.1</v>
      </c>
      <c r="L19" s="206">
        <f>WR_Raw!C20</f>
        <v>95.3</v>
      </c>
      <c r="M19" s="204">
        <f>WR_Raw!D20</f>
        <v>1050.8</v>
      </c>
      <c r="N19" s="207">
        <f>WR_Raw!E20</f>
        <v>6.1</v>
      </c>
      <c r="O19" s="204">
        <f>WR_Raw!I20</f>
        <v>1</v>
      </c>
      <c r="P19" s="208">
        <f>(J19*WRRushingYd)+(K19*WRRushingTD)+(L19*WRRec)+(M19*WRRecYd)+(N19*WRRecTD)+(O19*WRFuml)+(I19*WRRushAtt)</f>
        <v>191.09</v>
      </c>
      <c r="Q19" t="str">
        <f ca="1">IF(A19&lt;=WRStarters,"Starter",IF(A19&gt;WRStarters+WRBench,"Undrafted","Bench"))</f>
        <v>Starter</v>
      </c>
      <c r="R19">
        <f ca="1">IFERROR(MAX(P19-LARGE(WRSheetCount,WRStarters),0),0)</f>
        <v>22.760000000000019</v>
      </c>
      <c r="S19">
        <f ca="1">IFERROR(IF(AllowNegative="Yes",P19-LARGE(WRSheetCount,WRCount),MAX(P19-LARGE(WRSheetCount,WRCount),0)),0)</f>
        <v>67.480000000000018</v>
      </c>
      <c r="T19" s="85">
        <f ca="1">(S19-R19)*BenchPF+R19*StarterPF</f>
        <v>16.622351585469936</v>
      </c>
      <c r="U19" s="85">
        <f ca="1">T19*Auction!$A$2</f>
        <v>16.622351585469936</v>
      </c>
      <c r="V19" s="6" t="str">
        <f>IF(OR(INDEX(Auction!$H$13:$H$656,MATCH(B19,Auction!$A$13:$A$656,0))&gt;0,IFERROR(INDEX(CheatSheet!$V$5:$V$64,MATCH(B19,CheatSheet!$S$5:$S$64,0)),"")&lt;&gt;""),"Yes","No")</f>
        <v>No</v>
      </c>
      <c r="W19" s="179"/>
      <c r="Y19" s="114">
        <f ca="1">IFERROR(SUMIFS($Z$3:$Z211,$Z$3:$Z$195,"&gt;0",$V$3:$V$195,"No")/SUMIF($Z$3:$Z$195,"&gt;0"),0)</f>
        <v>0</v>
      </c>
      <c r="Z19">
        <f t="shared" ca="1" si="2"/>
        <v>45.120000000000019</v>
      </c>
      <c r="AA19" s="116" t="str">
        <f t="shared" ca="1" si="1"/>
        <v>WR6</v>
      </c>
      <c r="AB19">
        <f ca="1">Z19*LeagueInfo!$H$5</f>
        <v>16.61446275701983</v>
      </c>
    </row>
    <row r="20" spans="1:28" ht="15.75" thickBot="1" x14ac:dyDescent="0.3">
      <c r="A20">
        <f>RANK(P20,P$3:P$213)</f>
        <v>18</v>
      </c>
      <c r="B20" t="str">
        <f>WR_Raw!A19</f>
        <v>DK Metcalf</v>
      </c>
      <c r="C20" t="s">
        <v>35</v>
      </c>
      <c r="D20" t="str">
        <f>_xlfn.IFNA(INDEX(BYEs!$E$2:$E$411,MATCH(B20,BYEs!$D$2:$D$411,0)),"N/A")</f>
        <v>N/A</v>
      </c>
      <c r="E20">
        <f>INDEX(BYEs!$B$2:$B$34,MATCH(F20,BYEs!$A$2:$A$34,0))</f>
        <v>11</v>
      </c>
      <c r="F20" t="str">
        <f>WR_Raw!B19</f>
        <v>SEA</v>
      </c>
      <c r="G20" s="206">
        <v>0</v>
      </c>
      <c r="H20" s="207">
        <v>0</v>
      </c>
      <c r="I20" s="204">
        <f>WR_Raw!F19</f>
        <v>0.4</v>
      </c>
      <c r="J20" s="204">
        <f>WR_Raw!G19</f>
        <v>2.2000000000000002</v>
      </c>
      <c r="K20" s="204">
        <f>WR_Raw!H19</f>
        <v>0</v>
      </c>
      <c r="L20" s="206">
        <f>WR_Raw!C19</f>
        <v>78.3</v>
      </c>
      <c r="M20" s="204">
        <f>WR_Raw!D19</f>
        <v>1047.5999999999999</v>
      </c>
      <c r="N20" s="207">
        <f>WR_Raw!E19</f>
        <v>6.8</v>
      </c>
      <c r="O20" s="204">
        <f>WR_Raw!I19</f>
        <v>0.6</v>
      </c>
      <c r="P20" s="208">
        <f>(J20*WRRushingYd)+(K20*WRRushingTD)+(L20*WRRec)+(M20*WRRecYd)+(N20*WRRecTD)+(O20*WRFuml)+(I20*WRRushAtt)</f>
        <v>183.73000000000002</v>
      </c>
      <c r="Q20" t="str">
        <f ca="1">IF(A20&lt;=WRStarters,"Starter",IF(A20&gt;WRStarters+WRBench,"Undrafted","Bench"))</f>
        <v>Starter</v>
      </c>
      <c r="R20">
        <f ca="1">IFERROR(MAX(P20-LARGE(WRSheetCount,WRStarters),0),0)</f>
        <v>15.400000000000034</v>
      </c>
      <c r="S20">
        <f ca="1">IFERROR(IF(AllowNegative="Yes",P20-LARGE(WRSheetCount,WRCount),MAX(P20-LARGE(WRSheetCount,WRCount),0)),0)</f>
        <v>60.120000000000033</v>
      </c>
      <c r="T20" s="85">
        <f ca="1">(S20-R20)*BenchPF+R20*StarterPF</f>
        <v>13.869187811420861</v>
      </c>
      <c r="U20" s="85">
        <f ca="1">T20*Auction!$A$2</f>
        <v>13.869187811420861</v>
      </c>
      <c r="V20" s="6" t="str">
        <f>IF(OR(INDEX(Auction!$H$13:$H$656,MATCH(B20,Auction!$A$13:$A$656,0))&gt;0,IFERROR(INDEX(CheatSheet!$V$5:$V$64,MATCH(B20,CheatSheet!$S$5:$S$64,0)),"")&lt;&gt;""),"Yes","No")</f>
        <v>No</v>
      </c>
      <c r="W20" s="179"/>
      <c r="Y20" s="114">
        <f ca="1">IFERROR(SUMIFS($Z$3:$Z212,$Z$3:$Z$195,"&gt;0",$V$3:$V$195,"No")/SUMIF($Z$3:$Z$195,"&gt;0"),0)</f>
        <v>0</v>
      </c>
      <c r="Z20">
        <f t="shared" ca="1" si="2"/>
        <v>37.760000000000034</v>
      </c>
      <c r="AA20" s="116" t="str">
        <f t="shared" ca="1" si="1"/>
        <v>WR7</v>
      </c>
      <c r="AB20">
        <f ca="1">Z20*LeagueInfo!$H$5</f>
        <v>13.904302165449224</v>
      </c>
    </row>
    <row r="21" spans="1:28" ht="15.75" thickBot="1" x14ac:dyDescent="0.3">
      <c r="A21">
        <f>RANK(P21,P$3:P$213)</f>
        <v>19</v>
      </c>
      <c r="B21" t="str">
        <f>WR_Raw!A23</f>
        <v>Jaylen Waddle</v>
      </c>
      <c r="C21" t="s">
        <v>35</v>
      </c>
      <c r="D21" t="str">
        <f>_xlfn.IFNA(INDEX(BYEs!$E$2:$E$411,MATCH(B21,BYEs!$D$2:$D$411,0)),"N/A")</f>
        <v>N/A</v>
      </c>
      <c r="E21">
        <f>INDEX(BYEs!$B$2:$B$34,MATCH(F21,BYEs!$A$2:$A$34,0))</f>
        <v>11</v>
      </c>
      <c r="F21" t="str">
        <f>WR_Raw!B23</f>
        <v>MIA</v>
      </c>
      <c r="G21" s="206">
        <v>0</v>
      </c>
      <c r="H21" s="207">
        <v>0</v>
      </c>
      <c r="I21" s="204">
        <f>WR_Raw!F23</f>
        <v>3.3</v>
      </c>
      <c r="J21" s="204">
        <f>WR_Raw!G23</f>
        <v>19.100000000000001</v>
      </c>
      <c r="K21" s="204">
        <f>WR_Raw!H23</f>
        <v>0.3</v>
      </c>
      <c r="L21" s="206">
        <f>WR_Raw!C23</f>
        <v>88.8</v>
      </c>
      <c r="M21" s="204">
        <f>WR_Raw!D23</f>
        <v>993.3</v>
      </c>
      <c r="N21" s="207">
        <f>WR_Raw!E23</f>
        <v>6.1</v>
      </c>
      <c r="O21" s="204">
        <f>WR_Raw!I23</f>
        <v>0.6</v>
      </c>
      <c r="P21" s="208">
        <f>(J21*WRRushingYd)+(K21*WRRushingTD)+(L21*WRRec)+(M21*WRRecYd)+(N21*WRRecTD)+(O21*WRFuml)+(I21*WRRushAtt)</f>
        <v>182.84</v>
      </c>
      <c r="Q21" t="str">
        <f ca="1">IF(A21&lt;=WRStarters,"Starter",IF(A21&gt;WRStarters+WRBench,"Undrafted","Bench"))</f>
        <v>Starter</v>
      </c>
      <c r="R21">
        <f ca="1">IFERROR(MAX(P21-LARGE(WRSheetCount,WRStarters),0),0)</f>
        <v>14.510000000000019</v>
      </c>
      <c r="S21">
        <f ca="1">IFERROR(IF(AllowNegative="Yes",P21-LARGE(WRSheetCount,WRCount),MAX(P21-LARGE(WRSheetCount,WRCount),0)),0)</f>
        <v>59.230000000000018</v>
      </c>
      <c r="T21" s="85">
        <f ca="1">(S21-R21)*BenchPF+R21*StarterPF</f>
        <v>13.53626447461329</v>
      </c>
      <c r="U21" s="85">
        <f ca="1">T21*Auction!$A$2</f>
        <v>13.53626447461329</v>
      </c>
      <c r="V21" s="6" t="str">
        <f>IF(OR(INDEX(Auction!$H$13:$H$656,MATCH(B21,Auction!$A$13:$A$656,0))&gt;0,IFERROR(INDEX(CheatSheet!$V$5:$V$64,MATCH(B21,CheatSheet!$S$5:$S$64,0)),"")&lt;&gt;""),"Yes","No")</f>
        <v>No</v>
      </c>
      <c r="W21" s="179"/>
      <c r="Y21" s="114">
        <f ca="1">IFERROR(SUMIFS($Z$3:$Z212,$Z$3:$Z$195,"&gt;0",$V$3:$V$195,"No")/SUMIF($Z$3:$Z$195,"&gt;0"),0)</f>
        <v>0</v>
      </c>
      <c r="Z21">
        <f t="shared" ca="1" si="2"/>
        <v>36.870000000000019</v>
      </c>
      <c r="AA21" s="116" t="str">
        <f t="shared" ca="1" si="1"/>
        <v>WR7</v>
      </c>
      <c r="AB21">
        <f ca="1">Z21*LeagueInfo!$H$5</f>
        <v>13.576578941740273</v>
      </c>
    </row>
    <row r="22" spans="1:28" ht="15.75" thickBot="1" x14ac:dyDescent="0.3">
      <c r="A22">
        <f>RANK(P22,P$3:P$213)</f>
        <v>20</v>
      </c>
      <c r="B22" t="str">
        <f>WR_Raw!A24</f>
        <v>Amon-Ra St. Brown</v>
      </c>
      <c r="C22" t="s">
        <v>35</v>
      </c>
      <c r="D22" t="str">
        <f>_xlfn.IFNA(INDEX(BYEs!$E$2:$E$411,MATCH(B22,BYEs!$D$2:$D$411,0)),"N/A")</f>
        <v>N/A</v>
      </c>
      <c r="E22">
        <f>INDEX(BYEs!$B$2:$B$34,MATCH(F22,BYEs!$A$2:$A$34,0))</f>
        <v>6</v>
      </c>
      <c r="F22" t="str">
        <f>WR_Raw!B24</f>
        <v>DET</v>
      </c>
      <c r="G22" s="206">
        <v>0</v>
      </c>
      <c r="H22" s="207">
        <v>0</v>
      </c>
      <c r="I22" s="204">
        <f>WR_Raw!F24</f>
        <v>6.6</v>
      </c>
      <c r="J22" s="204">
        <f>WR_Raw!G24</f>
        <v>46.6</v>
      </c>
      <c r="K22" s="204">
        <f>WR_Raw!H24</f>
        <v>0.4</v>
      </c>
      <c r="L22" s="206">
        <f>WR_Raw!C24</f>
        <v>87.6</v>
      </c>
      <c r="M22" s="204">
        <f>WR_Raw!D24</f>
        <v>955.3</v>
      </c>
      <c r="N22" s="207">
        <f>WR_Raw!E24</f>
        <v>6</v>
      </c>
      <c r="O22" s="204">
        <f>WR_Raw!I24</f>
        <v>0.5</v>
      </c>
      <c r="P22" s="208">
        <f>(J22*WRRushingYd)+(K22*WRRushingTD)+(L22*WRRec)+(M22*WRRecYd)+(N22*WRRecTD)+(O22*WRFuml)+(I22*WRRushAtt)</f>
        <v>181.39</v>
      </c>
      <c r="Q22" t="str">
        <f ca="1">IF(A22&lt;=WRStarters,"Starter",IF(A22&gt;WRStarters+WRBench,"Undrafted","Bench"))</f>
        <v>Starter</v>
      </c>
      <c r="R22">
        <f ca="1">IFERROR(MAX(P22-LARGE(WRSheetCount,WRStarters),0),0)</f>
        <v>13.060000000000002</v>
      </c>
      <c r="S22">
        <f ca="1">IFERROR(IF(AllowNegative="Yes",P22-LARGE(WRSheetCount,WRCount),MAX(P22-LARGE(WRSheetCount,WRCount),0)),0)</f>
        <v>57.78</v>
      </c>
      <c r="T22" s="85">
        <f ca="1">(S22-R22)*BenchPF+R22*StarterPF</f>
        <v>12.993861285432418</v>
      </c>
      <c r="U22" s="85">
        <f ca="1">T22*Auction!$A$2</f>
        <v>12.993861285432418</v>
      </c>
      <c r="V22" s="6" t="str">
        <f>IF(OR(INDEX(Auction!$H$13:$H$656,MATCH(B22,Auction!$A$13:$A$656,0))&gt;0,IFERROR(INDEX(CheatSheet!$V$5:$V$64,MATCH(B22,CheatSheet!$S$5:$S$64,0)),"")&lt;&gt;""),"Yes","No")</f>
        <v>No</v>
      </c>
      <c r="W22" s="179"/>
      <c r="Y22" s="114">
        <f ca="1">IFERROR(SUMIFS($Z$3:$Z212,$Z$3:$Z$195,"&gt;0",$V$3:$V$195,"No")/SUMIF($Z$3:$Z$195,"&gt;0"),0)</f>
        <v>0</v>
      </c>
      <c r="Z22">
        <f t="shared" ca="1" si="2"/>
        <v>35.42</v>
      </c>
      <c r="AA22" s="116" t="str">
        <f t="shared" ca="1" si="1"/>
        <v>WR7</v>
      </c>
      <c r="AB22">
        <f ca="1">Z22*LeagueInfo!$H$5</f>
        <v>13.042647846933557</v>
      </c>
    </row>
    <row r="23" spans="1:28" ht="15.75" thickBot="1" x14ac:dyDescent="0.3">
      <c r="A23">
        <f>RANK(P23,P$3:P$213)</f>
        <v>21</v>
      </c>
      <c r="B23" t="str">
        <f>WR_Raw!A21</f>
        <v>Terry McLaurin</v>
      </c>
      <c r="C23" t="s">
        <v>35</v>
      </c>
      <c r="D23">
        <f>_xlfn.IFNA(INDEX(BYEs!$E$2:$E$411,MATCH(B23,BYEs!$D$2:$D$411,0)),"N/A")</f>
        <v>25</v>
      </c>
      <c r="E23">
        <f>INDEX(BYEs!$B$2:$B$34,MATCH(F23,BYEs!$A$2:$A$34,0))</f>
        <v>14</v>
      </c>
      <c r="F23" t="str">
        <f>WR_Raw!B21</f>
        <v>WAS</v>
      </c>
      <c r="G23" s="206">
        <v>0</v>
      </c>
      <c r="H23" s="207">
        <v>0</v>
      </c>
      <c r="I23" s="204">
        <f>WR_Raw!F21</f>
        <v>0.4</v>
      </c>
      <c r="J23" s="204">
        <f>WR_Raw!G21</f>
        <v>4.5999999999999996</v>
      </c>
      <c r="K23" s="204">
        <f>WR_Raw!H21</f>
        <v>0</v>
      </c>
      <c r="L23" s="206">
        <f>WR_Raw!C21</f>
        <v>78.5</v>
      </c>
      <c r="M23" s="204">
        <f>WR_Raw!D21</f>
        <v>1068.9000000000001</v>
      </c>
      <c r="N23" s="207">
        <f>WR_Raw!E21</f>
        <v>5.8</v>
      </c>
      <c r="O23" s="204">
        <f>WR_Raw!I21</f>
        <v>0.4</v>
      </c>
      <c r="P23" s="208">
        <f>(J23*WRRushingYd)+(K23*WRRushingTD)+(L23*WRRec)+(M23*WRRecYd)+(N23*WRRecTD)+(O23*WRFuml)+(I23*WRRushAtt)</f>
        <v>180.60000000000002</v>
      </c>
      <c r="Q23" t="str">
        <f ca="1">IF(A23&lt;=WRStarters,"Starter",IF(A23&gt;WRStarters+WRBench,"Undrafted","Bench"))</f>
        <v>Starter</v>
      </c>
      <c r="R23">
        <f ca="1">IFERROR(MAX(P23-LARGE(WRSheetCount,WRStarters),0),0)</f>
        <v>12.270000000000039</v>
      </c>
      <c r="S23">
        <f ca="1">IFERROR(IF(AllowNegative="Yes",P23-LARGE(WRSheetCount,WRCount),MAX(P23-LARGE(WRSheetCount,WRCount),0)),0)</f>
        <v>56.990000000000038</v>
      </c>
      <c r="T23" s="85">
        <f ca="1">(S23-R23)*BenchPF+R23*StarterPF</f>
        <v>12.698345065120098</v>
      </c>
      <c r="U23" s="85">
        <f ca="1">T23*Auction!$A$2</f>
        <v>12.698345065120098</v>
      </c>
      <c r="V23" s="6" t="str">
        <f>IF(OR(INDEX(Auction!$H$13:$H$656,MATCH(B23,Auction!$A$13:$A$656,0))&gt;0,IFERROR(INDEX(CheatSheet!$V$5:$V$64,MATCH(B23,CheatSheet!$S$5:$S$64,0)),"")&lt;&gt;""),"Yes","No")</f>
        <v>No</v>
      </c>
      <c r="W23" s="179"/>
      <c r="Y23" s="114">
        <f ca="1">IFERROR(SUMIFS($Z$3:$Z212,$Z$3:$Z$195,"&gt;0",$V$3:$V$195,"No")/SUMIF($Z$3:$Z$195,"&gt;0"),0)</f>
        <v>0</v>
      </c>
      <c r="Z23">
        <f t="shared" ca="1" si="2"/>
        <v>34.630000000000038</v>
      </c>
      <c r="AA23" s="116" t="str">
        <f t="shared" ca="1" si="1"/>
        <v>WR7</v>
      </c>
      <c r="AB23">
        <f ca="1">Z23*LeagueInfo!$H$5</f>
        <v>12.751747457349225</v>
      </c>
    </row>
    <row r="24" spans="1:28" ht="15.75" thickBot="1" x14ac:dyDescent="0.3">
      <c r="A24">
        <f>RANK(P24,P$3:P$213)</f>
        <v>22</v>
      </c>
      <c r="B24" t="str">
        <f>WR_Raw!A17</f>
        <v>Gabriel Davis</v>
      </c>
      <c r="C24" t="s">
        <v>35</v>
      </c>
      <c r="D24" t="str">
        <f>_xlfn.IFNA(INDEX(BYEs!$E$2:$E$411,MATCH(B24,BYEs!$D$2:$D$411,0)),"N/A")</f>
        <v>N/A</v>
      </c>
      <c r="E24">
        <f>INDEX(BYEs!$B$2:$B$34,MATCH(F24,BYEs!$A$2:$A$34,0))</f>
        <v>7</v>
      </c>
      <c r="F24" t="str">
        <f>WR_Raw!B17</f>
        <v>BUF</v>
      </c>
      <c r="G24" s="206">
        <v>0</v>
      </c>
      <c r="H24" s="207">
        <v>0</v>
      </c>
      <c r="I24" s="204">
        <f>WR_Raw!F17</f>
        <v>0</v>
      </c>
      <c r="J24" s="204">
        <f>WR_Raw!G17</f>
        <v>0</v>
      </c>
      <c r="K24" s="204">
        <f>WR_Raw!H17</f>
        <v>0</v>
      </c>
      <c r="L24" s="206">
        <f>WR_Raw!C17</f>
        <v>61.8</v>
      </c>
      <c r="M24" s="204">
        <f>WR_Raw!D17</f>
        <v>967.9</v>
      </c>
      <c r="N24" s="207">
        <f>WR_Raw!E17</f>
        <v>8.8000000000000007</v>
      </c>
      <c r="O24" s="204">
        <f>WR_Raw!I17</f>
        <v>0.1</v>
      </c>
      <c r="P24" s="208">
        <f>(J24*WRRushingYd)+(K24*WRRushingTD)+(L24*WRRec)+(M24*WRRecYd)+(N24*WRRecTD)+(O24*WRFuml)+(I24*WRRushAtt)</f>
        <v>180.29000000000002</v>
      </c>
      <c r="Q24" t="str">
        <f ca="1">IF(A24&lt;=WRStarters,"Starter",IF(A24&gt;WRStarters+WRBench,"Undrafted","Bench"))</f>
        <v>Starter</v>
      </c>
      <c r="R24">
        <f ca="1">IFERROR(MAX(P24-LARGE(WRSheetCount,WRStarters),0),0)</f>
        <v>11.960000000000036</v>
      </c>
      <c r="S24">
        <f ca="1">IFERROR(IF(AllowNegative="Yes",P24-LARGE(WRSheetCount,WRCount),MAX(P24-LARGE(WRSheetCount,WRCount),0)),0)</f>
        <v>56.680000000000035</v>
      </c>
      <c r="T24" s="85">
        <f ca="1">(S24-R24)*BenchPF+R24*StarterPF</f>
        <v>12.582383003984878</v>
      </c>
      <c r="U24" s="85">
        <f ca="1">T24*Auction!$A$2</f>
        <v>12.582383003984878</v>
      </c>
      <c r="V24" s="6" t="str">
        <f>IF(OR(INDEX(Auction!$H$13:$H$656,MATCH(B24,Auction!$A$13:$A$656,0))&gt;0,IFERROR(INDEX(CheatSheet!$V$5:$V$64,MATCH(B24,CheatSheet!$S$5:$S$64,0)),"")&lt;&gt;""),"Yes","No")</f>
        <v>No</v>
      </c>
      <c r="W24" s="179"/>
      <c r="Y24" s="114">
        <f ca="1">IFERROR(SUMIFS($Z$3:$Z212,$Z$3:$Z$195,"&gt;0",$V$3:$V$195,"No")/SUMIF($Z$3:$Z$195,"&gt;0"),0)</f>
        <v>0</v>
      </c>
      <c r="Z24">
        <f t="shared" ca="1" si="2"/>
        <v>34.320000000000036</v>
      </c>
      <c r="AA24" s="116" t="str">
        <f t="shared" ca="1" si="1"/>
        <v>WR7</v>
      </c>
      <c r="AB24">
        <f ca="1">Z24*LeagueInfo!$H$5</f>
        <v>12.637596671562962</v>
      </c>
    </row>
    <row r="25" spans="1:28" ht="15.75" thickBot="1" x14ac:dyDescent="0.3">
      <c r="A25">
        <f>RANK(P25,P$3:P$213)</f>
        <v>23</v>
      </c>
      <c r="B25" t="str">
        <f>WR_Raw!A26</f>
        <v>Michael Thomas</v>
      </c>
      <c r="C25" t="s">
        <v>35</v>
      </c>
      <c r="D25">
        <f>_xlfn.IFNA(INDEX(BYEs!$E$2:$E$411,MATCH(B25,BYEs!$D$2:$D$411,0)),"N/A")</f>
        <v>28</v>
      </c>
      <c r="E25">
        <f>INDEX(BYEs!$B$2:$B$34,MATCH(F25,BYEs!$A$2:$A$34,0))</f>
        <v>14</v>
      </c>
      <c r="F25" t="str">
        <f>WR_Raw!B26</f>
        <v>NO</v>
      </c>
      <c r="G25" s="206">
        <v>0</v>
      </c>
      <c r="H25" s="207">
        <v>0</v>
      </c>
      <c r="I25" s="204">
        <f>WR_Raw!F26</f>
        <v>0.2</v>
      </c>
      <c r="J25" s="204">
        <f>WR_Raw!G26</f>
        <v>-0.8</v>
      </c>
      <c r="K25" s="204">
        <f>WR_Raw!H26</f>
        <v>0</v>
      </c>
      <c r="L25" s="206">
        <f>WR_Raw!C26</f>
        <v>85.1</v>
      </c>
      <c r="M25" s="204">
        <f>WR_Raw!D26</f>
        <v>988.1</v>
      </c>
      <c r="N25" s="207">
        <f>WR_Raw!E26</f>
        <v>6.5</v>
      </c>
      <c r="O25" s="204">
        <f>WR_Raw!I26</f>
        <v>0.5</v>
      </c>
      <c r="P25" s="208">
        <f>(J25*WRRushingYd)+(K25*WRRushingTD)+(L25*WRRec)+(M25*WRRecYd)+(N25*WRRecTD)+(O25*WRFuml)+(I25*WRRushAtt)</f>
        <v>179.28</v>
      </c>
      <c r="Q25" t="str">
        <f ca="1">IF(A25&lt;=WRStarters,"Starter",IF(A25&gt;WRStarters+WRBench,"Undrafted","Bench"))</f>
        <v>Starter</v>
      </c>
      <c r="R25">
        <f ca="1">IFERROR(MAX(P25-LARGE(WRSheetCount,WRStarters),0),0)</f>
        <v>10.950000000000017</v>
      </c>
      <c r="S25">
        <f ca="1">IFERROR(IF(AllowNegative="Yes",P25-LARGE(WRSheetCount,WRCount),MAX(P25-LARGE(WRSheetCount,WRCount),0)),0)</f>
        <v>55.670000000000016</v>
      </c>
      <c r="T25" s="85">
        <f ca="1">(S25-R25)*BenchPF+R25*StarterPF</f>
        <v>12.204571127383026</v>
      </c>
      <c r="U25" s="85">
        <f ca="1">T25*Auction!$A$2</f>
        <v>12.204571127383026</v>
      </c>
      <c r="V25" s="6" t="str">
        <f>IF(OR(INDEX(Auction!$H$13:$H$656,MATCH(B25,Auction!$A$13:$A$656,0))&gt;0,IFERROR(INDEX(CheatSheet!$V$5:$V$64,MATCH(B25,CheatSheet!$S$5:$S$64,0)),"")&lt;&gt;""),"Yes","No")</f>
        <v>No</v>
      </c>
      <c r="W25" s="179"/>
      <c r="Y25" s="114">
        <f ca="1">IFERROR(SUMIFS($Z$3:$Z212,$Z$3:$Z$195,"&gt;0",$V$3:$V$195,"No")/SUMIF($Z$3:$Z$195,"&gt;0"),0)</f>
        <v>0</v>
      </c>
      <c r="Z25">
        <f t="shared" ca="1" si="2"/>
        <v>33.310000000000016</v>
      </c>
      <c r="AA25" s="116" t="str">
        <f t="shared" ca="1" si="1"/>
        <v>WR7</v>
      </c>
      <c r="AB25">
        <f ca="1">Z25*LeagueInfo!$H$5</f>
        <v>12.265686046904488</v>
      </c>
    </row>
    <row r="26" spans="1:28" ht="15.75" thickBot="1" x14ac:dyDescent="0.3">
      <c r="A26">
        <f>RANK(P26,P$3:P$213)</f>
        <v>24</v>
      </c>
      <c r="B26" t="str">
        <f>WR_Raw!A27</f>
        <v>Marquise Brown</v>
      </c>
      <c r="C26" t="s">
        <v>35</v>
      </c>
      <c r="D26">
        <f>_xlfn.IFNA(INDEX(BYEs!$E$2:$E$411,MATCH(B26,BYEs!$D$2:$D$411,0)),"N/A")</f>
        <v>24</v>
      </c>
      <c r="E26">
        <f>INDEX(BYEs!$B$2:$B$34,MATCH(F26,BYEs!$A$2:$A$34,0))</f>
        <v>13</v>
      </c>
      <c r="F26" t="str">
        <f>WR_Raw!B27</f>
        <v>ARI</v>
      </c>
      <c r="G26" s="206">
        <v>0</v>
      </c>
      <c r="H26" s="207">
        <v>0</v>
      </c>
      <c r="I26" s="204">
        <f>WR_Raw!F27</f>
        <v>2</v>
      </c>
      <c r="J26" s="204">
        <f>WR_Raw!G27</f>
        <v>12.9</v>
      </c>
      <c r="K26" s="204">
        <f>WR_Raw!H27</f>
        <v>0.1</v>
      </c>
      <c r="L26" s="206">
        <f>WR_Raw!C27</f>
        <v>79.099999999999994</v>
      </c>
      <c r="M26" s="204">
        <f>WR_Raw!D27</f>
        <v>998.5</v>
      </c>
      <c r="N26" s="207">
        <f>WR_Raw!E27</f>
        <v>6</v>
      </c>
      <c r="O26" s="204">
        <f>WR_Raw!I27</f>
        <v>0.6</v>
      </c>
      <c r="P26" s="208">
        <f>(J26*WRRushingYd)+(K26*WRRushingTD)+(L26*WRRec)+(M26*WRRecYd)+(N26*WRRecTD)+(O26*WRFuml)+(I26*WRRushAtt)</f>
        <v>176.09000000000003</v>
      </c>
      <c r="Q26" t="str">
        <f ca="1">IF(A26&lt;=WRStarters,"Starter",IF(A26&gt;WRStarters+WRBench,"Undrafted","Bench"))</f>
        <v>Starter</v>
      </c>
      <c r="R26">
        <f ca="1">IFERROR(MAX(P26-LARGE(WRSheetCount,WRStarters),0),0)</f>
        <v>7.7600000000000477</v>
      </c>
      <c r="S26">
        <f ca="1">IFERROR(IF(AllowNegative="Yes",P26-LARGE(WRSheetCount,WRCount),MAX(P26-LARGE(WRSheetCount,WRCount),0)),0)</f>
        <v>52.480000000000047</v>
      </c>
      <c r="T26" s="85">
        <f ca="1">(S26-R26)*BenchPF+R26*StarterPF</f>
        <v>11.011284111185136</v>
      </c>
      <c r="U26" s="85">
        <f ca="1">T26*Auction!$A$2</f>
        <v>11.011284111185136</v>
      </c>
      <c r="V26" s="6" t="str">
        <f>IF(OR(INDEX(Auction!$H$13:$H$656,MATCH(B26,Auction!$A$13:$A$656,0))&gt;0,IFERROR(INDEX(CheatSheet!$V$5:$V$64,MATCH(B26,CheatSheet!$S$5:$S$64,0)),"")&lt;&gt;""),"Yes","No")</f>
        <v>No</v>
      </c>
      <c r="W26" s="179"/>
      <c r="Y26" s="114">
        <f ca="1">IFERROR(SUMIFS($Z$3:$Z212,$Z$3:$Z$195,"&gt;0",$V$3:$V$195,"No")/SUMIF($Z$3:$Z$195,"&gt;0"),0)</f>
        <v>0</v>
      </c>
      <c r="Z26">
        <f t="shared" ca="1" si="2"/>
        <v>30.120000000000047</v>
      </c>
      <c r="AA26" s="116" t="str">
        <f t="shared" ca="1" si="1"/>
        <v>WR7</v>
      </c>
      <c r="AB26">
        <f ca="1">Z26*LeagueInfo!$H$5</f>
        <v>11.091037638329738</v>
      </c>
    </row>
    <row r="27" spans="1:28" ht="15.75" thickBot="1" x14ac:dyDescent="0.3">
      <c r="A27">
        <f>RANK(P27,P$3:P$213)</f>
        <v>25</v>
      </c>
      <c r="B27" t="str">
        <f>WR_Raw!A22</f>
        <v>Courtland Sutton</v>
      </c>
      <c r="C27" t="s">
        <v>35</v>
      </c>
      <c r="D27">
        <f>_xlfn.IFNA(INDEX(BYEs!$E$2:$E$411,MATCH(B27,BYEs!$D$2:$D$411,0)),"N/A")</f>
        <v>25</v>
      </c>
      <c r="E27">
        <f>INDEX(BYEs!$B$2:$B$34,MATCH(F27,BYEs!$A$2:$A$34,0))</f>
        <v>9</v>
      </c>
      <c r="F27" t="str">
        <f>WR_Raw!B22</f>
        <v>DEN</v>
      </c>
      <c r="G27" s="206">
        <v>0</v>
      </c>
      <c r="H27" s="207">
        <v>0</v>
      </c>
      <c r="I27" s="204">
        <f>WR_Raw!F22</f>
        <v>0.2</v>
      </c>
      <c r="J27" s="204">
        <f>WR_Raw!G22</f>
        <v>0.6</v>
      </c>
      <c r="K27" s="204">
        <f>WR_Raw!H22</f>
        <v>0</v>
      </c>
      <c r="L27" s="206">
        <f>WR_Raw!C22</f>
        <v>70.8</v>
      </c>
      <c r="M27" s="204">
        <f>WR_Raw!D22</f>
        <v>1004.2</v>
      </c>
      <c r="N27" s="207">
        <f>WR_Raw!E22</f>
        <v>6.8</v>
      </c>
      <c r="O27" s="204">
        <f>WR_Raw!I22</f>
        <v>0.5</v>
      </c>
      <c r="P27" s="208">
        <f>(J27*WRRushingYd)+(K27*WRRushingTD)+(L27*WRRec)+(M27*WRRecYd)+(N27*WRRecTD)+(O27*WRFuml)+(I27*WRRushAtt)</f>
        <v>175.68</v>
      </c>
      <c r="Q27" t="str">
        <f ca="1">IF(A27&lt;=WRStarters,"Starter",IF(A27&gt;WRStarters+WRBench,"Undrafted","Bench"))</f>
        <v>Starter</v>
      </c>
      <c r="R27">
        <f ca="1">IFERROR(MAX(P27-LARGE(WRSheetCount,WRStarters),0),0)</f>
        <v>7.3500000000000227</v>
      </c>
      <c r="S27">
        <f ca="1">IFERROR(IF(AllowNegative="Yes",P27-LARGE(WRSheetCount,WRCount),MAX(P27-LARGE(WRSheetCount,WRCount),0)),0)</f>
        <v>52.070000000000022</v>
      </c>
      <c r="T27" s="85">
        <f ca="1">(S27-R27)*BenchPF+R27*StarterPF</f>
        <v>10.857914933554675</v>
      </c>
      <c r="U27" s="85">
        <f ca="1">T27*Auction!$A$2</f>
        <v>10.857914933554675</v>
      </c>
      <c r="V27" s="6" t="str">
        <f>IF(OR(INDEX(Auction!$H$13:$H$656,MATCH(B27,Auction!$A$13:$A$656,0))&gt;0,IFERROR(INDEX(CheatSheet!$V$5:$V$64,MATCH(B27,CheatSheet!$S$5:$S$64,0)),"")&lt;&gt;""),"Yes","No")</f>
        <v>No</v>
      </c>
      <c r="W27" s="179"/>
      <c r="Y27" s="114">
        <f ca="1">IFERROR(SUMIFS($Z$3:$Z212,$Z$3:$Z$195,"&gt;0",$V$3:$V$195,"No")/SUMIF($Z$3:$Z$195,"&gt;0"),0)</f>
        <v>0</v>
      </c>
      <c r="Z27">
        <f t="shared" ca="1" si="2"/>
        <v>29.710000000000022</v>
      </c>
      <c r="AA27" s="116" t="str">
        <f t="shared" ca="1" si="1"/>
        <v>WR7</v>
      </c>
      <c r="AB27">
        <f ca="1">Z27*LeagueInfo!$H$5</f>
        <v>10.940064018418866</v>
      </c>
    </row>
    <row r="28" spans="1:28" ht="15.75" thickBot="1" x14ac:dyDescent="0.3">
      <c r="A28">
        <f>RANK(P28,P$3:P$213)</f>
        <v>26</v>
      </c>
      <c r="B28" t="str">
        <f>WR_Raw!A28</f>
        <v>Darnell Mooney</v>
      </c>
      <c r="C28" t="s">
        <v>35</v>
      </c>
      <c r="D28" t="str">
        <f>_xlfn.IFNA(INDEX(BYEs!$E$2:$E$411,MATCH(B28,BYEs!$D$2:$D$411,0)),"N/A")</f>
        <v>N/A</v>
      </c>
      <c r="E28">
        <f>INDEX(BYEs!$B$2:$B$34,MATCH(F28,BYEs!$A$2:$A$34,0))</f>
        <v>14</v>
      </c>
      <c r="F28" t="str">
        <f>WR_Raw!B28</f>
        <v>CHI</v>
      </c>
      <c r="G28" s="206">
        <v>0</v>
      </c>
      <c r="H28" s="207">
        <v>0</v>
      </c>
      <c r="I28" s="204">
        <f>WR_Raw!F28</f>
        <v>5</v>
      </c>
      <c r="J28" s="204">
        <f>WR_Raw!G28</f>
        <v>26.1</v>
      </c>
      <c r="K28" s="204">
        <f>WR_Raw!H28</f>
        <v>0.2</v>
      </c>
      <c r="L28" s="206">
        <f>WR_Raw!C28</f>
        <v>78.400000000000006</v>
      </c>
      <c r="M28" s="204">
        <f>WR_Raw!D28</f>
        <v>1035</v>
      </c>
      <c r="N28" s="207">
        <f>WR_Raw!E28</f>
        <v>4.8</v>
      </c>
      <c r="O28" s="204">
        <f>WR_Raw!I28</f>
        <v>0.5</v>
      </c>
      <c r="P28" s="208">
        <f>(J28*WRRushingYd)+(K28*WRRushingTD)+(L28*WRRec)+(M28*WRRecYd)+(N28*WRRecTD)+(O28*WRFuml)+(I28*WRRushAtt)</f>
        <v>174.31</v>
      </c>
      <c r="Q28" t="str">
        <f ca="1">IF(A28&lt;=WRStarters,"Starter",IF(A28&gt;WRStarters+WRBench,"Undrafted","Bench"))</f>
        <v>Starter</v>
      </c>
      <c r="R28">
        <f ca="1">IFERROR(MAX(P28-LARGE(WRSheetCount,WRStarters),0),0)</f>
        <v>5.9800000000000182</v>
      </c>
      <c r="S28">
        <f ca="1">IFERROR(IF(AllowNegative="Yes",P28-LARGE(WRSheetCount,WRCount),MAX(P28-LARGE(WRSheetCount,WRCount),0)),0)</f>
        <v>50.700000000000017</v>
      </c>
      <c r="T28" s="85">
        <f ca="1">(S28-R28)*BenchPF+R28*StarterPF</f>
        <v>10.345437437569993</v>
      </c>
      <c r="U28" s="85">
        <f ca="1">T28*Auction!$A$2</f>
        <v>10.345437437569993</v>
      </c>
      <c r="V28" s="6" t="str">
        <f>IF(OR(INDEX(Auction!$H$13:$H$656,MATCH(B28,Auction!$A$13:$A$656,0))&gt;0,IFERROR(INDEX(CheatSheet!$V$5:$V$64,MATCH(B28,CheatSheet!$S$5:$S$64,0)),"")&lt;&gt;""),"Yes","No")</f>
        <v>No</v>
      </c>
      <c r="W28" s="179"/>
      <c r="Y28" s="114">
        <f ca="1">IFERROR(SUMIFS($Z$3:$Z212,$Z$3:$Z$195,"&gt;0",$V$3:$V$195,"No")/SUMIF($Z$3:$Z$195,"&gt;0"),0)</f>
        <v>0</v>
      </c>
      <c r="Z28">
        <f t="shared" ca="1" si="2"/>
        <v>28.340000000000018</v>
      </c>
      <c r="AA28" s="116" t="str">
        <f t="shared" ca="1" si="1"/>
        <v>WR7</v>
      </c>
      <c r="AB28">
        <f ca="1">Z28*LeagueInfo!$H$5</f>
        <v>10.435591190911836</v>
      </c>
    </row>
    <row r="29" spans="1:28" ht="15.75" thickBot="1" x14ac:dyDescent="0.3">
      <c r="A29">
        <f>RANK(P29,P$3:P$213)</f>
        <v>27</v>
      </c>
      <c r="B29" t="str">
        <f>WR_Raw!A25</f>
        <v>Jerry Jeudy</v>
      </c>
      <c r="C29" t="s">
        <v>35</v>
      </c>
      <c r="D29" t="str">
        <f>_xlfn.IFNA(INDEX(BYEs!$E$2:$E$411,MATCH(B29,BYEs!$D$2:$D$411,0)),"N/A")</f>
        <v>N/A</v>
      </c>
      <c r="E29">
        <f>INDEX(BYEs!$B$2:$B$34,MATCH(F29,BYEs!$A$2:$A$34,0))</f>
        <v>9</v>
      </c>
      <c r="F29" t="str">
        <f>WR_Raw!B25</f>
        <v>DEN</v>
      </c>
      <c r="G29" s="206">
        <v>0</v>
      </c>
      <c r="H29" s="207">
        <v>0</v>
      </c>
      <c r="I29" s="204">
        <f>WR_Raw!F25</f>
        <v>1.2</v>
      </c>
      <c r="J29" s="204">
        <f>WR_Raw!G25</f>
        <v>5.5</v>
      </c>
      <c r="K29" s="204">
        <f>WR_Raw!H25</f>
        <v>0</v>
      </c>
      <c r="L29" s="206">
        <f>WR_Raw!C25</f>
        <v>75.3</v>
      </c>
      <c r="M29" s="204">
        <f>WR_Raw!D25</f>
        <v>1024.5999999999999</v>
      </c>
      <c r="N29" s="207">
        <f>WR_Raw!E25</f>
        <v>5.8</v>
      </c>
      <c r="O29" s="204">
        <f>WR_Raw!I25</f>
        <v>0.6</v>
      </c>
      <c r="P29" s="208">
        <f>(J29*WRRushingYd)+(K29*WRRushingTD)+(L29*WRRec)+(M29*WRRecYd)+(N29*WRRecTD)+(O29*WRFuml)+(I29*WRRushAtt)</f>
        <v>174.26</v>
      </c>
      <c r="Q29" t="str">
        <f ca="1">IF(A29&lt;=WRStarters,"Starter",IF(A29&gt;WRStarters+WRBench,"Undrafted","Bench"))</f>
        <v>Starter</v>
      </c>
      <c r="R29">
        <f ca="1">IFERROR(MAX(P29-LARGE(WRSheetCount,WRStarters),0),0)</f>
        <v>5.9300000000000068</v>
      </c>
      <c r="S29">
        <f ca="1">IFERROR(IF(AllowNegative="Yes",P29-LARGE(WRSheetCount,WRCount),MAX(P29-LARGE(WRSheetCount,WRCount),0)),0)</f>
        <v>50.650000000000006</v>
      </c>
      <c r="T29" s="85">
        <f ca="1">(S29-R29)*BenchPF+R29*StarterPF</f>
        <v>10.326733879322372</v>
      </c>
      <c r="U29" s="85">
        <f ca="1">T29*Auction!$A$2</f>
        <v>10.326733879322372</v>
      </c>
      <c r="V29" s="6" t="str">
        <f>IF(OR(INDEX(Auction!$H$13:$H$656,MATCH(B29,Auction!$A$13:$A$656,0))&gt;0,IFERROR(INDEX(CheatSheet!$V$5:$V$64,MATCH(B29,CheatSheet!$S$5:$S$64,0)),"")&lt;&gt;""),"Yes","No")</f>
        <v>No</v>
      </c>
      <c r="W29" s="179"/>
      <c r="Y29" s="114">
        <f ca="1">IFERROR(SUMIFS($Z$3:$Z212,$Z$3:$Z$195,"&gt;0",$V$3:$V$195,"No")/SUMIF($Z$3:$Z$195,"&gt;0"),0)</f>
        <v>0</v>
      </c>
      <c r="Z29">
        <f t="shared" ca="1" si="2"/>
        <v>28.290000000000006</v>
      </c>
      <c r="AA29" s="116" t="str">
        <f t="shared" ca="1" si="1"/>
        <v>WR7</v>
      </c>
      <c r="AB29">
        <f ca="1">Z29*LeagueInfo!$H$5</f>
        <v>10.417179773849531</v>
      </c>
    </row>
    <row r="30" spans="1:28" ht="15.75" thickBot="1" x14ac:dyDescent="0.3">
      <c r="A30">
        <f>RANK(P30,P$3:P$213)</f>
        <v>28</v>
      </c>
      <c r="B30" t="str">
        <f>WR_Raw!A30</f>
        <v>Chris Godwin</v>
      </c>
      <c r="C30" t="s">
        <v>35</v>
      </c>
      <c r="D30">
        <f>_xlfn.IFNA(INDEX(BYEs!$E$2:$E$411,MATCH(B30,BYEs!$D$2:$D$411,0)),"N/A")</f>
        <v>25</v>
      </c>
      <c r="E30">
        <f>INDEX(BYEs!$B$2:$B$34,MATCH(F30,BYEs!$A$2:$A$34,0))</f>
        <v>11</v>
      </c>
      <c r="F30" t="str">
        <f>WR_Raw!B30</f>
        <v>TB</v>
      </c>
      <c r="G30" s="206">
        <v>0</v>
      </c>
      <c r="H30" s="207">
        <v>0</v>
      </c>
      <c r="I30" s="204">
        <f>WR_Raw!F30</f>
        <v>2.2000000000000002</v>
      </c>
      <c r="J30" s="204">
        <f>WR_Raw!G30</f>
        <v>12.1</v>
      </c>
      <c r="K30" s="204">
        <f>WR_Raw!H30</f>
        <v>0.3</v>
      </c>
      <c r="L30" s="206">
        <f>WR_Raw!C30</f>
        <v>80.599999999999994</v>
      </c>
      <c r="M30" s="204">
        <f>WR_Raw!D30</f>
        <v>935.3</v>
      </c>
      <c r="N30" s="207">
        <f>WR_Raw!E30</f>
        <v>6.4</v>
      </c>
      <c r="O30" s="204">
        <f>WR_Raw!I30</f>
        <v>0.9</v>
      </c>
      <c r="P30" s="208">
        <f>(J30*WRRushingYd)+(K30*WRRushingTD)+(L30*WRRec)+(M30*WRRecYd)+(N30*WRRecTD)+(O30*WRFuml)+(I30*WRRushAtt)</f>
        <v>173.44</v>
      </c>
      <c r="Q30" t="str">
        <f ca="1">IF(A30&lt;=WRStarters,"Starter",IF(A30&gt;WRStarters+WRBench,"Undrafted","Bench"))</f>
        <v>Starter</v>
      </c>
      <c r="R30">
        <f ca="1">IFERROR(MAX(P30-LARGE(WRSheetCount,WRStarters),0),0)</f>
        <v>5.1100000000000136</v>
      </c>
      <c r="S30">
        <f ca="1">IFERROR(IF(AllowNegative="Yes",P30-LARGE(WRSheetCount,WRCount),MAX(P30-LARGE(WRSheetCount,WRCount),0)),0)</f>
        <v>49.830000000000013</v>
      </c>
      <c r="T30" s="85">
        <f ca="1">(S30-R30)*BenchPF+R30*StarterPF</f>
        <v>10.019995524061471</v>
      </c>
      <c r="U30" s="85">
        <f ca="1">T30*Auction!$A$2</f>
        <v>10.019995524061471</v>
      </c>
      <c r="V30" s="6" t="str">
        <f>IF(OR(INDEX(Auction!$H$13:$H$656,MATCH(B30,Auction!$A$13:$A$656,0))&gt;0,IFERROR(INDEX(CheatSheet!$V$5:$V$64,MATCH(B30,CheatSheet!$S$5:$S$64,0)),"")&lt;&gt;""),"Yes","No")</f>
        <v>No</v>
      </c>
      <c r="W30" s="179"/>
      <c r="Y30" s="114">
        <f ca="1">IFERROR(SUMIFS($Z$3:$Z212,$Z$3:$Z$195,"&gt;0",$V$3:$V$195,"No")/SUMIF($Z$3:$Z$195,"&gt;0"),0)</f>
        <v>0</v>
      </c>
      <c r="Z30">
        <f t="shared" ca="1" si="2"/>
        <v>27.470000000000013</v>
      </c>
      <c r="AA30" s="116" t="str">
        <f t="shared" ca="1" si="1"/>
        <v>WR7</v>
      </c>
      <c r="AB30">
        <f ca="1">Z30*LeagueInfo!$H$5</f>
        <v>10.115232534027808</v>
      </c>
    </row>
    <row r="31" spans="1:28" ht="15.75" thickBot="1" x14ac:dyDescent="0.3">
      <c r="A31">
        <f>RANK(P31,P$3:P$213)</f>
        <v>29</v>
      </c>
      <c r="B31" t="str">
        <f>WR_Raw!A31</f>
        <v>Tyler Lockett</v>
      </c>
      <c r="C31" t="s">
        <v>35</v>
      </c>
      <c r="D31">
        <f>_xlfn.IFNA(INDEX(BYEs!$E$2:$E$411,MATCH(B31,BYEs!$D$2:$D$411,0)),"N/A")</f>
        <v>28</v>
      </c>
      <c r="E31">
        <f>INDEX(BYEs!$B$2:$B$34,MATCH(F31,BYEs!$A$2:$A$34,0))</f>
        <v>11</v>
      </c>
      <c r="F31" t="str">
        <f>WR_Raw!B31</f>
        <v>SEA</v>
      </c>
      <c r="G31" s="206">
        <v>0</v>
      </c>
      <c r="H31" s="207">
        <v>0</v>
      </c>
      <c r="I31" s="204">
        <f>WR_Raw!F31</f>
        <v>2.1</v>
      </c>
      <c r="J31" s="204">
        <f>WR_Raw!G31</f>
        <v>11.9</v>
      </c>
      <c r="K31" s="204">
        <f>WR_Raw!H31</f>
        <v>0.1</v>
      </c>
      <c r="L31" s="206">
        <f>WR_Raw!C31</f>
        <v>73.7</v>
      </c>
      <c r="M31" s="204">
        <f>WR_Raw!D31</f>
        <v>982.3</v>
      </c>
      <c r="N31" s="207">
        <f>WR_Raw!E31</f>
        <v>5.6</v>
      </c>
      <c r="O31" s="204">
        <f>WR_Raw!I31</f>
        <v>0.5</v>
      </c>
      <c r="P31" s="208">
        <f>(J31*WRRushingYd)+(K31*WRRushingTD)+(L31*WRRec)+(M31*WRRecYd)+(N31*WRRecTD)+(O31*WRFuml)+(I31*WRRushAtt)</f>
        <v>169.47</v>
      </c>
      <c r="Q31" t="str">
        <f ca="1">IF(A31&lt;=WRStarters,"Starter",IF(A31&gt;WRStarters+WRBench,"Undrafted","Bench"))</f>
        <v>Starter</v>
      </c>
      <c r="R31">
        <f ca="1">IFERROR(MAX(P31-LARGE(WRSheetCount,WRStarters),0),0)</f>
        <v>1.1400000000000148</v>
      </c>
      <c r="S31">
        <f ca="1">IFERROR(IF(AllowNegative="Yes",P31-LARGE(WRSheetCount,WRCount),MAX(P31-LARGE(WRSheetCount,WRCount),0)),0)</f>
        <v>45.860000000000014</v>
      </c>
      <c r="T31" s="85">
        <f ca="1">(S31-R31)*BenchPF+R31*StarterPF</f>
        <v>8.534932999200759</v>
      </c>
      <c r="U31" s="85">
        <f ca="1">T31*Auction!$A$2</f>
        <v>8.534932999200759</v>
      </c>
      <c r="V31" s="6" t="str">
        <f>IF(OR(INDEX(Auction!$H$13:$H$656,MATCH(B31,Auction!$A$13:$A$656,0))&gt;0,IFERROR(INDEX(CheatSheet!$V$5:$V$64,MATCH(B31,CheatSheet!$S$5:$S$64,0)),"")&lt;&gt;""),"Yes","No")</f>
        <v>No</v>
      </c>
      <c r="W31" s="179"/>
      <c r="Y31" s="114">
        <f ca="1">IFERROR(SUMIFS($Z$3:$Z212,$Z$3:$Z$195,"&gt;0",$V$3:$V$195,"No")/SUMIF($Z$3:$Z$195,"&gt;0"),0)</f>
        <v>0</v>
      </c>
      <c r="Z31">
        <f t="shared" ca="1" si="2"/>
        <v>23.500000000000014</v>
      </c>
      <c r="AA31" s="116" t="str">
        <f t="shared" ca="1" si="1"/>
        <v>WR7</v>
      </c>
      <c r="AB31">
        <f ca="1">Z31*LeagueInfo!$H$5</f>
        <v>8.6533660192811617</v>
      </c>
    </row>
    <row r="32" spans="1:28" ht="15.75" thickBot="1" x14ac:dyDescent="0.3">
      <c r="A32">
        <f>RANK(P32,P$3:P$213)</f>
        <v>30</v>
      </c>
      <c r="B32" t="str">
        <f>WR_Raw!A29</f>
        <v>Elijah Moore</v>
      </c>
      <c r="C32" t="s">
        <v>35</v>
      </c>
      <c r="D32" t="str">
        <f>_xlfn.IFNA(INDEX(BYEs!$E$2:$E$411,MATCH(B32,BYEs!$D$2:$D$411,0)),"N/A")</f>
        <v>N/A</v>
      </c>
      <c r="E32">
        <f>INDEX(BYEs!$B$2:$B$34,MATCH(F32,BYEs!$A$2:$A$34,0))</f>
        <v>10</v>
      </c>
      <c r="F32" t="str">
        <f>WR_Raw!B29</f>
        <v>NYJ</v>
      </c>
      <c r="G32" s="206">
        <v>0</v>
      </c>
      <c r="H32" s="207">
        <v>0</v>
      </c>
      <c r="I32" s="204">
        <f>WR_Raw!F29</f>
        <v>6.2</v>
      </c>
      <c r="J32" s="204">
        <f>WR_Raw!G29</f>
        <v>50.8</v>
      </c>
      <c r="K32" s="204">
        <f>WR_Raw!H29</f>
        <v>0.5</v>
      </c>
      <c r="L32" s="206">
        <f>WR_Raw!C29</f>
        <v>70.2</v>
      </c>
      <c r="M32" s="204">
        <f>WR_Raw!D29</f>
        <v>908.8</v>
      </c>
      <c r="N32" s="207">
        <f>WR_Raw!E29</f>
        <v>6</v>
      </c>
      <c r="O32" s="204">
        <f>WR_Raw!I29</f>
        <v>0.5</v>
      </c>
      <c r="P32" s="208">
        <f>(J32*WRRushingYd)+(K32*WRRushingTD)+(L32*WRRec)+(M32*WRRecYd)+(N32*WRRecTD)+(O32*WRFuml)+(I32*WRRushAtt)</f>
        <v>169.06</v>
      </c>
      <c r="Q32" t="str">
        <f ca="1">IF(A32&lt;=WRStarters,"Starter",IF(A32&gt;WRStarters+WRBench,"Undrafted","Bench"))</f>
        <v>Starter</v>
      </c>
      <c r="R32">
        <f ca="1">IFERROR(MAX(P32-LARGE(WRSheetCount,WRStarters),0),0)</f>
        <v>0.73000000000001819</v>
      </c>
      <c r="S32">
        <f ca="1">IFERROR(IF(AllowNegative="Yes",P32-LARGE(WRSheetCount,WRCount),MAX(P32-LARGE(WRSheetCount,WRCount),0)),0)</f>
        <v>45.450000000000017</v>
      </c>
      <c r="T32" s="85">
        <f ca="1">(S32-R32)*BenchPF+R32*StarterPF</f>
        <v>8.3815638215703085</v>
      </c>
      <c r="U32" s="85">
        <f ca="1">T32*Auction!$A$2</f>
        <v>8.3815638215703085</v>
      </c>
      <c r="V32" s="6" t="str">
        <f>IF(OR(INDEX(Auction!$H$13:$H$656,MATCH(B32,Auction!$A$13:$A$656,0))&gt;0,IFERROR(INDEX(CheatSheet!$V$5:$V$64,MATCH(B32,CheatSheet!$S$5:$S$64,0)),"")&lt;&gt;""),"Yes","No")</f>
        <v>No</v>
      </c>
      <c r="W32" s="179"/>
      <c r="Y32" s="114">
        <f ca="1">IFERROR(SUMIFS($Z$3:$Z212,$Z$3:$Z$195,"&gt;0",$V$3:$V$195,"No")/SUMIF($Z$3:$Z$195,"&gt;0"),0)</f>
        <v>0</v>
      </c>
      <c r="Z32">
        <f t="shared" ca="1" si="2"/>
        <v>23.090000000000018</v>
      </c>
      <c r="AA32" s="116" t="str">
        <f t="shared" ca="1" si="1"/>
        <v>WR7</v>
      </c>
      <c r="AB32">
        <f ca="1">Z32*LeagueInfo!$H$5</f>
        <v>8.5023923993703008</v>
      </c>
    </row>
    <row r="33" spans="1:28" ht="15.75" thickBot="1" x14ac:dyDescent="0.3">
      <c r="A33">
        <f>RANK(P33,P$3:P$213)</f>
        <v>31</v>
      </c>
      <c r="B33" t="str">
        <f>WR_Raw!A36</f>
        <v>Hunter Renfrow</v>
      </c>
      <c r="C33" t="s">
        <v>35</v>
      </c>
      <c r="D33">
        <f>_xlfn.IFNA(INDEX(BYEs!$E$2:$E$411,MATCH(B33,BYEs!$D$2:$D$411,0)),"N/A")</f>
        <v>25</v>
      </c>
      <c r="E33">
        <f>INDEX(BYEs!$B$2:$B$34,MATCH(F33,BYEs!$A$2:$A$34,0))</f>
        <v>6</v>
      </c>
      <c r="F33" t="str">
        <f>WR_Raw!B36</f>
        <v>LV</v>
      </c>
      <c r="G33" s="206">
        <v>0</v>
      </c>
      <c r="H33" s="207">
        <v>0</v>
      </c>
      <c r="I33" s="204">
        <f>WR_Raw!F36</f>
        <v>1.2</v>
      </c>
      <c r="J33" s="204">
        <f>WR_Raw!G36</f>
        <v>5</v>
      </c>
      <c r="K33" s="204">
        <f>WR_Raw!H36</f>
        <v>0</v>
      </c>
      <c r="L33" s="206">
        <f>WR_Raw!C36</f>
        <v>83.4</v>
      </c>
      <c r="M33" s="204">
        <f>WR_Raw!D36</f>
        <v>891.3</v>
      </c>
      <c r="N33" s="207">
        <f>WR_Raw!E36</f>
        <v>6.4</v>
      </c>
      <c r="O33" s="204">
        <f>WR_Raw!I36</f>
        <v>0.7</v>
      </c>
      <c r="P33" s="208">
        <f>(J33*WRRushingYd)+(K33*WRRushingTD)+(L33*WRRec)+(M33*WRRecYd)+(N33*WRRecTD)+(O33*WRFuml)+(I33*WRRushAtt)</f>
        <v>168.32999999999998</v>
      </c>
      <c r="Q33" t="str">
        <f ca="1">IF(A33&lt;=WRStarters,"Starter",IF(A33&gt;WRStarters+WRBench,"Undrafted","Bench"))</f>
        <v>Starter</v>
      </c>
      <c r="R33">
        <f ca="1">IFERROR(MAX(P33-LARGE(WRSheetCount,WRStarters),0),0)</f>
        <v>0</v>
      </c>
      <c r="S33">
        <f ca="1">IFERROR(IF(AllowNegative="Yes",P33-LARGE(WRSheetCount,WRCount),MAX(P33-LARGE(WRSheetCount,WRCount),0)),0)</f>
        <v>44.72</v>
      </c>
      <c r="T33" s="85">
        <f ca="1">(S33-R33)*BenchPF+R33*StarterPF</f>
        <v>8.1084918711551079</v>
      </c>
      <c r="U33" s="85">
        <f ca="1">T33*Auction!$A$2</f>
        <v>8.1084918711551079</v>
      </c>
      <c r="V33" s="6" t="str">
        <f>IF(OR(INDEX(Auction!$H$13:$H$656,MATCH(B33,Auction!$A$13:$A$656,0))&gt;0,IFERROR(INDEX(CheatSheet!$V$5:$V$64,MATCH(B33,CheatSheet!$S$5:$S$64,0)),"")&lt;&gt;""),"Yes","No")</f>
        <v>No</v>
      </c>
      <c r="W33" s="179"/>
      <c r="Y33" s="114">
        <f ca="1">IFERROR(SUMIFS($Z$3:$Z212,$Z$3:$Z$195,"&gt;0",$V$3:$V$195,"No")/SUMIF($Z$3:$Z$195,"&gt;0"),0)</f>
        <v>0</v>
      </c>
      <c r="Z33">
        <f t="shared" ca="1" si="2"/>
        <v>22.36</v>
      </c>
      <c r="AA33" s="116" t="str">
        <f t="shared" ca="1" si="1"/>
        <v>WR7</v>
      </c>
      <c r="AB33">
        <f ca="1">Z33*LeagueInfo!$H$5</f>
        <v>8.2335857102607086</v>
      </c>
    </row>
    <row r="34" spans="1:28" ht="15.75" thickBot="1" x14ac:dyDescent="0.3">
      <c r="A34">
        <f>RANK(P34,P$3:P$213)</f>
        <v>32</v>
      </c>
      <c r="B34" t="str">
        <f>WR_Raw!A35</f>
        <v>JuJu Smith-Schuster</v>
      </c>
      <c r="C34" t="s">
        <v>35</v>
      </c>
      <c r="D34">
        <f>_xlfn.IFNA(INDEX(BYEs!$E$2:$E$411,MATCH(B34,BYEs!$D$2:$D$411,0)),"N/A")</f>
        <v>24</v>
      </c>
      <c r="E34">
        <f>INDEX(BYEs!$B$2:$B$34,MATCH(F34,BYEs!$A$2:$A$34,0))</f>
        <v>8</v>
      </c>
      <c r="F34" t="str">
        <f>WR_Raw!B35</f>
        <v>KC</v>
      </c>
      <c r="G34" s="206">
        <v>0</v>
      </c>
      <c r="H34" s="207">
        <v>0</v>
      </c>
      <c r="I34" s="204">
        <f>WR_Raw!F35</f>
        <v>2.2999999999999998</v>
      </c>
      <c r="J34" s="204">
        <f>WR_Raw!G35</f>
        <v>11.5</v>
      </c>
      <c r="K34" s="204">
        <f>WR_Raw!H35</f>
        <v>0.5</v>
      </c>
      <c r="L34" s="206">
        <f>WR_Raw!C35</f>
        <v>78.2</v>
      </c>
      <c r="M34" s="204">
        <f>WR_Raw!D35</f>
        <v>849.3</v>
      </c>
      <c r="N34" s="207">
        <f>WR_Raw!E35</f>
        <v>6.6</v>
      </c>
      <c r="O34" s="204">
        <f>WR_Raw!I35</f>
        <v>0.5</v>
      </c>
      <c r="P34" s="208">
        <f>(J34*WRRushingYd)+(K34*WRRushingTD)+(L34*WRRec)+(M34*WRRecYd)+(N34*WRRecTD)+(O34*WRFuml)+(I34*WRRushAtt)</f>
        <v>166.78</v>
      </c>
      <c r="Q34" t="str">
        <f ca="1">IF(A34&lt;=WRStarters,"Starter",IF(A34&gt;WRStarters+WRBench,"Undrafted","Bench"))</f>
        <v>Bench</v>
      </c>
      <c r="R34">
        <f ca="1">IFERROR(MAX(P34-LARGE(WRSheetCount,WRStarters),0),0)</f>
        <v>0</v>
      </c>
      <c r="S34">
        <f ca="1">IFERROR(IF(AllowNegative="Yes",P34-LARGE(WRSheetCount,WRCount),MAX(P34-LARGE(WRSheetCount,WRCount),0)),0)</f>
        <v>43.170000000000016</v>
      </c>
      <c r="T34" s="85">
        <f ca="1">(S34-R34)*BenchPF+R34*StarterPF</f>
        <v>7.8274506725797446</v>
      </c>
      <c r="U34" s="85">
        <f ca="1">T34*Auction!$A$2</f>
        <v>7.8274506725797446</v>
      </c>
      <c r="V34" s="6" t="str">
        <f>IF(OR(INDEX(Auction!$H$13:$H$656,MATCH(B34,Auction!$A$13:$A$656,0))&gt;0,IFERROR(INDEX(CheatSheet!$V$5:$V$64,MATCH(B34,CheatSheet!$S$5:$S$64,0)),"")&lt;&gt;""),"Yes","No")</f>
        <v>No</v>
      </c>
      <c r="W34" s="179"/>
      <c r="Y34" s="114">
        <f ca="1">IFERROR(SUMIFS($Z$3:$Z212,$Z$3:$Z$195,"&gt;0",$V$3:$V$195,"No")/SUMIF($Z$3:$Z$195,"&gt;0"),0)</f>
        <v>0</v>
      </c>
      <c r="Z34">
        <f t="shared" ca="1" si="2"/>
        <v>21.585000000000008</v>
      </c>
      <c r="AA34" s="116" t="str">
        <f t="shared" ca="1" si="1"/>
        <v>WR8</v>
      </c>
      <c r="AB34">
        <f ca="1">Z34*LeagueInfo!$H$5</f>
        <v>7.948208745795057</v>
      </c>
    </row>
    <row r="35" spans="1:28" ht="15.75" thickBot="1" x14ac:dyDescent="0.3">
      <c r="A35">
        <f>RANK(P35,P$3:P$213)</f>
        <v>33</v>
      </c>
      <c r="B35" t="str">
        <f>WR_Raw!A33</f>
        <v>Allen Robinson II</v>
      </c>
      <c r="C35" t="s">
        <v>35</v>
      </c>
      <c r="D35" t="str">
        <f>_xlfn.IFNA(INDEX(BYEs!$E$2:$E$411,MATCH(B35,BYEs!$D$2:$D$411,0)),"N/A")</f>
        <v>N/A</v>
      </c>
      <c r="E35">
        <f>INDEX(BYEs!$B$2:$B$34,MATCH(F35,BYEs!$A$2:$A$34,0))</f>
        <v>7</v>
      </c>
      <c r="F35" t="str">
        <f>WR_Raw!B33</f>
        <v>LAR</v>
      </c>
      <c r="G35" s="206">
        <v>0</v>
      </c>
      <c r="H35" s="207">
        <v>0</v>
      </c>
      <c r="I35" s="204">
        <f>WR_Raw!F33</f>
        <v>0</v>
      </c>
      <c r="J35" s="204">
        <f>WR_Raw!G33</f>
        <v>0</v>
      </c>
      <c r="K35" s="204">
        <f>WR_Raw!H33</f>
        <v>0</v>
      </c>
      <c r="L35" s="206">
        <f>WR_Raw!C33</f>
        <v>75.7</v>
      </c>
      <c r="M35" s="204">
        <f>WR_Raw!D33</f>
        <v>924.7</v>
      </c>
      <c r="N35" s="207">
        <f>WR_Raw!E33</f>
        <v>6.1</v>
      </c>
      <c r="O35" s="204">
        <f>WR_Raw!I33</f>
        <v>0.5</v>
      </c>
      <c r="P35" s="208">
        <f>(J35*WRRushingYd)+(K35*WRRushingTD)+(L35*WRRec)+(M35*WRRecYd)+(N35*WRRecTD)+(O35*WRFuml)+(I35*WRRushAtt)</f>
        <v>165.92000000000002</v>
      </c>
      <c r="Q35" t="str">
        <f ca="1">IF(A35&lt;=WRStarters,"Starter",IF(A35&gt;WRStarters+WRBench,"Undrafted","Bench"))</f>
        <v>Bench</v>
      </c>
      <c r="R35">
        <f ca="1">IFERROR(MAX(P35-LARGE(WRSheetCount,WRStarters),0),0)</f>
        <v>0</v>
      </c>
      <c r="S35">
        <f ca="1">IFERROR(IF(AllowNegative="Yes",P35-LARGE(WRSheetCount,WRCount),MAX(P35-LARGE(WRSheetCount,WRCount),0)),0)</f>
        <v>42.310000000000031</v>
      </c>
      <c r="T35" s="85">
        <f ca="1">(S35-R35)*BenchPF+R35*StarterPF</f>
        <v>7.6715181365959957</v>
      </c>
      <c r="U35" s="85">
        <f ca="1">T35*Auction!$A$2</f>
        <v>7.6715181365959957</v>
      </c>
      <c r="V35" s="6" t="str">
        <f>IF(OR(INDEX(Auction!$H$13:$H$656,MATCH(B35,Auction!$A$13:$A$656,0))&gt;0,IFERROR(INDEX(CheatSheet!$V$5:$V$64,MATCH(B35,CheatSheet!$S$5:$S$64,0)),"")&lt;&gt;""),"Yes","No")</f>
        <v>No</v>
      </c>
      <c r="W35" s="179"/>
      <c r="Y35" s="114">
        <f ca="1">IFERROR(SUMIFS($Z$3:$Z212,$Z$3:$Z$195,"&gt;0",$V$3:$V$195,"No")/SUMIF($Z$3:$Z$195,"&gt;0"),0)</f>
        <v>0</v>
      </c>
      <c r="Z35">
        <f t="shared" ca="1" si="2"/>
        <v>21.155000000000015</v>
      </c>
      <c r="AA35" s="116" t="str">
        <f t="shared" ca="1" si="1"/>
        <v>WR8</v>
      </c>
      <c r="AB35">
        <f ca="1">Z35*LeagueInfo!$H$5</f>
        <v>7.7898705590592767</v>
      </c>
    </row>
    <row r="36" spans="1:28" ht="15.75" thickBot="1" x14ac:dyDescent="0.3">
      <c r="A36">
        <f>RANK(P36,P$3:P$213)</f>
        <v>34</v>
      </c>
      <c r="B36" t="str">
        <f>WR_Raw!A32</f>
        <v>Adam Thielen</v>
      </c>
      <c r="C36" t="s">
        <v>35</v>
      </c>
      <c r="D36">
        <f>_xlfn.IFNA(INDEX(BYEs!$E$2:$E$411,MATCH(B36,BYEs!$D$2:$D$411,0)),"N/A")</f>
        <v>30</v>
      </c>
      <c r="E36">
        <f>INDEX(BYEs!$B$2:$B$34,MATCH(F36,BYEs!$A$2:$A$34,0))</f>
        <v>7</v>
      </c>
      <c r="F36" t="str">
        <f>WR_Raw!B32</f>
        <v>MIN</v>
      </c>
      <c r="G36" s="206">
        <v>0</v>
      </c>
      <c r="H36" s="207">
        <v>0</v>
      </c>
      <c r="I36" s="204">
        <f>WR_Raw!F32</f>
        <v>0.4</v>
      </c>
      <c r="J36" s="204">
        <f>WR_Raw!G32</f>
        <v>1.2</v>
      </c>
      <c r="K36" s="204">
        <f>WR_Raw!H32</f>
        <v>0</v>
      </c>
      <c r="L36" s="206">
        <f>WR_Raw!C32</f>
        <v>73.599999999999994</v>
      </c>
      <c r="M36" s="204">
        <f>WR_Raw!D32</f>
        <v>831.6</v>
      </c>
      <c r="N36" s="207">
        <f>WR_Raw!E32</f>
        <v>7.8</v>
      </c>
      <c r="O36" s="204">
        <f>WR_Raw!I32</f>
        <v>0.5</v>
      </c>
      <c r="P36" s="208">
        <f>(J36*WRRushingYd)+(K36*WRRushingTD)+(L36*WRRec)+(M36*WRRecYd)+(N36*WRRecTD)+(O36*WRFuml)+(I36*WRRushAtt)</f>
        <v>165.88</v>
      </c>
      <c r="Q36" t="str">
        <f ca="1">IF(A36&lt;=WRStarters,"Starter",IF(A36&gt;WRStarters+WRBench,"Undrafted","Bench"))</f>
        <v>Bench</v>
      </c>
      <c r="R36">
        <f ca="1">IFERROR(MAX(P36-LARGE(WRSheetCount,WRStarters),0),0)</f>
        <v>0</v>
      </c>
      <c r="S36">
        <f ca="1">IFERROR(IF(AllowNegative="Yes",P36-LARGE(WRSheetCount,WRCount),MAX(P36-LARGE(WRSheetCount,WRCount),0)),0)</f>
        <v>42.27000000000001</v>
      </c>
      <c r="T36" s="85">
        <f ca="1">(S36-R36)*BenchPF+R36*StarterPF</f>
        <v>7.6642654605037244</v>
      </c>
      <c r="U36" s="85">
        <f ca="1">T36*Auction!$A$2</f>
        <v>7.6642654605037244</v>
      </c>
      <c r="V36" s="6" t="str">
        <f>IF(OR(INDEX(Auction!$H$13:$H$656,MATCH(B36,Auction!$A$13:$A$656,0))&gt;0,IFERROR(INDEX(CheatSheet!$V$5:$V$64,MATCH(B36,CheatSheet!$S$5:$S$64,0)),"")&lt;&gt;""),"Yes","No")</f>
        <v>No</v>
      </c>
      <c r="W36" s="179"/>
      <c r="Y36" s="114">
        <f ca="1">IFERROR(SUMIFS($Z$3:$Z212,$Z$3:$Z$195,"&gt;0",$V$3:$V$195,"No")/SUMIF($Z$3:$Z$195,"&gt;0"),0)</f>
        <v>0</v>
      </c>
      <c r="Z36">
        <f t="shared" ca="1" si="2"/>
        <v>21.135000000000005</v>
      </c>
      <c r="AA36" s="116" t="str">
        <f t="shared" ca="1" si="1"/>
        <v>WR8</v>
      </c>
      <c r="AB36">
        <f ca="1">Z36*LeagueInfo!$H$5</f>
        <v>7.7825059922343529</v>
      </c>
    </row>
    <row r="37" spans="1:28" ht="15.75" thickBot="1" x14ac:dyDescent="0.3">
      <c r="A37">
        <f>RANK(P37,P$3:P$213)</f>
        <v>35</v>
      </c>
      <c r="B37" t="str">
        <f>WR_Raw!A34</f>
        <v>Amari Cooper</v>
      </c>
      <c r="C37" t="s">
        <v>35</v>
      </c>
      <c r="D37">
        <f>_xlfn.IFNA(INDEX(BYEs!$E$2:$E$411,MATCH(B37,BYEs!$D$2:$D$411,0)),"N/A")</f>
        <v>27</v>
      </c>
      <c r="E37">
        <f>INDEX(BYEs!$B$2:$B$34,MATCH(F37,BYEs!$A$2:$A$34,0))</f>
        <v>9</v>
      </c>
      <c r="F37" t="str">
        <f>WR_Raw!B34</f>
        <v>CLE</v>
      </c>
      <c r="G37" s="206">
        <v>0</v>
      </c>
      <c r="H37" s="207">
        <v>0</v>
      </c>
      <c r="I37" s="204">
        <f>WR_Raw!F34</f>
        <v>0.2</v>
      </c>
      <c r="J37" s="204">
        <f>WR_Raw!G34</f>
        <v>0.6</v>
      </c>
      <c r="K37" s="204">
        <f>WR_Raw!H34</f>
        <v>0</v>
      </c>
      <c r="L37" s="206">
        <f>WR_Raw!C34</f>
        <v>75.2</v>
      </c>
      <c r="M37" s="204">
        <f>WR_Raw!D34</f>
        <v>943.4</v>
      </c>
      <c r="N37" s="207">
        <f>WR_Raw!E34</f>
        <v>5.7</v>
      </c>
      <c r="O37" s="204">
        <f>WR_Raw!I34</f>
        <v>0.5</v>
      </c>
      <c r="P37" s="208">
        <f>(J37*WRRushingYd)+(K37*WRRushingTD)+(L37*WRRec)+(M37*WRRecYd)+(N37*WRRecTD)+(O37*WRFuml)+(I37*WRRushAtt)</f>
        <v>165.2</v>
      </c>
      <c r="Q37" t="str">
        <f ca="1">IF(A37&lt;=WRStarters,"Starter",IF(A37&gt;WRStarters+WRBench,"Undrafted","Bench"))</f>
        <v>Bench</v>
      </c>
      <c r="R37">
        <f ca="1">IFERROR(MAX(P37-LARGE(WRSheetCount,WRStarters),0),0)</f>
        <v>0</v>
      </c>
      <c r="S37">
        <f ca="1">IFERROR(IF(AllowNegative="Yes",P37-LARGE(WRSheetCount,WRCount),MAX(P37-LARGE(WRSheetCount,WRCount),0)),0)</f>
        <v>41.59</v>
      </c>
      <c r="T37" s="85">
        <f ca="1">(S37-R37)*BenchPF+R37*StarterPF</f>
        <v>7.5409699669351742</v>
      </c>
      <c r="U37" s="85">
        <f ca="1">T37*Auction!$A$2</f>
        <v>7.5409699669351742</v>
      </c>
      <c r="V37" s="6" t="str">
        <f>IF(OR(INDEX(Auction!$H$13:$H$656,MATCH(B37,Auction!$A$13:$A$656,0))&gt;0,IFERROR(INDEX(CheatSheet!$V$5:$V$64,MATCH(B37,CheatSheet!$S$5:$S$64,0)),"")&lt;&gt;""),"Yes","No")</f>
        <v>No</v>
      </c>
      <c r="W37" s="179"/>
      <c r="Y37" s="114">
        <f ca="1">IFERROR(SUMIFS($Z$3:$Z212,$Z$3:$Z$195,"&gt;0",$V$3:$V$195,"No")/SUMIF($Z$3:$Z$195,"&gt;0"),0)</f>
        <v>0</v>
      </c>
      <c r="Z37">
        <f t="shared" ca="1" si="2"/>
        <v>20.795000000000002</v>
      </c>
      <c r="AA37" s="116" t="str">
        <f t="shared" ca="1" si="1"/>
        <v>WR8</v>
      </c>
      <c r="AB37">
        <f ca="1">Z37*LeagueInfo!$H$5</f>
        <v>7.6573083562107094</v>
      </c>
    </row>
    <row r="38" spans="1:28" ht="15.75" thickBot="1" x14ac:dyDescent="0.3">
      <c r="A38">
        <f>RANK(P38,P$3:P$213)</f>
        <v>36</v>
      </c>
      <c r="B38" t="str">
        <f>WR_Raw!A37</f>
        <v>Robert Woods</v>
      </c>
      <c r="C38" t="s">
        <v>35</v>
      </c>
      <c r="D38">
        <f>_xlfn.IFNA(INDEX(BYEs!$E$2:$E$411,MATCH(B38,BYEs!$D$2:$D$411,0)),"N/A")</f>
        <v>29</v>
      </c>
      <c r="E38">
        <f>INDEX(BYEs!$B$2:$B$34,MATCH(F38,BYEs!$A$2:$A$34,0))</f>
        <v>6</v>
      </c>
      <c r="F38" t="str">
        <f>WR_Raw!B37</f>
        <v>TEN</v>
      </c>
      <c r="G38" s="206">
        <v>0</v>
      </c>
      <c r="H38" s="207">
        <v>0</v>
      </c>
      <c r="I38" s="204">
        <f>WR_Raw!F37</f>
        <v>8.9</v>
      </c>
      <c r="J38" s="204">
        <f>WR_Raw!G37</f>
        <v>61.2</v>
      </c>
      <c r="K38" s="204">
        <f>WR_Raw!H37</f>
        <v>0.7</v>
      </c>
      <c r="L38" s="206">
        <f>WR_Raw!C37</f>
        <v>73.7</v>
      </c>
      <c r="M38" s="204">
        <f>WR_Raw!D37</f>
        <v>874.2</v>
      </c>
      <c r="N38" s="207">
        <f>WR_Raw!E37</f>
        <v>5</v>
      </c>
      <c r="O38" s="204">
        <f>WR_Raw!I37</f>
        <v>0.5</v>
      </c>
      <c r="P38" s="208">
        <f>(J38*WRRushingYd)+(K38*WRRushingTD)+(L38*WRRec)+(M38*WRRecYd)+(N38*WRRecTD)+(O38*WRFuml)+(I38*WRRushAtt)</f>
        <v>163.59000000000003</v>
      </c>
      <c r="Q38" t="str">
        <f ca="1">IF(A38&lt;=WRStarters,"Starter",IF(A38&gt;WRStarters+WRBench,"Undrafted","Bench"))</f>
        <v>Bench</v>
      </c>
      <c r="R38">
        <f ca="1">IFERROR(MAX(P38-LARGE(WRSheetCount,WRStarters),0),0)</f>
        <v>0</v>
      </c>
      <c r="S38">
        <f ca="1">IFERROR(IF(AllowNegative="Yes",P38-LARGE(WRSheetCount,WRCount),MAX(P38-LARGE(WRSheetCount,WRCount),0)),0)</f>
        <v>39.980000000000047</v>
      </c>
      <c r="T38" s="85">
        <f ca="1">(S38-R38)*BenchPF+R38*StarterPF</f>
        <v>7.2490497542214136</v>
      </c>
      <c r="U38" s="85">
        <f ca="1">T38*Auction!$A$2</f>
        <v>7.2490497542214136</v>
      </c>
      <c r="V38" s="6" t="str">
        <f>IF(OR(INDEX(Auction!$H$13:$H$656,MATCH(B38,Auction!$A$13:$A$656,0))&gt;0,IFERROR(INDEX(CheatSheet!$V$5:$V$64,MATCH(B38,CheatSheet!$S$5:$S$64,0)),"")&lt;&gt;""),"Yes","No")</f>
        <v>No</v>
      </c>
      <c r="W38" s="179"/>
      <c r="Y38" s="114">
        <f ca="1">IFERROR(SUMIFS($Z$3:$Z212,$Z$3:$Z$195,"&gt;0",$V$3:$V$195,"No")/SUMIF($Z$3:$Z$195,"&gt;0"),0)</f>
        <v>0</v>
      </c>
      <c r="Z38">
        <f t="shared" ca="1" si="2"/>
        <v>19.990000000000023</v>
      </c>
      <c r="AA38" s="116" t="str">
        <f t="shared" ca="1" si="1"/>
        <v>WR8</v>
      </c>
      <c r="AB38">
        <f ca="1">Z38*LeagueInfo!$H$5</f>
        <v>7.3608845415076818</v>
      </c>
    </row>
    <row r="39" spans="1:28" ht="15.75" thickBot="1" x14ac:dyDescent="0.3">
      <c r="A39">
        <f>RANK(P39,P$3:P$213)</f>
        <v>37</v>
      </c>
      <c r="B39" t="str">
        <f>WR_Raw!A38</f>
        <v>Rashod Bateman</v>
      </c>
      <c r="C39" t="s">
        <v>35</v>
      </c>
      <c r="D39" t="str">
        <f>_xlfn.IFNA(INDEX(BYEs!$E$2:$E$411,MATCH(B39,BYEs!$D$2:$D$411,0)),"N/A")</f>
        <v>N/A</v>
      </c>
      <c r="E39">
        <f>INDEX(BYEs!$B$2:$B$34,MATCH(F39,BYEs!$A$2:$A$34,0))</f>
        <v>10</v>
      </c>
      <c r="F39" t="str">
        <f>WR_Raw!B38</f>
        <v>BAL</v>
      </c>
      <c r="G39" s="206">
        <v>0</v>
      </c>
      <c r="H39" s="207">
        <v>0</v>
      </c>
      <c r="I39" s="204">
        <f>WR_Raw!F38</f>
        <v>0.2</v>
      </c>
      <c r="J39" s="204">
        <f>WR_Raw!G38</f>
        <v>2.2000000000000002</v>
      </c>
      <c r="K39" s="204">
        <f>WR_Raw!H38</f>
        <v>0</v>
      </c>
      <c r="L39" s="206">
        <f>WR_Raw!C38</f>
        <v>74.3</v>
      </c>
      <c r="M39" s="204">
        <f>WR_Raw!D38</f>
        <v>940.2</v>
      </c>
      <c r="N39" s="207">
        <f>WR_Raw!E38</f>
        <v>5.2</v>
      </c>
      <c r="O39" s="204">
        <f>WR_Raw!I38</f>
        <v>0.5</v>
      </c>
      <c r="P39" s="208">
        <f>(J39*WRRushingYd)+(K39*WRRushingTD)+(L39*WRRec)+(M39*WRRecYd)+(N39*WRRecTD)+(O39*WRFuml)+(I39*WRRushAtt)</f>
        <v>161.59000000000003</v>
      </c>
      <c r="Q39" t="str">
        <f ca="1">IF(A39&lt;=WRStarters,"Starter",IF(A39&gt;WRStarters+WRBench,"Undrafted","Bench"))</f>
        <v>Bench</v>
      </c>
      <c r="R39">
        <f ca="1">IFERROR(MAX(P39-LARGE(WRSheetCount,WRStarters),0),0)</f>
        <v>0</v>
      </c>
      <c r="S39">
        <f ca="1">IFERROR(IF(AllowNegative="Yes",P39-LARGE(WRSheetCount,WRCount),MAX(P39-LARGE(WRSheetCount,WRCount),0)),0)</f>
        <v>37.980000000000047</v>
      </c>
      <c r="T39" s="85">
        <f ca="1">(S39-R39)*BenchPF+R39*StarterPF</f>
        <v>6.886415949608037</v>
      </c>
      <c r="U39" s="85">
        <f ca="1">T39*Auction!$A$2</f>
        <v>6.886415949608037</v>
      </c>
      <c r="V39" s="6" t="str">
        <f>IF(OR(INDEX(Auction!$H$13:$H$656,MATCH(B39,Auction!$A$13:$A$656,0))&gt;0,IFERROR(INDEX(CheatSheet!$V$5:$V$64,MATCH(B39,CheatSheet!$S$5:$S$64,0)),"")&lt;&gt;""),"Yes","No")</f>
        <v>No</v>
      </c>
      <c r="W39" s="179"/>
      <c r="Y39" s="114">
        <f ca="1">IFERROR(SUMIFS($Z$3:$Z212,$Z$3:$Z$195,"&gt;0",$V$3:$V$195,"No")/SUMIF($Z$3:$Z$195,"&gt;0"),0)</f>
        <v>0</v>
      </c>
      <c r="Z39">
        <f t="shared" ca="1" si="2"/>
        <v>18.990000000000023</v>
      </c>
      <c r="AA39" s="116" t="str">
        <f t="shared" ca="1" si="1"/>
        <v>WR8</v>
      </c>
      <c r="AB39">
        <f ca="1">Z39*LeagueInfo!$H$5</f>
        <v>6.992656200261675</v>
      </c>
    </row>
    <row r="40" spans="1:28" ht="15.75" thickBot="1" x14ac:dyDescent="0.3">
      <c r="A40">
        <f>RANK(P40,P$3:P$213)</f>
        <v>38</v>
      </c>
      <c r="B40" t="str">
        <f>WR_Raw!A40</f>
        <v>Christian Kirk</v>
      </c>
      <c r="C40" t="s">
        <v>35</v>
      </c>
      <c r="D40">
        <f>_xlfn.IFNA(INDEX(BYEs!$E$2:$E$411,MATCH(B40,BYEs!$D$2:$D$411,0)),"N/A")</f>
        <v>24</v>
      </c>
      <c r="E40">
        <f>INDEX(BYEs!$B$2:$B$34,MATCH(F40,BYEs!$A$2:$A$34,0))</f>
        <v>11</v>
      </c>
      <c r="F40" t="str">
        <f>WR_Raw!B40</f>
        <v>JAC</v>
      </c>
      <c r="G40" s="206">
        <v>0</v>
      </c>
      <c r="H40" s="207">
        <v>0</v>
      </c>
      <c r="I40" s="204">
        <f>WR_Raw!F40</f>
        <v>0.8</v>
      </c>
      <c r="J40" s="204">
        <f>WR_Raw!G40</f>
        <v>5.8</v>
      </c>
      <c r="K40" s="204">
        <f>WR_Raw!H40</f>
        <v>0</v>
      </c>
      <c r="L40" s="206">
        <f>WR_Raw!C40</f>
        <v>74.599999999999994</v>
      </c>
      <c r="M40" s="204">
        <f>WR_Raw!D40</f>
        <v>912.6</v>
      </c>
      <c r="N40" s="207">
        <f>WR_Raw!E40</f>
        <v>4.8</v>
      </c>
      <c r="O40" s="204">
        <f>WR_Raw!I40</f>
        <v>0.5</v>
      </c>
      <c r="P40" s="208">
        <f>(J40*WRRushingYd)+(K40*WRRushingTD)+(L40*WRRec)+(M40*WRRecYd)+(N40*WRRecTD)+(O40*WRFuml)+(I40*WRRushAtt)</f>
        <v>156.94</v>
      </c>
      <c r="Q40" t="str">
        <f ca="1">IF(A40&lt;=WRStarters,"Starter",IF(A40&gt;WRStarters+WRBench,"Undrafted","Bench"))</f>
        <v>Bench</v>
      </c>
      <c r="R40">
        <f ca="1">IFERROR(MAX(P40-LARGE(WRSheetCount,WRStarters),0),0)</f>
        <v>0</v>
      </c>
      <c r="S40">
        <f ca="1">IFERROR(IF(AllowNegative="Yes",P40-LARGE(WRSheetCount,WRCount),MAX(P40-LARGE(WRSheetCount,WRCount),0)),0)</f>
        <v>33.330000000000013</v>
      </c>
      <c r="T40" s="85">
        <f ca="1">(S40-R40)*BenchPF+R40*StarterPF</f>
        <v>6.0432923538819292</v>
      </c>
      <c r="U40" s="85">
        <f ca="1">T40*Auction!$A$2</f>
        <v>6.0432923538819292</v>
      </c>
      <c r="V40" s="6" t="str">
        <f>IF(OR(INDEX(Auction!$H$13:$H$656,MATCH(B40,Auction!$A$13:$A$656,0))&gt;0,IFERROR(INDEX(CheatSheet!$V$5:$V$64,MATCH(B40,CheatSheet!$S$5:$S$64,0)),"")&lt;&gt;""),"Yes","No")</f>
        <v>No</v>
      </c>
      <c r="W40" s="179"/>
      <c r="Y40" s="114">
        <f ca="1">IFERROR(SUMIFS($Z$3:$Z212,$Z$3:$Z$195,"&gt;0",$V$3:$V$195,"No")/SUMIF($Z$3:$Z$195,"&gt;0"),0)</f>
        <v>0</v>
      </c>
      <c r="Z40">
        <f t="shared" ca="1" si="2"/>
        <v>16.665000000000006</v>
      </c>
      <c r="AA40" s="116" t="str">
        <f t="shared" ca="1" si="1"/>
        <v>WR8</v>
      </c>
      <c r="AB40">
        <f ca="1">Z40*LeagueInfo!$H$5</f>
        <v>6.1365253068647032</v>
      </c>
    </row>
    <row r="41" spans="1:28" ht="15.75" thickBot="1" x14ac:dyDescent="0.3">
      <c r="A41">
        <f>RANK(P41,P$3:P$213)</f>
        <v>39</v>
      </c>
      <c r="B41" t="str">
        <f>WR_Raw!A39</f>
        <v>DeVonta Smith</v>
      </c>
      <c r="C41" t="s">
        <v>35</v>
      </c>
      <c r="D41" t="str">
        <f>_xlfn.IFNA(INDEX(BYEs!$E$2:$E$411,MATCH(B41,BYEs!$D$2:$D$411,0)),"N/A")</f>
        <v>N/A</v>
      </c>
      <c r="E41">
        <f>INDEX(BYEs!$B$2:$B$34,MATCH(F41,BYEs!$A$2:$A$34,0))</f>
        <v>7</v>
      </c>
      <c r="F41" t="str">
        <f>WR_Raw!B39</f>
        <v>PHI</v>
      </c>
      <c r="G41" s="206">
        <v>0</v>
      </c>
      <c r="H41" s="207">
        <v>0</v>
      </c>
      <c r="I41" s="204">
        <f>WR_Raw!F39</f>
        <v>0</v>
      </c>
      <c r="J41" s="204">
        <f>WR_Raw!G39</f>
        <v>0</v>
      </c>
      <c r="K41" s="204">
        <f>WR_Raw!H39</f>
        <v>0</v>
      </c>
      <c r="L41" s="206">
        <f>WR_Raw!C39</f>
        <v>63.4</v>
      </c>
      <c r="M41" s="204">
        <f>WR_Raw!D39</f>
        <v>871.3</v>
      </c>
      <c r="N41" s="207">
        <f>WR_Raw!E39</f>
        <v>5.7</v>
      </c>
      <c r="O41" s="204">
        <f>WR_Raw!I39</f>
        <v>0.5</v>
      </c>
      <c r="P41" s="208">
        <f>(J41*WRRushingYd)+(K41*WRRushingTD)+(L41*WRRec)+(M41*WRRecYd)+(N41*WRRecTD)+(O41*WRFuml)+(I41*WRRushAtt)</f>
        <v>152.03</v>
      </c>
      <c r="Q41" t="str">
        <f ca="1">IF(A41&lt;=WRStarters,"Starter",IF(A41&gt;WRStarters+WRBench,"Undrafted","Bench"))</f>
        <v>Bench</v>
      </c>
      <c r="R41">
        <f ca="1">IFERROR(MAX(P41-LARGE(WRSheetCount,WRStarters),0),0)</f>
        <v>0</v>
      </c>
      <c r="S41">
        <f ca="1">IFERROR(IF(AllowNegative="Yes",P41-LARGE(WRSheetCount,WRCount),MAX(P41-LARGE(WRSheetCount,WRCount),0)),0)</f>
        <v>28.420000000000016</v>
      </c>
      <c r="T41" s="85">
        <f ca="1">(S41-R41)*BenchPF+R41*StarterPF</f>
        <v>5.1530263635560898</v>
      </c>
      <c r="U41" s="85">
        <f ca="1">T41*Auction!$A$2</f>
        <v>5.1530263635560898</v>
      </c>
      <c r="V41" s="6" t="str">
        <f>IF(OR(INDEX(Auction!$H$13:$H$656,MATCH(B41,Auction!$A$13:$A$656,0))&gt;0,IFERROR(INDEX(CheatSheet!$V$5:$V$64,MATCH(B41,CheatSheet!$S$5:$S$64,0)),"")&lt;&gt;""),"Yes","No")</f>
        <v>No</v>
      </c>
      <c r="W41" s="179"/>
      <c r="Y41" s="114">
        <f ca="1">IFERROR(SUMIFS($Z$3:$Z212,$Z$3:$Z$195,"&gt;0",$V$3:$V$195,"No")/SUMIF($Z$3:$Z$195,"&gt;0"),0)</f>
        <v>0</v>
      </c>
      <c r="Z41">
        <f t="shared" ca="1" si="2"/>
        <v>14.210000000000008</v>
      </c>
      <c r="AA41" s="116" t="str">
        <f t="shared" ca="1" si="1"/>
        <v>WR8</v>
      </c>
      <c r="AB41">
        <f ca="1">Z41*LeagueInfo!$H$5</f>
        <v>5.2325247291057577</v>
      </c>
    </row>
    <row r="42" spans="1:28" ht="15.75" thickBot="1" x14ac:dyDescent="0.3">
      <c r="A42">
        <f>RANK(P42,P$3:P$213)</f>
        <v>40</v>
      </c>
      <c r="B42" t="str">
        <f>WR_Raw!A42</f>
        <v>Chase Claypool</v>
      </c>
      <c r="C42" t="s">
        <v>35</v>
      </c>
      <c r="D42" t="str">
        <f>_xlfn.IFNA(INDEX(BYEs!$E$2:$E$411,MATCH(B42,BYEs!$D$2:$D$411,0)),"N/A")</f>
        <v>N/A</v>
      </c>
      <c r="E42">
        <f>INDEX(BYEs!$B$2:$B$34,MATCH(F42,BYEs!$A$2:$A$34,0))</f>
        <v>9</v>
      </c>
      <c r="F42" t="str">
        <f>WR_Raw!B42</f>
        <v>PIT</v>
      </c>
      <c r="G42" s="206">
        <v>0</v>
      </c>
      <c r="H42" s="207">
        <v>0</v>
      </c>
      <c r="I42" s="204">
        <f>WR_Raw!F42</f>
        <v>8.6</v>
      </c>
      <c r="J42" s="204">
        <f>WR_Raw!G42</f>
        <v>52.3</v>
      </c>
      <c r="K42" s="204">
        <f>WR_Raw!H42</f>
        <v>0.2</v>
      </c>
      <c r="L42" s="206">
        <f>WR_Raw!C42</f>
        <v>63.9</v>
      </c>
      <c r="M42" s="204">
        <f>WR_Raw!D42</f>
        <v>854.2</v>
      </c>
      <c r="N42" s="207">
        <f>WR_Raw!E42</f>
        <v>4.5999999999999996</v>
      </c>
      <c r="O42" s="204">
        <f>WR_Raw!I42</f>
        <v>0.5</v>
      </c>
      <c r="P42" s="208">
        <f>(J42*WRRushingYd)+(K42*WRRushingTD)+(L42*WRRec)+(M42*WRRecYd)+(N42*WRRecTD)+(O42*WRFuml)+(I42*WRRushAtt)</f>
        <v>150.4</v>
      </c>
      <c r="Q42" t="str">
        <f ca="1">IF(A42&lt;=WRStarters,"Starter",IF(A42&gt;WRStarters+WRBench,"Undrafted","Bench"))</f>
        <v>Bench</v>
      </c>
      <c r="R42">
        <f ca="1">IFERROR(MAX(P42-LARGE(WRSheetCount,WRStarters),0),0)</f>
        <v>0</v>
      </c>
      <c r="S42">
        <f ca="1">IFERROR(IF(AllowNegative="Yes",P42-LARGE(WRSheetCount,WRCount),MAX(P42-LARGE(WRSheetCount,WRCount),0)),0)</f>
        <v>26.79000000000002</v>
      </c>
      <c r="T42" s="85">
        <f ca="1">(S42-R42)*BenchPF+R42*StarterPF</f>
        <v>4.8574798127961882</v>
      </c>
      <c r="U42" s="85">
        <f ca="1">T42*Auction!$A$2</f>
        <v>4.8574798127961882</v>
      </c>
      <c r="V42" s="6" t="str">
        <f>IF(OR(INDEX(Auction!$H$13:$H$656,MATCH(B42,Auction!$A$13:$A$656,0))&gt;0,IFERROR(INDEX(CheatSheet!$V$5:$V$64,MATCH(B42,CheatSheet!$S$5:$S$64,0)),"")&lt;&gt;""),"Yes","No")</f>
        <v>No</v>
      </c>
      <c r="W42" s="179"/>
      <c r="Y42" s="114">
        <f ca="1">IFERROR(SUMIFS($Z$3:$Z212,$Z$3:$Z$195,"&gt;0",$V$3:$V$195,"No")/SUMIF($Z$3:$Z$195,"&gt;0"),0)</f>
        <v>0</v>
      </c>
      <c r="Z42">
        <f t="shared" ca="1" si="2"/>
        <v>13.39500000000001</v>
      </c>
      <c r="AA42" s="116" t="str">
        <f t="shared" ca="1" si="1"/>
        <v>WR8</v>
      </c>
      <c r="AB42">
        <f ca="1">Z42*LeagueInfo!$H$5</f>
        <v>4.9324186309902629</v>
      </c>
    </row>
    <row r="43" spans="1:28" ht="15.75" thickBot="1" x14ac:dyDescent="0.3">
      <c r="A43">
        <f>RANK(P43,P$3:P$213)</f>
        <v>41</v>
      </c>
      <c r="B43" t="str">
        <f>WR_Raw!A43</f>
        <v>Brandon Aiyuk</v>
      </c>
      <c r="C43" t="s">
        <v>35</v>
      </c>
      <c r="D43" t="str">
        <f>_xlfn.IFNA(INDEX(BYEs!$E$2:$E$411,MATCH(B43,BYEs!$D$2:$D$411,0)),"N/A")</f>
        <v>N/A</v>
      </c>
      <c r="E43">
        <f>INDEX(BYEs!$B$2:$B$34,MATCH(F43,BYEs!$A$2:$A$34,0))</f>
        <v>9</v>
      </c>
      <c r="F43" t="str">
        <f>WR_Raw!B43</f>
        <v>SF</v>
      </c>
      <c r="G43" s="206">
        <v>0</v>
      </c>
      <c r="H43" s="207">
        <v>0</v>
      </c>
      <c r="I43" s="204">
        <f>WR_Raw!F43</f>
        <v>2.9</v>
      </c>
      <c r="J43" s="204">
        <f>WR_Raw!G43</f>
        <v>17.5</v>
      </c>
      <c r="K43" s="204">
        <f>WR_Raw!H43</f>
        <v>0</v>
      </c>
      <c r="L43" s="206">
        <f>WR_Raw!C43</f>
        <v>62</v>
      </c>
      <c r="M43" s="204">
        <f>WR_Raw!D43</f>
        <v>841.8</v>
      </c>
      <c r="N43" s="207">
        <f>WR_Raw!E43</f>
        <v>5.5</v>
      </c>
      <c r="O43" s="204">
        <f>WR_Raw!I43</f>
        <v>0.5</v>
      </c>
      <c r="P43" s="208">
        <f>(J43*WRRushingYd)+(K43*WRRushingTD)+(L43*WRRec)+(M43*WRRecYd)+(N43*WRRecTD)+(O43*WRFuml)+(I43*WRRushAtt)</f>
        <v>148.93</v>
      </c>
      <c r="Q43" t="str">
        <f ca="1">IF(A43&lt;=WRStarters,"Starter",IF(A43&gt;WRStarters+WRBench,"Undrafted","Bench"))</f>
        <v>Bench</v>
      </c>
      <c r="R43">
        <f ca="1">IFERROR(MAX(P43-LARGE(WRSheetCount,WRStarters),0),0)</f>
        <v>0</v>
      </c>
      <c r="S43">
        <f ca="1">IFERROR(IF(AllowNegative="Yes",P43-LARGE(WRSheetCount,WRCount),MAX(P43-LARGE(WRSheetCount,WRCount),0)),0)</f>
        <v>25.320000000000022</v>
      </c>
      <c r="T43" s="85">
        <f ca="1">(S43-R43)*BenchPF+R43*StarterPF</f>
        <v>4.590943966405356</v>
      </c>
      <c r="U43" s="85">
        <f ca="1">T43*Auction!$A$2</f>
        <v>4.590943966405356</v>
      </c>
      <c r="V43" s="6" t="str">
        <f>IF(OR(INDEX(Auction!$H$13:$H$656,MATCH(B43,Auction!$A$13:$A$656,0))&gt;0,IFERROR(INDEX(CheatSheet!$V$5:$V$64,MATCH(B43,CheatSheet!$S$5:$S$64,0)),"")&lt;&gt;""),"Yes","No")</f>
        <v>No</v>
      </c>
      <c r="W43" s="179"/>
      <c r="Y43" s="114">
        <f ca="1">IFERROR(SUMIFS($Z$3:$Z212,$Z$3:$Z$195,"&gt;0",$V$3:$V$195,"No")/SUMIF($Z$3:$Z$195,"&gt;0"),0)</f>
        <v>0</v>
      </c>
      <c r="Z43">
        <f t="shared" ca="1" si="2"/>
        <v>12.660000000000011</v>
      </c>
      <c r="AA43" s="116" t="str">
        <f t="shared" ca="1" si="1"/>
        <v>WR8</v>
      </c>
      <c r="AB43">
        <f ca="1">Z43*LeagueInfo!$H$5</f>
        <v>4.6617708001744482</v>
      </c>
    </row>
    <row r="44" spans="1:28" ht="15.75" thickBot="1" x14ac:dyDescent="0.3">
      <c r="A44">
        <f>RANK(P44,P$3:P$213)</f>
        <v>42</v>
      </c>
      <c r="B44" t="str">
        <f>WR_Raw!A44</f>
        <v>Drake London</v>
      </c>
      <c r="C44" t="s">
        <v>35</v>
      </c>
      <c r="D44" t="str">
        <f>_xlfn.IFNA(INDEX(BYEs!$E$2:$E$411,MATCH(B44,BYEs!$D$2:$D$411,0)),"N/A")</f>
        <v>N/A</v>
      </c>
      <c r="E44">
        <f>INDEX(BYEs!$B$2:$B$34,MATCH(F44,BYEs!$A$2:$A$34,0))</f>
        <v>14</v>
      </c>
      <c r="F44" t="str">
        <f>WR_Raw!B44</f>
        <v>ATL</v>
      </c>
      <c r="G44" s="206">
        <v>0</v>
      </c>
      <c r="H44" s="207">
        <v>0</v>
      </c>
      <c r="I44" s="204">
        <f>WR_Raw!F44</f>
        <v>0.8</v>
      </c>
      <c r="J44" s="204">
        <f>WR_Raw!G44</f>
        <v>4.2</v>
      </c>
      <c r="K44" s="204">
        <f>WR_Raw!H44</f>
        <v>0</v>
      </c>
      <c r="L44" s="206">
        <f>WR_Raw!C44</f>
        <v>66</v>
      </c>
      <c r="M44" s="204">
        <f>WR_Raw!D44</f>
        <v>869.9</v>
      </c>
      <c r="N44" s="207">
        <f>WR_Raw!E44</f>
        <v>4.8</v>
      </c>
      <c r="O44" s="204">
        <f>WR_Raw!I44</f>
        <v>0.8</v>
      </c>
      <c r="P44" s="208">
        <f>(J44*WRRushingYd)+(K44*WRRushingTD)+(L44*WRRec)+(M44*WRRecYd)+(N44*WRRecTD)+(O44*WRFuml)+(I44*WRRushAtt)</f>
        <v>147.61000000000001</v>
      </c>
      <c r="Q44" t="str">
        <f ca="1">IF(A44&lt;=WRStarters,"Starter",IF(A44&gt;WRStarters+WRBench,"Undrafted","Bench"))</f>
        <v>Bench</v>
      </c>
      <c r="R44">
        <f ca="1">IFERROR(MAX(P44-LARGE(WRSheetCount,WRStarters),0),0)</f>
        <v>0</v>
      </c>
      <c r="S44">
        <f ca="1">IFERROR(IF(AllowNegative="Yes",P44-LARGE(WRSheetCount,WRCount),MAX(P44-LARGE(WRSheetCount,WRCount),0)),0)</f>
        <v>24.000000000000028</v>
      </c>
      <c r="T44" s="85">
        <f ca="1">(S44-R44)*BenchPF+R44*StarterPF</f>
        <v>4.3516056553605287</v>
      </c>
      <c r="U44" s="85">
        <f ca="1">T44*Auction!$A$2</f>
        <v>4.3516056553605287</v>
      </c>
      <c r="V44" s="6" t="str">
        <f>IF(OR(INDEX(Auction!$H$13:$H$656,MATCH(B44,Auction!$A$13:$A$656,0))&gt;0,IFERROR(INDEX(CheatSheet!$V$5:$V$64,MATCH(B44,CheatSheet!$S$5:$S$64,0)),"")&lt;&gt;""),"Yes","No")</f>
        <v>No</v>
      </c>
      <c r="W44" s="179"/>
      <c r="Y44" s="114">
        <f ca="1">IFERROR(SUMIFS($Z$3:$Z212,$Z$3:$Z$195,"&gt;0",$V$3:$V$195,"No")/SUMIF($Z$3:$Z$195,"&gt;0"),0)</f>
        <v>0</v>
      </c>
      <c r="Z44">
        <f t="shared" ca="1" si="2"/>
        <v>12.000000000000014</v>
      </c>
      <c r="AA44" s="116" t="str">
        <f t="shared" ca="1" si="1"/>
        <v>WR8</v>
      </c>
      <c r="AB44">
        <f ca="1">Z44*LeagueInfo!$H$5</f>
        <v>4.418740094952085</v>
      </c>
    </row>
    <row r="45" spans="1:28" ht="15.75" thickBot="1" x14ac:dyDescent="0.3">
      <c r="A45">
        <f>RANK(P45,P$3:P$213)</f>
        <v>43</v>
      </c>
      <c r="B45" t="str">
        <f>WR_Raw!A41</f>
        <v>Allen Lazard</v>
      </c>
      <c r="C45" t="s">
        <v>35</v>
      </c>
      <c r="D45" t="str">
        <f>_xlfn.IFNA(INDEX(BYEs!$E$2:$E$411,MATCH(B45,BYEs!$D$2:$D$411,0)),"N/A")</f>
        <v>N/A</v>
      </c>
      <c r="E45">
        <f>INDEX(BYEs!$B$2:$B$34,MATCH(F45,BYEs!$A$2:$A$34,0))</f>
        <v>14</v>
      </c>
      <c r="F45" t="str">
        <f>WR_Raw!B41</f>
        <v>GB</v>
      </c>
      <c r="G45" s="206">
        <v>0</v>
      </c>
      <c r="H45" s="207">
        <v>0</v>
      </c>
      <c r="I45" s="204">
        <f>WR_Raw!F41</f>
        <v>1.4</v>
      </c>
      <c r="J45" s="204">
        <f>WR_Raw!G41</f>
        <v>12.3</v>
      </c>
      <c r="K45" s="204">
        <f>WR_Raw!H41</f>
        <v>0</v>
      </c>
      <c r="L45" s="206">
        <f>WR_Raw!C41</f>
        <v>57.6</v>
      </c>
      <c r="M45" s="204">
        <f>WR_Raw!D41</f>
        <v>777</v>
      </c>
      <c r="N45" s="207">
        <f>WR_Raw!E41</f>
        <v>6.7</v>
      </c>
      <c r="O45" s="204">
        <f>WR_Raw!I41</f>
        <v>0.4</v>
      </c>
      <c r="P45" s="208">
        <f>(J45*WRRushingYd)+(K45*WRRushingTD)+(L45*WRRec)+(M45*WRRecYd)+(N45*WRRecTD)+(O45*WRFuml)+(I45*WRRushAtt)</f>
        <v>147.13</v>
      </c>
      <c r="Q45" t="str">
        <f ca="1">IF(A45&lt;=WRStarters,"Starter",IF(A45&gt;WRStarters+WRBench,"Undrafted","Bench"))</f>
        <v>Bench</v>
      </c>
      <c r="R45">
        <f ca="1">IFERROR(MAX(P45-LARGE(WRSheetCount,WRStarters),0),0)</f>
        <v>0</v>
      </c>
      <c r="S45">
        <f ca="1">IFERROR(IF(AllowNegative="Yes",P45-LARGE(WRSheetCount,WRCount),MAX(P45-LARGE(WRSheetCount,WRCount),0)),0)</f>
        <v>23.52000000000001</v>
      </c>
      <c r="T45" s="85">
        <f ca="1">(S45-R45)*BenchPF+R45*StarterPF</f>
        <v>4.2645735422533146</v>
      </c>
      <c r="U45" s="85">
        <f ca="1">T45*Auction!$A$2</f>
        <v>4.2645735422533146</v>
      </c>
      <c r="V45" s="6" t="str">
        <f>IF(OR(INDEX(Auction!$H$13:$H$656,MATCH(B45,Auction!$A$13:$A$656,0))&gt;0,IFERROR(INDEX(CheatSheet!$V$5:$V$64,MATCH(B45,CheatSheet!$S$5:$S$64,0)),"")&lt;&gt;""),"Yes","No")</f>
        <v>No</v>
      </c>
      <c r="W45" s="179"/>
      <c r="Y45" s="114">
        <f ca="1">IFERROR(SUMIFS($Z$3:$Z212,$Z$3:$Z$195,"&gt;0",$V$3:$V$195,"No")/SUMIF($Z$3:$Z$195,"&gt;0"),0)</f>
        <v>0</v>
      </c>
      <c r="Z45">
        <f t="shared" ca="1" si="2"/>
        <v>11.760000000000005</v>
      </c>
      <c r="AA45" s="116" t="str">
        <f t="shared" ca="1" si="1"/>
        <v>WR8</v>
      </c>
      <c r="AB45">
        <f ca="1">Z45*LeagueInfo!$H$5</f>
        <v>4.3303652930530401</v>
      </c>
    </row>
    <row r="46" spans="1:28" ht="15.75" thickBot="1" x14ac:dyDescent="0.3">
      <c r="A46">
        <f>RANK(P46,P$3:P$213)</f>
        <v>44</v>
      </c>
      <c r="B46" t="str">
        <f>WR_Raw!A50</f>
        <v>Jakobi Meyers</v>
      </c>
      <c r="C46" t="s">
        <v>35</v>
      </c>
      <c r="D46" t="str">
        <f>_xlfn.IFNA(INDEX(BYEs!$E$2:$E$411,MATCH(B46,BYEs!$D$2:$D$411,0)),"N/A")</f>
        <v>N/A</v>
      </c>
      <c r="E46">
        <f>INDEX(BYEs!$B$2:$B$34,MATCH(F46,BYEs!$A$2:$A$34,0))</f>
        <v>10</v>
      </c>
      <c r="F46" t="str">
        <f>WR_Raw!B50</f>
        <v>NE</v>
      </c>
      <c r="G46" s="206">
        <v>0</v>
      </c>
      <c r="H46" s="207">
        <v>0</v>
      </c>
      <c r="I46" s="204">
        <f>WR_Raw!F50</f>
        <v>0.4</v>
      </c>
      <c r="J46" s="204">
        <f>WR_Raw!G50</f>
        <v>2.8</v>
      </c>
      <c r="K46" s="204">
        <f>WR_Raw!H50</f>
        <v>0</v>
      </c>
      <c r="L46" s="206">
        <f>WR_Raw!C50</f>
        <v>73.7</v>
      </c>
      <c r="M46" s="204">
        <f>WR_Raw!D50</f>
        <v>830.4</v>
      </c>
      <c r="N46" s="207">
        <f>WR_Raw!E50</f>
        <v>3.8</v>
      </c>
      <c r="O46" s="204">
        <f>WR_Raw!I50</f>
        <v>0.5</v>
      </c>
      <c r="P46" s="208">
        <f>(J46*WRRushingYd)+(K46*WRRushingTD)+(L46*WRRec)+(M46*WRRecYd)+(N46*WRRecTD)+(O46*WRFuml)+(I46*WRRushAtt)</f>
        <v>141.97000000000003</v>
      </c>
      <c r="Q46" t="str">
        <f ca="1">IF(A46&lt;=WRStarters,"Starter",IF(A46&gt;WRStarters+WRBench,"Undrafted","Bench"))</f>
        <v>Bench</v>
      </c>
      <c r="R46">
        <f ca="1">IFERROR(MAX(P46-LARGE(WRSheetCount,WRStarters),0),0)</f>
        <v>0</v>
      </c>
      <c r="S46">
        <f ca="1">IFERROR(IF(AllowNegative="Yes",P46-LARGE(WRSheetCount,WRCount),MAX(P46-LARGE(WRSheetCount,WRCount),0)),0)</f>
        <v>18.360000000000042</v>
      </c>
      <c r="T46" s="85">
        <f ca="1">(S46-R46)*BenchPF+R46*StarterPF</f>
        <v>3.3289783263508084</v>
      </c>
      <c r="U46" s="85">
        <f ca="1">T46*Auction!$A$2</f>
        <v>3.3289783263508084</v>
      </c>
      <c r="V46" s="6" t="str">
        <f>IF(OR(INDEX(Auction!$H$13:$H$656,MATCH(B46,Auction!$A$13:$A$656,0))&gt;0,IFERROR(INDEX(CheatSheet!$V$5:$V$64,MATCH(B46,CheatSheet!$S$5:$S$64,0)),"")&lt;&gt;""),"Yes","No")</f>
        <v>No</v>
      </c>
      <c r="W46" s="179"/>
      <c r="Y46" s="114">
        <f ca="1">IFERROR(SUMIFS($Z$3:$Z212,$Z$3:$Z$195,"&gt;0",$V$3:$V$195,"No")/SUMIF($Z$3:$Z$195,"&gt;0"),0)</f>
        <v>0</v>
      </c>
      <c r="Z46">
        <f t="shared" ca="1" si="2"/>
        <v>9.180000000000021</v>
      </c>
      <c r="AA46" s="116" t="str">
        <f t="shared" ca="1" si="1"/>
        <v>WR8</v>
      </c>
      <c r="AB46">
        <f ca="1">Z46*LeagueInfo!$H$5</f>
        <v>3.3803361726383492</v>
      </c>
    </row>
    <row r="47" spans="1:28" ht="15.75" thickBot="1" x14ac:dyDescent="0.3">
      <c r="A47">
        <f>RANK(P47,P$3:P$213)</f>
        <v>45</v>
      </c>
      <c r="B47" t="str">
        <f>WR_Raw!A45</f>
        <v>Treylon Burks</v>
      </c>
      <c r="C47" t="s">
        <v>35</v>
      </c>
      <c r="D47" t="str">
        <f>_xlfn.IFNA(INDEX(BYEs!$E$2:$E$411,MATCH(B47,BYEs!$D$2:$D$411,0)),"N/A")</f>
        <v>N/A</v>
      </c>
      <c r="E47">
        <f>INDEX(BYEs!$B$2:$B$34,MATCH(F47,BYEs!$A$2:$A$34,0))</f>
        <v>6</v>
      </c>
      <c r="F47" t="str">
        <f>WR_Raw!B45</f>
        <v>TEN</v>
      </c>
      <c r="G47" s="206">
        <v>0</v>
      </c>
      <c r="H47" s="207">
        <v>0</v>
      </c>
      <c r="I47" s="204">
        <f>WR_Raw!F45</f>
        <v>4</v>
      </c>
      <c r="J47" s="204">
        <f>WR_Raw!G45</f>
        <v>25.8</v>
      </c>
      <c r="K47" s="204">
        <f>WR_Raw!H45</f>
        <v>0.3</v>
      </c>
      <c r="L47" s="206">
        <f>WR_Raw!C45</f>
        <v>56.9</v>
      </c>
      <c r="M47" s="204">
        <f>WR_Raw!D45</f>
        <v>807.9</v>
      </c>
      <c r="N47" s="207">
        <f>WR_Raw!E45</f>
        <v>4.9000000000000004</v>
      </c>
      <c r="O47" s="204">
        <f>WR_Raw!I45</f>
        <v>0.8</v>
      </c>
      <c r="P47" s="208">
        <f>(J47*WRRushingYd)+(K47*WRRushingTD)+(L47*WRRec)+(M47*WRRecYd)+(N47*WRRecTD)+(O47*WRFuml)+(I47*WRRushAtt)</f>
        <v>141.42000000000002</v>
      </c>
      <c r="Q47" t="str">
        <f ca="1">IF(A47&lt;=WRStarters,"Starter",IF(A47&gt;WRStarters+WRBench,"Undrafted","Bench"))</f>
        <v>Bench</v>
      </c>
      <c r="R47">
        <f ca="1">IFERROR(MAX(P47-LARGE(WRSheetCount,WRStarters),0),0)</f>
        <v>0</v>
      </c>
      <c r="S47">
        <f ca="1">IFERROR(IF(AllowNegative="Yes",P47-LARGE(WRSheetCount,WRCount),MAX(P47-LARGE(WRSheetCount,WRCount),0)),0)</f>
        <v>17.810000000000031</v>
      </c>
      <c r="T47" s="85">
        <f ca="1">(S47-R47)*BenchPF+R47*StarterPF</f>
        <v>3.2292540300821275</v>
      </c>
      <c r="U47" s="85">
        <f ca="1">T47*Auction!$A$2</f>
        <v>3.2292540300821275</v>
      </c>
      <c r="V47" s="6" t="str">
        <f>IF(OR(INDEX(Auction!$H$13:$H$656,MATCH(B47,Auction!$A$13:$A$656,0))&gt;0,IFERROR(INDEX(CheatSheet!$V$5:$V$64,MATCH(B47,CheatSheet!$S$5:$S$64,0)),"")&lt;&gt;""),"Yes","No")</f>
        <v>No</v>
      </c>
      <c r="W47" s="179"/>
      <c r="Y47" s="114">
        <f ca="1">IFERROR(SUMIFS($Z$3:$Z212,$Z$3:$Z$195,"&gt;0",$V$3:$V$195,"No")/SUMIF($Z$3:$Z$195,"&gt;0"),0)</f>
        <v>0</v>
      </c>
      <c r="Z47">
        <f t="shared" ca="1" si="2"/>
        <v>8.9050000000000153</v>
      </c>
      <c r="AA47" s="116" t="str">
        <f t="shared" ca="1" si="1"/>
        <v>WR8</v>
      </c>
      <c r="AB47">
        <f ca="1">Z47*LeagueInfo!$H$5</f>
        <v>3.2790733787956952</v>
      </c>
    </row>
    <row r="48" spans="1:28" ht="15.75" thickBot="1" x14ac:dyDescent="0.3">
      <c r="A48">
        <f>RANK(P48,P$3:P$213)</f>
        <v>46</v>
      </c>
      <c r="B48" t="str">
        <f>WR_Raw!A46</f>
        <v>DeAndre Hopkins</v>
      </c>
      <c r="C48" t="s">
        <v>35</v>
      </c>
      <c r="D48">
        <f>_xlfn.IFNA(INDEX(BYEs!$E$2:$E$411,MATCH(B48,BYEs!$D$2:$D$411,0)),"N/A")</f>
        <v>29</v>
      </c>
      <c r="E48">
        <f>INDEX(BYEs!$B$2:$B$34,MATCH(F48,BYEs!$A$2:$A$34,0))</f>
        <v>13</v>
      </c>
      <c r="F48" t="str">
        <f>WR_Raw!B46</f>
        <v>ARI</v>
      </c>
      <c r="G48" s="206">
        <v>0</v>
      </c>
      <c r="H48" s="207">
        <v>0</v>
      </c>
      <c r="I48" s="204">
        <f>WR_Raw!F46</f>
        <v>0</v>
      </c>
      <c r="J48" s="204">
        <f>WR_Raw!G46</f>
        <v>0.4</v>
      </c>
      <c r="K48" s="204">
        <f>WR_Raw!H46</f>
        <v>0</v>
      </c>
      <c r="L48" s="206">
        <f>WR_Raw!C46</f>
        <v>61.9</v>
      </c>
      <c r="M48" s="204">
        <f>WR_Raw!D46</f>
        <v>774.2</v>
      </c>
      <c r="N48" s="207">
        <f>WR_Raw!E46</f>
        <v>5.7</v>
      </c>
      <c r="O48" s="204">
        <f>WR_Raw!I46</f>
        <v>0.7</v>
      </c>
      <c r="P48" s="208">
        <f>(J48*WRRushingYd)+(K48*WRRushingTD)+(L48*WRRec)+(M48*WRRecYd)+(N48*WRRecTD)+(O48*WRFuml)+(I48*WRRushAtt)</f>
        <v>141.21</v>
      </c>
      <c r="Q48" t="str">
        <f ca="1">IF(A48&lt;=WRStarters,"Starter",IF(A48&gt;WRStarters+WRBench,"Undrafted","Bench"))</f>
        <v>Bench</v>
      </c>
      <c r="R48">
        <f ca="1">IFERROR(MAX(P48-LARGE(WRSheetCount,WRStarters),0),0)</f>
        <v>0</v>
      </c>
      <c r="S48">
        <f ca="1">IFERROR(IF(AllowNegative="Yes",P48-LARGE(WRSheetCount,WRCount),MAX(P48-LARGE(WRSheetCount,WRCount),0)),0)</f>
        <v>17.600000000000023</v>
      </c>
      <c r="T48" s="85">
        <f ca="1">(S48-R48)*BenchPF+R48*StarterPF</f>
        <v>3.1911774805977213</v>
      </c>
      <c r="U48" s="85">
        <f ca="1">T48*Auction!$A$2</f>
        <v>3.1911774805977213</v>
      </c>
      <c r="V48" s="6" t="str">
        <f>IF(OR(INDEX(Auction!$H$13:$H$656,MATCH(B48,Auction!$A$13:$A$656,0))&gt;0,IFERROR(INDEX(CheatSheet!$V$5:$V$64,MATCH(B48,CheatSheet!$S$5:$S$64,0)),"")&lt;&gt;""),"Yes","No")</f>
        <v>No</v>
      </c>
      <c r="W48" s="179"/>
      <c r="Y48" s="114">
        <f ca="1">IFERROR(SUMIFS($Z$3:$Z212,$Z$3:$Z$195,"&gt;0",$V$3:$V$195,"No")/SUMIF($Z$3:$Z$195,"&gt;0"),0)</f>
        <v>0</v>
      </c>
      <c r="Z48">
        <f t="shared" ca="1" si="2"/>
        <v>8.8000000000000114</v>
      </c>
      <c r="AA48" s="116" t="str">
        <f t="shared" ca="1" si="1"/>
        <v>WR8</v>
      </c>
      <c r="AB48">
        <f ca="1">Z48*LeagueInfo!$H$5</f>
        <v>3.2404094029648629</v>
      </c>
    </row>
    <row r="49" spans="1:28" ht="15.75" thickBot="1" x14ac:dyDescent="0.3">
      <c r="A49">
        <f>RANK(P49,P$3:P$213)</f>
        <v>47</v>
      </c>
      <c r="B49" t="str">
        <f>WR_Raw!A48</f>
        <v>Kadarius Toney</v>
      </c>
      <c r="C49" t="s">
        <v>35</v>
      </c>
      <c r="D49" t="str">
        <f>_xlfn.IFNA(INDEX(BYEs!$E$2:$E$411,MATCH(B49,BYEs!$D$2:$D$411,0)),"N/A")</f>
        <v>N/A</v>
      </c>
      <c r="E49">
        <f>INDEX(BYEs!$B$2:$B$34,MATCH(F49,BYEs!$A$2:$A$34,0))</f>
        <v>9</v>
      </c>
      <c r="F49" t="str">
        <f>WR_Raw!B48</f>
        <v>NYG</v>
      </c>
      <c r="G49" s="206">
        <v>0</v>
      </c>
      <c r="H49" s="207">
        <v>0</v>
      </c>
      <c r="I49" s="204">
        <f>WR_Raw!F48</f>
        <v>8.8000000000000007</v>
      </c>
      <c r="J49" s="204">
        <f>WR_Raw!G48</f>
        <v>59.6</v>
      </c>
      <c r="K49" s="204">
        <f>WR_Raw!H48</f>
        <v>0.1</v>
      </c>
      <c r="L49" s="206">
        <f>WR_Raw!C48</f>
        <v>65.7</v>
      </c>
      <c r="M49" s="204">
        <f>WR_Raw!D48</f>
        <v>766.5</v>
      </c>
      <c r="N49" s="207">
        <f>WR_Raw!E48</f>
        <v>4.0999999999999996</v>
      </c>
      <c r="O49" s="204">
        <f>WR_Raw!I48</f>
        <v>0.5</v>
      </c>
      <c r="P49" s="208">
        <f>(J49*WRRushingYd)+(K49*WRRushingTD)+(L49*WRRec)+(M49*WRRecYd)+(N49*WRRecTD)+(O49*WRFuml)+(I49*WRRushAtt)</f>
        <v>139.66</v>
      </c>
      <c r="Q49" t="str">
        <f ca="1">IF(A49&lt;=WRStarters,"Starter",IF(A49&gt;WRStarters+WRBench,"Undrafted","Bench"))</f>
        <v>Bench</v>
      </c>
      <c r="R49">
        <f ca="1">IFERROR(MAX(P49-LARGE(WRSheetCount,WRStarters),0),0)</f>
        <v>0</v>
      </c>
      <c r="S49">
        <f ca="1">IFERROR(IF(AllowNegative="Yes",P49-LARGE(WRSheetCount,WRCount),MAX(P49-LARGE(WRSheetCount,WRCount),0)),0)</f>
        <v>16.050000000000011</v>
      </c>
      <c r="T49" s="85">
        <f ca="1">(S49-R49)*BenchPF+R49*StarterPF</f>
        <v>2.9101362820223522</v>
      </c>
      <c r="U49" s="85">
        <f ca="1">T49*Auction!$A$2</f>
        <v>2.9101362820223522</v>
      </c>
      <c r="V49" s="6" t="str">
        <f>IF(OR(INDEX(Auction!$H$13:$H$656,MATCH(B49,Auction!$A$13:$A$656,0))&gt;0,IFERROR(INDEX(CheatSheet!$V$5:$V$64,MATCH(B49,CheatSheet!$S$5:$S$64,0)),"")&lt;&gt;""),"Yes","No")</f>
        <v>No</v>
      </c>
      <c r="W49" s="179"/>
      <c r="Y49" s="114">
        <f ca="1">IFERROR(SUMIFS($Z$3:$Z212,$Z$3:$Z$195,"&gt;0",$V$3:$V$195,"No")/SUMIF($Z$3:$Z$195,"&gt;0"),0)</f>
        <v>0</v>
      </c>
      <c r="Z49">
        <f t="shared" ca="1" si="2"/>
        <v>8.0250000000000057</v>
      </c>
      <c r="AA49" s="116" t="str">
        <f t="shared" ca="1" si="1"/>
        <v>WR8</v>
      </c>
      <c r="AB49">
        <f ca="1">Z49*LeagueInfo!$H$5</f>
        <v>2.9550324384992055</v>
      </c>
    </row>
    <row r="50" spans="1:28" ht="15.75" thickBot="1" x14ac:dyDescent="0.3">
      <c r="A50">
        <f>RANK(P50,P$3:P$213)</f>
        <v>48</v>
      </c>
      <c r="B50" t="str">
        <f>WR_Raw!A52</f>
        <v>Russell Gage</v>
      </c>
      <c r="C50" t="s">
        <v>35</v>
      </c>
      <c r="D50" t="str">
        <f>_xlfn.IFNA(INDEX(BYEs!$E$2:$E$411,MATCH(B50,BYEs!$D$2:$D$411,0)),"N/A")</f>
        <v>N/A</v>
      </c>
      <c r="E50">
        <f>INDEX(BYEs!$B$2:$B$34,MATCH(F50,BYEs!$A$2:$A$34,0))</f>
        <v>11</v>
      </c>
      <c r="F50" t="str">
        <f>WR_Raw!B52</f>
        <v>TB</v>
      </c>
      <c r="G50" s="206">
        <v>0</v>
      </c>
      <c r="H50" s="207">
        <v>0</v>
      </c>
      <c r="I50" s="204">
        <f>WR_Raw!F52</f>
        <v>0.2</v>
      </c>
      <c r="J50" s="204">
        <f>WR_Raw!G52</f>
        <v>0.8</v>
      </c>
      <c r="K50" s="204">
        <f>WR_Raw!H52</f>
        <v>0</v>
      </c>
      <c r="L50" s="206">
        <f>WR_Raw!C52</f>
        <v>65.099999999999994</v>
      </c>
      <c r="M50" s="204">
        <f>WR_Raw!D52</f>
        <v>742.4</v>
      </c>
      <c r="N50" s="207">
        <f>WR_Raw!E52</f>
        <v>5.3</v>
      </c>
      <c r="O50" s="204">
        <f>WR_Raw!I52</f>
        <v>0.9</v>
      </c>
      <c r="P50" s="208">
        <f>(J50*WRRushingYd)+(K50*WRRushingTD)+(L50*WRRec)+(M50*WRRecYd)+(N50*WRRecTD)+(O50*WRFuml)+(I50*WRRushAtt)</f>
        <v>136.86999999999998</v>
      </c>
      <c r="Q50" t="str">
        <f ca="1">IF(A50&lt;=WRStarters,"Starter",IF(A50&gt;WRStarters+WRBench,"Undrafted","Bench"))</f>
        <v>Bench</v>
      </c>
      <c r="R50">
        <f ca="1">IFERROR(MAX(P50-LARGE(WRSheetCount,WRStarters),0),0)</f>
        <v>0</v>
      </c>
      <c r="S50">
        <f ca="1">IFERROR(IF(AllowNegative="Yes",P50-LARGE(WRSheetCount,WRCount),MAX(P50-LARGE(WRSheetCount,WRCount),0)),0)</f>
        <v>13.259999999999991</v>
      </c>
      <c r="T50" s="85">
        <f ca="1">(S50-R50)*BenchPF+R50*StarterPF</f>
        <v>2.4042621245866878</v>
      </c>
      <c r="U50" s="85">
        <f ca="1">T50*Auction!$A$2</f>
        <v>2.4042621245866878</v>
      </c>
      <c r="V50" s="6" t="str">
        <f>IF(OR(INDEX(Auction!$H$13:$H$656,MATCH(B50,Auction!$A$13:$A$656,0))&gt;0,IFERROR(INDEX(CheatSheet!$V$5:$V$64,MATCH(B50,CheatSheet!$S$5:$S$64,0)),"")&lt;&gt;""),"Yes","No")</f>
        <v>No</v>
      </c>
      <c r="W50" s="179"/>
      <c r="Y50" s="114">
        <f ca="1">IFERROR(SUMIFS($Z$3:$Z212,$Z$3:$Z$195,"&gt;0",$V$3:$V$195,"No")/SUMIF($Z$3:$Z$195,"&gt;0"),0)</f>
        <v>0</v>
      </c>
      <c r="Z50">
        <f t="shared" ca="1" si="2"/>
        <v>6.6299999999999955</v>
      </c>
      <c r="AA50" s="116" t="str">
        <f t="shared" ca="1" si="1"/>
        <v>WR8</v>
      </c>
      <c r="AB50">
        <f ca="1">Z50*LeagueInfo!$H$5</f>
        <v>2.4413539024610227</v>
      </c>
    </row>
    <row r="51" spans="1:28" ht="15.75" thickBot="1" x14ac:dyDescent="0.3">
      <c r="A51">
        <f>RANK(P51,P$3:P$213)</f>
        <v>49</v>
      </c>
      <c r="B51" t="str">
        <f>WR_Raw!A49</f>
        <v>Mecole Hardman</v>
      </c>
      <c r="C51" t="s">
        <v>35</v>
      </c>
      <c r="D51">
        <f>_xlfn.IFNA(INDEX(BYEs!$E$2:$E$411,MATCH(B51,BYEs!$D$2:$D$411,0)),"N/A")</f>
        <v>23</v>
      </c>
      <c r="E51">
        <f>INDEX(BYEs!$B$2:$B$34,MATCH(F51,BYEs!$A$2:$A$34,0))</f>
        <v>8</v>
      </c>
      <c r="F51" t="str">
        <f>WR_Raw!B49</f>
        <v>KC</v>
      </c>
      <c r="G51" s="206">
        <v>0</v>
      </c>
      <c r="H51" s="207">
        <v>0</v>
      </c>
      <c r="I51" s="204">
        <f>WR_Raw!F49</f>
        <v>8.4</v>
      </c>
      <c r="J51" s="204">
        <f>WR_Raw!G49</f>
        <v>59</v>
      </c>
      <c r="K51" s="204">
        <f>WR_Raw!H49</f>
        <v>0.4</v>
      </c>
      <c r="L51" s="206">
        <f>WR_Raw!C49</f>
        <v>57.7</v>
      </c>
      <c r="M51" s="204">
        <f>WR_Raw!D49</f>
        <v>725.9</v>
      </c>
      <c r="N51" s="207">
        <f>WR_Raw!E49</f>
        <v>4.5999999999999996</v>
      </c>
      <c r="O51" s="204">
        <f>WR_Raw!I49</f>
        <v>1</v>
      </c>
      <c r="P51" s="208">
        <f>(J51*WRRushingYd)+(K51*WRRushingTD)+(L51*WRRec)+(M51*WRRecYd)+(N51*WRRecTD)+(O51*WRFuml)+(I51*WRRushAtt)</f>
        <v>135.34</v>
      </c>
      <c r="Q51" t="str">
        <f ca="1">IF(A51&lt;=WRStarters,"Starter",IF(A51&gt;WRStarters+WRBench,"Undrafted","Bench"))</f>
        <v>Bench</v>
      </c>
      <c r="R51">
        <f ca="1">IFERROR(MAX(P51-LARGE(WRSheetCount,WRStarters),0),0)</f>
        <v>0</v>
      </c>
      <c r="S51">
        <f ca="1">IFERROR(IF(AllowNegative="Yes",P51-LARGE(WRSheetCount,WRCount),MAX(P51-LARGE(WRSheetCount,WRCount),0)),0)</f>
        <v>11.730000000000018</v>
      </c>
      <c r="T51" s="85">
        <f ca="1">(S51-R51)*BenchPF+R51*StarterPF</f>
        <v>2.1268472640574592</v>
      </c>
      <c r="U51" s="85">
        <f ca="1">T51*Auction!$A$2</f>
        <v>2.1268472640574592</v>
      </c>
      <c r="V51" s="6" t="str">
        <f>IF(OR(INDEX(Auction!$H$13:$H$656,MATCH(B51,Auction!$A$13:$A$656,0))&gt;0,IFERROR(INDEX(CheatSheet!$V$5:$V$64,MATCH(B51,CheatSheet!$S$5:$S$64,0)),"")&lt;&gt;""),"Yes","No")</f>
        <v>No</v>
      </c>
      <c r="W51" s="179"/>
      <c r="Y51" s="114">
        <f ca="1">IFERROR(SUMIFS($Z$3:$Z212,$Z$3:$Z$195,"&gt;0",$V$3:$V$195,"No")/SUMIF($Z$3:$Z$195,"&gt;0"),0)</f>
        <v>0</v>
      </c>
      <c r="Z51">
        <f t="shared" ca="1" si="2"/>
        <v>5.8650000000000091</v>
      </c>
      <c r="AA51" s="116" t="str">
        <f t="shared" ca="1" si="1"/>
        <v>WR8</v>
      </c>
      <c r="AB51">
        <f ca="1">Z51*LeagueInfo!$H$5</f>
        <v>2.1596592214078325</v>
      </c>
    </row>
    <row r="52" spans="1:28" ht="15.75" thickBot="1" x14ac:dyDescent="0.3">
      <c r="A52">
        <f>RANK(P52,P$3:P$213)</f>
        <v>50</v>
      </c>
      <c r="B52" t="str">
        <f>WR_Raw!A51</f>
        <v>DeVante Parker</v>
      </c>
      <c r="C52" t="s">
        <v>35</v>
      </c>
      <c r="D52">
        <f>_xlfn.IFNA(INDEX(BYEs!$E$2:$E$411,MATCH(B52,BYEs!$D$2:$D$411,0)),"N/A")</f>
        <v>28</v>
      </c>
      <c r="E52">
        <f>INDEX(BYEs!$B$2:$B$34,MATCH(F52,BYEs!$A$2:$A$34,0))</f>
        <v>10</v>
      </c>
      <c r="F52" t="str">
        <f>WR_Raw!B51</f>
        <v>NE</v>
      </c>
      <c r="G52" s="206">
        <v>0</v>
      </c>
      <c r="H52" s="207">
        <v>0</v>
      </c>
      <c r="I52" s="204">
        <f>WR_Raw!F51</f>
        <v>0</v>
      </c>
      <c r="J52" s="204">
        <f>WR_Raw!G51</f>
        <v>0</v>
      </c>
      <c r="K52" s="204">
        <f>WR_Raw!H51</f>
        <v>0</v>
      </c>
      <c r="L52" s="206">
        <f>WR_Raw!C51</f>
        <v>57.4</v>
      </c>
      <c r="M52" s="204">
        <f>WR_Raw!D51</f>
        <v>765.8</v>
      </c>
      <c r="N52" s="207">
        <f>WR_Raw!E51</f>
        <v>4.8</v>
      </c>
      <c r="O52" s="204">
        <f>WR_Raw!I51</f>
        <v>0.4</v>
      </c>
      <c r="P52" s="208">
        <f>(J52*WRRushingYd)+(K52*WRRushingTD)+(L52*WRRec)+(M52*WRRecYd)+(N52*WRRecTD)+(O52*WRFuml)+(I52*WRRushAtt)</f>
        <v>133.27999999999997</v>
      </c>
      <c r="Q52" t="str">
        <f ca="1">IF(A52&lt;=WRStarters,"Starter",IF(A52&gt;WRStarters+WRBench,"Undrafted","Bench"))</f>
        <v>Bench</v>
      </c>
      <c r="R52">
        <f ca="1">IFERROR(MAX(P52-LARGE(WRSheetCount,WRStarters),0),0)</f>
        <v>0</v>
      </c>
      <c r="S52">
        <f ca="1">IFERROR(IF(AllowNegative="Yes",P52-LARGE(WRSheetCount,WRCount),MAX(P52-LARGE(WRSheetCount,WRCount),0)),0)</f>
        <v>9.6699999999999875</v>
      </c>
      <c r="T52" s="85">
        <f ca="1">(S52-R52)*BenchPF+R52*StarterPF</f>
        <v>1.7533344453056754</v>
      </c>
      <c r="U52" s="85">
        <f ca="1">T52*Auction!$A$2</f>
        <v>1.7533344453056754</v>
      </c>
      <c r="V52" s="6" t="str">
        <f>IF(OR(INDEX(Auction!$H$13:$H$656,MATCH(B52,Auction!$A$13:$A$656,0))&gt;0,IFERROR(INDEX(CheatSheet!$V$5:$V$64,MATCH(B52,CheatSheet!$S$5:$S$64,0)),"")&lt;&gt;""),"Yes","No")</f>
        <v>No</v>
      </c>
      <c r="W52" s="179"/>
      <c r="Y52" s="114">
        <f ca="1">IFERROR(SUMIFS($Z$3:$Z212,$Z$3:$Z$195,"&gt;0",$V$3:$V$195,"No")/SUMIF($Z$3:$Z$195,"&gt;0"),0)</f>
        <v>0</v>
      </c>
      <c r="Z52">
        <f t="shared" ca="1" si="2"/>
        <v>4.8349999999999937</v>
      </c>
      <c r="AA52" s="116" t="str">
        <f t="shared" ca="1" si="1"/>
        <v>WR8</v>
      </c>
      <c r="AB52">
        <f ca="1">Z52*LeagueInfo!$H$5</f>
        <v>1.78038402992444</v>
      </c>
    </row>
    <row r="53" spans="1:28" ht="15.75" thickBot="1" x14ac:dyDescent="0.3">
      <c r="A53">
        <f>RANK(P53,P$3:P$213)</f>
        <v>51</v>
      </c>
      <c r="B53" t="str">
        <f>WR_Raw!A47</f>
        <v>Marquez Valdes-Scantling</v>
      </c>
      <c r="C53" t="s">
        <v>35</v>
      </c>
      <c r="D53">
        <f>_xlfn.IFNA(INDEX(BYEs!$E$2:$E$411,MATCH(B53,BYEs!$D$2:$D$411,0)),"N/A")</f>
        <v>26</v>
      </c>
      <c r="E53">
        <f>INDEX(BYEs!$B$2:$B$34,MATCH(F53,BYEs!$A$2:$A$34,0))</f>
        <v>8</v>
      </c>
      <c r="F53" t="str">
        <f>WR_Raw!B47</f>
        <v>KC</v>
      </c>
      <c r="G53" s="206">
        <v>0</v>
      </c>
      <c r="H53" s="207">
        <v>0</v>
      </c>
      <c r="I53" s="204">
        <f>WR_Raw!F47</f>
        <v>0.6</v>
      </c>
      <c r="J53" s="204">
        <f>WR_Raw!G47</f>
        <v>3.2</v>
      </c>
      <c r="K53" s="204">
        <f>WR_Raw!H47</f>
        <v>0</v>
      </c>
      <c r="L53" s="206">
        <f>WR_Raw!C47</f>
        <v>47.5</v>
      </c>
      <c r="M53" s="204">
        <f>WR_Raw!D47</f>
        <v>774.9</v>
      </c>
      <c r="N53" s="207">
        <f>WR_Raw!E47</f>
        <v>5.0999999999999996</v>
      </c>
      <c r="O53" s="204">
        <f>WR_Raw!I47</f>
        <v>0.1</v>
      </c>
      <c r="P53" s="208">
        <f>(J53*WRRushingYd)+(K53*WRRushingTD)+(L53*WRRec)+(M53*WRRecYd)+(N53*WRRecTD)+(O53*WRFuml)+(I53*WRRushAtt)</f>
        <v>131.96</v>
      </c>
      <c r="Q53" t="str">
        <f ca="1">IF(A53&lt;=WRStarters,"Starter",IF(A53&gt;WRStarters+WRBench,"Undrafted","Bench"))</f>
        <v>Bench</v>
      </c>
      <c r="R53">
        <f ca="1">IFERROR(MAX(P53-LARGE(WRSheetCount,WRStarters),0),0)</f>
        <v>0</v>
      </c>
      <c r="S53">
        <f ca="1">IFERROR(IF(AllowNegative="Yes",P53-LARGE(WRSheetCount,WRCount),MAX(P53-LARGE(WRSheetCount,WRCount),0)),0)</f>
        <v>8.3500000000000227</v>
      </c>
      <c r="T53" s="85">
        <f ca="1">(S53-R53)*BenchPF+R53*StarterPF</f>
        <v>1.513996134260853</v>
      </c>
      <c r="U53" s="85">
        <f ca="1">T53*Auction!$A$2</f>
        <v>1.513996134260853</v>
      </c>
      <c r="V53" s="6" t="str">
        <f>IF(OR(INDEX(Auction!$H$13:$H$656,MATCH(B53,Auction!$A$13:$A$656,0))&gt;0,IFERROR(INDEX(CheatSheet!$V$5:$V$64,MATCH(B53,CheatSheet!$S$5:$S$64,0)),"")&lt;&gt;""),"Yes","No")</f>
        <v>No</v>
      </c>
      <c r="W53" s="179"/>
      <c r="Y53" s="114">
        <f ca="1">IFERROR(SUMIFS($Z$3:$Z212,$Z$3:$Z$195,"&gt;0",$V$3:$V$195,"No")/SUMIF($Z$3:$Z$195,"&gt;0"),0)</f>
        <v>0</v>
      </c>
      <c r="Z53">
        <f t="shared" ca="1" si="2"/>
        <v>4.1750000000000114</v>
      </c>
      <c r="AA53" s="116" t="str">
        <f t="shared" ca="1" si="1"/>
        <v>WR8</v>
      </c>
      <c r="AB53">
        <f ca="1">Z53*LeagueInfo!$H$5</f>
        <v>1.5373533247020821</v>
      </c>
    </row>
    <row r="54" spans="1:28" ht="15.75" thickBot="1" x14ac:dyDescent="0.3">
      <c r="A54">
        <f>RANK(P54,P$3:P$213)</f>
        <v>52</v>
      </c>
      <c r="B54" t="str">
        <f>WR_Raw!A55</f>
        <v>Tyler Boyd</v>
      </c>
      <c r="C54" t="s">
        <v>35</v>
      </c>
      <c r="D54">
        <f>_xlfn.IFNA(INDEX(BYEs!$E$2:$E$411,MATCH(B54,BYEs!$D$2:$D$411,0)),"N/A")</f>
        <v>26</v>
      </c>
      <c r="E54">
        <f>INDEX(BYEs!$B$2:$B$34,MATCH(F54,BYEs!$A$2:$A$34,0))</f>
        <v>10</v>
      </c>
      <c r="F54" t="str">
        <f>WR_Raw!B55</f>
        <v>CIN</v>
      </c>
      <c r="G54" s="206">
        <v>0</v>
      </c>
      <c r="H54" s="207">
        <v>0</v>
      </c>
      <c r="I54" s="204">
        <f>WR_Raw!F55</f>
        <v>2.7</v>
      </c>
      <c r="J54" s="204">
        <f>WR_Raw!G55</f>
        <v>19</v>
      </c>
      <c r="K54" s="204">
        <f>WR_Raw!H55</f>
        <v>0</v>
      </c>
      <c r="L54" s="206">
        <f>WR_Raw!C55</f>
        <v>63.4</v>
      </c>
      <c r="M54" s="204">
        <f>WR_Raw!D55</f>
        <v>732.4</v>
      </c>
      <c r="N54" s="207">
        <f>WR_Raw!E55</f>
        <v>4.2</v>
      </c>
      <c r="O54" s="204">
        <f>WR_Raw!I55</f>
        <v>0.5</v>
      </c>
      <c r="P54" s="208">
        <f>(J54*WRRushingYd)+(K54*WRRushingTD)+(L54*WRRec)+(M54*WRRecYd)+(N54*WRRecTD)+(O54*WRFuml)+(I54*WRRushAtt)</f>
        <v>131.04000000000002</v>
      </c>
      <c r="Q54" t="str">
        <f ca="1">IF(A54&lt;=WRStarters,"Starter",IF(A54&gt;WRStarters+WRBench,"Undrafted","Bench"))</f>
        <v>Bench</v>
      </c>
      <c r="R54">
        <f ca="1">IFERROR(MAX(P54-LARGE(WRSheetCount,WRStarters),0),0)</f>
        <v>0</v>
      </c>
      <c r="S54">
        <f ca="1">IFERROR(IF(AllowNegative="Yes",P54-LARGE(WRSheetCount,WRCount),MAX(P54-LARGE(WRSheetCount,WRCount),0)),0)</f>
        <v>7.4300000000000352</v>
      </c>
      <c r="T54" s="85">
        <f ca="1">(S54-R54)*BenchPF+R54*StarterPF</f>
        <v>1.3471845841387018</v>
      </c>
      <c r="U54" s="85">
        <f ca="1">T54*Auction!$A$2</f>
        <v>1.3471845841387018</v>
      </c>
      <c r="V54" s="6" t="str">
        <f>IF(OR(INDEX(Auction!$H$13:$H$656,MATCH(B54,Auction!$A$13:$A$656,0))&gt;0,IFERROR(INDEX(CheatSheet!$V$5:$V$64,MATCH(B54,CheatSheet!$S$5:$S$64,0)),"")&lt;&gt;""),"Yes","No")</f>
        <v>No</v>
      </c>
      <c r="W54" s="179"/>
      <c r="Y54" s="114">
        <f ca="1">IFERROR(SUMIFS($Z$3:$Z212,$Z$3:$Z$195,"&gt;0",$V$3:$V$195,"No")/SUMIF($Z$3:$Z$195,"&gt;0"),0)</f>
        <v>0</v>
      </c>
      <c r="Z54">
        <f t="shared" ca="1" si="2"/>
        <v>3.7150000000000176</v>
      </c>
      <c r="AA54" s="116" t="str">
        <f t="shared" ca="1" si="1"/>
        <v>WR8</v>
      </c>
      <c r="AB54">
        <f ca="1">Z54*LeagueInfo!$H$5</f>
        <v>1.3679682877289212</v>
      </c>
    </row>
    <row r="55" spans="1:28" ht="15.75" thickBot="1" x14ac:dyDescent="0.3">
      <c r="A55">
        <f>RANK(P55,P$3:P$213)</f>
        <v>53</v>
      </c>
      <c r="B55" t="str">
        <f>WR_Raw!A54</f>
        <v>Kenny Golladay</v>
      </c>
      <c r="C55" t="s">
        <v>35</v>
      </c>
      <c r="D55">
        <f>_xlfn.IFNA(INDEX(BYEs!$E$2:$E$411,MATCH(B55,BYEs!$D$2:$D$411,0)),"N/A")</f>
        <v>27</v>
      </c>
      <c r="E55">
        <f>INDEX(BYEs!$B$2:$B$34,MATCH(F55,BYEs!$A$2:$A$34,0))</f>
        <v>9</v>
      </c>
      <c r="F55" t="str">
        <f>WR_Raw!B54</f>
        <v>NYG</v>
      </c>
      <c r="G55" s="206">
        <v>0</v>
      </c>
      <c r="H55" s="207">
        <v>0</v>
      </c>
      <c r="I55" s="204">
        <f>WR_Raw!F54</f>
        <v>0</v>
      </c>
      <c r="J55" s="204">
        <f>WR_Raw!G54</f>
        <v>0</v>
      </c>
      <c r="K55" s="204">
        <f>WR_Raw!H54</f>
        <v>0</v>
      </c>
      <c r="L55" s="206">
        <f>WR_Raw!C54</f>
        <v>54.4</v>
      </c>
      <c r="M55" s="204">
        <f>WR_Raw!D54</f>
        <v>770.4</v>
      </c>
      <c r="N55" s="207">
        <f>WR_Raw!E54</f>
        <v>4.2</v>
      </c>
      <c r="O55" s="204">
        <f>WR_Raw!I54</f>
        <v>0.4</v>
      </c>
      <c r="P55" s="208">
        <f>(J55*WRRushingYd)+(K55*WRRushingTD)+(L55*WRRec)+(M55*WRRecYd)+(N55*WRRecTD)+(O55*WRFuml)+(I55*WRRushAtt)</f>
        <v>128.63999999999999</v>
      </c>
      <c r="Q55" t="str">
        <f ca="1">IF(A55&lt;=WRStarters,"Starter",IF(A55&gt;WRStarters+WRBench,"Undrafted","Bench"))</f>
        <v>Bench</v>
      </c>
      <c r="R55">
        <f ca="1">IFERROR(MAX(P55-LARGE(WRSheetCount,WRStarters),0),0)</f>
        <v>0</v>
      </c>
      <c r="S55">
        <f ca="1">IFERROR(IF(AllowNegative="Yes",P55-LARGE(WRSheetCount,WRCount),MAX(P55-LARGE(WRSheetCount,WRCount),0)),0)</f>
        <v>5.0300000000000011</v>
      </c>
      <c r="T55" s="85">
        <f ca="1">(S55-R55)*BenchPF+R55*StarterPF</f>
        <v>0.91202401860264326</v>
      </c>
      <c r="U55" s="85">
        <f ca="1">T55*Auction!$A$2</f>
        <v>0.91202401860264326</v>
      </c>
      <c r="V55" s="6" t="str">
        <f>IF(OR(INDEX(Auction!$H$13:$H$656,MATCH(B55,Auction!$A$13:$A$656,0))&gt;0,IFERROR(INDEX(CheatSheet!$V$5:$V$64,MATCH(B55,CheatSheet!$S$5:$S$64,0)),"")&lt;&gt;""),"Yes","No")</f>
        <v>No</v>
      </c>
      <c r="W55" s="179"/>
      <c r="Y55" s="114">
        <f ca="1">IFERROR(SUMIFS($Z$3:$Z212,$Z$3:$Z$195,"&gt;0",$V$3:$V$195,"No")/SUMIF($Z$3:$Z$195,"&gt;0"),0)</f>
        <v>0</v>
      </c>
      <c r="Z55">
        <f t="shared" ca="1" si="2"/>
        <v>2.5150000000000006</v>
      </c>
      <c r="AA55" s="116" t="str">
        <f t="shared" ca="1" si="1"/>
        <v>WR8</v>
      </c>
      <c r="AB55">
        <f ca="1">Z55*LeagueInfo!$H$5</f>
        <v>0.92609427823370705</v>
      </c>
    </row>
    <row r="56" spans="1:28" ht="15.75" thickBot="1" x14ac:dyDescent="0.3">
      <c r="A56">
        <f>RANK(P56,P$3:P$213)</f>
        <v>54</v>
      </c>
      <c r="B56" t="str">
        <f>WR_Raw!A56</f>
        <v>Marvin Jones Jr.</v>
      </c>
      <c r="C56" t="s">
        <v>35</v>
      </c>
      <c r="D56" t="str">
        <f>_xlfn.IFNA(INDEX(BYEs!$E$2:$E$411,MATCH(B56,BYEs!$D$2:$D$411,0)),"N/A")</f>
        <v>N/A</v>
      </c>
      <c r="E56">
        <f>INDEX(BYEs!$B$2:$B$34,MATCH(F56,BYEs!$A$2:$A$34,0))</f>
        <v>11</v>
      </c>
      <c r="F56" t="str">
        <f>WR_Raw!B56</f>
        <v>JAC</v>
      </c>
      <c r="G56" s="206">
        <v>0</v>
      </c>
      <c r="H56" s="207">
        <v>0</v>
      </c>
      <c r="I56" s="204">
        <f>WR_Raw!F56</f>
        <v>0</v>
      </c>
      <c r="J56" s="204">
        <f>WR_Raw!G56</f>
        <v>0</v>
      </c>
      <c r="K56" s="204">
        <f>WR_Raw!H56</f>
        <v>0</v>
      </c>
      <c r="L56" s="206">
        <f>WR_Raw!C56</f>
        <v>58.1</v>
      </c>
      <c r="M56" s="204">
        <f>WR_Raw!D56</f>
        <v>704.5</v>
      </c>
      <c r="N56" s="207">
        <f>WR_Raw!E56</f>
        <v>4.9000000000000004</v>
      </c>
      <c r="O56" s="204">
        <f>WR_Raw!I56</f>
        <v>0.4</v>
      </c>
      <c r="P56" s="208">
        <f>(J56*WRRushingYd)+(K56*WRRushingTD)+(L56*WRRec)+(M56*WRRecYd)+(N56*WRRecTD)+(O56*WRFuml)+(I56*WRRushAtt)</f>
        <v>128.1</v>
      </c>
      <c r="Q56" t="str">
        <f ca="1">IF(A56&lt;=WRStarters,"Starter",IF(A56&gt;WRStarters+WRBench,"Undrafted","Bench"))</f>
        <v>Bench</v>
      </c>
      <c r="R56">
        <f ca="1">IFERROR(MAX(P56-LARGE(WRSheetCount,WRStarters),0),0)</f>
        <v>0</v>
      </c>
      <c r="S56">
        <f ca="1">IFERROR(IF(AllowNegative="Yes",P56-LARGE(WRSheetCount,WRCount),MAX(P56-LARGE(WRSheetCount,WRCount),0)),0)</f>
        <v>4.4900000000000091</v>
      </c>
      <c r="T56" s="85">
        <f ca="1">(S56-R56)*BenchPF+R56*StarterPF</f>
        <v>0.81411289135703291</v>
      </c>
      <c r="U56" s="85">
        <f ca="1">T56*Auction!$A$2</f>
        <v>0.81411289135703291</v>
      </c>
      <c r="V56" s="6" t="str">
        <f>IF(OR(INDEX(Auction!$H$13:$H$656,MATCH(B56,Auction!$A$13:$A$656,0))&gt;0,IFERROR(INDEX(CheatSheet!$V$5:$V$64,MATCH(B56,CheatSheet!$S$5:$S$64,0)),"")&lt;&gt;""),"Yes","No")</f>
        <v>No</v>
      </c>
      <c r="W56" s="179"/>
      <c r="Y56" s="114">
        <f ca="1">IFERROR(SUMIFS($Z$3:$Z212,$Z$3:$Z$195,"&gt;0",$V$3:$V$195,"No")/SUMIF($Z$3:$Z$195,"&gt;0"),0)</f>
        <v>0</v>
      </c>
      <c r="Z56">
        <f t="shared" ca="1" si="2"/>
        <v>2.2450000000000045</v>
      </c>
      <c r="AA56" s="116" t="str">
        <f t="shared" ca="1" si="1"/>
        <v>WR8</v>
      </c>
      <c r="AB56">
        <f ca="1">Z56*LeagueInfo!$H$5</f>
        <v>0.82667262609728664</v>
      </c>
    </row>
    <row r="57" spans="1:28" ht="15.75" thickBot="1" x14ac:dyDescent="0.3">
      <c r="A57">
        <f>RANK(P57,P$3:P$213)</f>
        <v>55</v>
      </c>
      <c r="B57" t="str">
        <f>WR_Raw!A53</f>
        <v>Michael Gallup</v>
      </c>
      <c r="C57" t="s">
        <v>35</v>
      </c>
      <c r="D57">
        <f>_xlfn.IFNA(INDEX(BYEs!$E$2:$E$411,MATCH(B57,BYEs!$D$2:$D$411,0)),"N/A")</f>
        <v>25</v>
      </c>
      <c r="E57">
        <f>INDEX(BYEs!$B$2:$B$34,MATCH(F57,BYEs!$A$2:$A$34,0))</f>
        <v>9</v>
      </c>
      <c r="F57" t="str">
        <f>WR_Raw!B53</f>
        <v>DAL</v>
      </c>
      <c r="G57" s="206">
        <v>0</v>
      </c>
      <c r="H57" s="207">
        <v>0</v>
      </c>
      <c r="I57" s="204">
        <f>WR_Raw!F53</f>
        <v>2</v>
      </c>
      <c r="J57" s="204">
        <f>WR_Raw!G53</f>
        <v>14.2</v>
      </c>
      <c r="K57" s="204">
        <f>WR_Raw!H53</f>
        <v>0</v>
      </c>
      <c r="L57" s="206">
        <f>WR_Raw!C53</f>
        <v>51.1</v>
      </c>
      <c r="M57" s="204">
        <f>WR_Raw!D53</f>
        <v>720</v>
      </c>
      <c r="N57" s="207">
        <f>WR_Raw!E53</f>
        <v>4.9000000000000004</v>
      </c>
      <c r="O57" s="204">
        <f>WR_Raw!I53</f>
        <v>0.4</v>
      </c>
      <c r="P57" s="208">
        <f>(J57*WRRushingYd)+(K57*WRRushingTD)+(L57*WRRec)+(M57*WRRecYd)+(N57*WRRecTD)+(O57*WRFuml)+(I57*WRRushAtt)</f>
        <v>127.57000000000001</v>
      </c>
      <c r="Q57" t="str">
        <f ca="1">IF(A57&lt;=WRStarters,"Starter",IF(A57&gt;WRStarters+WRBench,"Undrafted","Bench"))</f>
        <v>Bench</v>
      </c>
      <c r="R57">
        <f ca="1">IFERROR(MAX(P57-LARGE(WRSheetCount,WRStarters),0),0)</f>
        <v>0</v>
      </c>
      <c r="S57">
        <f ca="1">IFERROR(IF(AllowNegative="Yes",P57-LARGE(WRSheetCount,WRCount),MAX(P57-LARGE(WRSheetCount,WRCount),0)),0)</f>
        <v>3.9600000000000222</v>
      </c>
      <c r="T57" s="85">
        <f ca="1">(S57-R57)*BenchPF+R57*StarterPF</f>
        <v>0.71801493313449039</v>
      </c>
      <c r="U57" s="85">
        <f ca="1">T57*Auction!$A$2</f>
        <v>0.71801493313449039</v>
      </c>
      <c r="V57" s="6" t="str">
        <f>IF(OR(INDEX(Auction!$H$13:$H$656,MATCH(B57,Auction!$A$13:$A$656,0))&gt;0,IFERROR(INDEX(CheatSheet!$V$5:$V$64,MATCH(B57,CheatSheet!$S$5:$S$64,0)),"")&lt;&gt;""),"Yes","No")</f>
        <v>No</v>
      </c>
      <c r="W57" s="179"/>
      <c r="Y57" s="114">
        <f ca="1">IFERROR(SUMIFS($Z$3:$Z212,$Z$3:$Z$195,"&gt;0",$V$3:$V$195,"No")/SUMIF($Z$3:$Z$195,"&gt;0"),0)</f>
        <v>0</v>
      </c>
      <c r="Z57">
        <f t="shared" ca="1" si="2"/>
        <v>1.9800000000000111</v>
      </c>
      <c r="AA57" s="116" t="str">
        <f t="shared" ca="1" si="1"/>
        <v>WR9</v>
      </c>
      <c r="AB57">
        <f ca="1">Z57*LeagueInfo!$H$5</f>
        <v>0.72909211566709731</v>
      </c>
    </row>
    <row r="58" spans="1:28" ht="15.75" thickBot="1" x14ac:dyDescent="0.3">
      <c r="A58">
        <f>RANK(P58,P$3:P$213)</f>
        <v>56</v>
      </c>
      <c r="B58" t="str">
        <f>WR_Raw!A58</f>
        <v>Jarvis Landry</v>
      </c>
      <c r="C58" t="s">
        <v>35</v>
      </c>
      <c r="D58">
        <f>_xlfn.IFNA(INDEX(BYEs!$E$2:$E$411,MATCH(B58,BYEs!$D$2:$D$411,0)),"N/A")</f>
        <v>28</v>
      </c>
      <c r="E58">
        <f>INDEX(BYEs!$B$2:$B$34,MATCH(F58,BYEs!$A$2:$A$34,0))</f>
        <v>14</v>
      </c>
      <c r="F58" t="str">
        <f>WR_Raw!B58</f>
        <v>NO</v>
      </c>
      <c r="G58" s="206">
        <v>0</v>
      </c>
      <c r="H58" s="207">
        <v>0</v>
      </c>
      <c r="I58" s="204">
        <f>WR_Raw!F58</f>
        <v>3</v>
      </c>
      <c r="J58" s="204">
        <f>WR_Raw!G58</f>
        <v>16.5</v>
      </c>
      <c r="K58" s="204">
        <f>WR_Raw!H58</f>
        <v>0.3</v>
      </c>
      <c r="L58" s="206">
        <f>WR_Raw!C58</f>
        <v>57.8</v>
      </c>
      <c r="M58" s="204">
        <f>WR_Raw!D58</f>
        <v>694.5</v>
      </c>
      <c r="N58" s="207">
        <f>WR_Raw!E58</f>
        <v>4.2</v>
      </c>
      <c r="O58" s="204">
        <f>WR_Raw!I58</f>
        <v>0.6</v>
      </c>
      <c r="P58" s="208">
        <f>(J58*WRRushingYd)+(K58*WRRushingTD)+(L58*WRRec)+(M58*WRRecYd)+(N58*WRRecTD)+(O58*WRFuml)+(I58*WRRushAtt)</f>
        <v>125.80000000000001</v>
      </c>
      <c r="Q58" t="str">
        <f ca="1">IF(A58&lt;=WRStarters,"Starter",IF(A58&gt;WRStarters+WRBench,"Undrafted","Bench"))</f>
        <v>Bench</v>
      </c>
      <c r="R58">
        <f ca="1">IFERROR(MAX(P58-LARGE(WRSheetCount,WRStarters),0),0)</f>
        <v>0</v>
      </c>
      <c r="S58">
        <f ca="1">IFERROR(IF(AllowNegative="Yes",P58-LARGE(WRSheetCount,WRCount),MAX(P58-LARGE(WRSheetCount,WRCount),0)),0)</f>
        <v>2.1900000000000261</v>
      </c>
      <c r="T58" s="85">
        <f ca="1">(S58-R58)*BenchPF+R58*StarterPF</f>
        <v>0.3970840160516525</v>
      </c>
      <c r="U58" s="85">
        <f ca="1">T58*Auction!$A$2</f>
        <v>0.3970840160516525</v>
      </c>
      <c r="V58" s="6" t="str">
        <f>IF(OR(INDEX(Auction!$H$13:$H$656,MATCH(B58,Auction!$A$13:$A$656,0))&gt;0,IFERROR(INDEX(CheatSheet!$V$5:$V$64,MATCH(B58,CheatSheet!$S$5:$S$64,0)),"")&lt;&gt;""),"Yes","No")</f>
        <v>No</v>
      </c>
      <c r="W58" s="179"/>
      <c r="Y58" s="114">
        <f ca="1">IFERROR(SUMIFS($Z$3:$Z212,$Z$3:$Z$195,"&gt;0",$V$3:$V$195,"No")/SUMIF($Z$3:$Z$195,"&gt;0"),0)</f>
        <v>0</v>
      </c>
      <c r="Z58">
        <f t="shared" ca="1" si="2"/>
        <v>1.0950000000000131</v>
      </c>
      <c r="AA58" s="116" t="str">
        <f t="shared" ca="1" si="1"/>
        <v>WR9</v>
      </c>
      <c r="AB58">
        <f ca="1">Z58*LeagueInfo!$H$5</f>
        <v>0.40321003366438213</v>
      </c>
    </row>
    <row r="59" spans="1:28" ht="15.75" thickBot="1" x14ac:dyDescent="0.3">
      <c r="A59">
        <f>RANK(P59,P$3:P$213)</f>
        <v>57</v>
      </c>
      <c r="B59" t="str">
        <f>WR_Raw!A59</f>
        <v>Robbie Anderson</v>
      </c>
      <c r="C59" t="s">
        <v>35</v>
      </c>
      <c r="D59" t="str">
        <f>_xlfn.IFNA(INDEX(BYEs!$E$2:$E$411,MATCH(B59,BYEs!$D$2:$D$411,0)),"N/A")</f>
        <v>N/A</v>
      </c>
      <c r="E59">
        <f>INDEX(BYEs!$B$2:$B$34,MATCH(F59,BYEs!$A$2:$A$34,0))</f>
        <v>13</v>
      </c>
      <c r="F59" t="str">
        <f>WR_Raw!B59</f>
        <v>CAR</v>
      </c>
      <c r="G59" s="206">
        <v>0</v>
      </c>
      <c r="H59" s="207">
        <v>0</v>
      </c>
      <c r="I59" s="204">
        <f>WR_Raw!F59</f>
        <v>3.7</v>
      </c>
      <c r="J59" s="204">
        <f>WR_Raw!G59</f>
        <v>24.6</v>
      </c>
      <c r="K59" s="204">
        <f>WR_Raw!H59</f>
        <v>0.1</v>
      </c>
      <c r="L59" s="206">
        <f>WR_Raw!C59</f>
        <v>56.3</v>
      </c>
      <c r="M59" s="204">
        <f>WR_Raw!D59</f>
        <v>661.4</v>
      </c>
      <c r="N59" s="207">
        <f>WR_Raw!E59</f>
        <v>4.7</v>
      </c>
      <c r="O59" s="204">
        <f>WR_Raw!I59</f>
        <v>0.4</v>
      </c>
      <c r="P59" s="208">
        <f>(J59*WRRushingYd)+(K59*WRRushingTD)+(L59*WRRec)+(M59*WRRecYd)+(N59*WRRecTD)+(O59*WRFuml)+(I59*WRRushAtt)</f>
        <v>124.75</v>
      </c>
      <c r="Q59" t="str">
        <f ca="1">IF(A59&lt;=WRStarters,"Starter",IF(A59&gt;WRStarters+WRBench,"Undrafted","Bench"))</f>
        <v>Bench</v>
      </c>
      <c r="R59">
        <f ca="1">IFERROR(MAX(P59-LARGE(WRSheetCount,WRStarters),0),0)</f>
        <v>0</v>
      </c>
      <c r="S59">
        <f ca="1">IFERROR(IF(AllowNegative="Yes",P59-LARGE(WRSheetCount,WRCount),MAX(P59-LARGE(WRSheetCount,WRCount),0)),0)</f>
        <v>1.1400000000000148</v>
      </c>
      <c r="T59" s="85">
        <f ca="1">(S59-R59)*BenchPF+R59*StarterPF</f>
        <v>0.20670126862962754</v>
      </c>
      <c r="U59" s="85">
        <f ca="1">T59*Auction!$A$2</f>
        <v>0.20670126862962754</v>
      </c>
      <c r="V59" s="6" t="str">
        <f>IF(OR(INDEX(Auction!$H$13:$H$656,MATCH(B59,Auction!$A$13:$A$656,0))&gt;0,IFERROR(INDEX(CheatSheet!$V$5:$V$64,MATCH(B59,CheatSheet!$S$5:$S$64,0)),"")&lt;&gt;""),"Yes","No")</f>
        <v>No</v>
      </c>
      <c r="W59" s="179"/>
      <c r="Y59" s="114">
        <f ca="1">IFERROR(SUMIFS($Z$3:$Z212,$Z$3:$Z$195,"&gt;0",$V$3:$V$195,"No")/SUMIF($Z$3:$Z$195,"&gt;0"),0)</f>
        <v>0</v>
      </c>
      <c r="Z59">
        <f t="shared" ca="1" si="2"/>
        <v>0.57000000000000739</v>
      </c>
      <c r="AA59" s="116" t="str">
        <f t="shared" ca="1" si="1"/>
        <v>WR9</v>
      </c>
      <c r="AB59">
        <f ca="1">Z59*LeagueInfo!$H$5</f>
        <v>0.20989015451022652</v>
      </c>
    </row>
    <row r="60" spans="1:28" ht="15.75" thickBot="1" x14ac:dyDescent="0.3">
      <c r="A60">
        <f>RANK(P60,P$3:P$213)</f>
        <v>58</v>
      </c>
      <c r="B60" t="str">
        <f>WR_Raw!A57</f>
        <v>Chris Olave</v>
      </c>
      <c r="C60" t="s">
        <v>35</v>
      </c>
      <c r="D60" t="str">
        <f>_xlfn.IFNA(INDEX(BYEs!$E$2:$E$411,MATCH(B60,BYEs!$D$2:$D$411,0)),"N/A")</f>
        <v>N/A</v>
      </c>
      <c r="E60">
        <f>INDEX(BYEs!$B$2:$B$34,MATCH(F60,BYEs!$A$2:$A$34,0))</f>
        <v>14</v>
      </c>
      <c r="F60" t="str">
        <f>WR_Raw!B57</f>
        <v>NO</v>
      </c>
      <c r="G60" s="206">
        <v>0</v>
      </c>
      <c r="H60" s="207">
        <v>0</v>
      </c>
      <c r="I60" s="204">
        <f>WR_Raw!F57</f>
        <v>0.4</v>
      </c>
      <c r="J60" s="204">
        <f>WR_Raw!G57</f>
        <v>2.2000000000000002</v>
      </c>
      <c r="K60" s="204">
        <f>WR_Raw!H57</f>
        <v>0</v>
      </c>
      <c r="L60" s="206">
        <f>WR_Raw!C57</f>
        <v>50.2</v>
      </c>
      <c r="M60" s="204">
        <f>WR_Raw!D57</f>
        <v>716.9</v>
      </c>
      <c r="N60" s="207">
        <f>WR_Raw!E57</f>
        <v>4.5999999999999996</v>
      </c>
      <c r="O60" s="204">
        <f>WR_Raw!I57</f>
        <v>0.5</v>
      </c>
      <c r="P60" s="208">
        <f>(J60*WRRushingYd)+(K60*WRRushingTD)+(L60*WRRec)+(M60*WRRecYd)+(N60*WRRecTD)+(O60*WRFuml)+(I60*WRRushAtt)</f>
        <v>123.60999999999999</v>
      </c>
      <c r="Q60" t="str">
        <f ca="1">IF(A60&lt;=WRStarters,"Starter",IF(A60&gt;WRStarters+WRBench,"Undrafted","Bench"))</f>
        <v>Undrafted</v>
      </c>
      <c r="R60">
        <f ca="1">IFERROR(MAX(P60-LARGE(WRSheetCount,WRStarters),0),0)</f>
        <v>0</v>
      </c>
      <c r="S60">
        <f ca="1">IFERROR(IF(AllowNegative="Yes",P60-LARGE(WRSheetCount,WRCount),MAX(P60-LARGE(WRSheetCount,WRCount),0)),0)</f>
        <v>0</v>
      </c>
      <c r="T60" s="85">
        <f ca="1">(S60-R60)*BenchPF+R60*StarterPF</f>
        <v>0</v>
      </c>
      <c r="U60" s="85">
        <f ca="1">T60*Auction!$A$2</f>
        <v>0</v>
      </c>
      <c r="V60" s="6" t="str">
        <f>IF(OR(INDEX(Auction!$H$13:$H$656,MATCH(B60,Auction!$A$13:$A$656,0))&gt;0,IFERROR(INDEX(CheatSheet!$V$5:$V$64,MATCH(B60,CheatSheet!$S$5:$S$64,0)),"")&lt;&gt;""),"Yes","No")</f>
        <v>No</v>
      </c>
      <c r="W60" s="179"/>
      <c r="Y60" s="114">
        <f ca="1">IFERROR(SUMIFS($Z$3:$Z212,$Z$3:$Z$195,"&gt;0",$V$3:$V$195,"No")/SUMIF($Z$3:$Z$195,"&gt;0"),0)</f>
        <v>0</v>
      </c>
      <c r="Z60">
        <f t="shared" ca="1" si="2"/>
        <v>0</v>
      </c>
      <c r="AA60" s="116" t="str">
        <f t="shared" ca="1" si="1"/>
        <v>WR9</v>
      </c>
      <c r="AB60">
        <f ca="1">Z60*LeagueInfo!$H$5</f>
        <v>0</v>
      </c>
    </row>
    <row r="61" spans="1:28" ht="15.75" thickBot="1" x14ac:dyDescent="0.3">
      <c r="A61">
        <f>RANK(P61,P$3:P$213)</f>
        <v>59</v>
      </c>
      <c r="B61" t="str">
        <f>WR_Raw!A61</f>
        <v>Garrett Wilson</v>
      </c>
      <c r="C61" t="s">
        <v>35</v>
      </c>
      <c r="D61" t="str">
        <f>_xlfn.IFNA(INDEX(BYEs!$E$2:$E$411,MATCH(B61,BYEs!$D$2:$D$411,0)),"N/A")</f>
        <v>N/A</v>
      </c>
      <c r="E61">
        <f>INDEX(BYEs!$B$2:$B$34,MATCH(F61,BYEs!$A$2:$A$34,0))</f>
        <v>10</v>
      </c>
      <c r="F61" t="str">
        <f>WR_Raw!B61</f>
        <v>NYJ</v>
      </c>
      <c r="G61" s="206">
        <v>0</v>
      </c>
      <c r="H61" s="207">
        <v>0</v>
      </c>
      <c r="I61" s="204">
        <f>WR_Raw!F61</f>
        <v>1.8</v>
      </c>
      <c r="J61" s="204">
        <f>WR_Raw!G61</f>
        <v>13.2</v>
      </c>
      <c r="K61" s="204">
        <f>WR_Raw!H61</f>
        <v>0</v>
      </c>
      <c r="L61" s="206">
        <f>WR_Raw!C61</f>
        <v>52.7</v>
      </c>
      <c r="M61" s="204">
        <f>WR_Raw!D61</f>
        <v>719.9</v>
      </c>
      <c r="N61" s="207">
        <f>WR_Raw!E61</f>
        <v>3.9</v>
      </c>
      <c r="O61" s="204">
        <f>WR_Raw!I61</f>
        <v>0.8</v>
      </c>
      <c r="P61" s="208">
        <f>(J61*WRRushingYd)+(K61*WRRushingTD)+(L61*WRRec)+(M61*WRRecYd)+(N61*WRRecTD)+(O61*WRFuml)+(I61*WRRushAtt)</f>
        <v>121.46000000000001</v>
      </c>
      <c r="Q61" t="str">
        <f ca="1">IF(A61&lt;=WRStarters,"Starter",IF(A61&gt;WRStarters+WRBench,"Undrafted","Bench"))</f>
        <v>Undrafted</v>
      </c>
      <c r="R61">
        <f ca="1">IFERROR(MAX(P61-LARGE(WRSheetCount,WRStarters),0),0)</f>
        <v>0</v>
      </c>
      <c r="S61">
        <f ca="1">IFERROR(IF(AllowNegative="Yes",P61-LARGE(WRSheetCount,WRCount),MAX(P61-LARGE(WRSheetCount,WRCount),0)),0)</f>
        <v>-2.1499999999999773</v>
      </c>
      <c r="T61" s="85">
        <f ca="1">(S61-R61)*BenchPF+R61*StarterPF</f>
        <v>-0.38983133995937613</v>
      </c>
      <c r="U61" s="85">
        <f ca="1">T61*Auction!$A$2</f>
        <v>-0.38983133995937613</v>
      </c>
      <c r="V61" s="6" t="str">
        <f>IF(OR(INDEX(Auction!$H$13:$H$656,MATCH(B61,Auction!$A$13:$A$656,0))&gt;0,IFERROR(INDEX(CheatSheet!$V$5:$V$64,MATCH(B61,CheatSheet!$S$5:$S$64,0)),"")&lt;&gt;""),"Yes","No")</f>
        <v>No</v>
      </c>
      <c r="W61" s="179"/>
      <c r="Y61" s="114">
        <f ca="1">IFERROR(SUMIFS($Z$3:$Z212,$Z$3:$Z$195,"&gt;0",$V$3:$V$195,"No")/SUMIF($Z$3:$Z$195,"&gt;0"),0)</f>
        <v>0</v>
      </c>
      <c r="Z61">
        <f t="shared" ca="1" si="2"/>
        <v>-1.0749999999999886</v>
      </c>
      <c r="AA61" s="116" t="str">
        <f t="shared" ca="1" si="1"/>
        <v>WR9</v>
      </c>
      <c r="AB61">
        <f ca="1">Z61*LeagueInfo!$H$5</f>
        <v>-0.39584546683945299</v>
      </c>
    </row>
    <row r="62" spans="1:28" ht="15.75" thickBot="1" x14ac:dyDescent="0.3">
      <c r="A62">
        <f>RANK(P62,P$3:P$213)</f>
        <v>60</v>
      </c>
      <c r="B62" t="str">
        <f>WR_Raw!A60</f>
        <v>DJ Chark Jr.</v>
      </c>
      <c r="C62" t="s">
        <v>35</v>
      </c>
      <c r="D62" t="str">
        <f>_xlfn.IFNA(INDEX(BYEs!$E$2:$E$411,MATCH(B62,BYEs!$D$2:$D$411,0)),"N/A")</f>
        <v>N/A</v>
      </c>
      <c r="E62">
        <f>INDEX(BYEs!$B$2:$B$34,MATCH(F62,BYEs!$A$2:$A$34,0))</f>
        <v>6</v>
      </c>
      <c r="F62" t="str">
        <f>WR_Raw!B60</f>
        <v>DET</v>
      </c>
      <c r="G62" s="206">
        <v>0</v>
      </c>
      <c r="H62" s="207">
        <v>0</v>
      </c>
      <c r="I62" s="204">
        <f>WR_Raw!F60</f>
        <v>0.2</v>
      </c>
      <c r="J62" s="204">
        <f>WR_Raw!G60</f>
        <v>1.6</v>
      </c>
      <c r="K62" s="204">
        <f>WR_Raw!H60</f>
        <v>0</v>
      </c>
      <c r="L62" s="206">
        <f>WR_Raw!C60</f>
        <v>47.3</v>
      </c>
      <c r="M62" s="204">
        <f>WR_Raw!D60</f>
        <v>673.3</v>
      </c>
      <c r="N62" s="207">
        <f>WR_Raw!E60</f>
        <v>4.7</v>
      </c>
      <c r="O62" s="204">
        <f>WR_Raw!I60</f>
        <v>0.1</v>
      </c>
      <c r="P62" s="208">
        <f>(J62*WRRushingYd)+(K62*WRRushingTD)+(L62*WRRec)+(M62*WRRecYd)+(N62*WRRecTD)+(O62*WRFuml)+(I62*WRRushAtt)</f>
        <v>119.14</v>
      </c>
      <c r="Q62" t="str">
        <f ca="1">IF(A62&lt;=WRStarters,"Starter",IF(A62&gt;WRStarters+WRBench,"Undrafted","Bench"))</f>
        <v>Undrafted</v>
      </c>
      <c r="R62">
        <f ca="1">IFERROR(MAX(P62-LARGE(WRSheetCount,WRStarters),0),0)</f>
        <v>0</v>
      </c>
      <c r="S62">
        <f ca="1">IFERROR(IF(AllowNegative="Yes",P62-LARGE(WRSheetCount,WRCount),MAX(P62-LARGE(WRSheetCount,WRCount),0)),0)</f>
        <v>-4.4699999999999847</v>
      </c>
      <c r="T62" s="85">
        <f ca="1">(S62-R62)*BenchPF+R62*StarterPF</f>
        <v>-0.8104865533108947</v>
      </c>
      <c r="U62" s="85">
        <f ca="1">T62*Auction!$A$2</f>
        <v>-0.8104865533108947</v>
      </c>
      <c r="V62" s="6" t="str">
        <f>IF(OR(INDEX(Auction!$H$13:$H$656,MATCH(B62,Auction!$A$13:$A$656,0))&gt;0,IFERROR(INDEX(CheatSheet!$V$5:$V$64,MATCH(B62,CheatSheet!$S$5:$S$64,0)),"")&lt;&gt;""),"Yes","No")</f>
        <v>No</v>
      </c>
      <c r="W62" s="179"/>
      <c r="Y62" s="114">
        <f ca="1">IFERROR(SUMIFS($Z$3:$Z212,$Z$3:$Z$195,"&gt;0",$V$3:$V$195,"No")/SUMIF($Z$3:$Z$195,"&gt;0"),0)</f>
        <v>0</v>
      </c>
      <c r="Z62">
        <f t="shared" ca="1" si="2"/>
        <v>-2.2349999999999923</v>
      </c>
      <c r="AA62" s="116" t="str">
        <f t="shared" ca="1" si="1"/>
        <v>WR9</v>
      </c>
      <c r="AB62">
        <f ca="1">Z62*LeagueInfo!$H$5</f>
        <v>-0.82299034268482207</v>
      </c>
    </row>
    <row r="63" spans="1:28" ht="15.75" thickBot="1" x14ac:dyDescent="0.3">
      <c r="A63">
        <f>RANK(P63,P$3:P$213)</f>
        <v>61</v>
      </c>
      <c r="B63" t="str">
        <f>WR_Raw!A63</f>
        <v>Nico Collins</v>
      </c>
      <c r="C63" t="s">
        <v>35</v>
      </c>
      <c r="D63" t="str">
        <f>_xlfn.IFNA(INDEX(BYEs!$E$2:$E$411,MATCH(B63,BYEs!$D$2:$D$411,0)),"N/A")</f>
        <v>N/A</v>
      </c>
      <c r="E63">
        <f>INDEX(BYEs!$B$2:$B$34,MATCH(F63,BYEs!$A$2:$A$34,0))</f>
        <v>6</v>
      </c>
      <c r="F63" t="str">
        <f>WR_Raw!B63</f>
        <v>HOU</v>
      </c>
      <c r="G63" s="206">
        <v>0</v>
      </c>
      <c r="H63" s="207">
        <v>0</v>
      </c>
      <c r="I63" s="204">
        <f>WR_Raw!F63</f>
        <v>0</v>
      </c>
      <c r="J63" s="204">
        <f>WR_Raw!G63</f>
        <v>0</v>
      </c>
      <c r="K63" s="204">
        <f>WR_Raw!H63</f>
        <v>0</v>
      </c>
      <c r="L63" s="206">
        <f>WR_Raw!C63</f>
        <v>54.4</v>
      </c>
      <c r="M63" s="204">
        <f>WR_Raw!D63</f>
        <v>710.6</v>
      </c>
      <c r="N63" s="207">
        <f>WR_Raw!E63</f>
        <v>3.5</v>
      </c>
      <c r="O63" s="204">
        <f>WR_Raw!I63</f>
        <v>0.5</v>
      </c>
      <c r="P63" s="208">
        <f>(J63*WRRushingYd)+(K63*WRRushingTD)+(L63*WRRec)+(M63*WRRecYd)+(N63*WRRecTD)+(O63*WRFuml)+(I63*WRRushAtt)</f>
        <v>118.26</v>
      </c>
      <c r="Q63" t="str">
        <f ca="1">IF(A63&lt;=WRStarters,"Starter",IF(A63&gt;WRStarters+WRBench,"Undrafted","Bench"))</f>
        <v>Undrafted</v>
      </c>
      <c r="R63">
        <f ca="1">IFERROR(MAX(P63-LARGE(WRSheetCount,WRStarters),0),0)</f>
        <v>0</v>
      </c>
      <c r="S63">
        <f ca="1">IFERROR(IF(AllowNegative="Yes",P63-LARGE(WRSheetCount,WRCount),MAX(P63-LARGE(WRSheetCount,WRCount),0)),0)</f>
        <v>-5.3499999999999801</v>
      </c>
      <c r="T63" s="85">
        <f ca="1">(S63-R63)*BenchPF+R63*StarterPF</f>
        <v>-0.97004542734077981</v>
      </c>
      <c r="U63" s="85">
        <f ca="1">T63*Auction!$A$2</f>
        <v>-0.97004542734077981</v>
      </c>
      <c r="V63" s="6" t="str">
        <f>IF(OR(INDEX(Auction!$H$13:$H$656,MATCH(B63,Auction!$A$13:$A$656,0))&gt;0,IFERROR(INDEX(CheatSheet!$V$5:$V$64,MATCH(B63,CheatSheet!$S$5:$S$64,0)),"")&lt;&gt;""),"Yes","No")</f>
        <v>No</v>
      </c>
      <c r="W63" s="179"/>
      <c r="Y63" s="114">
        <f ca="1">IFERROR(SUMIFS($Z$3:$Z212,$Z$3:$Z$195,"&gt;0",$V$3:$V$195,"No")/SUMIF($Z$3:$Z$195,"&gt;0"),0)</f>
        <v>0</v>
      </c>
      <c r="Z63">
        <f t="shared" ca="1" si="2"/>
        <v>-2.6749999999999901</v>
      </c>
      <c r="AA63" s="116" t="str">
        <f t="shared" ca="1" si="1"/>
        <v>WR9</v>
      </c>
      <c r="AB63">
        <f ca="1">Z63*LeagueInfo!$H$5</f>
        <v>-0.98501081283306424</v>
      </c>
    </row>
    <row r="64" spans="1:28" ht="15.75" thickBot="1" x14ac:dyDescent="0.3">
      <c r="A64">
        <f>RANK(P64,P$3:P$213)</f>
        <v>62</v>
      </c>
      <c r="B64" t="str">
        <f>WR_Raw!A65</f>
        <v>George Pickens</v>
      </c>
      <c r="C64" t="s">
        <v>35</v>
      </c>
      <c r="D64" t="str">
        <f>_xlfn.IFNA(INDEX(BYEs!$E$2:$E$411,MATCH(B64,BYEs!$D$2:$D$411,0)),"N/A")</f>
        <v>N/A</v>
      </c>
      <c r="E64">
        <f>INDEX(BYEs!$B$2:$B$34,MATCH(F64,BYEs!$A$2:$A$34,0))</f>
        <v>9</v>
      </c>
      <c r="F64" t="str">
        <f>WR_Raw!B65</f>
        <v>PIT</v>
      </c>
      <c r="G64" s="206">
        <v>0</v>
      </c>
      <c r="H64" s="207">
        <v>0</v>
      </c>
      <c r="I64" s="204">
        <f>WR_Raw!F65</f>
        <v>0.4</v>
      </c>
      <c r="J64" s="204">
        <f>WR_Raw!G65</f>
        <v>1.8</v>
      </c>
      <c r="K64" s="204">
        <f>WR_Raw!H65</f>
        <v>0</v>
      </c>
      <c r="L64" s="206">
        <f>WR_Raw!C65</f>
        <v>55.5</v>
      </c>
      <c r="M64" s="204">
        <f>WR_Raw!D65</f>
        <v>692.6</v>
      </c>
      <c r="N64" s="207">
        <f>WR_Raw!E65</f>
        <v>3.7</v>
      </c>
      <c r="O64" s="204">
        <f>WR_Raw!I65</f>
        <v>0.8</v>
      </c>
      <c r="P64" s="208">
        <f>(J64*WRRushingYd)+(K64*WRRushingTD)+(L64*WRRec)+(M64*WRRecYd)+(N64*WRRecTD)+(O64*WRFuml)+(I64*WRRushAtt)</f>
        <v>117.79</v>
      </c>
      <c r="Q64" t="str">
        <f ca="1">IF(A64&lt;=WRStarters,"Starter",IF(A64&gt;WRStarters+WRBench,"Undrafted","Bench"))</f>
        <v>Undrafted</v>
      </c>
      <c r="R64">
        <f ca="1">IFERROR(MAX(P64-LARGE(WRSheetCount,WRStarters),0),0)</f>
        <v>0</v>
      </c>
      <c r="S64">
        <f ca="1">IFERROR(IF(AllowNegative="Yes",P64-LARGE(WRSheetCount,WRCount),MAX(P64-LARGE(WRSheetCount,WRCount),0)),0)</f>
        <v>-5.819999999999979</v>
      </c>
      <c r="T64" s="85">
        <f ca="1">(S64-R64)*BenchPF+R64*StarterPF</f>
        <v>-1.0552643714249232</v>
      </c>
      <c r="U64" s="85">
        <f ca="1">T64*Auction!$A$2</f>
        <v>-1.0552643714249232</v>
      </c>
      <c r="V64" s="6" t="str">
        <f>IF(OR(INDEX(Auction!$H$13:$H$656,MATCH(B64,Auction!$A$13:$A$656,0))&gt;0,IFERROR(INDEX(CheatSheet!$V$5:$V$64,MATCH(B64,CheatSheet!$S$5:$S$64,0)),"")&lt;&gt;""),"Yes","No")</f>
        <v>No</v>
      </c>
      <c r="W64" s="179"/>
      <c r="Y64" s="114">
        <f ca="1">IFERROR(SUMIFS($Z$3:$Z212,$Z$3:$Z$195,"&gt;0",$V$3:$V$195,"No")/SUMIF($Z$3:$Z$195,"&gt;0"),0)</f>
        <v>0</v>
      </c>
      <c r="Z64">
        <f t="shared" ca="1" si="2"/>
        <v>-2.9099999999999895</v>
      </c>
      <c r="AA64" s="116" t="str">
        <f t="shared" ca="1" si="1"/>
        <v>WR9</v>
      </c>
      <c r="AB64">
        <f ca="1">Z64*LeagueInfo!$H$5</f>
        <v>-1.0715444730258756</v>
      </c>
    </row>
    <row r="65" spans="1:28" ht="15.75" thickBot="1" x14ac:dyDescent="0.3">
      <c r="A65">
        <f>RANK(P65,P$3:P$213)</f>
        <v>63</v>
      </c>
      <c r="B65" t="str">
        <f>WR_Raw!A62</f>
        <v>Corey Davis</v>
      </c>
      <c r="C65" t="s">
        <v>35</v>
      </c>
      <c r="D65">
        <f>_xlfn.IFNA(INDEX(BYEs!$E$2:$E$411,MATCH(B65,BYEs!$D$2:$D$411,0)),"N/A")</f>
        <v>26</v>
      </c>
      <c r="E65">
        <f>INDEX(BYEs!$B$2:$B$34,MATCH(F65,BYEs!$A$2:$A$34,0))</f>
        <v>10</v>
      </c>
      <c r="F65" t="str">
        <f>WR_Raw!B62</f>
        <v>NYJ</v>
      </c>
      <c r="G65" s="206">
        <v>0</v>
      </c>
      <c r="H65" s="207">
        <v>0</v>
      </c>
      <c r="I65" s="204">
        <f>WR_Raw!F62</f>
        <v>0</v>
      </c>
      <c r="J65" s="204">
        <f>WR_Raw!G62</f>
        <v>0</v>
      </c>
      <c r="K65" s="204">
        <f>WR_Raw!H62</f>
        <v>0</v>
      </c>
      <c r="L65" s="206">
        <f>WR_Raw!C62</f>
        <v>48.7</v>
      </c>
      <c r="M65" s="204">
        <f>WR_Raw!D62</f>
        <v>686.3</v>
      </c>
      <c r="N65" s="207">
        <f>WR_Raw!E62</f>
        <v>4.2</v>
      </c>
      <c r="O65" s="204">
        <f>WR_Raw!I62</f>
        <v>0.5</v>
      </c>
      <c r="P65" s="208">
        <f>(J65*WRRushingYd)+(K65*WRRushingTD)+(L65*WRRec)+(M65*WRRecYd)+(N65*WRRecTD)+(O65*WRFuml)+(I65*WRRushAtt)</f>
        <v>117.17999999999999</v>
      </c>
      <c r="Q65" t="str">
        <f ca="1">IF(A65&lt;=WRStarters,"Starter",IF(A65&gt;WRStarters+WRBench,"Undrafted","Bench"))</f>
        <v>Undrafted</v>
      </c>
      <c r="R65">
        <f ca="1">IFERROR(MAX(P65-LARGE(WRSheetCount,WRStarters),0),0)</f>
        <v>0</v>
      </c>
      <c r="S65">
        <f ca="1">IFERROR(IF(AllowNegative="Yes",P65-LARGE(WRSheetCount,WRCount),MAX(P65-LARGE(WRSheetCount,WRCount),0)),0)</f>
        <v>-6.4299999999999926</v>
      </c>
      <c r="T65" s="85">
        <f ca="1">(S65-R65)*BenchPF+R65*StarterPF</f>
        <v>-1.1658676818320055</v>
      </c>
      <c r="U65" s="85">
        <f ca="1">T65*Auction!$A$2</f>
        <v>-1.1658676818320055</v>
      </c>
      <c r="V65" s="6" t="str">
        <f>IF(OR(INDEX(Auction!$H$13:$H$656,MATCH(B65,Auction!$A$13:$A$656,0))&gt;0,IFERROR(INDEX(CheatSheet!$V$5:$V$64,MATCH(B65,CheatSheet!$S$5:$S$64,0)),"")&lt;&gt;""),"Yes","No")</f>
        <v>No</v>
      </c>
      <c r="W65" s="179"/>
      <c r="Y65" s="114">
        <f ca="1">IFERROR(SUMIFS($Z$3:$Z212,$Z$3:$Z$195,"&gt;0",$V$3:$V$195,"No")/SUMIF($Z$3:$Z$195,"&gt;0"),0)</f>
        <v>0</v>
      </c>
      <c r="Z65">
        <f t="shared" ca="1" si="2"/>
        <v>-3.2149999999999963</v>
      </c>
      <c r="AA65" s="116" t="str">
        <f t="shared" ca="1" si="1"/>
        <v>WR9</v>
      </c>
      <c r="AB65">
        <f ca="1">Z65*LeagueInfo!$H$5</f>
        <v>-1.18385411710591</v>
      </c>
    </row>
    <row r="66" spans="1:28" ht="15.75" thickBot="1" x14ac:dyDescent="0.3">
      <c r="A66">
        <f>RANK(P66,P$3:P$213)</f>
        <v>64</v>
      </c>
      <c r="B66" t="str">
        <f>WR_Raw!A64</f>
        <v>Jahan Dotson</v>
      </c>
      <c r="C66" t="s">
        <v>35</v>
      </c>
      <c r="D66" t="str">
        <f>_xlfn.IFNA(INDEX(BYEs!$E$2:$E$411,MATCH(B66,BYEs!$D$2:$D$411,0)),"N/A")</f>
        <v>N/A</v>
      </c>
      <c r="E66">
        <f>INDEX(BYEs!$B$2:$B$34,MATCH(F66,BYEs!$A$2:$A$34,0))</f>
        <v>14</v>
      </c>
      <c r="F66" t="str">
        <f>WR_Raw!B64</f>
        <v>WAS</v>
      </c>
      <c r="G66" s="206">
        <v>0</v>
      </c>
      <c r="H66" s="207">
        <v>0</v>
      </c>
      <c r="I66" s="204">
        <f>WR_Raw!F64</f>
        <v>0.4</v>
      </c>
      <c r="J66" s="204">
        <f>WR_Raw!G64</f>
        <v>2.2000000000000002</v>
      </c>
      <c r="K66" s="204">
        <f>WR_Raw!H64</f>
        <v>0</v>
      </c>
      <c r="L66" s="206">
        <f>WR_Raw!C64</f>
        <v>52.5</v>
      </c>
      <c r="M66" s="204">
        <f>WR_Raw!D64</f>
        <v>693.4</v>
      </c>
      <c r="N66" s="207">
        <f>WR_Raw!E64</f>
        <v>3.7</v>
      </c>
      <c r="O66" s="204">
        <f>WR_Raw!I64</f>
        <v>0.8</v>
      </c>
      <c r="P66" s="208">
        <f>(J66*WRRushingYd)+(K66*WRRushingTD)+(L66*WRRec)+(M66*WRRecYd)+(N66*WRRecTD)+(O66*WRFuml)+(I66*WRRushAtt)</f>
        <v>116.41000000000001</v>
      </c>
      <c r="Q66" t="str">
        <f ca="1">IF(A66&lt;=WRStarters,"Starter",IF(A66&gt;WRStarters+WRBench,"Undrafted","Bench"))</f>
        <v>Undrafted</v>
      </c>
      <c r="R66">
        <f ca="1">IFERROR(MAX(P66-LARGE(WRSheetCount,WRStarters),0),0)</f>
        <v>0</v>
      </c>
      <c r="S66">
        <f ca="1">IFERROR(IF(AllowNegative="Yes",P66-LARGE(WRSheetCount,WRCount),MAX(P66-LARGE(WRSheetCount,WRCount),0)),0)</f>
        <v>-7.1999999999999744</v>
      </c>
      <c r="T66" s="85">
        <f ca="1">(S66-R66)*BenchPF+R66*StarterPF</f>
        <v>-1.3054816966081524</v>
      </c>
      <c r="U66" s="85">
        <f ca="1">T66*Auction!$A$2</f>
        <v>-1.3054816966081524</v>
      </c>
      <c r="V66" s="6" t="str">
        <f>IF(OR(INDEX(Auction!$H$13:$H$656,MATCH(B66,Auction!$A$13:$A$656,0))&gt;0,IFERROR(INDEX(CheatSheet!$V$5:$V$64,MATCH(B66,CheatSheet!$S$5:$S$64,0)),"")&lt;&gt;""),"Yes","No")</f>
        <v>No</v>
      </c>
      <c r="W66" s="179"/>
      <c r="Y66" s="114">
        <f ca="1">IFERROR(SUMIFS($Z$3:$Z212,$Z$3:$Z$195,"&gt;0",$V$3:$V$195,"No")/SUMIF($Z$3:$Z$195,"&gt;0"),0)</f>
        <v>0</v>
      </c>
      <c r="Z66">
        <f t="shared" ca="1" si="2"/>
        <v>-3.5999999999999872</v>
      </c>
      <c r="AA66" s="116" t="str">
        <f t="shared" ca="1" si="1"/>
        <v>WR9</v>
      </c>
      <c r="AB66">
        <f ca="1">Z66*LeagueInfo!$H$5</f>
        <v>-1.3256220284856193</v>
      </c>
    </row>
    <row r="67" spans="1:28" ht="15.75" thickBot="1" x14ac:dyDescent="0.3">
      <c r="A67">
        <f>RANK(P67,P$3:P$213)</f>
        <v>65</v>
      </c>
      <c r="B67" t="str">
        <f>WR_Raw!A67</f>
        <v>Jalen Tolbert</v>
      </c>
      <c r="C67" t="s">
        <v>35</v>
      </c>
      <c r="D67" t="str">
        <f>_xlfn.IFNA(INDEX(BYEs!$E$2:$E$411,MATCH(B67,BYEs!$D$2:$D$411,0)),"N/A")</f>
        <v>N/A</v>
      </c>
      <c r="E67">
        <f>INDEX(BYEs!$B$2:$B$34,MATCH(F67,BYEs!$A$2:$A$34,0))</f>
        <v>9</v>
      </c>
      <c r="F67" t="str">
        <f>WR_Raw!B67</f>
        <v>DAL</v>
      </c>
      <c r="G67" s="206">
        <v>0</v>
      </c>
      <c r="H67" s="207">
        <v>0</v>
      </c>
      <c r="I67" s="204">
        <f>WR_Raw!F67</f>
        <v>0.4</v>
      </c>
      <c r="J67" s="204">
        <f>WR_Raw!G67</f>
        <v>2.4</v>
      </c>
      <c r="K67" s="204">
        <f>WR_Raw!H67</f>
        <v>0</v>
      </c>
      <c r="L67" s="206">
        <f>WR_Raw!C67</f>
        <v>47.8</v>
      </c>
      <c r="M67" s="204">
        <f>WR_Raw!D67</f>
        <v>629.70000000000005</v>
      </c>
      <c r="N67" s="207">
        <f>WR_Raw!E67</f>
        <v>4.3</v>
      </c>
      <c r="O67" s="204">
        <f>WR_Raw!I67</f>
        <v>0.8</v>
      </c>
      <c r="P67" s="208">
        <f>(J67*WRRushingYd)+(K67*WRRushingTD)+(L67*WRRec)+(M67*WRRecYd)+(N67*WRRecTD)+(O67*WRFuml)+(I67*WRRushAtt)</f>
        <v>111.31</v>
      </c>
      <c r="Q67" t="str">
        <f ca="1">IF(A67&lt;=WRStarters,"Starter",IF(A67&gt;WRStarters+WRBench,"Undrafted","Bench"))</f>
        <v>Undrafted</v>
      </c>
      <c r="R67">
        <f ca="1">IFERROR(MAX(P67-LARGE(WRSheetCount,WRStarters),0),0)</f>
        <v>0</v>
      </c>
      <c r="S67">
        <f ca="1">IFERROR(IF(AllowNegative="Yes",P67-LARGE(WRSheetCount,WRCount),MAX(P67-LARGE(WRSheetCount,WRCount),0)),0)</f>
        <v>-12.299999999999983</v>
      </c>
      <c r="T67" s="85">
        <f ca="1">(S67-R67)*BenchPF+R67*StarterPF</f>
        <v>-2.2301978983722655</v>
      </c>
      <c r="U67" s="85">
        <f ca="1">T67*Auction!$A$2</f>
        <v>-2.2301978983722655</v>
      </c>
      <c r="V67" s="6" t="str">
        <f>IF(OR(INDEX(Auction!$H$13:$H$656,MATCH(B67,Auction!$A$13:$A$656,0))&gt;0,IFERROR(INDEX(CheatSheet!$V$5:$V$64,MATCH(B67,CheatSheet!$S$5:$S$64,0)),"")&lt;&gt;""),"Yes","No")</f>
        <v>No</v>
      </c>
      <c r="W67" s="179"/>
      <c r="Y67" s="114">
        <f ca="1">IFERROR(SUMIFS($Z$3:$Z212,$Z$3:$Z$195,"&gt;0",$V$3:$V$195,"No")/SUMIF($Z$3:$Z$195,"&gt;0"),0)</f>
        <v>0</v>
      </c>
      <c r="Z67">
        <f t="shared" ca="1" si="2"/>
        <v>-6.1499999999999915</v>
      </c>
      <c r="AA67" s="116" t="str">
        <f t="shared" ref="AA67:AA130" ca="1" si="3">CONCATENATE("WR",ROUND((LARGE($Z$3:$Z$195,1)-$Z67)/(STDEVP($Z$3:$Z$195)/2)+1,0))</f>
        <v>WR9</v>
      </c>
      <c r="AB67">
        <f ca="1">Z67*LeagueInfo!$H$5</f>
        <v>-2.2646042986629378</v>
      </c>
    </row>
    <row r="68" spans="1:28" ht="15.75" thickBot="1" x14ac:dyDescent="0.3">
      <c r="A68">
        <f>RANK(P68,P$3:P$213)</f>
        <v>66</v>
      </c>
      <c r="B68" t="str">
        <f>WR_Raw!A72</f>
        <v>Rondale Moore</v>
      </c>
      <c r="C68" t="s">
        <v>35</v>
      </c>
      <c r="D68" t="str">
        <f>_xlfn.IFNA(INDEX(BYEs!$E$2:$E$411,MATCH(B68,BYEs!$D$2:$D$411,0)),"N/A")</f>
        <v>N/A</v>
      </c>
      <c r="E68">
        <f>INDEX(BYEs!$B$2:$B$34,MATCH(F68,BYEs!$A$2:$A$34,0))</f>
        <v>13</v>
      </c>
      <c r="F68" t="str">
        <f>WR_Raw!B72</f>
        <v>ARI</v>
      </c>
      <c r="G68" s="206">
        <v>0</v>
      </c>
      <c r="H68" s="207">
        <v>0</v>
      </c>
      <c r="I68" s="204">
        <f>WR_Raw!F72</f>
        <v>17.2</v>
      </c>
      <c r="J68" s="204">
        <f>WR_Raw!G72</f>
        <v>99.6</v>
      </c>
      <c r="K68" s="204">
        <f>WR_Raw!H72</f>
        <v>0.6</v>
      </c>
      <c r="L68" s="206">
        <f>WR_Raw!C72</f>
        <v>55.4</v>
      </c>
      <c r="M68" s="204">
        <f>WR_Raw!D72</f>
        <v>537.4</v>
      </c>
      <c r="N68" s="207">
        <f>WR_Raw!E72</f>
        <v>2.9</v>
      </c>
      <c r="O68" s="204">
        <f>WR_Raw!I72</f>
        <v>0.6</v>
      </c>
      <c r="P68" s="208">
        <f>(J68*WRRushingYd)+(K68*WRRushingTD)+(L68*WRRec)+(M68*WRRecYd)+(N68*WRRecTD)+(O68*WRFuml)+(I68*WRRushAtt)</f>
        <v>111.2</v>
      </c>
      <c r="Q68" t="str">
        <f ca="1">IF(A68&lt;=WRStarters,"Starter",IF(A68&gt;WRStarters+WRBench,"Undrafted","Bench"))</f>
        <v>Undrafted</v>
      </c>
      <c r="R68">
        <f ca="1">IFERROR(MAX(P68-LARGE(WRSheetCount,WRStarters),0),0)</f>
        <v>0</v>
      </c>
      <c r="S68">
        <f ca="1">IFERROR(IF(AllowNegative="Yes",P68-LARGE(WRSheetCount,WRCount),MAX(P68-LARGE(WRSheetCount,WRCount),0)),0)</f>
        <v>-12.409999999999982</v>
      </c>
      <c r="T68" s="85">
        <f ca="1">(S68-R68)*BenchPF+R68*StarterPF</f>
        <v>-2.2501427576260009</v>
      </c>
      <c r="U68" s="85">
        <f ca="1">T68*Auction!$A$2</f>
        <v>-2.2501427576260009</v>
      </c>
      <c r="V68" s="6" t="str">
        <f>IF(OR(INDEX(Auction!$H$13:$H$656,MATCH(B68,Auction!$A$13:$A$656,0))&gt;0,IFERROR(INDEX(CheatSheet!$V$5:$V$64,MATCH(B68,CheatSheet!$S$5:$S$64,0)),"")&lt;&gt;""),"Yes","No")</f>
        <v>No</v>
      </c>
      <c r="W68" s="179"/>
      <c r="Y68" s="114">
        <f ca="1">IFERROR(SUMIFS($Z$3:$Z212,$Z$3:$Z$195,"&gt;0",$V$3:$V$195,"No")/SUMIF($Z$3:$Z$195,"&gt;0"),0)</f>
        <v>0</v>
      </c>
      <c r="Z68">
        <f t="shared" ref="Z68:Z131" ca="1" si="4">AVERAGE(R68:S68)</f>
        <v>-6.2049999999999912</v>
      </c>
      <c r="AA68" s="116" t="str">
        <f t="shared" ca="1" si="3"/>
        <v>WR9</v>
      </c>
      <c r="AB68">
        <f ca="1">Z68*LeagueInfo!$H$5</f>
        <v>-2.284856857431468</v>
      </c>
    </row>
    <row r="69" spans="1:28" ht="15.75" thickBot="1" x14ac:dyDescent="0.3">
      <c r="A69">
        <f>RANK(P69,P$3:P$213)</f>
        <v>67</v>
      </c>
      <c r="B69" t="str">
        <f>WR_Raw!A66</f>
        <v>Van Jefferson</v>
      </c>
      <c r="C69" t="s">
        <v>35</v>
      </c>
      <c r="D69" t="str">
        <f>_xlfn.IFNA(INDEX(BYEs!$E$2:$E$411,MATCH(B69,BYEs!$D$2:$D$411,0)),"N/A")</f>
        <v>N/A</v>
      </c>
      <c r="E69">
        <f>INDEX(BYEs!$B$2:$B$34,MATCH(F69,BYEs!$A$2:$A$34,0))</f>
        <v>7</v>
      </c>
      <c r="F69" t="str">
        <f>WR_Raw!B66</f>
        <v>LAR</v>
      </c>
      <c r="G69" s="206">
        <v>0</v>
      </c>
      <c r="H69" s="207">
        <v>0</v>
      </c>
      <c r="I69" s="204">
        <f>WR_Raw!F66</f>
        <v>1.8</v>
      </c>
      <c r="J69" s="204">
        <f>WR_Raw!G66</f>
        <v>15</v>
      </c>
      <c r="K69" s="204">
        <f>WR_Raw!H66</f>
        <v>0</v>
      </c>
      <c r="L69" s="206">
        <f>WR_Raw!C66</f>
        <v>45.4</v>
      </c>
      <c r="M69" s="204">
        <f>WR_Raw!D66</f>
        <v>622.9</v>
      </c>
      <c r="N69" s="207">
        <f>WR_Raw!E66</f>
        <v>4</v>
      </c>
      <c r="O69" s="204">
        <f>WR_Raw!I66</f>
        <v>0.1</v>
      </c>
      <c r="P69" s="208">
        <f>(J69*WRRushingYd)+(K69*WRRushingTD)+(L69*WRRec)+(M69*WRRecYd)+(N69*WRRecTD)+(O69*WRFuml)+(I69*WRRushAtt)</f>
        <v>110.28999999999999</v>
      </c>
      <c r="Q69" t="str">
        <f ca="1">IF(A69&lt;=WRStarters,"Starter",IF(A69&gt;WRStarters+WRBench,"Undrafted","Bench"))</f>
        <v>Undrafted</v>
      </c>
      <c r="R69">
        <f ca="1">IFERROR(MAX(P69-LARGE(WRSheetCount,WRStarters),0),0)</f>
        <v>0</v>
      </c>
      <c r="S69">
        <f ca="1">IFERROR(IF(AllowNegative="Yes",P69-LARGE(WRSheetCount,WRCount),MAX(P69-LARGE(WRSheetCount,WRCount),0)),0)</f>
        <v>-13.319999999999993</v>
      </c>
      <c r="T69" s="85">
        <f ca="1">(S69-R69)*BenchPF+R69*StarterPF</f>
        <v>-2.4151411387250894</v>
      </c>
      <c r="U69" s="85">
        <f ca="1">T69*Auction!$A$2</f>
        <v>-2.4151411387250894</v>
      </c>
      <c r="V69" s="6" t="str">
        <f>IF(OR(INDEX(Auction!$H$13:$H$656,MATCH(B69,Auction!$A$13:$A$656,0))&gt;0,IFERROR(INDEX(CheatSheet!$V$5:$V$64,MATCH(B69,CheatSheet!$S$5:$S$64,0)),"")&lt;&gt;""),"Yes","No")</f>
        <v>No</v>
      </c>
      <c r="W69" s="179"/>
      <c r="Y69" s="114">
        <f ca="1">IFERROR(SUMIFS($Z$3:$Z212,$Z$3:$Z$195,"&gt;0",$V$3:$V$195,"No")/SUMIF($Z$3:$Z$195,"&gt;0"),0)</f>
        <v>0</v>
      </c>
      <c r="Z69">
        <f t="shared" ca="1" si="4"/>
        <v>-6.6599999999999966</v>
      </c>
      <c r="AA69" s="116" t="str">
        <f t="shared" ca="1" si="3"/>
        <v>WR9</v>
      </c>
      <c r="AB69">
        <f ca="1">Z69*LeagueInfo!$H$5</f>
        <v>-2.4524007526984031</v>
      </c>
    </row>
    <row r="70" spans="1:28" ht="15.75" thickBot="1" x14ac:dyDescent="0.3">
      <c r="A70">
        <f>RANK(P70,P$3:P$213)</f>
        <v>68</v>
      </c>
      <c r="B70" t="str">
        <f>WR_Raw!A68</f>
        <v>Donovan Peoples-Jones</v>
      </c>
      <c r="C70" t="s">
        <v>35</v>
      </c>
      <c r="D70" t="str">
        <f>_xlfn.IFNA(INDEX(BYEs!$E$2:$E$411,MATCH(B70,BYEs!$D$2:$D$411,0)),"N/A")</f>
        <v>N/A</v>
      </c>
      <c r="E70">
        <f>INDEX(BYEs!$B$2:$B$34,MATCH(F70,BYEs!$A$2:$A$34,0))</f>
        <v>9</v>
      </c>
      <c r="F70" t="str">
        <f>WR_Raw!B68</f>
        <v>CLE</v>
      </c>
      <c r="G70" s="206">
        <v>0</v>
      </c>
      <c r="H70" s="207">
        <v>0</v>
      </c>
      <c r="I70" s="204">
        <f>WR_Raw!F68</f>
        <v>0</v>
      </c>
      <c r="J70" s="204">
        <f>WR_Raw!G68</f>
        <v>0</v>
      </c>
      <c r="K70" s="204">
        <f>WR_Raw!H68</f>
        <v>0</v>
      </c>
      <c r="L70" s="206">
        <f>WR_Raw!C68</f>
        <v>44.5</v>
      </c>
      <c r="M70" s="204">
        <f>WR_Raw!D68</f>
        <v>664.5</v>
      </c>
      <c r="N70" s="207">
        <f>WR_Raw!E68</f>
        <v>3.5</v>
      </c>
      <c r="O70" s="204">
        <f>WR_Raw!I68</f>
        <v>0.5</v>
      </c>
      <c r="P70" s="208">
        <f>(J70*WRRushingYd)+(K70*WRRushingTD)+(L70*WRRec)+(M70*WRRecYd)+(N70*WRRecTD)+(O70*WRFuml)+(I70*WRRushAtt)</f>
        <v>108.7</v>
      </c>
      <c r="Q70" t="str">
        <f ca="1">IF(A70&lt;=WRStarters,"Starter",IF(A70&gt;WRStarters+WRBench,"Undrafted","Bench"))</f>
        <v>Undrafted</v>
      </c>
      <c r="R70">
        <f ca="1">IFERROR(MAX(P70-LARGE(WRSheetCount,WRStarters),0),0)</f>
        <v>0</v>
      </c>
      <c r="S70">
        <f ca="1">IFERROR(IF(AllowNegative="Yes",P70-LARGE(WRSheetCount,WRCount),MAX(P70-LARGE(WRSheetCount,WRCount),0)),0)</f>
        <v>-14.909999999999982</v>
      </c>
      <c r="T70" s="85">
        <f ca="1">(S70-R70)*BenchPF+R70*StarterPF</f>
        <v>-2.7034350133927219</v>
      </c>
      <c r="U70" s="85">
        <f ca="1">T70*Auction!$A$2</f>
        <v>-2.7034350133927219</v>
      </c>
      <c r="V70" s="6" t="str">
        <f>IF(OR(INDEX(Auction!$H$13:$H$656,MATCH(B70,Auction!$A$13:$A$656,0))&gt;0,IFERROR(INDEX(CheatSheet!$V$5:$V$64,MATCH(B70,CheatSheet!$S$5:$S$64,0)),"")&lt;&gt;""),"Yes","No")</f>
        <v>No</v>
      </c>
      <c r="W70" s="179"/>
      <c r="Y70" s="114">
        <f ca="1">IFERROR(SUMIFS($Z$3:$Z212,$Z$3:$Z$195,"&gt;0",$V$3:$V$195,"No")/SUMIF($Z$3:$Z$195,"&gt;0"),0)</f>
        <v>0</v>
      </c>
      <c r="Z70">
        <f t="shared" ca="1" si="4"/>
        <v>-7.4549999999999912</v>
      </c>
      <c r="AA70" s="116" t="str">
        <f t="shared" ca="1" si="3"/>
        <v>WR9</v>
      </c>
      <c r="AB70">
        <f ca="1">Z70*LeagueInfo!$H$5</f>
        <v>-2.7451422839889763</v>
      </c>
    </row>
    <row r="71" spans="1:28" ht="15.75" thickBot="1" x14ac:dyDescent="0.3">
      <c r="A71">
        <f>RANK(P71,P$3:P$213)</f>
        <v>69</v>
      </c>
      <c r="B71" t="str">
        <f>WR_Raw!A76</f>
        <v>Sterling Shepard</v>
      </c>
      <c r="C71" t="s">
        <v>35</v>
      </c>
      <c r="D71">
        <f>_xlfn.IFNA(INDEX(BYEs!$E$2:$E$411,MATCH(B71,BYEs!$D$2:$D$411,0)),"N/A")</f>
        <v>28</v>
      </c>
      <c r="E71">
        <f>INDEX(BYEs!$B$2:$B$34,MATCH(F71,BYEs!$A$2:$A$34,0))</f>
        <v>9</v>
      </c>
      <c r="F71" t="str">
        <f>WR_Raw!B76</f>
        <v>NYG</v>
      </c>
      <c r="G71" s="206">
        <v>0</v>
      </c>
      <c r="H71" s="207">
        <v>0</v>
      </c>
      <c r="I71" s="204">
        <f>WR_Raw!F76</f>
        <v>1</v>
      </c>
      <c r="J71" s="204">
        <f>WR_Raw!G76</f>
        <v>4.2</v>
      </c>
      <c r="K71" s="204">
        <f>WR_Raw!H76</f>
        <v>0</v>
      </c>
      <c r="L71" s="206">
        <f>WR_Raw!C76</f>
        <v>58.9</v>
      </c>
      <c r="M71" s="204">
        <f>WR_Raw!D76</f>
        <v>610.79999999999995</v>
      </c>
      <c r="N71" s="207">
        <f>WR_Raw!E76</f>
        <v>3.1</v>
      </c>
      <c r="O71" s="204">
        <f>WR_Raw!I76</f>
        <v>0.5</v>
      </c>
      <c r="P71" s="208">
        <f>(J71*WRRushingYd)+(K71*WRRushingTD)+(L71*WRRec)+(M71*WRRecYd)+(N71*WRRecTD)+(O71*WRFuml)+(I71*WRRushAtt)</f>
        <v>108.55000000000001</v>
      </c>
      <c r="Q71" t="str">
        <f ca="1">IF(A71&lt;=WRStarters,"Starter",IF(A71&gt;WRStarters+WRBench,"Undrafted","Bench"))</f>
        <v>Undrafted</v>
      </c>
      <c r="R71">
        <f ca="1">IFERROR(MAX(P71-LARGE(WRSheetCount,WRStarters),0),0)</f>
        <v>0</v>
      </c>
      <c r="S71">
        <f ca="1">IFERROR(IF(AllowNegative="Yes",P71-LARGE(WRSheetCount,WRCount),MAX(P71-LARGE(WRSheetCount,WRCount),0)),0)</f>
        <v>-15.059999999999974</v>
      </c>
      <c r="T71" s="85">
        <f ca="1">(S71-R71)*BenchPF+R71*StarterPF</f>
        <v>-2.7306325487387237</v>
      </c>
      <c r="U71" s="85">
        <f ca="1">T71*Auction!$A$2</f>
        <v>-2.7306325487387237</v>
      </c>
      <c r="V71" s="6" t="str">
        <f>IF(OR(INDEX(Auction!$H$13:$H$656,MATCH(B71,Auction!$A$13:$A$656,0))&gt;0,IFERROR(INDEX(CheatSheet!$V$5:$V$64,MATCH(B71,CheatSheet!$S$5:$S$64,0)),"")&lt;&gt;""),"Yes","No")</f>
        <v>No</v>
      </c>
      <c r="W71" s="179"/>
      <c r="Y71" s="114">
        <f ca="1">IFERROR(SUMIFS($Z$3:$Z213,$Z$3:$Z$195,"&gt;0",$V$3:$V$195,"No")/SUMIF($Z$3:$Z$195,"&gt;0"),0)</f>
        <v>0</v>
      </c>
      <c r="Z71">
        <f t="shared" ca="1" si="4"/>
        <v>-7.5299999999999869</v>
      </c>
      <c r="AA71" s="116" t="str">
        <f t="shared" ca="1" si="3"/>
        <v>WR9</v>
      </c>
      <c r="AB71">
        <f ca="1">Z71*LeagueInfo!$H$5</f>
        <v>-2.7727594095824255</v>
      </c>
    </row>
    <row r="72" spans="1:28" ht="15.75" thickBot="1" x14ac:dyDescent="0.3">
      <c r="A72">
        <f>RANK(P72,P$3:P$213)</f>
        <v>70</v>
      </c>
      <c r="B72" t="str">
        <f>WR_Raw!A69</f>
        <v>Julio Jones</v>
      </c>
      <c r="C72" t="s">
        <v>35</v>
      </c>
      <c r="D72">
        <f>_xlfn.IFNA(INDEX(BYEs!$E$2:$E$411,MATCH(B72,BYEs!$D$2:$D$411,0)),"N/A")</f>
        <v>32</v>
      </c>
      <c r="E72">
        <f>INDEX(BYEs!$B$2:$B$34,MATCH(F72,BYEs!$A$2:$A$34,0))</f>
        <v>11</v>
      </c>
      <c r="F72" t="str">
        <f>WR_Raw!B69</f>
        <v>TB</v>
      </c>
      <c r="G72" s="206">
        <v>0</v>
      </c>
      <c r="H72" s="207">
        <v>0</v>
      </c>
      <c r="I72" s="204">
        <f>WR_Raw!F69</f>
        <v>0</v>
      </c>
      <c r="J72" s="204">
        <f>WR_Raw!G69</f>
        <v>0</v>
      </c>
      <c r="K72" s="204">
        <f>WR_Raw!H69</f>
        <v>0</v>
      </c>
      <c r="L72" s="206">
        <f>WR_Raw!C69</f>
        <v>47.1</v>
      </c>
      <c r="M72" s="204">
        <f>WR_Raw!D69</f>
        <v>632.6</v>
      </c>
      <c r="N72" s="207">
        <f>WR_Raw!E69</f>
        <v>3.7</v>
      </c>
      <c r="O72" s="204">
        <f>WR_Raw!I69</f>
        <v>0.4</v>
      </c>
      <c r="P72" s="208">
        <f>(J72*WRRushingYd)+(K72*WRRushingTD)+(L72*WRRec)+(M72*WRRecYd)+(N72*WRRecTD)+(O72*WRFuml)+(I72*WRRushAtt)</f>
        <v>108.21000000000001</v>
      </c>
      <c r="Q72" t="str">
        <f ca="1">IF(A72&lt;=WRStarters,"Starter",IF(A72&gt;WRStarters+WRBench,"Undrafted","Bench"))</f>
        <v>Undrafted</v>
      </c>
      <c r="R72">
        <f ca="1">IFERROR(MAX(P72-LARGE(WRSheetCount,WRStarters),0),0)</f>
        <v>0</v>
      </c>
      <c r="S72">
        <f ca="1">IFERROR(IF(AllowNegative="Yes",P72-LARGE(WRSheetCount,WRCount),MAX(P72-LARGE(WRSheetCount,WRCount),0)),0)</f>
        <v>-15.399999999999977</v>
      </c>
      <c r="T72" s="85">
        <f ca="1">(S72-R72)*BenchPF+R72*StarterPF</f>
        <v>-2.7922802955229984</v>
      </c>
      <c r="U72" s="85">
        <f ca="1">T72*Auction!$A$2</f>
        <v>-2.7922802955229984</v>
      </c>
      <c r="V72" s="6" t="str">
        <f>IF(OR(INDEX(Auction!$H$13:$H$656,MATCH(B72,Auction!$A$13:$A$656,0))&gt;0,IFERROR(INDEX(CheatSheet!$V$5:$V$64,MATCH(B72,CheatSheet!$S$5:$S$64,0)),"")&lt;&gt;""),"Yes","No")</f>
        <v>No</v>
      </c>
      <c r="W72" s="179"/>
      <c r="Y72" s="114">
        <f ca="1">IFERROR(SUMIFS($Z$3:$Z214,$Z$3:$Z$195,"&gt;0",$V$3:$V$195,"No")/SUMIF($Z$3:$Z$195,"&gt;0"),0)</f>
        <v>0</v>
      </c>
      <c r="Z72">
        <f t="shared" ca="1" si="4"/>
        <v>-7.6999999999999886</v>
      </c>
      <c r="AA72" s="116" t="str">
        <f t="shared" ca="1" si="3"/>
        <v>WR9</v>
      </c>
      <c r="AB72">
        <f ca="1">Z72*LeagueInfo!$H$5</f>
        <v>-2.8353582275942473</v>
      </c>
    </row>
    <row r="73" spans="1:28" ht="15.75" thickBot="1" x14ac:dyDescent="0.3">
      <c r="A73">
        <f>RANK(P73,P$3:P$213)</f>
        <v>71</v>
      </c>
      <c r="B73" t="str">
        <f>WR_Raw!A73</f>
        <v>Parris Campbell</v>
      </c>
      <c r="C73" t="s">
        <v>35</v>
      </c>
      <c r="D73">
        <f>_xlfn.IFNA(INDEX(BYEs!$E$2:$E$411,MATCH(B73,BYEs!$D$2:$D$411,0)),"N/A")</f>
        <v>24</v>
      </c>
      <c r="E73">
        <f>INDEX(BYEs!$B$2:$B$34,MATCH(F73,BYEs!$A$2:$A$34,0))</f>
        <v>14</v>
      </c>
      <c r="F73" t="str">
        <f>WR_Raw!B73</f>
        <v>IND</v>
      </c>
      <c r="G73" s="206">
        <v>0</v>
      </c>
      <c r="H73" s="207">
        <v>0</v>
      </c>
      <c r="I73" s="204">
        <f>WR_Raw!F73</f>
        <v>0.5</v>
      </c>
      <c r="J73" s="204">
        <f>WR_Raw!G73</f>
        <v>3.3</v>
      </c>
      <c r="K73" s="204">
        <f>WR_Raw!H73</f>
        <v>0</v>
      </c>
      <c r="L73" s="206">
        <f>WR_Raw!C73</f>
        <v>49.1</v>
      </c>
      <c r="M73" s="204">
        <f>WR_Raw!D73</f>
        <v>598.1</v>
      </c>
      <c r="N73" s="207">
        <f>WR_Raw!E73</f>
        <v>3.7</v>
      </c>
      <c r="O73" s="204">
        <f>WR_Raw!I73</f>
        <v>0.1</v>
      </c>
      <c r="P73" s="208">
        <f>(J73*WRRushingYd)+(K73*WRRushingTD)+(L73*WRRec)+(M73*WRRecYd)+(N73*WRRecTD)+(O73*WRFuml)+(I73*WRRushAtt)</f>
        <v>106.69</v>
      </c>
      <c r="Q73" t="str">
        <f ca="1">IF(A73&lt;=WRStarters,"Starter",IF(A73&gt;WRStarters+WRBench,"Undrafted","Bench"))</f>
        <v>Undrafted</v>
      </c>
      <c r="R73">
        <f ca="1">IFERROR(MAX(P73-LARGE(WRSheetCount,WRStarters),0),0)</f>
        <v>0</v>
      </c>
      <c r="S73">
        <f ca="1">IFERROR(IF(AllowNegative="Yes",P73-LARGE(WRSheetCount,WRCount),MAX(P73-LARGE(WRSheetCount,WRCount),0)),0)</f>
        <v>-16.919999999999987</v>
      </c>
      <c r="T73" s="85">
        <f ca="1">(S73-R73)*BenchPF+R73*StarterPF</f>
        <v>-3.0678819870291667</v>
      </c>
      <c r="U73" s="85">
        <f ca="1">T73*Auction!$A$2</f>
        <v>-3.0678819870291667</v>
      </c>
      <c r="V73" s="6" t="str">
        <f>IF(OR(INDEX(Auction!$H$13:$H$656,MATCH(B73,Auction!$A$13:$A$656,0))&gt;0,IFERROR(INDEX(CheatSheet!$V$5:$V$64,MATCH(B73,CheatSheet!$S$5:$S$64,0)),"")&lt;&gt;""),"Yes","No")</f>
        <v>No</v>
      </c>
      <c r="W73" s="179"/>
      <c r="Y73" s="114">
        <f ca="1">IFERROR(SUMIFS($Z$3:$Z215,$Z$3:$Z$195,"&gt;0",$V$3:$V$195,"No")/SUMIF($Z$3:$Z$195,"&gt;0"),0)</f>
        <v>0</v>
      </c>
      <c r="Z73">
        <f t="shared" ca="1" si="4"/>
        <v>-8.4599999999999937</v>
      </c>
      <c r="AA73" s="116" t="str">
        <f t="shared" ca="1" si="3"/>
        <v>WR9</v>
      </c>
      <c r="AB73">
        <f ca="1">Z73*LeagueInfo!$H$5</f>
        <v>-3.115211766941214</v>
      </c>
    </row>
    <row r="74" spans="1:28" ht="15.75" thickBot="1" x14ac:dyDescent="0.3">
      <c r="A74">
        <f>RANK(P74,P$3:P$213)</f>
        <v>72</v>
      </c>
      <c r="B74" t="str">
        <f>WR_Raw!A70</f>
        <v>Skyy Moore</v>
      </c>
      <c r="C74" t="s">
        <v>35</v>
      </c>
      <c r="D74" t="str">
        <f>_xlfn.IFNA(INDEX(BYEs!$E$2:$E$411,MATCH(B74,BYEs!$D$2:$D$411,0)),"N/A")</f>
        <v>N/A</v>
      </c>
      <c r="E74">
        <f>INDEX(BYEs!$B$2:$B$34,MATCH(F74,BYEs!$A$2:$A$34,0))</f>
        <v>8</v>
      </c>
      <c r="F74" t="str">
        <f>WR_Raw!B70</f>
        <v>KC</v>
      </c>
      <c r="G74" s="206">
        <v>0</v>
      </c>
      <c r="H74" s="207">
        <v>0</v>
      </c>
      <c r="I74" s="204">
        <f>WR_Raw!F70</f>
        <v>1.2</v>
      </c>
      <c r="J74" s="204">
        <f>WR_Raw!G70</f>
        <v>7.8</v>
      </c>
      <c r="K74" s="204">
        <f>WR_Raw!H70</f>
        <v>0</v>
      </c>
      <c r="L74" s="206">
        <f>WR_Raw!C70</f>
        <v>44.3</v>
      </c>
      <c r="M74" s="204">
        <f>WR_Raw!D70</f>
        <v>596.6</v>
      </c>
      <c r="N74" s="207">
        <f>WR_Raw!E70</f>
        <v>4.2</v>
      </c>
      <c r="O74" s="204">
        <f>WR_Raw!I70</f>
        <v>0.8</v>
      </c>
      <c r="P74" s="208">
        <f>(J74*WRRushingYd)+(K74*WRRushingTD)+(L74*WRRec)+(M74*WRRecYd)+(N74*WRRecTD)+(O74*WRFuml)+(I74*WRRushAtt)</f>
        <v>106.19000000000001</v>
      </c>
      <c r="Q74" t="str">
        <f ca="1">IF(A74&lt;=WRStarters,"Starter",IF(A74&gt;WRStarters+WRBench,"Undrafted","Bench"))</f>
        <v>Undrafted</v>
      </c>
      <c r="R74">
        <f ca="1">IFERROR(MAX(P74-LARGE(WRSheetCount,WRStarters),0),0)</f>
        <v>0</v>
      </c>
      <c r="S74">
        <f ca="1">IFERROR(IF(AllowNegative="Yes",P74-LARGE(WRSheetCount,WRCount),MAX(P74-LARGE(WRSheetCount,WRCount),0)),0)</f>
        <v>-17.419999999999973</v>
      </c>
      <c r="T74" s="85">
        <f ca="1">(S74-R74)*BenchPF+R74*StarterPF</f>
        <v>-3.1585404381825084</v>
      </c>
      <c r="U74" s="85">
        <f ca="1">T74*Auction!$A$2</f>
        <v>-3.1585404381825084</v>
      </c>
      <c r="V74" s="6" t="str">
        <f>IF(OR(INDEX(Auction!$H$13:$H$656,MATCH(B74,Auction!$A$13:$A$656,0))&gt;0,IFERROR(INDEX(CheatSheet!$V$5:$V$64,MATCH(B74,CheatSheet!$S$5:$S$64,0)),"")&lt;&gt;""),"Yes","No")</f>
        <v>No</v>
      </c>
      <c r="W74" s="179"/>
      <c r="Y74" s="114">
        <f ca="1">IFERROR(SUMIFS($Z$3:$Z216,$Z$3:$Z$195,"&gt;0",$V$3:$V$195,"No")/SUMIF($Z$3:$Z$195,"&gt;0"),0)</f>
        <v>0</v>
      </c>
      <c r="Z74">
        <f t="shared" ca="1" si="4"/>
        <v>-8.7099999999999866</v>
      </c>
      <c r="AA74" s="116" t="str">
        <f t="shared" ca="1" si="3"/>
        <v>WR9</v>
      </c>
      <c r="AB74">
        <f ca="1">Z74*LeagueInfo!$H$5</f>
        <v>-3.2072688522527133</v>
      </c>
    </row>
    <row r="75" spans="1:28" ht="15.75" thickBot="1" x14ac:dyDescent="0.3">
      <c r="A75">
        <f>RANK(P75,P$3:P$213)</f>
        <v>73</v>
      </c>
      <c r="B75" t="str">
        <f>WR_Raw!A71</f>
        <v>Curtis Samuel</v>
      </c>
      <c r="C75" t="s">
        <v>35</v>
      </c>
      <c r="D75">
        <f>_xlfn.IFNA(INDEX(BYEs!$E$2:$E$411,MATCH(B75,BYEs!$D$2:$D$411,0)),"N/A")</f>
        <v>25</v>
      </c>
      <c r="E75">
        <f>INDEX(BYEs!$B$2:$B$34,MATCH(F75,BYEs!$A$2:$A$34,0))</f>
        <v>14</v>
      </c>
      <c r="F75" t="str">
        <f>WR_Raw!B71</f>
        <v>WAS</v>
      </c>
      <c r="G75" s="206">
        <v>0</v>
      </c>
      <c r="H75" s="207">
        <v>0</v>
      </c>
      <c r="I75" s="204">
        <f>WR_Raw!F71</f>
        <v>16.899999999999999</v>
      </c>
      <c r="J75" s="204">
        <f>WR_Raw!G71</f>
        <v>93.9</v>
      </c>
      <c r="K75" s="204">
        <f>WR_Raw!H71</f>
        <v>0.8</v>
      </c>
      <c r="L75" s="206">
        <f>WR_Raw!C71</f>
        <v>44.1</v>
      </c>
      <c r="M75" s="204">
        <f>WR_Raw!D71</f>
        <v>499.1</v>
      </c>
      <c r="N75" s="207">
        <f>WR_Raw!E71</f>
        <v>3.4</v>
      </c>
      <c r="O75" s="204">
        <f>WR_Raw!I71</f>
        <v>0.5</v>
      </c>
      <c r="P75" s="208">
        <f>(J75*WRRushingYd)+(K75*WRRushingTD)+(L75*WRRec)+(M75*WRRecYd)+(N75*WRRecTD)+(O75*WRFuml)+(I75*WRRushAtt)</f>
        <v>105.55000000000001</v>
      </c>
      <c r="Q75" t="str">
        <f ca="1">IF(A75&lt;=WRStarters,"Starter",IF(A75&gt;WRStarters+WRBench,"Undrafted","Bench"))</f>
        <v>Undrafted</v>
      </c>
      <c r="R75">
        <f ca="1">IFERROR(MAX(P75-LARGE(WRSheetCount,WRStarters),0),0)</f>
        <v>0</v>
      </c>
      <c r="S75">
        <f ca="1">IFERROR(IF(AllowNegative="Yes",P75-LARGE(WRSheetCount,WRCount),MAX(P75-LARGE(WRSheetCount,WRCount),0)),0)</f>
        <v>-18.059999999999974</v>
      </c>
      <c r="T75" s="85">
        <f ca="1">(S75-R75)*BenchPF+R75*StarterPF</f>
        <v>-3.274583255658789</v>
      </c>
      <c r="U75" s="85">
        <f ca="1">T75*Auction!$A$2</f>
        <v>-3.274583255658789</v>
      </c>
      <c r="V75" s="6" t="str">
        <f>IF(OR(INDEX(Auction!$H$13:$H$656,MATCH(B75,Auction!$A$13:$A$656,0))&gt;0,IFERROR(INDEX(CheatSheet!$V$5:$V$64,MATCH(B75,CheatSheet!$S$5:$S$64,0)),"")&lt;&gt;""),"Yes","No")</f>
        <v>No</v>
      </c>
      <c r="W75" s="179"/>
      <c r="Y75" s="114">
        <f ca="1">IFERROR(SUMIFS($Z$3:$Z217,$Z$3:$Z$195,"&gt;0",$V$3:$V$195,"No")/SUMIF($Z$3:$Z$195,"&gt;0"),0)</f>
        <v>0</v>
      </c>
      <c r="Z75">
        <f t="shared" ca="1" si="4"/>
        <v>-9.0299999999999869</v>
      </c>
      <c r="AA75" s="116" t="str">
        <f t="shared" ca="1" si="3"/>
        <v>WR9</v>
      </c>
      <c r="AB75">
        <f ca="1">Z75*LeagueInfo!$H$5</f>
        <v>-3.3251019214514352</v>
      </c>
    </row>
    <row r="76" spans="1:28" ht="15.75" thickBot="1" x14ac:dyDescent="0.3">
      <c r="A76">
        <f>RANK(P76,P$3:P$213)</f>
        <v>74</v>
      </c>
      <c r="B76" t="str">
        <f>WR_Raw!A75</f>
        <v>Joshua Palmer</v>
      </c>
      <c r="C76" t="s">
        <v>35</v>
      </c>
      <c r="D76" t="str">
        <f>_xlfn.IFNA(INDEX(BYEs!$E$2:$E$411,MATCH(B76,BYEs!$D$2:$D$411,0)),"N/A")</f>
        <v>N/A</v>
      </c>
      <c r="E76">
        <f>INDEX(BYEs!$B$2:$B$34,MATCH(F76,BYEs!$A$2:$A$34,0))</f>
        <v>8</v>
      </c>
      <c r="F76" t="str">
        <f>WR_Raw!B75</f>
        <v>LAC</v>
      </c>
      <c r="G76" s="206">
        <v>0</v>
      </c>
      <c r="H76" s="207">
        <v>0</v>
      </c>
      <c r="I76" s="204">
        <f>WR_Raw!F75</f>
        <v>0</v>
      </c>
      <c r="J76" s="204">
        <f>WR_Raw!G75</f>
        <v>0</v>
      </c>
      <c r="K76" s="204">
        <f>WR_Raw!H75</f>
        <v>0</v>
      </c>
      <c r="L76" s="206">
        <f>WR_Raw!C75</f>
        <v>46.9</v>
      </c>
      <c r="M76" s="204">
        <f>WR_Raw!D75</f>
        <v>550.70000000000005</v>
      </c>
      <c r="N76" s="207">
        <f>WR_Raw!E75</f>
        <v>4.3</v>
      </c>
      <c r="O76" s="204">
        <f>WR_Raw!I75</f>
        <v>0.2</v>
      </c>
      <c r="P76" s="208">
        <f>(J76*WRRushingYd)+(K76*WRRushingTD)+(L76*WRRec)+(M76*WRRecYd)+(N76*WRRecTD)+(O76*WRFuml)+(I76*WRRushAtt)</f>
        <v>103.92</v>
      </c>
      <c r="Q76" t="str">
        <f ca="1">IF(A76&lt;=WRStarters,"Starter",IF(A76&gt;WRStarters+WRBench,"Undrafted","Bench"))</f>
        <v>Undrafted</v>
      </c>
      <c r="R76">
        <f ca="1">IFERROR(MAX(P76-LARGE(WRSheetCount,WRStarters),0),0)</f>
        <v>0</v>
      </c>
      <c r="S76">
        <f ca="1">IFERROR(IF(AllowNegative="Yes",P76-LARGE(WRSheetCount,WRCount),MAX(P76-LARGE(WRSheetCount,WRCount),0)),0)</f>
        <v>-19.689999999999984</v>
      </c>
      <c r="T76" s="85">
        <f ca="1">(S76-R76)*BenchPF+R76*StarterPF</f>
        <v>-3.5701298064186933</v>
      </c>
      <c r="U76" s="85">
        <f ca="1">T76*Auction!$A$2</f>
        <v>-3.5701298064186933</v>
      </c>
      <c r="V76" s="6" t="str">
        <f>IF(OR(INDEX(Auction!$H$13:$H$656,MATCH(B76,Auction!$A$13:$A$656,0))&gt;0,IFERROR(INDEX(CheatSheet!$V$5:$V$64,MATCH(B76,CheatSheet!$S$5:$S$64,0)),"")&lt;&gt;""),"Yes","No")</f>
        <v>No</v>
      </c>
      <c r="W76" s="179"/>
      <c r="Y76" s="114">
        <f ca="1">IFERROR(SUMIFS($Z$3:$Z218,$Z$3:$Z$195,"&gt;0",$V$3:$V$195,"No")/SUMIF($Z$3:$Z$195,"&gt;0"),0)</f>
        <v>0</v>
      </c>
      <c r="Z76">
        <f t="shared" ca="1" si="4"/>
        <v>-9.8449999999999918</v>
      </c>
      <c r="AA76" s="116" t="str">
        <f t="shared" ca="1" si="3"/>
        <v>WR9</v>
      </c>
      <c r="AB76">
        <f ca="1">Z76*LeagueInfo!$H$5</f>
        <v>-3.6252080195669327</v>
      </c>
    </row>
    <row r="77" spans="1:28" ht="15.75" thickBot="1" x14ac:dyDescent="0.3">
      <c r="A77">
        <f>RANK(P77,P$3:P$213)</f>
        <v>75</v>
      </c>
      <c r="B77" t="str">
        <f>WR_Raw!A74</f>
        <v>K.J. Osborn</v>
      </c>
      <c r="C77" t="s">
        <v>35</v>
      </c>
      <c r="D77" t="str">
        <f>_xlfn.IFNA(INDEX(BYEs!$E$2:$E$411,MATCH(B77,BYEs!$D$2:$D$411,0)),"N/A")</f>
        <v>N/A</v>
      </c>
      <c r="E77">
        <f>INDEX(BYEs!$B$2:$B$34,MATCH(F77,BYEs!$A$2:$A$34,0))</f>
        <v>7</v>
      </c>
      <c r="F77" t="str">
        <f>WR_Raw!B74</f>
        <v>MIN</v>
      </c>
      <c r="G77" s="206">
        <v>0</v>
      </c>
      <c r="H77" s="207">
        <v>0</v>
      </c>
      <c r="I77" s="204">
        <f>WR_Raw!F74</f>
        <v>0.2</v>
      </c>
      <c r="J77" s="204">
        <f>WR_Raw!G74</f>
        <v>2</v>
      </c>
      <c r="K77" s="204">
        <f>WR_Raw!H74</f>
        <v>0</v>
      </c>
      <c r="L77" s="206">
        <f>WR_Raw!C74</f>
        <v>43.7</v>
      </c>
      <c r="M77" s="204">
        <f>WR_Raw!D74</f>
        <v>556.1</v>
      </c>
      <c r="N77" s="207">
        <f>WR_Raw!E74</f>
        <v>4.4000000000000004</v>
      </c>
      <c r="O77" s="204">
        <f>WR_Raw!I74</f>
        <v>0.4</v>
      </c>
      <c r="P77" s="208">
        <f>(J77*WRRushingYd)+(K77*WRRushingTD)+(L77*WRRec)+(M77*WRRecYd)+(N77*WRRecTD)+(O77*WRFuml)+(I77*WRRushAtt)</f>
        <v>103.26000000000002</v>
      </c>
      <c r="Q77" t="str">
        <f ca="1">IF(A77&lt;=WRStarters,"Starter",IF(A77&gt;WRStarters+WRBench,"Undrafted","Bench"))</f>
        <v>Undrafted</v>
      </c>
      <c r="R77">
        <f ca="1">IFERROR(MAX(P77-LARGE(WRSheetCount,WRStarters),0),0)</f>
        <v>0</v>
      </c>
      <c r="S77">
        <f ca="1">IFERROR(IF(AllowNegative="Yes",P77-LARGE(WRSheetCount,WRCount),MAX(P77-LARGE(WRSheetCount,WRCount),0)),0)</f>
        <v>-20.349999999999966</v>
      </c>
      <c r="T77" s="85">
        <f ca="1">(S77-R77)*BenchPF+R77*StarterPF</f>
        <v>-3.6897989619411042</v>
      </c>
      <c r="U77" s="85">
        <f ca="1">T77*Auction!$A$2</f>
        <v>-3.6897989619411042</v>
      </c>
      <c r="V77" s="6" t="str">
        <f>IF(OR(INDEX(Auction!$H$13:$H$656,MATCH(B77,Auction!$A$13:$A$656,0))&gt;0,IFERROR(INDEX(CheatSheet!$V$5:$V$64,MATCH(B77,CheatSheet!$S$5:$S$64,0)),"")&lt;&gt;""),"Yes","No")</f>
        <v>No</v>
      </c>
      <c r="W77" s="179"/>
      <c r="Y77" s="114">
        <f ca="1">IFERROR(SUMIFS($Z$3:$Z219,$Z$3:$Z$195,"&gt;0",$V$3:$V$195,"No")/SUMIF($Z$3:$Z$195,"&gt;0"),0)</f>
        <v>0</v>
      </c>
      <c r="Z77">
        <f t="shared" ca="1" si="4"/>
        <v>-10.174999999999983</v>
      </c>
      <c r="AA77" s="116" t="str">
        <f t="shared" ca="1" si="3"/>
        <v>WR9</v>
      </c>
      <c r="AB77">
        <f ca="1">Z77*LeagueInfo!$H$5</f>
        <v>-3.7467233721781117</v>
      </c>
    </row>
    <row r="78" spans="1:28" ht="15.75" thickBot="1" x14ac:dyDescent="0.3">
      <c r="A78">
        <f>RANK(P78,P$3:P$213)</f>
        <v>76</v>
      </c>
      <c r="B78" t="str">
        <f>WR_Raw!A77</f>
        <v>KJ Hamler</v>
      </c>
      <c r="C78" t="s">
        <v>35</v>
      </c>
      <c r="D78" t="str">
        <f>_xlfn.IFNA(INDEX(BYEs!$E$2:$E$411,MATCH(B78,BYEs!$D$2:$D$411,0)),"N/A")</f>
        <v>N/A</v>
      </c>
      <c r="E78">
        <f>INDEX(BYEs!$B$2:$B$34,MATCH(F78,BYEs!$A$2:$A$34,0))</f>
        <v>9</v>
      </c>
      <c r="F78" t="str">
        <f>WR_Raw!B77</f>
        <v>DEN</v>
      </c>
      <c r="G78" s="206">
        <v>0</v>
      </c>
      <c r="H78" s="207">
        <v>0</v>
      </c>
      <c r="I78" s="204">
        <f>WR_Raw!F77</f>
        <v>3.1</v>
      </c>
      <c r="J78" s="204">
        <f>WR_Raw!G77</f>
        <v>20.6</v>
      </c>
      <c r="K78" s="204">
        <f>WR_Raw!H77</f>
        <v>0</v>
      </c>
      <c r="L78" s="206">
        <f>WR_Raw!C77</f>
        <v>43.3</v>
      </c>
      <c r="M78" s="204">
        <f>WR_Raw!D77</f>
        <v>564.29999999999995</v>
      </c>
      <c r="N78" s="207">
        <f>WR_Raw!E77</f>
        <v>3.3</v>
      </c>
      <c r="O78" s="204">
        <f>WR_Raw!I77</f>
        <v>0.1</v>
      </c>
      <c r="P78" s="208">
        <f>(J78*WRRushingYd)+(K78*WRRushingTD)+(L78*WRRec)+(M78*WRRecYd)+(N78*WRRecTD)+(O78*WRFuml)+(I78*WRRushAtt)</f>
        <v>99.74</v>
      </c>
      <c r="Q78" t="str">
        <f ca="1">IF(A78&lt;=WRStarters,"Starter",IF(A78&gt;WRStarters+WRBench,"Undrafted","Bench"))</f>
        <v>Undrafted</v>
      </c>
      <c r="R78">
        <f ca="1">IFERROR(MAX(P78-LARGE(WRSheetCount,WRStarters),0),0)</f>
        <v>0</v>
      </c>
      <c r="S78">
        <f ca="1">IFERROR(IF(AllowNegative="Yes",P78-LARGE(WRSheetCount,WRCount),MAX(P78-LARGE(WRSheetCount,WRCount),0)),0)</f>
        <v>-23.86999999999999</v>
      </c>
      <c r="T78" s="85">
        <f ca="1">(S78-R78)*BenchPF+R78*StarterPF</f>
        <v>-4.3280344580606522</v>
      </c>
      <c r="U78" s="85">
        <f ca="1">T78*Auction!$A$2</f>
        <v>-4.3280344580606522</v>
      </c>
      <c r="V78" s="6" t="str">
        <f>IF(OR(INDEX(Auction!$H$13:$H$656,MATCH(B78,Auction!$A$13:$A$656,0))&gt;0,IFERROR(INDEX(CheatSheet!$V$5:$V$64,MATCH(B78,CheatSheet!$S$5:$S$64,0)),"")&lt;&gt;""),"Yes","No")</f>
        <v>No</v>
      </c>
      <c r="W78" s="179"/>
      <c r="Y78" s="114">
        <f ca="1">IFERROR(SUMIFS($Z$3:$Z220,$Z$3:$Z$195,"&gt;0",$V$3:$V$195,"No")/SUMIF($Z$3:$Z$195,"&gt;0"),0)</f>
        <v>0</v>
      </c>
      <c r="Z78">
        <f t="shared" ca="1" si="4"/>
        <v>-11.934999999999995</v>
      </c>
      <c r="AA78" s="116" t="str">
        <f t="shared" ca="1" si="3"/>
        <v>WR9</v>
      </c>
      <c r="AB78">
        <f ca="1">Z78*LeagueInfo!$H$5</f>
        <v>-4.3948052527710875</v>
      </c>
    </row>
    <row r="79" spans="1:28" ht="15.75" thickBot="1" x14ac:dyDescent="0.3">
      <c r="A79">
        <f>RANK(P79,P$3:P$213)</f>
        <v>77</v>
      </c>
      <c r="B79" t="str">
        <f>WR_Raw!A78</f>
        <v>Alec Pierce</v>
      </c>
      <c r="C79" t="s">
        <v>35</v>
      </c>
      <c r="D79" t="str">
        <f>_xlfn.IFNA(INDEX(BYEs!$E$2:$E$411,MATCH(B79,BYEs!$D$2:$D$411,0)),"N/A")</f>
        <v>N/A</v>
      </c>
      <c r="E79">
        <f>INDEX(BYEs!$B$2:$B$34,MATCH(F79,BYEs!$A$2:$A$34,0))</f>
        <v>14</v>
      </c>
      <c r="F79" t="str">
        <f>WR_Raw!B78</f>
        <v>IND</v>
      </c>
      <c r="G79" s="206">
        <v>0</v>
      </c>
      <c r="H79" s="207">
        <v>0</v>
      </c>
      <c r="I79" s="204">
        <f>WR_Raw!F78</f>
        <v>0</v>
      </c>
      <c r="J79" s="204">
        <f>WR_Raw!G78</f>
        <v>0</v>
      </c>
      <c r="K79" s="204">
        <f>WR_Raw!H78</f>
        <v>0</v>
      </c>
      <c r="L79" s="206">
        <f>WR_Raw!C78</f>
        <v>41.2</v>
      </c>
      <c r="M79" s="204">
        <f>WR_Raw!D78</f>
        <v>559.5</v>
      </c>
      <c r="N79" s="207">
        <f>WR_Raw!E78</f>
        <v>3.7</v>
      </c>
      <c r="O79" s="204">
        <f>WR_Raw!I78</f>
        <v>0.2</v>
      </c>
      <c r="P79" s="208">
        <f>(J79*WRRushingYd)+(K79*WRRushingTD)+(L79*WRRec)+(M79*WRRecYd)+(N79*WRRecTD)+(O79*WRFuml)+(I79*WRRushAtt)</f>
        <v>98.350000000000009</v>
      </c>
      <c r="Q79" t="str">
        <f ca="1">IF(A79&lt;=WRStarters,"Starter",IF(A79&gt;WRStarters+WRBench,"Undrafted","Bench"))</f>
        <v>Undrafted</v>
      </c>
      <c r="R79">
        <f ca="1">IFERROR(MAX(P79-LARGE(WRSheetCount,WRStarters),0),0)</f>
        <v>0</v>
      </c>
      <c r="S79">
        <f ca="1">IFERROR(IF(AllowNegative="Yes",P79-LARGE(WRSheetCount,WRCount),MAX(P79-LARGE(WRSheetCount,WRCount),0)),0)</f>
        <v>-25.259999999999977</v>
      </c>
      <c r="T79" s="85">
        <f ca="1">(S79-R79)*BenchPF+R79*StarterPF</f>
        <v>-4.5800649522669472</v>
      </c>
      <c r="U79" s="85">
        <f ca="1">T79*Auction!$A$2</f>
        <v>-4.5800649522669472</v>
      </c>
      <c r="V79" s="6" t="str">
        <f>IF(OR(INDEX(Auction!$H$13:$H$656,MATCH(B79,Auction!$A$13:$A$656,0))&gt;0,IFERROR(INDEX(CheatSheet!$V$5:$V$64,MATCH(B79,CheatSheet!$S$5:$S$64,0)),"")&lt;&gt;""),"Yes","No")</f>
        <v>No</v>
      </c>
      <c r="W79" s="179"/>
      <c r="Y79" s="114">
        <f ca="1">IFERROR(SUMIFS($Z$3:$Z221,$Z$3:$Z$195,"&gt;0",$V$3:$V$195,"No")/SUMIF($Z$3:$Z$195,"&gt;0"),0)</f>
        <v>0</v>
      </c>
      <c r="Z79">
        <f t="shared" ca="1" si="4"/>
        <v>-12.629999999999988</v>
      </c>
      <c r="AA79" s="116" t="str">
        <f t="shared" ca="1" si="3"/>
        <v>WR9</v>
      </c>
      <c r="AB79">
        <f ca="1">Z79*LeagueInfo!$H$5</f>
        <v>-4.6507239499370598</v>
      </c>
    </row>
    <row r="80" spans="1:28" ht="15.75" thickBot="1" x14ac:dyDescent="0.3">
      <c r="A80">
        <f>RANK(P80,P$3:P$213)</f>
        <v>78</v>
      </c>
      <c r="B80" t="str">
        <f>WR_Raw!A79</f>
        <v>Randall Cobb</v>
      </c>
      <c r="C80" t="s">
        <v>35</v>
      </c>
      <c r="D80">
        <f>_xlfn.IFNA(INDEX(BYEs!$E$2:$E$411,MATCH(B80,BYEs!$D$2:$D$411,0)),"N/A")</f>
        <v>30</v>
      </c>
      <c r="E80">
        <f>INDEX(BYEs!$B$2:$B$34,MATCH(F80,BYEs!$A$2:$A$34,0))</f>
        <v>14</v>
      </c>
      <c r="F80" t="str">
        <f>WR_Raw!B79</f>
        <v>GB</v>
      </c>
      <c r="G80" s="206">
        <v>0</v>
      </c>
      <c r="H80" s="207">
        <v>0</v>
      </c>
      <c r="I80" s="204">
        <f>WR_Raw!F79</f>
        <v>0.8</v>
      </c>
      <c r="J80" s="204">
        <f>WR_Raw!G79</f>
        <v>3.2</v>
      </c>
      <c r="K80" s="204">
        <f>WR_Raw!H79</f>
        <v>0</v>
      </c>
      <c r="L80" s="206">
        <f>WR_Raw!C79</f>
        <v>41.6</v>
      </c>
      <c r="M80" s="204">
        <f>WR_Raw!D79</f>
        <v>531.9</v>
      </c>
      <c r="N80" s="207">
        <f>WR_Raw!E79</f>
        <v>4.0999999999999996</v>
      </c>
      <c r="O80" s="204">
        <f>WR_Raw!I79</f>
        <v>0.5</v>
      </c>
      <c r="P80" s="208">
        <f>(J80*WRRushingYd)+(K80*WRRushingTD)+(L80*WRRec)+(M80*WRRecYd)+(N80*WRRecTD)+(O80*WRFuml)+(I80*WRRushAtt)</f>
        <v>97.91</v>
      </c>
      <c r="Q80" t="str">
        <f ca="1">IF(A80&lt;=WRStarters,"Starter",IF(A80&gt;WRStarters+WRBench,"Undrafted","Bench"))</f>
        <v>Undrafted</v>
      </c>
      <c r="R80">
        <f ca="1">IFERROR(MAX(P80-LARGE(WRSheetCount,WRStarters),0),0)</f>
        <v>0</v>
      </c>
      <c r="S80">
        <f ca="1">IFERROR(IF(AllowNegative="Yes",P80-LARGE(WRSheetCount,WRCount),MAX(P80-LARGE(WRSheetCount,WRCount),0)),0)</f>
        <v>-25.699999999999989</v>
      </c>
      <c r="T80" s="85">
        <f ca="1">(S80-R80)*BenchPF+R80*StarterPF</f>
        <v>-4.6598443892818917</v>
      </c>
      <c r="U80" s="85">
        <f ca="1">T80*Auction!$A$2</f>
        <v>-4.6598443892818917</v>
      </c>
      <c r="V80" s="6" t="str">
        <f>IF(OR(INDEX(Auction!$H$13:$H$656,MATCH(B80,Auction!$A$13:$A$656,0))&gt;0,IFERROR(INDEX(CheatSheet!$V$5:$V$64,MATCH(B80,CheatSheet!$S$5:$S$64,0)),"")&lt;&gt;""),"Yes","No")</f>
        <v>No</v>
      </c>
      <c r="W80" s="179"/>
      <c r="Y80" s="114">
        <f ca="1">IFERROR(SUMIFS($Z$3:$Z222,$Z$3:$Z$195,"&gt;0",$V$3:$V$195,"No")/SUMIF($Z$3:$Z$195,"&gt;0"),0)</f>
        <v>0</v>
      </c>
      <c r="Z80">
        <f t="shared" ca="1" si="4"/>
        <v>-12.849999999999994</v>
      </c>
      <c r="AA80" s="116" t="str">
        <f t="shared" ca="1" si="3"/>
        <v>WR9</v>
      </c>
      <c r="AB80">
        <f ca="1">Z80*LeagueInfo!$H$5</f>
        <v>-4.7317341850111836</v>
      </c>
    </row>
    <row r="81" spans="1:28" ht="15.75" thickBot="1" x14ac:dyDescent="0.3">
      <c r="A81">
        <f>RANK(P81,P$3:P$213)</f>
        <v>79</v>
      </c>
      <c r="B81" t="str">
        <f>WR_Raw!A80</f>
        <v>Kendrick Bourne</v>
      </c>
      <c r="C81" t="s">
        <v>35</v>
      </c>
      <c r="D81">
        <f>_xlfn.IFNA(INDEX(BYEs!$E$2:$E$411,MATCH(B81,BYEs!$D$2:$D$411,0)),"N/A")</f>
        <v>26</v>
      </c>
      <c r="E81">
        <f>INDEX(BYEs!$B$2:$B$34,MATCH(F81,BYEs!$A$2:$A$34,0))</f>
        <v>10</v>
      </c>
      <c r="F81" t="str">
        <f>WR_Raw!B80</f>
        <v>NE</v>
      </c>
      <c r="G81" s="206">
        <v>0</v>
      </c>
      <c r="H81" s="207">
        <v>0</v>
      </c>
      <c r="I81" s="204">
        <f>WR_Raw!F80</f>
        <v>6.3</v>
      </c>
      <c r="J81" s="204">
        <f>WR_Raw!G80</f>
        <v>48</v>
      </c>
      <c r="K81" s="204">
        <f>WR_Raw!H80</f>
        <v>0.1</v>
      </c>
      <c r="L81" s="206">
        <f>WR_Raw!C80</f>
        <v>40.5</v>
      </c>
      <c r="M81" s="204">
        <f>WR_Raw!D80</f>
        <v>511.5</v>
      </c>
      <c r="N81" s="207">
        <f>WR_Raw!E80</f>
        <v>3.6</v>
      </c>
      <c r="O81" s="204">
        <f>WR_Raw!I80</f>
        <v>0.5</v>
      </c>
      <c r="P81" s="208">
        <f>(J81*WRRushingYd)+(K81*WRRushingTD)+(L81*WRRec)+(M81*WRRecYd)+(N81*WRRecTD)+(O81*WRFuml)+(I81*WRRushAtt)</f>
        <v>97.4</v>
      </c>
      <c r="Q81" t="str">
        <f ca="1">IF(A81&lt;=WRStarters,"Starter",IF(A81&gt;WRStarters+WRBench,"Undrafted","Bench"))</f>
        <v>Undrafted</v>
      </c>
      <c r="R81">
        <f ca="1">IFERROR(MAX(P81-LARGE(WRSheetCount,WRStarters),0),0)</f>
        <v>0</v>
      </c>
      <c r="S81">
        <f ca="1">IFERROR(IF(AllowNegative="Yes",P81-LARGE(WRSheetCount,WRCount),MAX(P81-LARGE(WRSheetCount,WRCount),0)),0)</f>
        <v>-26.20999999999998</v>
      </c>
      <c r="T81" s="85">
        <f ca="1">(S81-R81)*BenchPF+R81*StarterPF</f>
        <v>-4.7523160094583012</v>
      </c>
      <c r="U81" s="85">
        <f ca="1">T81*Auction!$A$2</f>
        <v>-4.7523160094583012</v>
      </c>
      <c r="V81" s="6" t="str">
        <f>IF(OR(INDEX(Auction!$H$13:$H$656,MATCH(B81,Auction!$A$13:$A$656,0))&gt;0,IFERROR(INDEX(CheatSheet!$V$5:$V$64,MATCH(B81,CheatSheet!$S$5:$S$64,0)),"")&lt;&gt;""),"Yes","No")</f>
        <v>No</v>
      </c>
      <c r="W81" s="179"/>
      <c r="Y81" s="114">
        <f ca="1">IFERROR(SUMIFS($Z$3:$Z223,$Z$3:$Z$195,"&gt;0",$V$3:$V$195,"No")/SUMIF($Z$3:$Z$195,"&gt;0"),0)</f>
        <v>0</v>
      </c>
      <c r="Z81">
        <f t="shared" ca="1" si="4"/>
        <v>-13.10499999999999</v>
      </c>
      <c r="AA81" s="116" t="str">
        <f t="shared" ca="1" si="3"/>
        <v>WR9</v>
      </c>
      <c r="AB81">
        <f ca="1">Z81*LeagueInfo!$H$5</f>
        <v>-4.8256324120289138</v>
      </c>
    </row>
    <row r="82" spans="1:28" ht="15.75" thickBot="1" x14ac:dyDescent="0.3">
      <c r="A82">
        <f>RANK(P82,P$3:P$213)</f>
        <v>80</v>
      </c>
      <c r="B82" t="str">
        <f>WR_Raw!A83</f>
        <v>Zay Jones</v>
      </c>
      <c r="C82" t="s">
        <v>35</v>
      </c>
      <c r="D82">
        <f>_xlfn.IFNA(INDEX(BYEs!$E$2:$E$411,MATCH(B82,BYEs!$D$2:$D$411,0)),"N/A")</f>
        <v>26</v>
      </c>
      <c r="E82">
        <f>INDEX(BYEs!$B$2:$B$34,MATCH(F82,BYEs!$A$2:$A$34,0))</f>
        <v>11</v>
      </c>
      <c r="F82" t="str">
        <f>WR_Raw!B83</f>
        <v>JAC</v>
      </c>
      <c r="G82" s="206">
        <v>0</v>
      </c>
      <c r="H82" s="207">
        <v>0</v>
      </c>
      <c r="I82" s="204">
        <f>WR_Raw!F83</f>
        <v>0.4</v>
      </c>
      <c r="J82" s="204">
        <f>WR_Raw!G83</f>
        <v>0.6</v>
      </c>
      <c r="K82" s="204">
        <f>WR_Raw!H83</f>
        <v>0</v>
      </c>
      <c r="L82" s="206">
        <f>WR_Raw!C83</f>
        <v>44.4</v>
      </c>
      <c r="M82" s="204">
        <f>WR_Raw!D83</f>
        <v>523</v>
      </c>
      <c r="N82" s="207">
        <f>WR_Raw!E83</f>
        <v>2.9</v>
      </c>
      <c r="O82" s="204">
        <f>WR_Raw!I83</f>
        <v>0.4</v>
      </c>
      <c r="P82" s="208">
        <f>(J82*WRRushingYd)+(K82*WRRushingTD)+(L82*WRRec)+(M82*WRRecYd)+(N82*WRRecTD)+(O82*WRFuml)+(I82*WRRushAtt)</f>
        <v>91.160000000000011</v>
      </c>
      <c r="Q82" t="str">
        <f ca="1">IF(A82&lt;=WRStarters,"Starter",IF(A82&gt;WRStarters+WRBench,"Undrafted","Bench"))</f>
        <v>Undrafted</v>
      </c>
      <c r="R82">
        <f ca="1">IFERROR(MAX(P82-LARGE(WRSheetCount,WRStarters),0),0)</f>
        <v>0</v>
      </c>
      <c r="S82">
        <f ca="1">IFERROR(IF(AllowNegative="Yes",P82-LARGE(WRSheetCount,WRCount),MAX(P82-LARGE(WRSheetCount,WRCount),0)),0)</f>
        <v>-32.449999999999974</v>
      </c>
      <c r="T82" s="85">
        <f ca="1">(S82-R82)*BenchPF+R82*StarterPF</f>
        <v>-5.8837334798520367</v>
      </c>
      <c r="U82" s="85">
        <f ca="1">T82*Auction!$A$2</f>
        <v>-5.8837334798520367</v>
      </c>
      <c r="V82" s="6" t="str">
        <f>IF(OR(INDEX(Auction!$H$13:$H$656,MATCH(B82,Auction!$A$13:$A$656,0))&gt;0,IFERROR(INDEX(CheatSheet!$V$5:$V$64,MATCH(B82,CheatSheet!$S$5:$S$64,0)),"")&lt;&gt;""),"Yes","No")</f>
        <v>No</v>
      </c>
      <c r="W82" s="179"/>
      <c r="Y82" s="114">
        <f ca="1">IFERROR(SUMIFS($Z$3:$Z224,$Z$3:$Z$195,"&gt;0",$V$3:$V$195,"No")/SUMIF($Z$3:$Z$195,"&gt;0"),0)</f>
        <v>0</v>
      </c>
      <c r="Z82">
        <f t="shared" ca="1" si="4"/>
        <v>-16.224999999999987</v>
      </c>
      <c r="AA82" s="116" t="str">
        <f t="shared" ca="1" si="3"/>
        <v>WR9</v>
      </c>
      <c r="AB82">
        <f ca="1">Z82*LeagueInfo!$H$5</f>
        <v>-5.9745048367164539</v>
      </c>
    </row>
    <row r="83" spans="1:28" ht="15.75" thickBot="1" x14ac:dyDescent="0.3">
      <c r="A83">
        <f>RANK(P83,P$3:P$213)</f>
        <v>81</v>
      </c>
      <c r="B83" t="str">
        <f>WR_Raw!A82</f>
        <v>Cedrick Wilson Jr.</v>
      </c>
      <c r="C83" t="s">
        <v>35</v>
      </c>
      <c r="D83" t="str">
        <f>_xlfn.IFNA(INDEX(BYEs!$E$2:$E$411,MATCH(B83,BYEs!$D$2:$D$411,0)),"N/A")</f>
        <v>N/A</v>
      </c>
      <c r="E83">
        <f>INDEX(BYEs!$B$2:$B$34,MATCH(F83,BYEs!$A$2:$A$34,0))</f>
        <v>11</v>
      </c>
      <c r="F83" t="str">
        <f>WR_Raw!B82</f>
        <v>MIA</v>
      </c>
      <c r="G83" s="206">
        <v>0</v>
      </c>
      <c r="H83" s="207">
        <v>0</v>
      </c>
      <c r="I83" s="204">
        <f>WR_Raw!F82</f>
        <v>0.6</v>
      </c>
      <c r="J83" s="204">
        <f>WR_Raw!G82</f>
        <v>1.6</v>
      </c>
      <c r="K83" s="204">
        <f>WR_Raw!H82</f>
        <v>0</v>
      </c>
      <c r="L83" s="206">
        <f>WR_Raw!C82</f>
        <v>41.7</v>
      </c>
      <c r="M83" s="204">
        <f>WR_Raw!D82</f>
        <v>502.9</v>
      </c>
      <c r="N83" s="207">
        <f>WR_Raw!E82</f>
        <v>3.4</v>
      </c>
      <c r="O83" s="204">
        <f>WR_Raw!I82</f>
        <v>0.5</v>
      </c>
      <c r="P83" s="208">
        <f>(J83*WRRushingYd)+(K83*WRRushingTD)+(L83*WRRec)+(M83*WRRecYd)+(N83*WRRecTD)+(O83*WRFuml)+(I83*WRRushAtt)</f>
        <v>90.699999999999989</v>
      </c>
      <c r="Q83" t="str">
        <f ca="1">IF(A83&lt;=WRStarters,"Starter",IF(A83&gt;WRStarters+WRBench,"Undrafted","Bench"))</f>
        <v>Undrafted</v>
      </c>
      <c r="R83">
        <f ca="1">IFERROR(MAX(P83-LARGE(WRSheetCount,WRStarters),0),0)</f>
        <v>0</v>
      </c>
      <c r="S83">
        <f ca="1">IFERROR(IF(AllowNegative="Yes",P83-LARGE(WRSheetCount,WRCount),MAX(P83-LARGE(WRSheetCount,WRCount),0)),0)</f>
        <v>-32.909999999999997</v>
      </c>
      <c r="T83" s="85">
        <f ca="1">(S83-R83)*BenchPF+R83*StarterPF</f>
        <v>-5.9671392549131177</v>
      </c>
      <c r="U83" s="85">
        <f ca="1">T83*Auction!$A$2</f>
        <v>-5.9671392549131177</v>
      </c>
      <c r="V83" s="6" t="str">
        <f>IF(OR(INDEX(Auction!$H$13:$H$656,MATCH(B83,Auction!$A$13:$A$656,0))&gt;0,IFERROR(INDEX(CheatSheet!$V$5:$V$64,MATCH(B83,CheatSheet!$S$5:$S$64,0)),"")&lt;&gt;""),"Yes","No")</f>
        <v>No</v>
      </c>
      <c r="W83" s="179"/>
      <c r="Y83" s="114">
        <f ca="1">IFERROR(SUMIFS($Z$3:$Z225,$Z$3:$Z$195,"&gt;0",$V$3:$V$195,"No")/SUMIF($Z$3:$Z$195,"&gt;0"),0)</f>
        <v>0</v>
      </c>
      <c r="Z83">
        <f t="shared" ca="1" si="4"/>
        <v>-16.454999999999998</v>
      </c>
      <c r="AA83" s="116" t="str">
        <f t="shared" ca="1" si="3"/>
        <v>WR9</v>
      </c>
      <c r="AB83">
        <f ca="1">Z83*LeagueInfo!$H$5</f>
        <v>-6.0591973552030396</v>
      </c>
    </row>
    <row r="84" spans="1:28" ht="15.75" thickBot="1" x14ac:dyDescent="0.3">
      <c r="A84">
        <f>RANK(P84,P$3:P$213)</f>
        <v>82</v>
      </c>
      <c r="B84" t="str">
        <f>WR_Raw!A81</f>
        <v>Nick Westbrook-Ikhine</v>
      </c>
      <c r="C84" t="s">
        <v>35</v>
      </c>
      <c r="D84" t="str">
        <f>_xlfn.IFNA(INDEX(BYEs!$E$2:$E$411,MATCH(B84,BYEs!$D$2:$D$411,0)),"N/A")</f>
        <v>N/A</v>
      </c>
      <c r="E84">
        <f>INDEX(BYEs!$B$2:$B$34,MATCH(F84,BYEs!$A$2:$A$34,0))</f>
        <v>6</v>
      </c>
      <c r="F84" t="str">
        <f>WR_Raw!B81</f>
        <v>TEN</v>
      </c>
      <c r="G84" s="206">
        <v>0</v>
      </c>
      <c r="H84" s="207">
        <v>0</v>
      </c>
      <c r="I84" s="204">
        <f>WR_Raw!F81</f>
        <v>0</v>
      </c>
      <c r="J84" s="204">
        <f>WR_Raw!G81</f>
        <v>0</v>
      </c>
      <c r="K84" s="204">
        <f>WR_Raw!H81</f>
        <v>0</v>
      </c>
      <c r="L84" s="206">
        <f>WR_Raw!C81</f>
        <v>39.299999999999997</v>
      </c>
      <c r="M84" s="204">
        <f>WR_Raw!D81</f>
        <v>491.9</v>
      </c>
      <c r="N84" s="207">
        <f>WR_Raw!E81</f>
        <v>3.5</v>
      </c>
      <c r="O84" s="204">
        <f>WR_Raw!I81</f>
        <v>0.4</v>
      </c>
      <c r="P84" s="208">
        <f>(J84*WRRushingYd)+(K84*WRRushingTD)+(L84*WRRec)+(M84*WRRecYd)+(N84*WRRecTD)+(O84*WRFuml)+(I84*WRRushAtt)</f>
        <v>89.04</v>
      </c>
      <c r="Q84" t="str">
        <f ca="1">IF(A84&lt;=WRStarters,"Starter",IF(A84&gt;WRStarters+WRBench,"Undrafted","Bench"))</f>
        <v>Undrafted</v>
      </c>
      <c r="R84">
        <f ca="1">IFERROR(MAX(P84-LARGE(WRSheetCount,WRStarters),0),0)</f>
        <v>0</v>
      </c>
      <c r="S84">
        <f ca="1">IFERROR(IF(AllowNegative="Yes",P84-LARGE(WRSheetCount,WRCount),MAX(P84-LARGE(WRSheetCount,WRCount),0)),0)</f>
        <v>-34.569999999999979</v>
      </c>
      <c r="T84" s="85">
        <f ca="1">(S84-R84)*BenchPF+R84*StarterPF</f>
        <v>-6.2681253127422174</v>
      </c>
      <c r="U84" s="85">
        <f ca="1">T84*Auction!$A$2</f>
        <v>-6.2681253127422174</v>
      </c>
      <c r="V84" s="6" t="str">
        <f>IF(OR(INDEX(Auction!$H$13:$H$656,MATCH(B84,Auction!$A$13:$A$656,0))&gt;0,IFERROR(INDEX(CheatSheet!$V$5:$V$64,MATCH(B84,CheatSheet!$S$5:$S$64,0)),"")&lt;&gt;""),"Yes","No")</f>
        <v>No</v>
      </c>
      <c r="W84" s="179"/>
      <c r="Y84" s="114">
        <f ca="1">IFERROR(SUMIFS($Z$3:$Z226,$Z$3:$Z$195,"&gt;0",$V$3:$V$195,"No")/SUMIF($Z$3:$Z$195,"&gt;0"),0)</f>
        <v>0</v>
      </c>
      <c r="Z84">
        <f t="shared" ca="1" si="4"/>
        <v>-17.284999999999989</v>
      </c>
      <c r="AA84" s="116" t="str">
        <f t="shared" ca="1" si="3"/>
        <v>WR9</v>
      </c>
      <c r="AB84">
        <f ca="1">Z84*LeagueInfo!$H$5</f>
        <v>-6.3648268784372215</v>
      </c>
    </row>
    <row r="85" spans="1:28" ht="15.75" thickBot="1" x14ac:dyDescent="0.3">
      <c r="A85">
        <f>RANK(P85,P$3:P$213)</f>
        <v>83</v>
      </c>
      <c r="B85" t="str">
        <f>WR_Raw!A84</f>
        <v>A.J. Green</v>
      </c>
      <c r="C85" t="s">
        <v>35</v>
      </c>
      <c r="D85">
        <f>_xlfn.IFNA(INDEX(BYEs!$E$2:$E$411,MATCH(B85,BYEs!$D$2:$D$411,0)),"N/A")</f>
        <v>33</v>
      </c>
      <c r="E85">
        <f>INDEX(BYEs!$B$2:$B$34,MATCH(F85,BYEs!$A$2:$A$34,0))</f>
        <v>13</v>
      </c>
      <c r="F85" t="str">
        <f>WR_Raw!B84</f>
        <v>ARI</v>
      </c>
      <c r="G85" s="206">
        <v>0</v>
      </c>
      <c r="H85" s="207">
        <v>0</v>
      </c>
      <c r="I85" s="204">
        <f>WR_Raw!F84</f>
        <v>0</v>
      </c>
      <c r="J85" s="204">
        <f>WR_Raw!G84</f>
        <v>0</v>
      </c>
      <c r="K85" s="204">
        <f>WR_Raw!H84</f>
        <v>0</v>
      </c>
      <c r="L85" s="206">
        <f>WR_Raw!C84</f>
        <v>36.799999999999997</v>
      </c>
      <c r="M85" s="204">
        <f>WR_Raw!D84</f>
        <v>528.79999999999995</v>
      </c>
      <c r="N85" s="207">
        <f>WR_Raw!E84</f>
        <v>2.7</v>
      </c>
      <c r="O85" s="204">
        <f>WR_Raw!I84</f>
        <v>0.1</v>
      </c>
      <c r="P85" s="208">
        <f>(J85*WRRushingYd)+(K85*WRRushingTD)+(L85*WRRec)+(M85*WRRecYd)+(N85*WRRecTD)+(O85*WRFuml)+(I85*WRRushAtt)</f>
        <v>87.28</v>
      </c>
      <c r="Q85" t="str">
        <f ca="1">IF(A85&lt;=WRStarters,"Starter",IF(A85&gt;WRStarters+WRBench,"Undrafted","Bench"))</f>
        <v>Undrafted</v>
      </c>
      <c r="R85">
        <f ca="1">IFERROR(MAX(P85-LARGE(WRSheetCount,WRStarters),0),0)</f>
        <v>0</v>
      </c>
      <c r="S85">
        <f ca="1">IFERROR(IF(AllowNegative="Yes",P85-LARGE(WRSheetCount,WRCount),MAX(P85-LARGE(WRSheetCount,WRCount),0)),0)</f>
        <v>-36.329999999999984</v>
      </c>
      <c r="T85" s="85">
        <f ca="1">(S85-R85)*BenchPF+R85*StarterPF</f>
        <v>-6.5872430608019901</v>
      </c>
      <c r="U85" s="85">
        <f ca="1">T85*Auction!$A$2</f>
        <v>-6.5872430608019901</v>
      </c>
      <c r="V85" s="6" t="str">
        <f>IF(OR(INDEX(Auction!$H$13:$H$656,MATCH(B85,Auction!$A$13:$A$656,0))&gt;0,IFERROR(INDEX(CheatSheet!$V$5:$V$64,MATCH(B85,CheatSheet!$S$5:$S$64,0)),"")&lt;&gt;""),"Yes","No")</f>
        <v>No</v>
      </c>
      <c r="W85" s="179"/>
      <c r="Y85" s="114">
        <f ca="1">IFERROR(SUMIFS($Z$3:$Z227,$Z$3:$Z$195,"&gt;0",$V$3:$V$195,"No")/SUMIF($Z$3:$Z$195,"&gt;0"),0)</f>
        <v>0</v>
      </c>
      <c r="Z85">
        <f t="shared" ca="1" si="4"/>
        <v>-18.164999999999992</v>
      </c>
      <c r="AA85" s="116" t="str">
        <f t="shared" ca="1" si="3"/>
        <v>WR10</v>
      </c>
      <c r="AB85">
        <f ca="1">Z85*LeagueInfo!$H$5</f>
        <v>-6.6888678187337085</v>
      </c>
    </row>
    <row r="86" spans="1:28" ht="15.75" thickBot="1" x14ac:dyDescent="0.3">
      <c r="A86">
        <f>RANK(P86,P$3:P$213)</f>
        <v>84</v>
      </c>
      <c r="B86" t="str">
        <f>WR_Raw!A85</f>
        <v>Bryan Edwards</v>
      </c>
      <c r="C86" t="s">
        <v>35</v>
      </c>
      <c r="D86" t="str">
        <f>_xlfn.IFNA(INDEX(BYEs!$E$2:$E$411,MATCH(B86,BYEs!$D$2:$D$411,0)),"N/A")</f>
        <v>N/A</v>
      </c>
      <c r="E86">
        <f>INDEX(BYEs!$B$2:$B$34,MATCH(F86,BYEs!$A$2:$A$34,0))</f>
        <v>14</v>
      </c>
      <c r="F86" t="str">
        <f>WR_Raw!B85</f>
        <v>ATL</v>
      </c>
      <c r="G86" s="206">
        <v>0</v>
      </c>
      <c r="H86" s="207">
        <v>0</v>
      </c>
      <c r="I86" s="204">
        <f>WR_Raw!F85</f>
        <v>0.2</v>
      </c>
      <c r="J86" s="204">
        <f>WR_Raw!G85</f>
        <v>1.4</v>
      </c>
      <c r="K86" s="204">
        <f>WR_Raw!H85</f>
        <v>0</v>
      </c>
      <c r="L86" s="206">
        <f>WR_Raw!C85</f>
        <v>36.1</v>
      </c>
      <c r="M86" s="204">
        <f>WR_Raw!D85</f>
        <v>526.79999999999995</v>
      </c>
      <c r="N86" s="207">
        <f>WR_Raw!E85</f>
        <v>2.6</v>
      </c>
      <c r="O86" s="204">
        <f>WR_Raw!I85</f>
        <v>0.1</v>
      </c>
      <c r="P86" s="208">
        <f>(J86*WRRushingYd)+(K86*WRRushingTD)+(L86*WRRec)+(M86*WRRecYd)+(N86*WRRecTD)+(O86*WRFuml)+(I86*WRRushAtt)</f>
        <v>86.27</v>
      </c>
      <c r="Q86" t="str">
        <f ca="1">IF(A86&lt;=WRStarters,"Starter",IF(A86&gt;WRStarters+WRBench,"Undrafted","Bench"))</f>
        <v>Undrafted</v>
      </c>
      <c r="R86">
        <f ca="1">IFERROR(MAX(P86-LARGE(WRSheetCount,WRStarters),0),0)</f>
        <v>0</v>
      </c>
      <c r="S86">
        <f ca="1">IFERROR(IF(AllowNegative="Yes",P86-LARGE(WRSheetCount,WRCount),MAX(P86-LARGE(WRSheetCount,WRCount),0)),0)</f>
        <v>-37.339999999999989</v>
      </c>
      <c r="T86" s="85">
        <f ca="1">(S86-R86)*BenchPF+R86*StarterPF</f>
        <v>-6.7703731321317457</v>
      </c>
      <c r="U86" s="85">
        <f ca="1">T86*Auction!$A$2</f>
        <v>-6.7703731321317457</v>
      </c>
      <c r="V86" s="6" t="str">
        <f>IF(OR(INDEX(Auction!$H$13:$H$656,MATCH(B86,Auction!$A$13:$A$656,0))&gt;0,IFERROR(INDEX(CheatSheet!$V$5:$V$64,MATCH(B86,CheatSheet!$S$5:$S$64,0)),"")&lt;&gt;""),"Yes","No")</f>
        <v>No</v>
      </c>
      <c r="W86" s="179"/>
      <c r="Y86" s="114">
        <f ca="1">IFERROR(SUMIFS($Z$3:$Z228,$Z$3:$Z$195,"&gt;0",$V$3:$V$195,"No")/SUMIF($Z$3:$Z$195,"&gt;0"),0)</f>
        <v>0</v>
      </c>
      <c r="Z86">
        <f t="shared" ca="1" si="4"/>
        <v>-18.669999999999995</v>
      </c>
      <c r="AA86" s="116" t="str">
        <f t="shared" ca="1" si="3"/>
        <v>WR10</v>
      </c>
      <c r="AB86">
        <f ca="1">Z86*LeagueInfo!$H$5</f>
        <v>-6.8748231310629428</v>
      </c>
    </row>
    <row r="87" spans="1:28" ht="15.75" thickBot="1" x14ac:dyDescent="0.3">
      <c r="A87">
        <f>RANK(P87,P$3:P$213)</f>
        <v>85</v>
      </c>
      <c r="B87" t="str">
        <f>WR_Raw!A87</f>
        <v>Isaiah McKenzie</v>
      </c>
      <c r="C87" t="s">
        <v>35</v>
      </c>
      <c r="D87">
        <f>_xlfn.IFNA(INDEX(BYEs!$E$2:$E$411,MATCH(B87,BYEs!$D$2:$D$411,0)),"N/A")</f>
        <v>26</v>
      </c>
      <c r="E87">
        <f>INDEX(BYEs!$B$2:$B$34,MATCH(F87,BYEs!$A$2:$A$34,0))</f>
        <v>7</v>
      </c>
      <c r="F87" t="str">
        <f>WR_Raw!B87</f>
        <v>BUF</v>
      </c>
      <c r="G87" s="206">
        <v>0</v>
      </c>
      <c r="H87" s="207">
        <v>0</v>
      </c>
      <c r="I87" s="204">
        <f>WR_Raw!F87</f>
        <v>6.8</v>
      </c>
      <c r="J87" s="204">
        <f>WR_Raw!G87</f>
        <v>40.299999999999997</v>
      </c>
      <c r="K87" s="204">
        <f>WR_Raw!H87</f>
        <v>0.3</v>
      </c>
      <c r="L87" s="206">
        <f>WR_Raw!C87</f>
        <v>41.5</v>
      </c>
      <c r="M87" s="204">
        <f>WR_Raw!D87</f>
        <v>417.3</v>
      </c>
      <c r="N87" s="207">
        <f>WR_Raw!E87</f>
        <v>3</v>
      </c>
      <c r="O87" s="204">
        <f>WR_Raw!I87</f>
        <v>0.3</v>
      </c>
      <c r="P87" s="208">
        <f>(J87*WRRushingYd)+(K87*WRRushingTD)+(L87*WRRec)+(M87*WRRecYd)+(N87*WRRecTD)+(O87*WRFuml)+(I87*WRRushAtt)</f>
        <v>85.710000000000008</v>
      </c>
      <c r="Q87" t="str">
        <f ca="1">IF(A87&lt;=WRStarters,"Starter",IF(A87&gt;WRStarters+WRBench,"Undrafted","Bench"))</f>
        <v>Undrafted</v>
      </c>
      <c r="R87">
        <f ca="1">IFERROR(MAX(P87-LARGE(WRSheetCount,WRStarters),0),0)</f>
        <v>0</v>
      </c>
      <c r="S87">
        <f ca="1">IFERROR(IF(AllowNegative="Yes",P87-LARGE(WRSheetCount,WRCount),MAX(P87-LARGE(WRSheetCount,WRCount),0)),0)</f>
        <v>-37.899999999999977</v>
      </c>
      <c r="T87" s="85">
        <f ca="1">(S87-R87)*BenchPF+R87*StarterPF</f>
        <v>-6.8719105974234891</v>
      </c>
      <c r="U87" s="85">
        <f ca="1">T87*Auction!$A$2</f>
        <v>-6.8719105974234891</v>
      </c>
      <c r="V87" s="6" t="str">
        <f>IF(OR(INDEX(Auction!$H$13:$H$656,MATCH(B87,Auction!$A$13:$A$656,0))&gt;0,IFERROR(INDEX(CheatSheet!$V$5:$V$64,MATCH(B87,CheatSheet!$S$5:$S$64,0)),"")&lt;&gt;""),"Yes","No")</f>
        <v>No</v>
      </c>
      <c r="W87" s="179"/>
      <c r="Y87" s="114">
        <f ca="1">IFERROR(SUMIFS($Z$3:$Z229,$Z$3:$Z$195,"&gt;0",$V$3:$V$195,"No")/SUMIF($Z$3:$Z$195,"&gt;0"),0)</f>
        <v>0</v>
      </c>
      <c r="Z87">
        <f t="shared" ca="1" si="4"/>
        <v>-18.949999999999989</v>
      </c>
      <c r="AA87" s="116" t="str">
        <f t="shared" ca="1" si="3"/>
        <v>WR10</v>
      </c>
      <c r="AB87">
        <f ca="1">Z87*LeagueInfo!$H$5</f>
        <v>-6.977927066611822</v>
      </c>
    </row>
    <row r="88" spans="1:28" ht="15.75" thickBot="1" x14ac:dyDescent="0.3">
      <c r="A88">
        <f>RANK(P88,P$3:P$213)</f>
        <v>86</v>
      </c>
      <c r="B88" t="str">
        <f>WR_Raw!A86</f>
        <v>Wan'Dale Robinson</v>
      </c>
      <c r="C88" t="s">
        <v>35</v>
      </c>
      <c r="D88" t="str">
        <f>_xlfn.IFNA(INDEX(BYEs!$E$2:$E$411,MATCH(B88,BYEs!$D$2:$D$411,0)),"N/A")</f>
        <v>N/A</v>
      </c>
      <c r="E88">
        <f>INDEX(BYEs!$B$2:$B$34,MATCH(F88,BYEs!$A$2:$A$34,0))</f>
        <v>9</v>
      </c>
      <c r="F88" t="str">
        <f>WR_Raw!B86</f>
        <v>NYG</v>
      </c>
      <c r="G88" s="206">
        <v>0</v>
      </c>
      <c r="H88" s="207">
        <v>0</v>
      </c>
      <c r="I88" s="204">
        <f>WR_Raw!F86</f>
        <v>6.7</v>
      </c>
      <c r="J88" s="204">
        <f>WR_Raw!G86</f>
        <v>39.299999999999997</v>
      </c>
      <c r="K88" s="204">
        <f>WR_Raw!H86</f>
        <v>0.1</v>
      </c>
      <c r="L88" s="206">
        <f>WR_Raw!C86</f>
        <v>40</v>
      </c>
      <c r="M88" s="204">
        <f>WR_Raw!D86</f>
        <v>456.9</v>
      </c>
      <c r="N88" s="207">
        <f>WR_Raw!E86</f>
        <v>2.5</v>
      </c>
      <c r="O88" s="204">
        <f>WR_Raw!I86</f>
        <v>0.2</v>
      </c>
      <c r="P88" s="208">
        <f>(J88*WRRushingYd)+(K88*WRRushingTD)+(L88*WRRec)+(M88*WRRecYd)+(N88*WRRecTD)+(O88*WRFuml)+(I88*WRRushAtt)</f>
        <v>84.82</v>
      </c>
      <c r="Q88" t="str">
        <f ca="1">IF(A88&lt;=WRStarters,"Starter",IF(A88&gt;WRStarters+WRBench,"Undrafted","Bench"))</f>
        <v>Undrafted</v>
      </c>
      <c r="R88">
        <f ca="1">IFERROR(MAX(P88-LARGE(WRSheetCount,WRStarters),0),0)</f>
        <v>0</v>
      </c>
      <c r="S88">
        <f ca="1">IFERROR(IF(AllowNegative="Yes",P88-LARGE(WRSheetCount,WRCount),MAX(P88-LARGE(WRSheetCount,WRCount),0)),0)</f>
        <v>-38.789999999999992</v>
      </c>
      <c r="T88" s="85">
        <f ca="1">(S88-R88)*BenchPF+R88*StarterPF</f>
        <v>-7.033282640476445</v>
      </c>
      <c r="U88" s="85">
        <f ca="1">T88*Auction!$A$2</f>
        <v>-7.033282640476445</v>
      </c>
      <c r="V88" s="6" t="str">
        <f>IF(OR(INDEX(Auction!$H$13:$H$656,MATCH(B88,Auction!$A$13:$A$656,0))&gt;0,IFERROR(INDEX(CheatSheet!$V$5:$V$64,MATCH(B88,CheatSheet!$S$5:$S$64,0)),"")&lt;&gt;""),"Yes","No")</f>
        <v>No</v>
      </c>
      <c r="W88" s="179"/>
      <c r="Y88" s="114">
        <f ca="1">IFERROR(SUMIFS($Z$3:$Z230,$Z$3:$Z$195,"&gt;0",$V$3:$V$195,"No")/SUMIF($Z$3:$Z$195,"&gt;0"),0)</f>
        <v>0</v>
      </c>
      <c r="Z88">
        <f t="shared" ca="1" si="4"/>
        <v>-19.394999999999996</v>
      </c>
      <c r="AA88" s="116" t="str">
        <f t="shared" ca="1" si="3"/>
        <v>WR10</v>
      </c>
      <c r="AB88">
        <f ca="1">Z88*LeagueInfo!$H$5</f>
        <v>-7.1417886784662983</v>
      </c>
    </row>
    <row r="89" spans="1:28" ht="15.75" thickBot="1" x14ac:dyDescent="0.3">
      <c r="A89">
        <f>RANK(P89,P$3:P$213)</f>
        <v>87</v>
      </c>
      <c r="B89" t="str">
        <f>WR_Raw!A88</f>
        <v>Romeo Doubs</v>
      </c>
      <c r="C89" t="s">
        <v>35</v>
      </c>
      <c r="D89" t="str">
        <f>_xlfn.IFNA(INDEX(BYEs!$E$2:$E$411,MATCH(B89,BYEs!$D$2:$D$411,0)),"N/A")</f>
        <v>N/A</v>
      </c>
      <c r="E89">
        <f>INDEX(BYEs!$B$2:$B$34,MATCH(F89,BYEs!$A$2:$A$34,0))</f>
        <v>14</v>
      </c>
      <c r="F89" t="str">
        <f>WR_Raw!B88</f>
        <v>GB</v>
      </c>
      <c r="G89" s="206">
        <v>0</v>
      </c>
      <c r="H89" s="207">
        <v>0</v>
      </c>
      <c r="I89" s="204">
        <f>WR_Raw!F88</f>
        <v>0.4</v>
      </c>
      <c r="J89" s="204">
        <f>WR_Raw!G88</f>
        <v>2.4</v>
      </c>
      <c r="K89" s="204">
        <f>WR_Raw!H88</f>
        <v>0</v>
      </c>
      <c r="L89" s="206">
        <f>WR_Raw!C88</f>
        <v>35.1</v>
      </c>
      <c r="M89" s="204">
        <f>WR_Raw!D88</f>
        <v>464.5</v>
      </c>
      <c r="N89" s="207">
        <f>WR_Raw!E88</f>
        <v>3.3</v>
      </c>
      <c r="O89" s="204">
        <f>WR_Raw!I88</f>
        <v>0.7</v>
      </c>
      <c r="P89" s="208">
        <f>(J89*WRRushingYd)+(K89*WRRushingTD)+(L89*WRRec)+(M89*WRRecYd)+(N89*WRRecTD)+(O89*WRFuml)+(I89*WRRushAtt)</f>
        <v>82.64</v>
      </c>
      <c r="Q89" t="str">
        <f ca="1">IF(A89&lt;=WRStarters,"Starter",IF(A89&gt;WRStarters+WRBench,"Undrafted","Bench"))</f>
        <v>Undrafted</v>
      </c>
      <c r="R89">
        <f ca="1">IFERROR(MAX(P89-LARGE(WRSheetCount,WRStarters),0),0)</f>
        <v>0</v>
      </c>
      <c r="S89">
        <f ca="1">IFERROR(IF(AllowNegative="Yes",P89-LARGE(WRSheetCount,WRCount),MAX(P89-LARGE(WRSheetCount,WRCount),0)),0)</f>
        <v>-40.969999999999985</v>
      </c>
      <c r="T89" s="85">
        <f ca="1">(S89-R89)*BenchPF+R89*StarterPF</f>
        <v>-7.4285534875050248</v>
      </c>
      <c r="U89" s="85">
        <f ca="1">T89*Auction!$A$2</f>
        <v>-7.4285534875050248</v>
      </c>
      <c r="V89" s="6" t="str">
        <f>IF(OR(INDEX(Auction!$H$13:$H$656,MATCH(B89,Auction!$A$13:$A$656,0))&gt;0,IFERROR(INDEX(CheatSheet!$V$5:$V$64,MATCH(B89,CheatSheet!$S$5:$S$64,0)),"")&lt;&gt;""),"Yes","No")</f>
        <v>No</v>
      </c>
      <c r="W89" s="179"/>
      <c r="Y89" s="114">
        <f ca="1">IFERROR(SUMIFS($Z$3:$Z231,$Z$3:$Z$195,"&gt;0",$V$3:$V$195,"No")/SUMIF($Z$3:$Z$195,"&gt;0"),0)</f>
        <v>0</v>
      </c>
      <c r="Z89">
        <f t="shared" ca="1" si="4"/>
        <v>-20.484999999999992</v>
      </c>
      <c r="AA89" s="116" t="str">
        <f t="shared" ca="1" si="3"/>
        <v>WR10</v>
      </c>
      <c r="AB89">
        <f ca="1">Z89*LeagueInfo!$H$5</f>
        <v>-7.5431575704244436</v>
      </c>
    </row>
    <row r="90" spans="1:28" ht="15.75" thickBot="1" x14ac:dyDescent="0.3">
      <c r="A90">
        <f>RANK(P90,P$3:P$213)</f>
        <v>88</v>
      </c>
      <c r="B90" t="str">
        <f>WR_Raw!A91</f>
        <v>Devin Duvernay</v>
      </c>
      <c r="C90" t="s">
        <v>35</v>
      </c>
      <c r="D90" t="str">
        <f>_xlfn.IFNA(INDEX(BYEs!$E$2:$E$411,MATCH(B90,BYEs!$D$2:$D$411,0)),"N/A")</f>
        <v>N/A</v>
      </c>
      <c r="E90">
        <f>INDEX(BYEs!$B$2:$B$34,MATCH(F90,BYEs!$A$2:$A$34,0))</f>
        <v>10</v>
      </c>
      <c r="F90" t="str">
        <f>WR_Raw!B91</f>
        <v>BAL</v>
      </c>
      <c r="G90" s="206">
        <v>0</v>
      </c>
      <c r="H90" s="207">
        <v>0</v>
      </c>
      <c r="I90" s="204">
        <f>WR_Raw!F91</f>
        <v>4.9000000000000004</v>
      </c>
      <c r="J90" s="204">
        <f>WR_Raw!G91</f>
        <v>33.799999999999997</v>
      </c>
      <c r="K90" s="204">
        <f>WR_Raw!H91</f>
        <v>0.1</v>
      </c>
      <c r="L90" s="206">
        <f>WR_Raw!C91</f>
        <v>39.4</v>
      </c>
      <c r="M90" s="204">
        <f>WR_Raw!D91</f>
        <v>446</v>
      </c>
      <c r="N90" s="207">
        <f>WR_Raw!E91</f>
        <v>2.4</v>
      </c>
      <c r="O90" s="204">
        <f>WR_Raw!I91</f>
        <v>0.2</v>
      </c>
      <c r="P90" s="208">
        <f>(J90*WRRushingYd)+(K90*WRRushingTD)+(L90*WRRec)+(M90*WRRecYd)+(N90*WRRecTD)+(O90*WRFuml)+(I90*WRRushAtt)</f>
        <v>82.28</v>
      </c>
      <c r="Q90" t="str">
        <f ca="1">IF(A90&lt;=WRStarters,"Starter",IF(A90&gt;WRStarters+WRBench,"Undrafted","Bench"))</f>
        <v>Undrafted</v>
      </c>
      <c r="R90">
        <f ca="1">IFERROR(MAX(P90-LARGE(WRSheetCount,WRStarters),0),0)</f>
        <v>0</v>
      </c>
      <c r="S90">
        <f ca="1">IFERROR(IF(AllowNegative="Yes",P90-LARGE(WRSheetCount,WRCount),MAX(P90-LARGE(WRSheetCount,WRCount),0)),0)</f>
        <v>-41.329999999999984</v>
      </c>
      <c r="T90" s="85">
        <f ca="1">(S90-R90)*BenchPF+R90*StarterPF</f>
        <v>-7.493827572335432</v>
      </c>
      <c r="U90" s="85">
        <f ca="1">T90*Auction!$A$2</f>
        <v>-7.493827572335432</v>
      </c>
      <c r="V90" s="6" t="str">
        <f>IF(OR(INDEX(Auction!$H$13:$H$656,MATCH(B90,Auction!$A$13:$A$656,0))&gt;0,IFERROR(INDEX(CheatSheet!$V$5:$V$64,MATCH(B90,CheatSheet!$S$5:$S$64,0)),"")&lt;&gt;""),"Yes","No")</f>
        <v>No</v>
      </c>
      <c r="W90" s="179"/>
      <c r="Y90" s="114">
        <f ca="1">IFERROR(SUMIFS($Z$3:$Z232,$Z$3:$Z$195,"&gt;0",$V$3:$V$195,"No")/SUMIF($Z$3:$Z$195,"&gt;0"),0)</f>
        <v>0</v>
      </c>
      <c r="Z90">
        <f t="shared" ca="1" si="4"/>
        <v>-20.664999999999992</v>
      </c>
      <c r="AA90" s="116" t="str">
        <f t="shared" ca="1" si="3"/>
        <v>WR10</v>
      </c>
      <c r="AB90">
        <f ca="1">Z90*LeagueInfo!$H$5</f>
        <v>-7.609438671848725</v>
      </c>
    </row>
    <row r="91" spans="1:28" ht="15.75" thickBot="1" x14ac:dyDescent="0.3">
      <c r="A91">
        <f>RANK(P91,P$3:P$213)</f>
        <v>89</v>
      </c>
      <c r="B91" t="str">
        <f>WR_Raw!A94</f>
        <v>Laviska Shenault Jr.</v>
      </c>
      <c r="C91" t="s">
        <v>35</v>
      </c>
      <c r="D91" t="str">
        <f>_xlfn.IFNA(INDEX(BYEs!$E$2:$E$411,MATCH(B91,BYEs!$D$2:$D$411,0)),"N/A")</f>
        <v>N/A</v>
      </c>
      <c r="E91">
        <f>INDEX(BYEs!$B$2:$B$34,MATCH(F91,BYEs!$A$2:$A$34,0))</f>
        <v>13</v>
      </c>
      <c r="F91" t="str">
        <f>WR_Raw!B94</f>
        <v>CAR</v>
      </c>
      <c r="G91" s="206">
        <v>0</v>
      </c>
      <c r="H91" s="207">
        <v>0</v>
      </c>
      <c r="I91" s="204">
        <f>WR_Raw!F94</f>
        <v>7.9</v>
      </c>
      <c r="J91" s="204">
        <f>WR_Raw!G94</f>
        <v>38.799999999999997</v>
      </c>
      <c r="K91" s="204">
        <f>WR_Raw!H94</f>
        <v>0.1</v>
      </c>
      <c r="L91" s="206">
        <f>WR_Raw!C94</f>
        <v>39.9</v>
      </c>
      <c r="M91" s="204">
        <f>WR_Raw!D94</f>
        <v>415.7</v>
      </c>
      <c r="N91" s="207">
        <f>WR_Raw!E94</f>
        <v>2.5</v>
      </c>
      <c r="O91" s="204">
        <f>WR_Raw!I94</f>
        <v>0.4</v>
      </c>
      <c r="P91" s="208">
        <f>(J91*WRRushingYd)+(K91*WRRushingTD)+(L91*WRRec)+(M91*WRRecYd)+(N91*WRRecTD)+(O91*WRFuml)+(I91*WRRushAtt)</f>
        <v>80.2</v>
      </c>
      <c r="Q91" t="str">
        <f ca="1">IF(A91&lt;=WRStarters,"Starter",IF(A91&gt;WRStarters+WRBench,"Undrafted","Bench"))</f>
        <v>Undrafted</v>
      </c>
      <c r="R91">
        <f ca="1">IFERROR(MAX(P91-LARGE(WRSheetCount,WRStarters),0),0)</f>
        <v>0</v>
      </c>
      <c r="S91">
        <f ca="1">IFERROR(IF(AllowNegative="Yes",P91-LARGE(WRSheetCount,WRCount),MAX(P91-LARGE(WRSheetCount,WRCount),0)),0)</f>
        <v>-43.409999999999982</v>
      </c>
      <c r="T91" s="85">
        <f ca="1">(S91-R91)*BenchPF+R91*StarterPF</f>
        <v>-7.8709667291333441</v>
      </c>
      <c r="U91" s="85">
        <f ca="1">T91*Auction!$A$2</f>
        <v>-7.8709667291333441</v>
      </c>
      <c r="V91" s="6" t="str">
        <f>IF(OR(INDEX(Auction!$H$13:$H$656,MATCH(B91,Auction!$A$13:$A$656,0))&gt;0,IFERROR(INDEX(CheatSheet!$V$5:$V$64,MATCH(B91,CheatSheet!$S$5:$S$64,0)),"")&lt;&gt;""),"Yes","No")</f>
        <v>No</v>
      </c>
      <c r="W91" s="179"/>
      <c r="Y91" s="114">
        <f ca="1">IFERROR(SUMIFS($Z$3:$Z233,$Z$3:$Z$195,"&gt;0",$V$3:$V$195,"No")/SUMIF($Z$3:$Z$195,"&gt;0"),0)</f>
        <v>0</v>
      </c>
      <c r="Z91">
        <f t="shared" ca="1" si="4"/>
        <v>-21.704999999999991</v>
      </c>
      <c r="AA91" s="116" t="str">
        <f t="shared" ca="1" si="3"/>
        <v>WR10</v>
      </c>
      <c r="AB91">
        <f ca="1">Z91*LeagueInfo!$H$5</f>
        <v>-7.9923961467445714</v>
      </c>
    </row>
    <row r="92" spans="1:28" ht="15.75" thickBot="1" x14ac:dyDescent="0.3">
      <c r="A92">
        <f>RANK(P92,P$3:P$213)</f>
        <v>90</v>
      </c>
      <c r="B92" t="str">
        <f>WR_Raw!A89</f>
        <v>Christian Watson</v>
      </c>
      <c r="C92" t="s">
        <v>35</v>
      </c>
      <c r="D92" t="str">
        <f>_xlfn.IFNA(INDEX(BYEs!$E$2:$E$411,MATCH(B92,BYEs!$D$2:$D$411,0)),"N/A")</f>
        <v>N/A</v>
      </c>
      <c r="E92">
        <f>INDEX(BYEs!$B$2:$B$34,MATCH(F92,BYEs!$A$2:$A$34,0))</f>
        <v>14</v>
      </c>
      <c r="F92" t="str">
        <f>WR_Raw!B89</f>
        <v>GB</v>
      </c>
      <c r="G92" s="206">
        <v>0</v>
      </c>
      <c r="H92" s="207">
        <v>0</v>
      </c>
      <c r="I92" s="204">
        <f>WR_Raw!F89</f>
        <v>1.5</v>
      </c>
      <c r="J92" s="204">
        <f>WR_Raw!G89</f>
        <v>9.1</v>
      </c>
      <c r="K92" s="204">
        <f>WR_Raw!H89</f>
        <v>0</v>
      </c>
      <c r="L92" s="206">
        <f>WR_Raw!C89</f>
        <v>32.299999999999997</v>
      </c>
      <c r="M92" s="204">
        <f>WR_Raw!D89</f>
        <v>433.6</v>
      </c>
      <c r="N92" s="207">
        <f>WR_Raw!E89</f>
        <v>3.3</v>
      </c>
      <c r="O92" s="204">
        <f>WR_Raw!I89</f>
        <v>0.4</v>
      </c>
      <c r="P92" s="208">
        <f>(J92*WRRushingYd)+(K92*WRRushingTD)+(L92*WRRec)+(M92*WRRecYd)+(N92*WRRecTD)+(O92*WRFuml)+(I92*WRRushAtt)</f>
        <v>79.42</v>
      </c>
      <c r="Q92" t="str">
        <f ca="1">IF(A92&lt;=WRStarters,"Starter",IF(A92&gt;WRStarters+WRBench,"Undrafted","Bench"))</f>
        <v>Undrafted</v>
      </c>
      <c r="R92">
        <f ca="1">IFERROR(MAX(P92-LARGE(WRSheetCount,WRStarters),0),0)</f>
        <v>0</v>
      </c>
      <c r="S92">
        <f ca="1">IFERROR(IF(AllowNegative="Yes",P92-LARGE(WRSheetCount,WRCount),MAX(P92-LARGE(WRSheetCount,WRCount),0)),0)</f>
        <v>-44.189999999999984</v>
      </c>
      <c r="T92" s="85">
        <f ca="1">(S92-R92)*BenchPF+R92*StarterPF</f>
        <v>-8.012393912932561</v>
      </c>
      <c r="U92" s="85">
        <f ca="1">T92*Auction!$A$2</f>
        <v>-8.012393912932561</v>
      </c>
      <c r="V92" s="6" t="str">
        <f>IF(OR(INDEX(Auction!$H$13:$H$656,MATCH(B92,Auction!$A$13:$A$656,0))&gt;0,IFERROR(INDEX(CheatSheet!$V$5:$V$64,MATCH(B92,CheatSheet!$S$5:$S$64,0)),"")&lt;&gt;""),"Yes","No")</f>
        <v>No</v>
      </c>
      <c r="W92" s="179"/>
      <c r="Y92" s="114">
        <f ca="1">IFERROR(SUMIFS($Z$3:$Z234,$Z$3:$Z$195,"&gt;0",$V$3:$V$195,"No")/SUMIF($Z$3:$Z$195,"&gt;0"),0)</f>
        <v>0</v>
      </c>
      <c r="Z92">
        <f t="shared" ca="1" si="4"/>
        <v>-22.094999999999992</v>
      </c>
      <c r="AA92" s="116" t="str">
        <f t="shared" ca="1" si="3"/>
        <v>WR10</v>
      </c>
      <c r="AB92">
        <f ca="1">Z92*LeagueInfo!$H$5</f>
        <v>-8.1360051998305138</v>
      </c>
    </row>
    <row r="93" spans="1:28" ht="15.75" thickBot="1" x14ac:dyDescent="0.3">
      <c r="A93">
        <f>RANK(P93,P$3:P$213)</f>
        <v>91</v>
      </c>
      <c r="B93" t="str">
        <f>WR_Raw!A90</f>
        <v>Jameson Williams</v>
      </c>
      <c r="C93" t="s">
        <v>35</v>
      </c>
      <c r="D93" t="str">
        <f>_xlfn.IFNA(INDEX(BYEs!$E$2:$E$411,MATCH(B93,BYEs!$D$2:$D$411,0)),"N/A")</f>
        <v>N/A</v>
      </c>
      <c r="E93">
        <f>INDEX(BYEs!$B$2:$B$34,MATCH(F93,BYEs!$A$2:$A$34,0))</f>
        <v>6</v>
      </c>
      <c r="F93" t="str">
        <f>WR_Raw!B90</f>
        <v>DET</v>
      </c>
      <c r="G93" s="206">
        <v>0</v>
      </c>
      <c r="H93" s="207">
        <v>0</v>
      </c>
      <c r="I93" s="204">
        <f>WR_Raw!F90</f>
        <v>0.4</v>
      </c>
      <c r="J93" s="204">
        <f>WR_Raw!G90</f>
        <v>2.2000000000000002</v>
      </c>
      <c r="K93" s="204">
        <f>WR_Raw!H90</f>
        <v>0</v>
      </c>
      <c r="L93" s="206">
        <f>WR_Raw!C90</f>
        <v>34</v>
      </c>
      <c r="M93" s="204">
        <f>WR_Raw!D90</f>
        <v>470.2</v>
      </c>
      <c r="N93" s="207">
        <f>WR_Raw!E90</f>
        <v>2.7</v>
      </c>
      <c r="O93" s="204">
        <f>WR_Raw!I90</f>
        <v>0.6</v>
      </c>
      <c r="P93" s="208">
        <f>(J93*WRRushingYd)+(K93*WRRushingTD)+(L93*WRRec)+(M93*WRRecYd)+(N93*WRRecTD)+(O93*WRFuml)+(I93*WRRushAtt)</f>
        <v>79.240000000000009</v>
      </c>
      <c r="Q93" t="str">
        <f ca="1">IF(A93&lt;=WRStarters,"Starter",IF(A93&gt;WRStarters+WRBench,"Undrafted","Bench"))</f>
        <v>Undrafted</v>
      </c>
      <c r="R93">
        <f ca="1">IFERROR(MAX(P93-LARGE(WRSheetCount,WRStarters),0),0)</f>
        <v>0</v>
      </c>
      <c r="S93">
        <f ca="1">IFERROR(IF(AllowNegative="Yes",P93-LARGE(WRSheetCount,WRCount),MAX(P93-LARGE(WRSheetCount,WRCount),0)),0)</f>
        <v>-44.369999999999976</v>
      </c>
      <c r="T93" s="85">
        <f ca="1">(S93-R93)*BenchPF+R93*StarterPF</f>
        <v>-8.0450309553477641</v>
      </c>
      <c r="U93" s="85">
        <f ca="1">T93*Auction!$A$2</f>
        <v>-8.0450309553477641</v>
      </c>
      <c r="V93" s="6" t="str">
        <f>IF(OR(INDEX(Auction!$H$13:$H$656,MATCH(B93,Auction!$A$13:$A$656,0))&gt;0,IFERROR(INDEX(CheatSheet!$V$5:$V$64,MATCH(B93,CheatSheet!$S$5:$S$64,0)),"")&lt;&gt;""),"Yes","No")</f>
        <v>No</v>
      </c>
      <c r="W93" s="179"/>
      <c r="Y93" s="114">
        <f ca="1">IFERROR(SUMIFS($Z$3:$Z235,$Z$3:$Z$195,"&gt;0",$V$3:$V$195,"No")/SUMIF($Z$3:$Z$195,"&gt;0"),0)</f>
        <v>0</v>
      </c>
      <c r="Z93">
        <f t="shared" ca="1" si="4"/>
        <v>-22.184999999999988</v>
      </c>
      <c r="AA93" s="116" t="str">
        <f t="shared" ca="1" si="3"/>
        <v>WR10</v>
      </c>
      <c r="AB93">
        <f ca="1">Z93*LeagueInfo!$H$5</f>
        <v>-8.1691457505426541</v>
      </c>
    </row>
    <row r="94" spans="1:28" ht="15.75" thickBot="1" x14ac:dyDescent="0.3">
      <c r="A94">
        <f>RANK(P94,P$3:P$213)</f>
        <v>92</v>
      </c>
      <c r="B94" t="str">
        <f>WR_Raw!A93</f>
        <v>Sammy Watkins</v>
      </c>
      <c r="C94" t="s">
        <v>35</v>
      </c>
      <c r="D94">
        <f>_xlfn.IFNA(INDEX(BYEs!$E$2:$E$411,MATCH(B94,BYEs!$D$2:$D$411,0)),"N/A")</f>
        <v>28</v>
      </c>
      <c r="E94">
        <f>INDEX(BYEs!$B$2:$B$34,MATCH(F94,BYEs!$A$2:$A$34,0))</f>
        <v>14</v>
      </c>
      <c r="F94" t="str">
        <f>WR_Raw!B93</f>
        <v>GB</v>
      </c>
      <c r="G94" s="206">
        <v>0</v>
      </c>
      <c r="H94" s="207">
        <v>0</v>
      </c>
      <c r="I94" s="204">
        <f>WR_Raw!F93</f>
        <v>0.6</v>
      </c>
      <c r="J94" s="204">
        <f>WR_Raw!G93</f>
        <v>3.5</v>
      </c>
      <c r="K94" s="204">
        <f>WR_Raw!H93</f>
        <v>0</v>
      </c>
      <c r="L94" s="206">
        <f>WR_Raw!C93</f>
        <v>34.5</v>
      </c>
      <c r="M94" s="204">
        <f>WR_Raw!D93</f>
        <v>456</v>
      </c>
      <c r="N94" s="207">
        <f>WR_Raw!E93</f>
        <v>2.7</v>
      </c>
      <c r="O94" s="204">
        <f>WR_Raw!I93</f>
        <v>0.4</v>
      </c>
      <c r="P94" s="208">
        <f>(J94*WRRushingYd)+(K94*WRRushingTD)+(L94*WRRec)+(M94*WRRecYd)+(N94*WRRecTD)+(O94*WRFuml)+(I94*WRRushAtt)</f>
        <v>78.600000000000009</v>
      </c>
      <c r="Q94" t="str">
        <f ca="1">IF(A94&lt;=WRStarters,"Starter",IF(A94&gt;WRStarters+WRBench,"Undrafted","Bench"))</f>
        <v>Undrafted</v>
      </c>
      <c r="R94">
        <f ca="1">IFERROR(MAX(P94-LARGE(WRSheetCount,WRStarters),0),0)</f>
        <v>0</v>
      </c>
      <c r="S94">
        <f ca="1">IFERROR(IF(AllowNegative="Yes",P94-LARGE(WRSheetCount,WRCount),MAX(P94-LARGE(WRSheetCount,WRCount),0)),0)</f>
        <v>-45.009999999999977</v>
      </c>
      <c r="T94" s="85">
        <f ca="1">(S94-R94)*BenchPF+R94*StarterPF</f>
        <v>-8.1610737728240448</v>
      </c>
      <c r="U94" s="85">
        <f ca="1">T94*Auction!$A$2</f>
        <v>-8.1610737728240448</v>
      </c>
      <c r="V94" s="6" t="str">
        <f>IF(OR(INDEX(Auction!$H$13:$H$656,MATCH(B94,Auction!$A$13:$A$656,0))&gt;0,IFERROR(INDEX(CheatSheet!$V$5:$V$64,MATCH(B94,CheatSheet!$S$5:$S$64,0)),"")&lt;&gt;""),"Yes","No")</f>
        <v>No</v>
      </c>
      <c r="W94" s="179"/>
      <c r="Y94" s="114">
        <f ca="1">IFERROR(SUMIFS($Z$3:$Z236,$Z$3:$Z$195,"&gt;0",$V$3:$V$195,"No")/SUMIF($Z$3:$Z$195,"&gt;0"),0)</f>
        <v>0</v>
      </c>
      <c r="Z94">
        <f t="shared" ca="1" si="4"/>
        <v>-22.504999999999988</v>
      </c>
      <c r="AA94" s="116" t="str">
        <f t="shared" ca="1" si="3"/>
        <v>WR10</v>
      </c>
      <c r="AB94">
        <f ca="1">Z94*LeagueInfo!$H$5</f>
        <v>-8.2869788197413765</v>
      </c>
    </row>
    <row r="95" spans="1:28" ht="15.75" thickBot="1" x14ac:dyDescent="0.3">
      <c r="A95">
        <f>RANK(P95,P$3:P$213)</f>
        <v>93</v>
      </c>
      <c r="B95" t="str">
        <f>WR_Raw!A96</f>
        <v>Jamison Crowder</v>
      </c>
      <c r="C95" t="s">
        <v>35</v>
      </c>
      <c r="D95">
        <f>_xlfn.IFNA(INDEX(BYEs!$E$2:$E$411,MATCH(B95,BYEs!$D$2:$D$411,0)),"N/A")</f>
        <v>28</v>
      </c>
      <c r="E95">
        <f>INDEX(BYEs!$B$2:$B$34,MATCH(F95,BYEs!$A$2:$A$34,0))</f>
        <v>7</v>
      </c>
      <c r="F95" t="str">
        <f>WR_Raw!B96</f>
        <v>BUF</v>
      </c>
      <c r="G95" s="206">
        <v>0</v>
      </c>
      <c r="H95" s="207">
        <v>0</v>
      </c>
      <c r="I95" s="204">
        <f>WR_Raw!F96</f>
        <v>2.2000000000000002</v>
      </c>
      <c r="J95" s="204">
        <f>WR_Raw!G96</f>
        <v>14</v>
      </c>
      <c r="K95" s="204">
        <f>WR_Raw!H96</f>
        <v>0.2</v>
      </c>
      <c r="L95" s="206">
        <f>WR_Raw!C96</f>
        <v>38.5</v>
      </c>
      <c r="M95" s="204">
        <f>WR_Raw!D96</f>
        <v>402.2</v>
      </c>
      <c r="N95" s="207">
        <f>WR_Raw!E96</f>
        <v>2.7</v>
      </c>
      <c r="O95" s="204">
        <f>WR_Raw!I96</f>
        <v>0.4</v>
      </c>
      <c r="P95" s="208">
        <f>(J95*WRRushingYd)+(K95*WRRushingTD)+(L95*WRRec)+(M95*WRRecYd)+(N95*WRRecTD)+(O95*WRFuml)+(I95*WRRushAtt)</f>
        <v>77.470000000000013</v>
      </c>
      <c r="Q95" t="str">
        <f ca="1">IF(A95&lt;=WRStarters,"Starter",IF(A95&gt;WRStarters+WRBench,"Undrafted","Bench"))</f>
        <v>Undrafted</v>
      </c>
      <c r="R95">
        <f ca="1">IFERROR(MAX(P95-LARGE(WRSheetCount,WRStarters),0),0)</f>
        <v>0</v>
      </c>
      <c r="S95">
        <f ca="1">IFERROR(IF(AllowNegative="Yes",P95-LARGE(WRSheetCount,WRCount),MAX(P95-LARGE(WRSheetCount,WRCount),0)),0)</f>
        <v>-46.139999999999972</v>
      </c>
      <c r="T95" s="85">
        <f ca="1">(S95-R95)*BenchPF+R95*StarterPF</f>
        <v>-8.3659618724306011</v>
      </c>
      <c r="U95" s="85">
        <f ca="1">T95*Auction!$A$2</f>
        <v>-8.3659618724306011</v>
      </c>
      <c r="V95" s="6" t="str">
        <f>IF(OR(INDEX(Auction!$H$13:$H$656,MATCH(B95,Auction!$A$13:$A$656,0))&gt;0,IFERROR(INDEX(CheatSheet!$V$5:$V$64,MATCH(B95,CheatSheet!$S$5:$S$64,0)),"")&lt;&gt;""),"Yes","No")</f>
        <v>No</v>
      </c>
      <c r="W95" s="179"/>
      <c r="Y95" s="114">
        <f ca="1">IFERROR(SUMIFS($Z$3:$Z237,$Z$3:$Z$195,"&gt;0",$V$3:$V$195,"No")/SUMIF($Z$3:$Z$195,"&gt;0"),0)</f>
        <v>0</v>
      </c>
      <c r="Z95">
        <f t="shared" ca="1" si="4"/>
        <v>-23.069999999999986</v>
      </c>
      <c r="AA95" s="116" t="str">
        <f t="shared" ca="1" si="3"/>
        <v>WR10</v>
      </c>
      <c r="AB95">
        <f ca="1">Z95*LeagueInfo!$H$5</f>
        <v>-8.4950278325453681</v>
      </c>
    </row>
    <row r="96" spans="1:28" ht="15.75" thickBot="1" x14ac:dyDescent="0.3">
      <c r="A96">
        <f>RANK(P96,P$3:P$213)</f>
        <v>94</v>
      </c>
      <c r="B96" t="str">
        <f>WR_Raw!A95</f>
        <v>Byron Pringle</v>
      </c>
      <c r="C96" t="s">
        <v>35</v>
      </c>
      <c r="D96">
        <f>_xlfn.IFNA(INDEX(BYEs!$E$2:$E$411,MATCH(B96,BYEs!$D$2:$D$411,0)),"N/A")</f>
        <v>27</v>
      </c>
      <c r="E96">
        <f>INDEX(BYEs!$B$2:$B$34,MATCH(F96,BYEs!$A$2:$A$34,0))</f>
        <v>14</v>
      </c>
      <c r="F96" t="str">
        <f>WR_Raw!B95</f>
        <v>CHI</v>
      </c>
      <c r="G96" s="206">
        <v>0</v>
      </c>
      <c r="H96" s="207">
        <v>0</v>
      </c>
      <c r="I96" s="204">
        <f>WR_Raw!F95</f>
        <v>0</v>
      </c>
      <c r="J96" s="204">
        <f>WR_Raw!G95</f>
        <v>0</v>
      </c>
      <c r="K96" s="204">
        <f>WR_Raw!H95</f>
        <v>0</v>
      </c>
      <c r="L96" s="206">
        <f>WR_Raw!C95</f>
        <v>34.799999999999997</v>
      </c>
      <c r="M96" s="204">
        <f>WR_Raw!D95</f>
        <v>446.8</v>
      </c>
      <c r="N96" s="207">
        <f>WR_Raw!E95</f>
        <v>2.5</v>
      </c>
      <c r="O96" s="204">
        <f>WR_Raw!I95</f>
        <v>0.2</v>
      </c>
      <c r="P96" s="208">
        <f>(J96*WRRushingYd)+(K96*WRRushingTD)+(L96*WRRec)+(M96*WRRecYd)+(N96*WRRecTD)+(O96*WRFuml)+(I96*WRRushAtt)</f>
        <v>76.680000000000007</v>
      </c>
      <c r="Q96" t="str">
        <f ca="1">IF(A96&lt;=WRStarters,"Starter",IF(A96&gt;WRStarters+WRBench,"Undrafted","Bench"))</f>
        <v>Undrafted</v>
      </c>
      <c r="R96">
        <f ca="1">IFERROR(MAX(P96-LARGE(WRSheetCount,WRStarters),0),0)</f>
        <v>0</v>
      </c>
      <c r="S96">
        <f ca="1">IFERROR(IF(AllowNegative="Yes",P96-LARGE(WRSheetCount,WRCount),MAX(P96-LARGE(WRSheetCount,WRCount),0)),0)</f>
        <v>-46.929999999999978</v>
      </c>
      <c r="T96" s="85">
        <f ca="1">(S96-R96)*BenchPF+R96*StarterPF</f>
        <v>-8.5092022252528867</v>
      </c>
      <c r="U96" s="85">
        <f ca="1">T96*Auction!$A$2</f>
        <v>-8.5092022252528867</v>
      </c>
      <c r="V96" s="6" t="str">
        <f>IF(OR(INDEX(Auction!$H$13:$H$656,MATCH(B96,Auction!$A$13:$A$656,0))&gt;0,IFERROR(INDEX(CheatSheet!$V$5:$V$64,MATCH(B96,CheatSheet!$S$5:$S$64,0)),"")&lt;&gt;""),"Yes","No")</f>
        <v>No</v>
      </c>
      <c r="W96" s="179"/>
      <c r="Y96" s="114">
        <f ca="1">IFERROR(SUMIFS($Z$3:$Z238,$Z$3:$Z$195,"&gt;0",$V$3:$V$195,"No")/SUMIF($Z$3:$Z$195,"&gt;0"),0)</f>
        <v>0</v>
      </c>
      <c r="Z96">
        <f t="shared" ca="1" si="4"/>
        <v>-23.464999999999989</v>
      </c>
      <c r="AA96" s="116" t="str">
        <f t="shared" ca="1" si="3"/>
        <v>WR10</v>
      </c>
      <c r="AB96">
        <f ca="1">Z96*LeagueInfo!$H$5</f>
        <v>-8.6404780273375419</v>
      </c>
    </row>
    <row r="97" spans="1:28" ht="15.75" thickBot="1" x14ac:dyDescent="0.3">
      <c r="A97">
        <f>RANK(P97,P$3:P$213)</f>
        <v>95</v>
      </c>
      <c r="B97" t="str">
        <f>WR_Raw!A92</f>
        <v>James Washington</v>
      </c>
      <c r="C97" t="s">
        <v>35</v>
      </c>
      <c r="D97">
        <f>_xlfn.IFNA(INDEX(BYEs!$E$2:$E$411,MATCH(B97,BYEs!$D$2:$D$411,0)),"N/A")</f>
        <v>25</v>
      </c>
      <c r="E97">
        <f>INDEX(BYEs!$B$2:$B$34,MATCH(F97,BYEs!$A$2:$A$34,0))</f>
        <v>9</v>
      </c>
      <c r="F97" t="str">
        <f>WR_Raw!B92</f>
        <v>DAL</v>
      </c>
      <c r="G97" s="206">
        <v>0</v>
      </c>
      <c r="H97" s="207">
        <v>0</v>
      </c>
      <c r="I97" s="204">
        <f>WR_Raw!F92</f>
        <v>0.5</v>
      </c>
      <c r="J97" s="204">
        <f>WR_Raw!G92</f>
        <v>3</v>
      </c>
      <c r="K97" s="204">
        <f>WR_Raw!H92</f>
        <v>0</v>
      </c>
      <c r="L97" s="206">
        <f>WR_Raw!C92</f>
        <v>28.2</v>
      </c>
      <c r="M97" s="204">
        <f>WR_Raw!D92</f>
        <v>416</v>
      </c>
      <c r="N97" s="207">
        <f>WR_Raw!E92</f>
        <v>3.4</v>
      </c>
      <c r="O97" s="204">
        <f>WR_Raw!I92</f>
        <v>0</v>
      </c>
      <c r="P97" s="208">
        <f>(J97*WRRushingYd)+(K97*WRRushingTD)+(L97*WRRec)+(M97*WRRecYd)+(N97*WRRecTD)+(O97*WRFuml)+(I97*WRRushAtt)</f>
        <v>76.400000000000006</v>
      </c>
      <c r="Q97" t="str">
        <f ca="1">IF(A97&lt;=WRStarters,"Starter",IF(A97&gt;WRStarters+WRBench,"Undrafted","Bench"))</f>
        <v>Undrafted</v>
      </c>
      <c r="R97">
        <f ca="1">IFERROR(MAX(P97-LARGE(WRSheetCount,WRStarters),0),0)</f>
        <v>0</v>
      </c>
      <c r="S97">
        <f ca="1">IFERROR(IF(AllowNegative="Yes",P97-LARGE(WRSheetCount,WRCount),MAX(P97-LARGE(WRSheetCount,WRCount),0)),0)</f>
        <v>-47.20999999999998</v>
      </c>
      <c r="T97" s="85">
        <f ca="1">(S97-R97)*BenchPF+R97*StarterPF</f>
        <v>-8.5599709578987593</v>
      </c>
      <c r="U97" s="85">
        <f ca="1">T97*Auction!$A$2</f>
        <v>-8.5599709578987593</v>
      </c>
      <c r="V97" s="6" t="str">
        <f>IF(OR(INDEX(Auction!$H$13:$H$656,MATCH(B97,Auction!$A$13:$A$656,0))&gt;0,IFERROR(INDEX(CheatSheet!$V$5:$V$64,MATCH(B97,CheatSheet!$S$5:$S$64,0)),"")&lt;&gt;""),"Yes","No")</f>
        <v>No</v>
      </c>
      <c r="W97" s="179"/>
      <c r="Y97" s="114">
        <f ca="1">IFERROR(SUMIFS($Z$3:$Z239,$Z$3:$Z$195,"&gt;0",$V$3:$V$195,"No")/SUMIF($Z$3:$Z$195,"&gt;0"),0)</f>
        <v>0</v>
      </c>
      <c r="Z97">
        <f t="shared" ca="1" si="4"/>
        <v>-23.60499999999999</v>
      </c>
      <c r="AA97" s="116" t="str">
        <f t="shared" ca="1" si="3"/>
        <v>WR10</v>
      </c>
      <c r="AB97">
        <f ca="1">Z97*LeagueInfo!$H$5</f>
        <v>-8.6920299951119837</v>
      </c>
    </row>
    <row r="98" spans="1:28" ht="15.75" thickBot="1" x14ac:dyDescent="0.3">
      <c r="A98">
        <f>RANK(P98,P$3:P$213)</f>
        <v>96</v>
      </c>
      <c r="B98" t="str">
        <f>WR_Raw!A97</f>
        <v>Nelson Agholor</v>
      </c>
      <c r="C98" t="s">
        <v>35</v>
      </c>
      <c r="D98">
        <f>_xlfn.IFNA(INDEX(BYEs!$E$2:$E$411,MATCH(B98,BYEs!$D$2:$D$411,0)),"N/A")</f>
        <v>28</v>
      </c>
      <c r="E98">
        <f>INDEX(BYEs!$B$2:$B$34,MATCH(F98,BYEs!$A$2:$A$34,0))</f>
        <v>10</v>
      </c>
      <c r="F98" t="str">
        <f>WR_Raw!B97</f>
        <v>NE</v>
      </c>
      <c r="G98" s="206">
        <v>0</v>
      </c>
      <c r="H98" s="207">
        <v>0</v>
      </c>
      <c r="I98" s="204">
        <f>WR_Raw!F97</f>
        <v>1.5</v>
      </c>
      <c r="J98" s="204">
        <f>WR_Raw!G97</f>
        <v>7.5</v>
      </c>
      <c r="K98" s="204">
        <f>WR_Raw!H97</f>
        <v>0</v>
      </c>
      <c r="L98" s="206">
        <f>WR_Raw!C97</f>
        <v>30.9</v>
      </c>
      <c r="M98" s="204">
        <f>WR_Raw!D97</f>
        <v>424</v>
      </c>
      <c r="N98" s="207">
        <f>WR_Raw!E97</f>
        <v>2.5</v>
      </c>
      <c r="O98" s="204">
        <f>WR_Raw!I97</f>
        <v>0.1</v>
      </c>
      <c r="P98" s="208">
        <f>(J98*WRRushingYd)+(K98*WRRushingTD)+(L98*WRRec)+(M98*WRRecYd)+(N98*WRRecTD)+(O98*WRFuml)+(I98*WRRushAtt)</f>
        <v>73.400000000000006</v>
      </c>
      <c r="Q98" t="str">
        <f ca="1">IF(A98&lt;=WRStarters,"Starter",IF(A98&gt;WRStarters+WRBench,"Undrafted","Bench"))</f>
        <v>Undrafted</v>
      </c>
      <c r="R98">
        <f ca="1">IFERROR(MAX(P98-LARGE(WRSheetCount,WRStarters),0),0)</f>
        <v>0</v>
      </c>
      <c r="S98">
        <f ca="1">IFERROR(IF(AllowNegative="Yes",P98-LARGE(WRSheetCount,WRCount),MAX(P98-LARGE(WRSheetCount,WRCount),0)),0)</f>
        <v>-50.20999999999998</v>
      </c>
      <c r="T98" s="85">
        <f ca="1">(S98-R98)*BenchPF+R98*StarterPF</f>
        <v>-9.1039216648188255</v>
      </c>
      <c r="U98" s="85">
        <f ca="1">T98*Auction!$A$2</f>
        <v>-9.1039216648188255</v>
      </c>
      <c r="V98" s="6" t="str">
        <f>IF(OR(INDEX(Auction!$H$13:$H$656,MATCH(B98,Auction!$A$13:$A$656,0))&gt;0,IFERROR(INDEX(CheatSheet!$V$5:$V$64,MATCH(B98,CheatSheet!$S$5:$S$64,0)),"")&lt;&gt;""),"Yes","No")</f>
        <v>No</v>
      </c>
      <c r="W98" s="179"/>
      <c r="Y98" s="114">
        <f ca="1">IFERROR(SUMIFS($Z$3:$Z240,$Z$3:$Z$195,"&gt;0",$V$3:$V$195,"No")/SUMIF($Z$3:$Z$195,"&gt;0"),0)</f>
        <v>0</v>
      </c>
      <c r="Z98">
        <f t="shared" ca="1" si="4"/>
        <v>-25.10499999999999</v>
      </c>
      <c r="AA98" s="116" t="str">
        <f t="shared" ca="1" si="3"/>
        <v>WR10</v>
      </c>
      <c r="AB98">
        <f ca="1">Z98*LeagueInfo!$H$5</f>
        <v>-9.2443725069809943</v>
      </c>
    </row>
    <row r="99" spans="1:28" ht="15.75" thickBot="1" x14ac:dyDescent="0.3">
      <c r="A99">
        <f>RANK(P99,P$3:P$213)</f>
        <v>97</v>
      </c>
      <c r="B99" t="str">
        <f>WR_Raw!A99</f>
        <v>Braxton Berrios</v>
      </c>
      <c r="C99" t="s">
        <v>35</v>
      </c>
      <c r="D99">
        <f>_xlfn.IFNA(INDEX(BYEs!$E$2:$E$411,MATCH(B99,BYEs!$D$2:$D$411,0)),"N/A")</f>
        <v>25</v>
      </c>
      <c r="E99">
        <f>INDEX(BYEs!$B$2:$B$34,MATCH(F99,BYEs!$A$2:$A$34,0))</f>
        <v>10</v>
      </c>
      <c r="F99" t="str">
        <f>WR_Raw!B99</f>
        <v>NYJ</v>
      </c>
      <c r="G99" s="206">
        <v>0</v>
      </c>
      <c r="H99" s="207">
        <v>0</v>
      </c>
      <c r="I99" s="204">
        <f>WR_Raw!F99</f>
        <v>5.2</v>
      </c>
      <c r="J99" s="204">
        <f>WR_Raw!G99</f>
        <v>31.6</v>
      </c>
      <c r="K99" s="204">
        <f>WR_Raw!H99</f>
        <v>0.9</v>
      </c>
      <c r="L99" s="206">
        <f>WR_Raw!C99</f>
        <v>35.200000000000003</v>
      </c>
      <c r="M99" s="204">
        <f>WR_Raw!D99</f>
        <v>355.8</v>
      </c>
      <c r="N99" s="207">
        <f>WR_Raw!E99</f>
        <v>1.9</v>
      </c>
      <c r="O99" s="204">
        <f>WR_Raw!I99</f>
        <v>0.5</v>
      </c>
      <c r="P99" s="208">
        <f>(J99*WRRushingYd)+(K99*WRRushingTD)+(L99*WRRec)+(M99*WRRecYd)+(N99*WRRecTD)+(O99*WRFuml)+(I99*WRRushAtt)</f>
        <v>72.140000000000015</v>
      </c>
      <c r="Q99" t="str">
        <f ca="1">IF(A99&lt;=WRStarters,"Starter",IF(A99&gt;WRStarters+WRBench,"Undrafted","Bench"))</f>
        <v>Undrafted</v>
      </c>
      <c r="R99">
        <f ca="1">IFERROR(MAX(P99-LARGE(WRSheetCount,WRStarters),0),0)</f>
        <v>0</v>
      </c>
      <c r="S99">
        <f ca="1">IFERROR(IF(AllowNegative="Yes",P99-LARGE(WRSheetCount,WRCount),MAX(P99-LARGE(WRSheetCount,WRCount),0)),0)</f>
        <v>-51.46999999999997</v>
      </c>
      <c r="T99" s="85">
        <f ca="1">(S99-R99)*BenchPF+R99*StarterPF</f>
        <v>-9.3323809617252511</v>
      </c>
      <c r="U99" s="85">
        <f ca="1">T99*Auction!$A$2</f>
        <v>-9.3323809617252511</v>
      </c>
      <c r="V99" s="6" t="str">
        <f>IF(OR(INDEX(Auction!$H$13:$H$656,MATCH(B99,Auction!$A$13:$A$656,0))&gt;0,IFERROR(INDEX(CheatSheet!$V$5:$V$64,MATCH(B99,CheatSheet!$S$5:$S$64,0)),"")&lt;&gt;""),"Yes","No")</f>
        <v>No</v>
      </c>
      <c r="W99" s="179"/>
      <c r="Y99" s="114">
        <f ca="1">IFERROR(SUMIFS($Z$3:$Z241,$Z$3:$Z$195,"&gt;0",$V$3:$V$195,"No")/SUMIF($Z$3:$Z$195,"&gt;0"),0)</f>
        <v>0</v>
      </c>
      <c r="Z99">
        <f t="shared" ca="1" si="4"/>
        <v>-25.734999999999985</v>
      </c>
      <c r="AA99" s="116" t="str">
        <f t="shared" ca="1" si="3"/>
        <v>WR10</v>
      </c>
      <c r="AB99">
        <f ca="1">Z99*LeagueInfo!$H$5</f>
        <v>-9.4763563619659763</v>
      </c>
    </row>
    <row r="100" spans="1:28" ht="15.75" thickBot="1" x14ac:dyDescent="0.3">
      <c r="A100">
        <f>RANK(P100,P$3:P$213)</f>
        <v>98</v>
      </c>
      <c r="B100" t="str">
        <f>WR_Raw!A98</f>
        <v>David Bell</v>
      </c>
      <c r="C100" t="s">
        <v>35</v>
      </c>
      <c r="D100" t="str">
        <f>_xlfn.IFNA(INDEX(BYEs!$E$2:$E$411,MATCH(B100,BYEs!$D$2:$D$411,0)),"N/A")</f>
        <v>N/A</v>
      </c>
      <c r="E100">
        <f>INDEX(BYEs!$B$2:$B$34,MATCH(F100,BYEs!$A$2:$A$34,0))</f>
        <v>9</v>
      </c>
      <c r="F100" t="str">
        <f>WR_Raw!B98</f>
        <v>CLE</v>
      </c>
      <c r="G100" s="206">
        <v>0</v>
      </c>
      <c r="H100" s="207">
        <v>0</v>
      </c>
      <c r="I100" s="204">
        <f>WR_Raw!F98</f>
        <v>1.2</v>
      </c>
      <c r="J100" s="204">
        <f>WR_Raw!G98</f>
        <v>8.8000000000000007</v>
      </c>
      <c r="K100" s="204">
        <f>WR_Raw!H98</f>
        <v>0</v>
      </c>
      <c r="L100" s="206">
        <f>WR_Raw!C98</f>
        <v>33.299999999999997</v>
      </c>
      <c r="M100" s="204">
        <f>WR_Raw!D98</f>
        <v>412.6</v>
      </c>
      <c r="N100" s="207">
        <f>WR_Raw!E98</f>
        <v>2.2999999999999998</v>
      </c>
      <c r="O100" s="204">
        <f>WR_Raw!I98</f>
        <v>0.4</v>
      </c>
      <c r="P100" s="208">
        <f>(J100*WRRushingYd)+(K100*WRRushingTD)+(L100*WRRec)+(M100*WRRecYd)+(N100*WRRecTD)+(O100*WRFuml)+(I100*WRRushAtt)</f>
        <v>71.790000000000006</v>
      </c>
      <c r="Q100" t="str">
        <f ca="1">IF(A100&lt;=WRStarters,"Starter",IF(A100&gt;WRStarters+WRBench,"Undrafted","Bench"))</f>
        <v>Undrafted</v>
      </c>
      <c r="R100">
        <f ca="1">IFERROR(MAX(P100-LARGE(WRSheetCount,WRStarters),0),0)</f>
        <v>0</v>
      </c>
      <c r="S100">
        <f ca="1">IFERROR(IF(AllowNegative="Yes",P100-LARGE(WRSheetCount,WRCount),MAX(P100-LARGE(WRSheetCount,WRCount),0)),0)</f>
        <v>-51.819999999999979</v>
      </c>
      <c r="T100" s="85">
        <f ca="1">(S100-R100)*BenchPF+R100*StarterPF</f>
        <v>-9.3958418775325931</v>
      </c>
      <c r="U100" s="85">
        <f ca="1">T100*Auction!$A$2</f>
        <v>-9.3958418775325931</v>
      </c>
      <c r="V100" s="6" t="str">
        <f>IF(OR(INDEX(Auction!$H$13:$H$656,MATCH(B100,Auction!$A$13:$A$656,0))&gt;0,IFERROR(INDEX(CheatSheet!$V$5:$V$64,MATCH(B100,CheatSheet!$S$5:$S$64,0)),"")&lt;&gt;""),"Yes","No")</f>
        <v>No</v>
      </c>
      <c r="W100" s="179"/>
      <c r="Y100" s="114">
        <f ca="1">IFERROR(SUMIFS($Z$3:$Z242,$Z$3:$Z$195,"&gt;0",$V$3:$V$195,"No")/SUMIF($Z$3:$Z$195,"&gt;0"),0)</f>
        <v>0</v>
      </c>
      <c r="Z100">
        <f t="shared" ca="1" si="4"/>
        <v>-25.909999999999989</v>
      </c>
      <c r="AA100" s="116" t="str">
        <f t="shared" ca="1" si="3"/>
        <v>WR10</v>
      </c>
      <c r="AB100">
        <f ca="1">Z100*LeagueInfo!$H$5</f>
        <v>-9.540796321684029</v>
      </c>
    </row>
    <row r="101" spans="1:28" ht="15.75" thickBot="1" x14ac:dyDescent="0.3">
      <c r="A101">
        <f>RANK(P101,P$3:P$213)</f>
        <v>99</v>
      </c>
      <c r="B101" t="str">
        <f>WR_Raw!A100</f>
        <v>Olamide Zaccheaus</v>
      </c>
      <c r="C101" t="s">
        <v>35</v>
      </c>
      <c r="D101" t="str">
        <f>_xlfn.IFNA(INDEX(BYEs!$E$2:$E$411,MATCH(B101,BYEs!$D$2:$D$411,0)),"N/A")</f>
        <v>N/A</v>
      </c>
      <c r="E101">
        <f>INDEX(BYEs!$B$2:$B$34,MATCH(F101,BYEs!$A$2:$A$34,0))</f>
        <v>14</v>
      </c>
      <c r="F101" t="str">
        <f>WR_Raw!B100</f>
        <v>ATL</v>
      </c>
      <c r="G101" s="206">
        <v>0</v>
      </c>
      <c r="H101" s="207">
        <v>0</v>
      </c>
      <c r="I101" s="204">
        <f>WR_Raw!F100</f>
        <v>0.4</v>
      </c>
      <c r="J101" s="204">
        <f>WR_Raw!G100</f>
        <v>1.8</v>
      </c>
      <c r="K101" s="204">
        <f>WR_Raw!H100</f>
        <v>0</v>
      </c>
      <c r="L101" s="206">
        <f>WR_Raw!C100</f>
        <v>30.5</v>
      </c>
      <c r="M101" s="204">
        <f>WR_Raw!D100</f>
        <v>392.9</v>
      </c>
      <c r="N101" s="207">
        <f>WR_Raw!E100</f>
        <v>2.2000000000000002</v>
      </c>
      <c r="O101" s="204">
        <f>WR_Raw!I100</f>
        <v>0.1</v>
      </c>
      <c r="P101" s="208">
        <f>(J101*WRRushingYd)+(K101*WRRushingTD)+(L101*WRRec)+(M101*WRRecYd)+(N101*WRRecTD)+(O101*WRFuml)+(I101*WRRushAtt)</f>
        <v>67.72</v>
      </c>
      <c r="Q101" t="str">
        <f ca="1">IF(A101&lt;=WRStarters,"Starter",IF(A101&gt;WRStarters+WRBench,"Undrafted","Bench"))</f>
        <v>Undrafted</v>
      </c>
      <c r="R101">
        <f ca="1">IFERROR(MAX(P101-LARGE(WRSheetCount,WRStarters),0),0)</f>
        <v>0</v>
      </c>
      <c r="S101">
        <f ca="1">IFERROR(IF(AllowNegative="Yes",P101-LARGE(WRSheetCount,WRCount),MAX(P101-LARGE(WRSheetCount,WRCount),0)),0)</f>
        <v>-55.889999999999986</v>
      </c>
      <c r="T101" s="85">
        <f ca="1">(S101-R101)*BenchPF+R101*StarterPF</f>
        <v>-10.133801669920818</v>
      </c>
      <c r="U101" s="85">
        <f ca="1">T101*Auction!$A$2</f>
        <v>-10.133801669920818</v>
      </c>
      <c r="V101" s="6" t="str">
        <f>IF(OR(INDEX(Auction!$H$13:$H$656,MATCH(B101,Auction!$A$13:$A$656,0))&gt;0,IFERROR(INDEX(CheatSheet!$V$5:$V$64,MATCH(B101,CheatSheet!$S$5:$S$64,0)),"")&lt;&gt;""),"Yes","No")</f>
        <v>No</v>
      </c>
      <c r="W101" s="179"/>
      <c r="Y101" s="114">
        <f ca="1">IFERROR(SUMIFS($Z$3:$Z243,$Z$3:$Z$195,"&gt;0",$V$3:$V$195,"No")/SUMIF($Z$3:$Z$195,"&gt;0"),0)</f>
        <v>0</v>
      </c>
      <c r="Z101">
        <f t="shared" ca="1" si="4"/>
        <v>-27.944999999999993</v>
      </c>
      <c r="AA101" s="116" t="str">
        <f t="shared" ca="1" si="3"/>
        <v>WR10</v>
      </c>
      <c r="AB101">
        <f ca="1">Z101*LeagueInfo!$H$5</f>
        <v>-10.290140996119653</v>
      </c>
    </row>
    <row r="102" spans="1:28" ht="15.75" thickBot="1" x14ac:dyDescent="0.3">
      <c r="A102">
        <f>RANK(P102,P$3:P$213)</f>
        <v>100</v>
      </c>
      <c r="B102" t="str">
        <f>WR_Raw!A101</f>
        <v>Velus Jones Jr.</v>
      </c>
      <c r="C102" t="s">
        <v>35</v>
      </c>
      <c r="D102" t="str">
        <f>_xlfn.IFNA(INDEX(BYEs!$E$2:$E$411,MATCH(B102,BYEs!$D$2:$D$411,0)),"N/A")</f>
        <v>N/A</v>
      </c>
      <c r="E102">
        <f>INDEX(BYEs!$B$2:$B$34,MATCH(F102,BYEs!$A$2:$A$34,0))</f>
        <v>14</v>
      </c>
      <c r="F102" t="str">
        <f>WR_Raw!B101</f>
        <v>CHI</v>
      </c>
      <c r="G102" s="206">
        <v>0</v>
      </c>
      <c r="H102" s="207">
        <v>0</v>
      </c>
      <c r="I102" s="204">
        <f>WR_Raw!F101</f>
        <v>1</v>
      </c>
      <c r="J102" s="204">
        <f>WR_Raw!G101</f>
        <v>6.3</v>
      </c>
      <c r="K102" s="204">
        <f>WR_Raw!H101</f>
        <v>0</v>
      </c>
      <c r="L102" s="206">
        <f>WR_Raw!C101</f>
        <v>29.9</v>
      </c>
      <c r="M102" s="204">
        <f>WR_Raw!D101</f>
        <v>385.3</v>
      </c>
      <c r="N102" s="207">
        <f>WR_Raw!E101</f>
        <v>2.2000000000000002</v>
      </c>
      <c r="O102" s="204">
        <f>WR_Raw!I101</f>
        <v>0.2</v>
      </c>
      <c r="P102" s="208">
        <f>(J102*WRRushingYd)+(K102*WRRushingTD)+(L102*WRRec)+(M102*WRRecYd)+(N102*WRRecTD)+(O102*WRFuml)+(I102*WRRushAtt)</f>
        <v>66.91</v>
      </c>
      <c r="Q102" t="str">
        <f ca="1">IF(A102&lt;=WRStarters,"Starter",IF(A102&gt;WRStarters+WRBench,"Undrafted","Bench"))</f>
        <v>Undrafted</v>
      </c>
      <c r="R102">
        <f ca="1">IFERROR(MAX(P102-LARGE(WRSheetCount,WRStarters),0),0)</f>
        <v>0</v>
      </c>
      <c r="S102">
        <f ca="1">IFERROR(IF(AllowNegative="Yes",P102-LARGE(WRSheetCount,WRCount),MAX(P102-LARGE(WRSheetCount,WRCount),0)),0)</f>
        <v>-56.699999999999989</v>
      </c>
      <c r="T102" s="85">
        <f ca="1">(S102-R102)*BenchPF+R102*StarterPF</f>
        <v>-10.280668360789235</v>
      </c>
      <c r="U102" s="85">
        <f ca="1">T102*Auction!$A$2</f>
        <v>-10.280668360789235</v>
      </c>
      <c r="V102" s="6" t="str">
        <f>IF(OR(INDEX(Auction!$H$13:$H$656,MATCH(B102,Auction!$A$13:$A$656,0))&gt;0,IFERROR(INDEX(CheatSheet!$V$5:$V$64,MATCH(B102,CheatSheet!$S$5:$S$64,0)),"")&lt;&gt;""),"Yes","No")</f>
        <v>No</v>
      </c>
      <c r="W102" s="179"/>
      <c r="Y102" s="114">
        <f ca="1">IFERROR(SUMIFS($Z$3:$Z244,$Z$3:$Z$195,"&gt;0",$V$3:$V$195,"No")/SUMIF($Z$3:$Z$195,"&gt;0"),0)</f>
        <v>0</v>
      </c>
      <c r="Z102">
        <f t="shared" ca="1" si="4"/>
        <v>-28.349999999999994</v>
      </c>
      <c r="AA102" s="116" t="str">
        <f t="shared" ca="1" si="3"/>
        <v>WR10</v>
      </c>
      <c r="AB102">
        <f ca="1">Z102*LeagueInfo!$H$5</f>
        <v>-10.439273474324287</v>
      </c>
    </row>
    <row r="103" spans="1:28" ht="15.75" thickBot="1" x14ac:dyDescent="0.3">
      <c r="A103">
        <f>RANK(P103,P$3:P$213)</f>
        <v>101</v>
      </c>
      <c r="B103" t="str">
        <f>WR_Raw!A102</f>
        <v>Freddie Swain</v>
      </c>
      <c r="C103" t="s">
        <v>35</v>
      </c>
      <c r="D103" t="str">
        <f>_xlfn.IFNA(INDEX(BYEs!$E$2:$E$411,MATCH(B103,BYEs!$D$2:$D$411,0)),"N/A")</f>
        <v>N/A</v>
      </c>
      <c r="E103">
        <f>INDEX(BYEs!$B$2:$B$34,MATCH(F103,BYEs!$A$2:$A$34,0))</f>
        <v>11</v>
      </c>
      <c r="F103" t="str">
        <f>WR_Raw!B102</f>
        <v>MIA</v>
      </c>
      <c r="G103" s="206">
        <v>0</v>
      </c>
      <c r="H103" s="207">
        <v>0</v>
      </c>
      <c r="I103" s="204">
        <f>WR_Raw!F102</f>
        <v>0</v>
      </c>
      <c r="J103" s="204">
        <f>WR_Raw!G102</f>
        <v>0</v>
      </c>
      <c r="K103" s="204">
        <f>WR_Raw!H102</f>
        <v>0</v>
      </c>
      <c r="L103" s="206">
        <f>WR_Raw!C102</f>
        <v>29.5</v>
      </c>
      <c r="M103" s="204">
        <f>WR_Raw!D102</f>
        <v>374.3</v>
      </c>
      <c r="N103" s="207">
        <f>WR_Raw!E102</f>
        <v>2.4</v>
      </c>
      <c r="O103" s="204">
        <f>WR_Raw!I102</f>
        <v>0</v>
      </c>
      <c r="P103" s="208">
        <f>(J103*WRRushingYd)+(K103*WRRushingTD)+(L103*WRRec)+(M103*WRRecYd)+(N103*WRRecTD)+(O103*WRFuml)+(I103*WRRushAtt)</f>
        <v>66.58</v>
      </c>
      <c r="Q103" t="str">
        <f ca="1">IF(A103&lt;=WRStarters,"Starter",IF(A103&gt;WRStarters+WRBench,"Undrafted","Bench"))</f>
        <v>Undrafted</v>
      </c>
      <c r="R103">
        <f ca="1">IFERROR(MAX(P103-LARGE(WRSheetCount,WRStarters),0),0)</f>
        <v>0</v>
      </c>
      <c r="S103">
        <f ca="1">IFERROR(IF(AllowNegative="Yes",P103-LARGE(WRSheetCount,WRCount),MAX(P103-LARGE(WRSheetCount,WRCount),0)),0)</f>
        <v>-57.029999999999987</v>
      </c>
      <c r="T103" s="85">
        <f ca="1">(S103-R103)*BenchPF+R103*StarterPF</f>
        <v>-10.340502938550442</v>
      </c>
      <c r="U103" s="85">
        <f ca="1">T103*Auction!$A$2</f>
        <v>-10.340502938550442</v>
      </c>
      <c r="V103" s="6" t="str">
        <f>IF(OR(INDEX(Auction!$H$13:$H$656,MATCH(B103,Auction!$A$13:$A$656,0))&gt;0,IFERROR(INDEX(CheatSheet!$V$5:$V$64,MATCH(B103,CheatSheet!$S$5:$S$64,0)),"")&lt;&gt;""),"Yes","No")</f>
        <v>No</v>
      </c>
      <c r="W103" s="179"/>
      <c r="Y103" s="114">
        <f ca="1">IFERROR(SUMIFS($Z$3:$Z245,$Z$3:$Z$195,"&gt;0",$V$3:$V$195,"No")/SUMIF($Z$3:$Z$195,"&gt;0"),0)</f>
        <v>0</v>
      </c>
      <c r="Z103">
        <f t="shared" ca="1" si="4"/>
        <v>-28.514999999999993</v>
      </c>
      <c r="AA103" s="116" t="str">
        <f t="shared" ca="1" si="3"/>
        <v>WR10</v>
      </c>
      <c r="AB103">
        <f ca="1">Z103*LeagueInfo!$H$5</f>
        <v>-10.500031150629878</v>
      </c>
    </row>
    <row r="104" spans="1:28" ht="15.75" thickBot="1" x14ac:dyDescent="0.3">
      <c r="A104">
        <f>RANK(P104,P$3:P$213)</f>
        <v>102</v>
      </c>
      <c r="B104" t="str">
        <f>WR_Raw!A103</f>
        <v>Quez Watkins</v>
      </c>
      <c r="C104" t="s">
        <v>35</v>
      </c>
      <c r="D104" t="str">
        <f>_xlfn.IFNA(INDEX(BYEs!$E$2:$E$411,MATCH(B104,BYEs!$D$2:$D$411,0)),"N/A")</f>
        <v>N/A</v>
      </c>
      <c r="E104">
        <f>INDEX(BYEs!$B$2:$B$34,MATCH(F104,BYEs!$A$2:$A$34,0))</f>
        <v>7</v>
      </c>
      <c r="F104" t="str">
        <f>WR_Raw!B103</f>
        <v>PHI</v>
      </c>
      <c r="G104" s="206">
        <v>0</v>
      </c>
      <c r="H104" s="207">
        <v>0</v>
      </c>
      <c r="I104" s="204">
        <f>WR_Raw!F103</f>
        <v>0</v>
      </c>
      <c r="J104" s="204">
        <f>WR_Raw!G103</f>
        <v>0</v>
      </c>
      <c r="K104" s="204">
        <f>WR_Raw!H103</f>
        <v>0</v>
      </c>
      <c r="L104" s="206">
        <f>WR_Raw!C103</f>
        <v>28.4</v>
      </c>
      <c r="M104" s="204">
        <f>WR_Raw!D103</f>
        <v>391.5</v>
      </c>
      <c r="N104" s="207">
        <f>WR_Raw!E103</f>
        <v>2.1</v>
      </c>
      <c r="O104" s="204">
        <f>WR_Raw!I103</f>
        <v>0.1</v>
      </c>
      <c r="P104" s="208">
        <f>(J104*WRRushingYd)+(K104*WRRushingTD)+(L104*WRRec)+(M104*WRRecYd)+(N104*WRRecTD)+(O104*WRFuml)+(I104*WRRushAtt)</f>
        <v>65.750000000000014</v>
      </c>
      <c r="Q104" t="str">
        <f ca="1">IF(A104&lt;=WRStarters,"Starter",IF(A104&gt;WRStarters+WRBench,"Undrafted","Bench"))</f>
        <v>Undrafted</v>
      </c>
      <c r="R104">
        <f ca="1">IFERROR(MAX(P104-LARGE(WRSheetCount,WRStarters),0),0)</f>
        <v>0</v>
      </c>
      <c r="S104">
        <f ca="1">IFERROR(IF(AllowNegative="Yes",P104-LARGE(WRSheetCount,WRCount),MAX(P104-LARGE(WRSheetCount,WRCount),0)),0)</f>
        <v>-57.859999999999971</v>
      </c>
      <c r="T104" s="85">
        <f ca="1">(S104-R104)*BenchPF+R104*StarterPF</f>
        <v>-10.49099596746499</v>
      </c>
      <c r="U104" s="85">
        <f ca="1">T104*Auction!$A$2</f>
        <v>-10.49099596746499</v>
      </c>
      <c r="V104" s="6" t="str">
        <f>IF(OR(INDEX(Auction!$H$13:$H$656,MATCH(B104,Auction!$A$13:$A$656,0))&gt;0,IFERROR(INDEX(CheatSheet!$V$5:$V$64,MATCH(B104,CheatSheet!$S$5:$S$64,0)),"")&lt;&gt;""),"Yes","No")</f>
        <v>No</v>
      </c>
      <c r="W104" s="179"/>
      <c r="Y104" s="114">
        <f ca="1">IFERROR(SUMIFS($Z$3:$Z246,$Z$3:$Z$195,"&gt;0",$V$3:$V$195,"No")/SUMIF($Z$3:$Z$195,"&gt;0"),0)</f>
        <v>0</v>
      </c>
      <c r="Z104">
        <f t="shared" ca="1" si="4"/>
        <v>-28.929999999999986</v>
      </c>
      <c r="AA104" s="116" t="str">
        <f t="shared" ca="1" si="3"/>
        <v>WR10</v>
      </c>
      <c r="AB104">
        <f ca="1">Z104*LeagueInfo!$H$5</f>
        <v>-10.652845912246967</v>
      </c>
    </row>
    <row r="105" spans="1:28" ht="15.75" thickBot="1" x14ac:dyDescent="0.3">
      <c r="A105">
        <f>RANK(P105,P$3:P$213)</f>
        <v>103</v>
      </c>
      <c r="B105" t="str">
        <f>WR_Raw!A104</f>
        <v>Jauan Jennings</v>
      </c>
      <c r="C105" t="s">
        <v>35</v>
      </c>
      <c r="D105" t="str">
        <f>_xlfn.IFNA(INDEX(BYEs!$E$2:$E$411,MATCH(B105,BYEs!$D$2:$D$411,0)),"N/A")</f>
        <v>N/A</v>
      </c>
      <c r="E105">
        <f>INDEX(BYEs!$B$2:$B$34,MATCH(F105,BYEs!$A$2:$A$34,0))</f>
        <v>9</v>
      </c>
      <c r="F105" t="str">
        <f>WR_Raw!B104</f>
        <v>SF</v>
      </c>
      <c r="G105" s="206">
        <v>0</v>
      </c>
      <c r="H105" s="207">
        <v>0</v>
      </c>
      <c r="I105" s="204">
        <f>WR_Raw!F104</f>
        <v>0</v>
      </c>
      <c r="J105" s="204">
        <f>WR_Raw!G104</f>
        <v>0</v>
      </c>
      <c r="K105" s="204">
        <f>WR_Raw!H104</f>
        <v>0</v>
      </c>
      <c r="L105" s="206">
        <f>WR_Raw!C104</f>
        <v>29</v>
      </c>
      <c r="M105" s="204">
        <f>WR_Raw!D104</f>
        <v>329.5</v>
      </c>
      <c r="N105" s="207">
        <f>WR_Raw!E104</f>
        <v>2.7</v>
      </c>
      <c r="O105" s="204">
        <f>WR_Raw!I104</f>
        <v>0.1</v>
      </c>
      <c r="P105" s="208">
        <f>(J105*WRRushingYd)+(K105*WRRushingTD)+(L105*WRRec)+(M105*WRRecYd)+(N105*WRRecTD)+(O105*WRFuml)+(I105*WRRushAtt)</f>
        <v>63.45</v>
      </c>
      <c r="Q105" t="str">
        <f ca="1">IF(A105&lt;=WRStarters,"Starter",IF(A105&gt;WRStarters+WRBench,"Undrafted","Bench"))</f>
        <v>Undrafted</v>
      </c>
      <c r="R105">
        <f ca="1">IFERROR(MAX(P105-LARGE(WRSheetCount,WRStarters),0),0)</f>
        <v>0</v>
      </c>
      <c r="S105">
        <f ca="1">IFERROR(IF(AllowNegative="Yes",P105-LARGE(WRSheetCount,WRCount),MAX(P105-LARGE(WRSheetCount,WRCount),0)),0)</f>
        <v>-60.159999999999982</v>
      </c>
      <c r="T105" s="85">
        <f ca="1">(S105-R105)*BenchPF+R105*StarterPF</f>
        <v>-10.908024842770375</v>
      </c>
      <c r="U105" s="85">
        <f ca="1">T105*Auction!$A$2</f>
        <v>-10.908024842770375</v>
      </c>
      <c r="V105" s="6" t="str">
        <f>IF(OR(INDEX(Auction!$H$13:$H$656,MATCH(B105,Auction!$A$13:$A$656,0))&gt;0,IFERROR(INDEX(CheatSheet!$V$5:$V$64,MATCH(B105,CheatSheet!$S$5:$S$64,0)),"")&lt;&gt;""),"Yes","No")</f>
        <v>No</v>
      </c>
      <c r="W105" s="179"/>
      <c r="Y105" s="114">
        <f ca="1">IFERROR(SUMIFS($Z$3:$Z247,$Z$3:$Z$195,"&gt;0",$V$3:$V$195,"No")/SUMIF($Z$3:$Z$195,"&gt;0"),0)</f>
        <v>0</v>
      </c>
      <c r="Z105">
        <f t="shared" ca="1" si="4"/>
        <v>-30.079999999999991</v>
      </c>
      <c r="AA105" s="116" t="str">
        <f t="shared" ca="1" si="3"/>
        <v>WR10</v>
      </c>
      <c r="AB105">
        <f ca="1">Z105*LeagueInfo!$H$5</f>
        <v>-11.076308504679877</v>
      </c>
    </row>
    <row r="106" spans="1:28" ht="15.75" thickBot="1" x14ac:dyDescent="0.3">
      <c r="A106">
        <f>RANK(P106,P$3:P$213)</f>
        <v>104</v>
      </c>
      <c r="B106" t="str">
        <f>WR_Raw!A105</f>
        <v>Dee Eskridge</v>
      </c>
      <c r="C106" t="s">
        <v>35</v>
      </c>
      <c r="D106" t="str">
        <f>_xlfn.IFNA(INDEX(BYEs!$E$2:$E$411,MATCH(B106,BYEs!$D$2:$D$411,0)),"N/A")</f>
        <v>N/A</v>
      </c>
      <c r="E106">
        <f>INDEX(BYEs!$B$2:$B$34,MATCH(F106,BYEs!$A$2:$A$34,0))</f>
        <v>11</v>
      </c>
      <c r="F106" t="str">
        <f>WR_Raw!B105</f>
        <v>SEA</v>
      </c>
      <c r="G106" s="206">
        <v>0</v>
      </c>
      <c r="H106" s="207">
        <v>0</v>
      </c>
      <c r="I106" s="204">
        <f>WR_Raw!F105</f>
        <v>4.4000000000000004</v>
      </c>
      <c r="J106" s="204">
        <f>WR_Raw!G105</f>
        <v>28.8</v>
      </c>
      <c r="K106" s="204">
        <f>WR_Raw!H105</f>
        <v>0.1</v>
      </c>
      <c r="L106" s="206">
        <f>WR_Raw!C105</f>
        <v>27</v>
      </c>
      <c r="M106" s="204">
        <f>WR_Raw!D105</f>
        <v>346.7</v>
      </c>
      <c r="N106" s="207">
        <f>WR_Raw!E105</f>
        <v>1.7</v>
      </c>
      <c r="O106" s="204">
        <f>WR_Raw!I105</f>
        <v>0.1</v>
      </c>
      <c r="P106" s="208">
        <f>(J106*WRRushingYd)+(K106*WRRushingTD)+(L106*WRRec)+(M106*WRRecYd)+(N106*WRRecTD)+(O106*WRFuml)+(I106*WRRushAtt)</f>
        <v>61.650000000000006</v>
      </c>
      <c r="Q106" t="str">
        <f ca="1">IF(A106&lt;=WRStarters,"Starter",IF(A106&gt;WRStarters+WRBench,"Undrafted","Bench"))</f>
        <v>Undrafted</v>
      </c>
      <c r="R106">
        <f ca="1">IFERROR(MAX(P106-LARGE(WRSheetCount,WRStarters),0),0)</f>
        <v>0</v>
      </c>
      <c r="S106">
        <f ca="1">IFERROR(IF(AllowNegative="Yes",P106-LARGE(WRSheetCount,WRCount),MAX(P106-LARGE(WRSheetCount,WRCount),0)),0)</f>
        <v>-61.95999999999998</v>
      </c>
      <c r="T106" s="85">
        <f ca="1">(S106-R106)*BenchPF+R106*StarterPF</f>
        <v>-11.234395266922414</v>
      </c>
      <c r="U106" s="85">
        <f ca="1">T106*Auction!$A$2</f>
        <v>-11.234395266922414</v>
      </c>
      <c r="V106" s="6" t="str">
        <f>IF(OR(INDEX(Auction!$H$13:$H$656,MATCH(B106,Auction!$A$13:$A$656,0))&gt;0,IFERROR(INDEX(CheatSheet!$V$5:$V$64,MATCH(B106,CheatSheet!$S$5:$S$64,0)),"")&lt;&gt;""),"Yes","No")</f>
        <v>No</v>
      </c>
      <c r="W106" s="179"/>
      <c r="Y106" s="114">
        <f ca="1">IFERROR(SUMIFS($Z$3:$Z248,$Z$3:$Z$195,"&gt;0",$V$3:$V$195,"No")/SUMIF($Z$3:$Z$195,"&gt;0"),0)</f>
        <v>0</v>
      </c>
      <c r="Z106">
        <f t="shared" ca="1" si="4"/>
        <v>-30.97999999999999</v>
      </c>
      <c r="AA106" s="116" t="str">
        <f t="shared" ca="1" si="3"/>
        <v>WR10</v>
      </c>
      <c r="AB106">
        <f ca="1">Z106*LeagueInfo!$H$5</f>
        <v>-11.407714011801284</v>
      </c>
    </row>
    <row r="107" spans="1:28" ht="15.75" thickBot="1" x14ac:dyDescent="0.3">
      <c r="A107">
        <f>RANK(P107,P$3:P$213)</f>
        <v>105</v>
      </c>
      <c r="B107" t="str">
        <f>WR_Raw!A106</f>
        <v>Jalen Guyton</v>
      </c>
      <c r="C107" t="s">
        <v>35</v>
      </c>
      <c r="D107" t="str">
        <f>_xlfn.IFNA(INDEX(BYEs!$E$2:$E$411,MATCH(B107,BYEs!$D$2:$D$411,0)),"N/A")</f>
        <v>N/A</v>
      </c>
      <c r="E107">
        <f>INDEX(BYEs!$B$2:$B$34,MATCH(F107,BYEs!$A$2:$A$34,0))</f>
        <v>8</v>
      </c>
      <c r="F107" t="str">
        <f>WR_Raw!B106</f>
        <v>LAC</v>
      </c>
      <c r="G107" s="206">
        <v>0</v>
      </c>
      <c r="H107" s="207">
        <v>0</v>
      </c>
      <c r="I107" s="204">
        <f>WR_Raw!F106</f>
        <v>4.4000000000000004</v>
      </c>
      <c r="J107" s="204">
        <f>WR_Raw!G106</f>
        <v>25.9</v>
      </c>
      <c r="K107" s="204">
        <f>WR_Raw!H106</f>
        <v>0.1</v>
      </c>
      <c r="L107" s="206">
        <f>WR_Raw!C106</f>
        <v>21.5</v>
      </c>
      <c r="M107" s="204">
        <f>WR_Raw!D106</f>
        <v>312.3</v>
      </c>
      <c r="N107" s="207">
        <f>WR_Raw!E106</f>
        <v>2</v>
      </c>
      <c r="O107" s="204">
        <f>WR_Raw!I106</f>
        <v>0.1</v>
      </c>
      <c r="P107" s="208">
        <f>(J107*WRRushingYd)+(K107*WRRushingTD)+(L107*WRRec)+(M107*WRRecYd)+(N107*WRRecTD)+(O107*WRFuml)+(I107*WRRushAtt)</f>
        <v>56.97</v>
      </c>
      <c r="Q107" t="str">
        <f ca="1">IF(A107&lt;=WRStarters,"Starter",IF(A107&gt;WRStarters+WRBench,"Undrafted","Bench"))</f>
        <v>Undrafted</v>
      </c>
      <c r="R107">
        <f ca="1">IFERROR(MAX(P107-LARGE(WRSheetCount,WRStarters),0),0)</f>
        <v>0</v>
      </c>
      <c r="S107">
        <f ca="1">IFERROR(IF(AllowNegative="Yes",P107-LARGE(WRSheetCount,WRCount),MAX(P107-LARGE(WRSheetCount,WRCount),0)),0)</f>
        <v>-66.639999999999986</v>
      </c>
      <c r="T107" s="85">
        <f ca="1">(S107-R107)*BenchPF+R107*StarterPF</f>
        <v>-12.082958369717717</v>
      </c>
      <c r="U107" s="85">
        <f ca="1">T107*Auction!$A$2</f>
        <v>-12.082958369717717</v>
      </c>
      <c r="V107" s="6" t="str">
        <f>IF(OR(INDEX(Auction!$H$13:$H$656,MATCH(B107,Auction!$A$13:$A$656,0))&gt;0,IFERROR(INDEX(CheatSheet!$V$5:$V$64,MATCH(B107,CheatSheet!$S$5:$S$64,0)),"")&lt;&gt;""),"Yes","No")</f>
        <v>No</v>
      </c>
      <c r="W107" s="179"/>
      <c r="Y107" s="114">
        <f ca="1">IFERROR(SUMIFS($Z$3:$Z249,$Z$3:$Z$195,"&gt;0",$V$3:$V$195,"No")/SUMIF($Z$3:$Z$195,"&gt;0"),0)</f>
        <v>0</v>
      </c>
      <c r="Z107">
        <f t="shared" ca="1" si="4"/>
        <v>-33.319999999999993</v>
      </c>
      <c r="AA107" s="116" t="str">
        <f t="shared" ca="1" si="3"/>
        <v>WR10</v>
      </c>
      <c r="AB107">
        <f ca="1">Z107*LeagueInfo!$H$5</f>
        <v>-12.26936833031694</v>
      </c>
    </row>
    <row r="108" spans="1:28" ht="15.75" thickBot="1" x14ac:dyDescent="0.3">
      <c r="A108">
        <f>RANK(P108,P$3:P$213)</f>
        <v>106</v>
      </c>
      <c r="B108" t="str">
        <f>WR_Raw!A108</f>
        <v>Chris Conley</v>
      </c>
      <c r="C108" t="s">
        <v>35</v>
      </c>
      <c r="D108">
        <f>_xlfn.IFNA(INDEX(BYEs!$E$2:$E$411,MATCH(B108,BYEs!$D$2:$D$411,0)),"N/A")</f>
        <v>28</v>
      </c>
      <c r="E108">
        <f>INDEX(BYEs!$B$2:$B$34,MATCH(F108,BYEs!$A$2:$A$34,0))</f>
        <v>6</v>
      </c>
      <c r="F108" t="str">
        <f>WR_Raw!B108</f>
        <v>HOU</v>
      </c>
      <c r="G108" s="206">
        <v>0</v>
      </c>
      <c r="H108" s="207">
        <v>0</v>
      </c>
      <c r="I108" s="204">
        <f>WR_Raw!F108</f>
        <v>0</v>
      </c>
      <c r="J108" s="204">
        <f>WR_Raw!G108</f>
        <v>0</v>
      </c>
      <c r="K108" s="204">
        <f>WR_Raw!H108</f>
        <v>0</v>
      </c>
      <c r="L108" s="206">
        <f>WR_Raw!C108</f>
        <v>24.5</v>
      </c>
      <c r="M108" s="204">
        <f>WR_Raw!D108</f>
        <v>297.2</v>
      </c>
      <c r="N108" s="207">
        <f>WR_Raw!E108</f>
        <v>2</v>
      </c>
      <c r="O108" s="204">
        <f>WR_Raw!I108</f>
        <v>0</v>
      </c>
      <c r="P108" s="208">
        <f>(J108*WRRushingYd)+(K108*WRRushingTD)+(L108*WRRec)+(M108*WRRecYd)+(N108*WRRecTD)+(O108*WRFuml)+(I108*WRRushAtt)</f>
        <v>53.97</v>
      </c>
      <c r="Q108" t="str">
        <f ca="1">IF(A108&lt;=WRStarters,"Starter",IF(A108&gt;WRStarters+WRBench,"Undrafted","Bench"))</f>
        <v>Undrafted</v>
      </c>
      <c r="R108">
        <f ca="1">IFERROR(MAX(P108-LARGE(WRSheetCount,WRStarters),0),0)</f>
        <v>0</v>
      </c>
      <c r="S108">
        <f ca="1">IFERROR(IF(AllowNegative="Yes",P108-LARGE(WRSheetCount,WRCount),MAX(P108-LARGE(WRSheetCount,WRCount),0)),0)</f>
        <v>-69.639999999999986</v>
      </c>
      <c r="T108" s="85">
        <f ca="1">(S108-R108)*BenchPF+R108*StarterPF</f>
        <v>-12.626909076637784</v>
      </c>
      <c r="U108" s="85">
        <f ca="1">T108*Auction!$A$2</f>
        <v>-12.626909076637784</v>
      </c>
      <c r="V108" s="6" t="str">
        <f>IF(OR(INDEX(Auction!$H$13:$H$656,MATCH(B108,Auction!$A$13:$A$656,0))&gt;0,IFERROR(INDEX(CheatSheet!$V$5:$V$64,MATCH(B108,CheatSheet!$S$5:$S$64,0)),"")&lt;&gt;""),"Yes","No")</f>
        <v>No</v>
      </c>
      <c r="W108" s="179"/>
      <c r="Y108" s="114">
        <f ca="1">IFERROR(SUMIFS($Z$3:$Z250,$Z$3:$Z$195,"&gt;0",$V$3:$V$195,"No")/SUMIF($Z$3:$Z$195,"&gt;0"),0)</f>
        <v>0</v>
      </c>
      <c r="Z108">
        <f t="shared" ca="1" si="4"/>
        <v>-34.819999999999993</v>
      </c>
      <c r="AA108" s="116" t="str">
        <f t="shared" ca="1" si="3"/>
        <v>WR10</v>
      </c>
      <c r="AB108">
        <f ca="1">Z108*LeagueInfo!$H$5</f>
        <v>-12.821710842185951</v>
      </c>
    </row>
    <row r="109" spans="1:28" ht="15.75" thickBot="1" x14ac:dyDescent="0.3">
      <c r="A109">
        <f>RANK(P109,P$3:P$213)</f>
        <v>107</v>
      </c>
      <c r="B109" t="str">
        <f>WR_Raw!A109</f>
        <v>Josh Reynolds</v>
      </c>
      <c r="C109" t="s">
        <v>35</v>
      </c>
      <c r="D109">
        <f>_xlfn.IFNA(INDEX(BYEs!$E$2:$E$411,MATCH(B109,BYEs!$D$2:$D$411,0)),"N/A")</f>
        <v>26</v>
      </c>
      <c r="E109">
        <f>INDEX(BYEs!$B$2:$B$34,MATCH(F109,BYEs!$A$2:$A$34,0))</f>
        <v>6</v>
      </c>
      <c r="F109" t="str">
        <f>WR_Raw!B109</f>
        <v>DET</v>
      </c>
      <c r="G109" s="206">
        <v>0</v>
      </c>
      <c r="H109" s="207">
        <v>0</v>
      </c>
      <c r="I109" s="204">
        <f>WR_Raw!F109</f>
        <v>0</v>
      </c>
      <c r="J109" s="204">
        <f>WR_Raw!G109</f>
        <v>0</v>
      </c>
      <c r="K109" s="204">
        <f>WR_Raw!H109</f>
        <v>0</v>
      </c>
      <c r="L109" s="206">
        <f>WR_Raw!C109</f>
        <v>22.2</v>
      </c>
      <c r="M109" s="204">
        <f>WR_Raw!D109</f>
        <v>300.7</v>
      </c>
      <c r="N109" s="207">
        <f>WR_Raw!E109</f>
        <v>1.9</v>
      </c>
      <c r="O109" s="204">
        <f>WR_Raw!I109</f>
        <v>0.1</v>
      </c>
      <c r="P109" s="208">
        <f>(J109*WRRushingYd)+(K109*WRRushingTD)+(L109*WRRec)+(M109*WRRecYd)+(N109*WRRecTD)+(O109*WRFuml)+(I109*WRRushAtt)</f>
        <v>52.37</v>
      </c>
      <c r="Q109" t="str">
        <f ca="1">IF(A109&lt;=WRStarters,"Starter",IF(A109&gt;WRStarters+WRBench,"Undrafted","Bench"))</f>
        <v>Undrafted</v>
      </c>
      <c r="R109">
        <f ca="1">IFERROR(MAX(P109-LARGE(WRSheetCount,WRStarters),0),0)</f>
        <v>0</v>
      </c>
      <c r="S109">
        <f ca="1">IFERROR(IF(AllowNegative="Yes",P109-LARGE(WRSheetCount,WRCount),MAX(P109-LARGE(WRSheetCount,WRCount),0)),0)</f>
        <v>-71.239999999999981</v>
      </c>
      <c r="T109" s="85">
        <f ca="1">(S109-R109)*BenchPF+R109*StarterPF</f>
        <v>-12.917016120328483</v>
      </c>
      <c r="U109" s="85">
        <f ca="1">T109*Auction!$A$2</f>
        <v>-12.917016120328483</v>
      </c>
      <c r="V109" s="6" t="str">
        <f>IF(OR(INDEX(Auction!$H$13:$H$656,MATCH(B109,Auction!$A$13:$A$656,0))&gt;0,IFERROR(INDEX(CheatSheet!$V$5:$V$64,MATCH(B109,CheatSheet!$S$5:$S$64,0)),"")&lt;&gt;""),"Yes","No")</f>
        <v>No</v>
      </c>
      <c r="W109" s="179"/>
      <c r="Y109" s="114">
        <f ca="1">IFERROR(SUMIFS($Z$3:$Z251,$Z$3:$Z$195,"&gt;0",$V$3:$V$195,"No")/SUMIF($Z$3:$Z$195,"&gt;0"),0)</f>
        <v>0</v>
      </c>
      <c r="Z109">
        <f t="shared" ca="1" si="4"/>
        <v>-35.61999999999999</v>
      </c>
      <c r="AA109" s="116" t="str">
        <f t="shared" ca="1" si="3"/>
        <v>WR10</v>
      </c>
      <c r="AB109">
        <f ca="1">Z109*LeagueInfo!$H$5</f>
        <v>-13.116293515182754</v>
      </c>
    </row>
    <row r="110" spans="1:28" ht="15.75" thickBot="1" x14ac:dyDescent="0.3">
      <c r="A110">
        <f>RANK(P110,P$3:P$213)</f>
        <v>108</v>
      </c>
      <c r="B110" t="str">
        <f>WR_Raw!A107</f>
        <v>Ty Montgomery</v>
      </c>
      <c r="C110" t="s">
        <v>35</v>
      </c>
      <c r="D110">
        <f>_xlfn.IFNA(INDEX(BYEs!$E$2:$E$411,MATCH(B110,BYEs!$D$2:$D$411,0)),"N/A")</f>
        <v>28</v>
      </c>
      <c r="E110">
        <f>INDEX(BYEs!$B$2:$B$34,MATCH(F110,BYEs!$A$2:$A$34,0))</f>
        <v>10</v>
      </c>
      <c r="F110" t="str">
        <f>WR_Raw!B107</f>
        <v>NE</v>
      </c>
      <c r="G110" s="206">
        <v>0</v>
      </c>
      <c r="H110" s="207">
        <v>0</v>
      </c>
      <c r="I110" s="204">
        <f>WR_Raw!F107</f>
        <v>29.1</v>
      </c>
      <c r="J110" s="204">
        <f>WR_Raw!G107</f>
        <v>170.5</v>
      </c>
      <c r="K110" s="204">
        <f>WR_Raw!H107</f>
        <v>1.4</v>
      </c>
      <c r="L110" s="206">
        <f>WR_Raw!C107</f>
        <v>14.8</v>
      </c>
      <c r="M110" s="204">
        <f>WR_Raw!D107</f>
        <v>133.1</v>
      </c>
      <c r="N110" s="207">
        <f>WR_Raw!E107</f>
        <v>0.8</v>
      </c>
      <c r="O110" s="204">
        <f>WR_Raw!I107</f>
        <v>0</v>
      </c>
      <c r="P110" s="208">
        <f>(J110*WRRushingYd)+(K110*WRRushingTD)+(L110*WRRec)+(M110*WRRecYd)+(N110*WRRecTD)+(O110*WRFuml)+(I110*WRRushAtt)</f>
        <v>50.960000000000008</v>
      </c>
      <c r="Q110" t="str">
        <f ca="1">IF(A110&lt;=WRStarters,"Starter",IF(A110&gt;WRStarters+WRBench,"Undrafted","Bench"))</f>
        <v>Undrafted</v>
      </c>
      <c r="R110">
        <f ca="1">IFERROR(MAX(P110-LARGE(WRSheetCount,WRStarters),0),0)</f>
        <v>0</v>
      </c>
      <c r="S110">
        <f ca="1">IFERROR(IF(AllowNegative="Yes",P110-LARGE(WRSheetCount,WRCount),MAX(P110-LARGE(WRSheetCount,WRCount),0)),0)</f>
        <v>-72.649999999999977</v>
      </c>
      <c r="T110" s="85">
        <f ca="1">(S110-R110)*BenchPF+R110*StarterPF</f>
        <v>-13.172672952580914</v>
      </c>
      <c r="U110" s="85">
        <f ca="1">T110*Auction!$A$2</f>
        <v>-13.172672952580914</v>
      </c>
      <c r="V110" s="6" t="str">
        <f>IF(OR(INDEX(Auction!$H$13:$H$656,MATCH(B110,Auction!$A$13:$A$656,0))&gt;0,IFERROR(INDEX(CheatSheet!$V$5:$V$64,MATCH(B110,CheatSheet!$S$5:$S$64,0)),"")&lt;&gt;""),"Yes","No")</f>
        <v>No</v>
      </c>
      <c r="W110" s="179"/>
      <c r="Y110" s="114">
        <f ca="1">IFERROR(SUMIFS($Z$3:$Z252,$Z$3:$Z$195,"&gt;0",$V$3:$V$195,"No")/SUMIF($Z$3:$Z$195,"&gt;0"),0)</f>
        <v>0</v>
      </c>
      <c r="Z110">
        <f t="shared" ca="1" si="4"/>
        <v>-36.324999999999989</v>
      </c>
      <c r="AA110" s="116" t="str">
        <f t="shared" ca="1" si="3"/>
        <v>WR10</v>
      </c>
      <c r="AB110">
        <f ca="1">Z110*LeagueInfo!$H$5</f>
        <v>-13.375894495761187</v>
      </c>
    </row>
    <row r="111" spans="1:28" ht="15.75" thickBot="1" x14ac:dyDescent="0.3">
      <c r="A111">
        <f>RANK(P111,P$3:P$213)</f>
        <v>109</v>
      </c>
      <c r="B111" t="str">
        <f>WR_Raw!A110</f>
        <v>Laquon Treadwell</v>
      </c>
      <c r="C111" t="s">
        <v>35</v>
      </c>
      <c r="D111">
        <f>_xlfn.IFNA(INDEX(BYEs!$E$2:$E$411,MATCH(B111,BYEs!$D$2:$D$411,0)),"N/A")</f>
        <v>26</v>
      </c>
      <c r="E111">
        <f>INDEX(BYEs!$B$2:$B$34,MATCH(F111,BYEs!$A$2:$A$34,0))</f>
        <v>10</v>
      </c>
      <c r="F111" t="str">
        <f>WR_Raw!B110</f>
        <v>NE</v>
      </c>
      <c r="G111" s="206">
        <v>0</v>
      </c>
      <c r="H111" s="207">
        <v>0</v>
      </c>
      <c r="I111" s="204">
        <f>WR_Raw!F110</f>
        <v>0</v>
      </c>
      <c r="J111" s="204">
        <f>WR_Raw!G110</f>
        <v>0</v>
      </c>
      <c r="K111" s="204">
        <f>WR_Raw!H110</f>
        <v>0</v>
      </c>
      <c r="L111" s="206">
        <f>WR_Raw!C110</f>
        <v>21.5</v>
      </c>
      <c r="M111" s="204">
        <f>WR_Raw!D110</f>
        <v>297.10000000000002</v>
      </c>
      <c r="N111" s="207">
        <f>WR_Raw!E110</f>
        <v>1.7</v>
      </c>
      <c r="O111" s="204">
        <f>WR_Raw!I110</f>
        <v>0</v>
      </c>
      <c r="P111" s="208">
        <f>(J111*WRRushingYd)+(K111*WRRushingTD)+(L111*WRRec)+(M111*WRRecYd)+(N111*WRRecTD)+(O111*WRFuml)+(I111*WRRushAtt)</f>
        <v>50.660000000000011</v>
      </c>
      <c r="Q111" t="str">
        <f ca="1">IF(A111&lt;=WRStarters,"Starter",IF(A111&gt;WRStarters+WRBench,"Undrafted","Bench"))</f>
        <v>Undrafted</v>
      </c>
      <c r="R111">
        <f ca="1">IFERROR(MAX(P111-LARGE(WRSheetCount,WRStarters),0),0)</f>
        <v>0</v>
      </c>
      <c r="S111">
        <f ca="1">IFERROR(IF(AllowNegative="Yes",P111-LARGE(WRSheetCount,WRCount),MAX(P111-LARGE(WRSheetCount,WRCount),0)),0)</f>
        <v>-72.949999999999974</v>
      </c>
      <c r="T111" s="85">
        <f ca="1">(S111-R111)*BenchPF+R111*StarterPF</f>
        <v>-13.227068023272921</v>
      </c>
      <c r="U111" s="85">
        <f ca="1">T111*Auction!$A$2</f>
        <v>-13.227068023272921</v>
      </c>
      <c r="V111" s="6" t="str">
        <f>IF(OR(INDEX(Auction!$H$13:$H$656,MATCH(B111,Auction!$A$13:$A$656,0))&gt;0,IFERROR(INDEX(CheatSheet!$V$5:$V$64,MATCH(B111,CheatSheet!$S$5:$S$64,0)),"")&lt;&gt;""),"Yes","No")</f>
        <v>No</v>
      </c>
      <c r="W111" s="179"/>
      <c r="Y111" s="114">
        <f ca="1">IFERROR(SUMIFS($Z$3:$Z253,$Z$3:$Z$195,"&gt;0",$V$3:$V$195,"No")/SUMIF($Z$3:$Z$195,"&gt;0"),0)</f>
        <v>0</v>
      </c>
      <c r="Z111">
        <f t="shared" ca="1" si="4"/>
        <v>-36.474999999999987</v>
      </c>
      <c r="AA111" s="116" t="str">
        <f t="shared" ca="1" si="3"/>
        <v>WR10</v>
      </c>
      <c r="AB111">
        <f ca="1">Z111*LeagueInfo!$H$5</f>
        <v>-13.431128746948088</v>
      </c>
    </row>
    <row r="112" spans="1:28" ht="15.75" thickBot="1" x14ac:dyDescent="0.3">
      <c r="A112">
        <f>RANK(P112,P$3:P$213)</f>
        <v>110</v>
      </c>
      <c r="B112" t="str">
        <f>WR_Raw!A111</f>
        <v>James Proche II</v>
      </c>
      <c r="C112" t="s">
        <v>35</v>
      </c>
      <c r="D112" t="str">
        <f>_xlfn.IFNA(INDEX(BYEs!$E$2:$E$411,MATCH(B112,BYEs!$D$2:$D$411,0)),"N/A")</f>
        <v>N/A</v>
      </c>
      <c r="E112">
        <f>INDEX(BYEs!$B$2:$B$34,MATCH(F112,BYEs!$A$2:$A$34,0))</f>
        <v>10</v>
      </c>
      <c r="F112" t="str">
        <f>WR_Raw!B111</f>
        <v>BAL</v>
      </c>
      <c r="G112" s="206">
        <v>0</v>
      </c>
      <c r="H112" s="207">
        <v>0</v>
      </c>
      <c r="I112" s="204">
        <f>WR_Raw!F111</f>
        <v>0</v>
      </c>
      <c r="J112" s="204">
        <f>WR_Raw!G111</f>
        <v>0</v>
      </c>
      <c r="K112" s="204">
        <f>WR_Raw!H111</f>
        <v>0</v>
      </c>
      <c r="L112" s="206">
        <f>WR_Raw!C111</f>
        <v>23.3</v>
      </c>
      <c r="M112" s="204">
        <f>WR_Raw!D111</f>
        <v>284.60000000000002</v>
      </c>
      <c r="N112" s="207">
        <f>WR_Raw!E111</f>
        <v>1.6</v>
      </c>
      <c r="O112" s="204">
        <f>WR_Raw!I111</f>
        <v>0.1</v>
      </c>
      <c r="P112" s="208">
        <f>(J112*WRRushingYd)+(K112*WRRushingTD)+(L112*WRRec)+(M112*WRRecYd)+(N112*WRRecTD)+(O112*WRFuml)+(I112*WRRushAtt)</f>
        <v>49.510000000000005</v>
      </c>
      <c r="Q112" t="str">
        <f ca="1">IF(A112&lt;=WRStarters,"Starter",IF(A112&gt;WRStarters+WRBench,"Undrafted","Bench"))</f>
        <v>Undrafted</v>
      </c>
      <c r="R112">
        <f ca="1">IFERROR(MAX(P112-LARGE(WRSheetCount,WRStarters),0),0)</f>
        <v>0</v>
      </c>
      <c r="S112">
        <f ca="1">IFERROR(IF(AllowNegative="Yes",P112-LARGE(WRSheetCount,WRCount),MAX(P112-LARGE(WRSheetCount,WRCount),0)),0)</f>
        <v>-74.09999999999998</v>
      </c>
      <c r="T112" s="85">
        <f ca="1">(S112-R112)*BenchPF+R112*StarterPF</f>
        <v>-13.435582460925612</v>
      </c>
      <c r="U112" s="85">
        <f ca="1">T112*Auction!$A$2</f>
        <v>-13.435582460925612</v>
      </c>
      <c r="V112" s="6" t="str">
        <f>IF(OR(INDEX(Auction!$H$13:$H$656,MATCH(B112,Auction!$A$13:$A$656,0))&gt;0,IFERROR(INDEX(CheatSheet!$V$5:$V$64,MATCH(B112,CheatSheet!$S$5:$S$64,0)),"")&lt;&gt;""),"Yes","No")</f>
        <v>No</v>
      </c>
      <c r="W112" s="179"/>
      <c r="Y112" s="114">
        <f ca="1">IFERROR(SUMIFS($Z$3:$Z254,$Z$3:$Z$195,"&gt;0",$V$3:$V$195,"No")/SUMIF($Z$3:$Z$195,"&gt;0"),0)</f>
        <v>0</v>
      </c>
      <c r="Z112">
        <f t="shared" ca="1" si="4"/>
        <v>-37.04999999999999</v>
      </c>
      <c r="AA112" s="116" t="str">
        <f t="shared" ca="1" si="3"/>
        <v>WR10</v>
      </c>
      <c r="AB112">
        <f ca="1">Z112*LeagueInfo!$H$5</f>
        <v>-13.642860043164543</v>
      </c>
    </row>
    <row r="113" spans="1:28" ht="15.75" thickBot="1" x14ac:dyDescent="0.3">
      <c r="A113">
        <f>RANK(P113,P$3:P$213)</f>
        <v>111</v>
      </c>
      <c r="B113" t="str">
        <f>WR_Raw!A114</f>
        <v>Phillip Dorsett II</v>
      </c>
      <c r="C113" t="s">
        <v>35</v>
      </c>
      <c r="D113" t="str">
        <f>_xlfn.IFNA(INDEX(BYEs!$E$2:$E$411,MATCH(B113,BYEs!$D$2:$D$411,0)),"N/A")</f>
        <v>N/A</v>
      </c>
      <c r="E113">
        <f>INDEX(BYEs!$B$2:$B$34,MATCH(F113,BYEs!$A$2:$A$34,0))</f>
        <v>6</v>
      </c>
      <c r="F113" t="str">
        <f>WR_Raw!B114</f>
        <v>HOU</v>
      </c>
      <c r="G113" s="206">
        <v>0</v>
      </c>
      <c r="H113" s="207">
        <v>0</v>
      </c>
      <c r="I113" s="204">
        <f>WR_Raw!F114</f>
        <v>0</v>
      </c>
      <c r="J113" s="204">
        <f>WR_Raw!G114</f>
        <v>0</v>
      </c>
      <c r="K113" s="204">
        <f>WR_Raw!H114</f>
        <v>0</v>
      </c>
      <c r="L113" s="206">
        <f>WR_Raw!C114</f>
        <v>22.7</v>
      </c>
      <c r="M113" s="204">
        <f>WR_Raw!D114</f>
        <v>285.3</v>
      </c>
      <c r="N113" s="207">
        <f>WR_Raw!E114</f>
        <v>1.5</v>
      </c>
      <c r="O113" s="204">
        <f>WR_Raw!I114</f>
        <v>0.1</v>
      </c>
      <c r="P113" s="208">
        <f>(J113*WRRushingYd)+(K113*WRRushingTD)+(L113*WRRec)+(M113*WRRecYd)+(N113*WRRecTD)+(O113*WRFuml)+(I113*WRRushAtt)</f>
        <v>48.68</v>
      </c>
      <c r="Q113" t="str">
        <f ca="1">IF(A113&lt;=WRStarters,"Starter",IF(A113&gt;WRStarters+WRBench,"Undrafted","Bench"))</f>
        <v>Undrafted</v>
      </c>
      <c r="R113">
        <f ca="1">IFERROR(MAX(P113-LARGE(WRSheetCount,WRStarters),0),0)</f>
        <v>0</v>
      </c>
      <c r="S113">
        <f ca="1">IFERROR(IF(AllowNegative="Yes",P113-LARGE(WRSheetCount,WRCount),MAX(P113-LARGE(WRSheetCount,WRCount),0)),0)</f>
        <v>-74.929999999999978</v>
      </c>
      <c r="T113" s="85">
        <f ca="1">(S113-R113)*BenchPF+R113*StarterPF</f>
        <v>-13.586075489840164</v>
      </c>
      <c r="U113" s="85">
        <f ca="1">T113*Auction!$A$2</f>
        <v>-13.586075489840164</v>
      </c>
      <c r="V113" s="6" t="str">
        <f>IF(OR(INDEX(Auction!$H$13:$H$656,MATCH(B113,Auction!$A$13:$A$656,0))&gt;0,IFERROR(INDEX(CheatSheet!$V$5:$V$64,MATCH(B113,CheatSheet!$S$5:$S$64,0)),"")&lt;&gt;""),"Yes","No")</f>
        <v>No</v>
      </c>
      <c r="W113" s="179"/>
      <c r="Y113" s="114">
        <f ca="1">IFERROR(SUMIFS($Z$3:$Z255,$Z$3:$Z$195,"&gt;0",$V$3:$V$195,"No")/SUMIF($Z$3:$Z$195,"&gt;0"),0)</f>
        <v>0</v>
      </c>
      <c r="Z113">
        <f t="shared" ca="1" si="4"/>
        <v>-37.464999999999989</v>
      </c>
      <c r="AA113" s="116" t="str">
        <f t="shared" ca="1" si="3"/>
        <v>WR10</v>
      </c>
      <c r="AB113">
        <f ca="1">Z113*LeagueInfo!$H$5</f>
        <v>-13.795674804781637</v>
      </c>
    </row>
    <row r="114" spans="1:28" ht="15.75" thickBot="1" x14ac:dyDescent="0.3">
      <c r="A114">
        <f>RANK(P114,P$3:P$213)</f>
        <v>112</v>
      </c>
      <c r="B114" t="str">
        <f>WR_Raw!A113</f>
        <v>Amari Rodgers</v>
      </c>
      <c r="C114" t="s">
        <v>35</v>
      </c>
      <c r="D114" t="str">
        <f>_xlfn.IFNA(INDEX(BYEs!$E$2:$E$411,MATCH(B114,BYEs!$D$2:$D$411,0)),"N/A")</f>
        <v>N/A</v>
      </c>
      <c r="E114">
        <f>INDEX(BYEs!$B$2:$B$34,MATCH(F114,BYEs!$A$2:$A$34,0))</f>
        <v>14</v>
      </c>
      <c r="F114" t="str">
        <f>WR_Raw!B113</f>
        <v>GB</v>
      </c>
      <c r="G114" s="206">
        <v>0</v>
      </c>
      <c r="H114" s="207">
        <v>0</v>
      </c>
      <c r="I114" s="204">
        <f>WR_Raw!F113</f>
        <v>1.5</v>
      </c>
      <c r="J114" s="204">
        <f>WR_Raw!G113</f>
        <v>9.4</v>
      </c>
      <c r="K114" s="204">
        <f>WR_Raw!H113</f>
        <v>0</v>
      </c>
      <c r="L114" s="206">
        <f>WR_Raw!C113</f>
        <v>21.4</v>
      </c>
      <c r="M114" s="204">
        <f>WR_Raw!D113</f>
        <v>279.60000000000002</v>
      </c>
      <c r="N114" s="207">
        <f>WR_Raw!E113</f>
        <v>1.6</v>
      </c>
      <c r="O114" s="204">
        <f>WR_Raw!I113</f>
        <v>0.4</v>
      </c>
      <c r="P114" s="208">
        <f>(J114*WRRushingYd)+(K114*WRRushingTD)+(L114*WRRec)+(M114*WRRecYd)+(N114*WRRecTD)+(O114*WRFuml)+(I114*WRRushAtt)</f>
        <v>48.400000000000006</v>
      </c>
      <c r="Q114" t="str">
        <f ca="1">IF(A114&lt;=WRStarters,"Starter",IF(A114&gt;WRStarters+WRBench,"Undrafted","Bench"))</f>
        <v>Undrafted</v>
      </c>
      <c r="R114">
        <f ca="1">IFERROR(MAX(P114-LARGE(WRSheetCount,WRStarters),0),0)</f>
        <v>0</v>
      </c>
      <c r="S114">
        <f ca="1">IFERROR(IF(AllowNegative="Yes",P114-LARGE(WRSheetCount,WRCount),MAX(P114-LARGE(WRSheetCount,WRCount),0)),0)</f>
        <v>-75.20999999999998</v>
      </c>
      <c r="T114" s="85">
        <f ca="1">(S114-R114)*BenchPF+R114*StarterPF</f>
        <v>-13.636844222486037</v>
      </c>
      <c r="U114" s="85">
        <f ca="1">T114*Auction!$A$2</f>
        <v>-13.636844222486037</v>
      </c>
      <c r="V114" s="6" t="str">
        <f>IF(OR(INDEX(Auction!$H$13:$H$656,MATCH(B114,Auction!$A$13:$A$656,0))&gt;0,IFERROR(INDEX(CheatSheet!$V$5:$V$64,MATCH(B114,CheatSheet!$S$5:$S$64,0)),"")&lt;&gt;""),"Yes","No")</f>
        <v>No</v>
      </c>
      <c r="W114" s="179"/>
      <c r="Y114" s="114">
        <f ca="1">IFERROR(SUMIFS($Z$3:$Z256,$Z$3:$Z$195,"&gt;0",$V$3:$V$195,"No")/SUMIF($Z$3:$Z$195,"&gt;0"),0)</f>
        <v>0</v>
      </c>
      <c r="Z114">
        <f t="shared" ca="1" si="4"/>
        <v>-37.60499999999999</v>
      </c>
      <c r="AA114" s="116" t="str">
        <f t="shared" ca="1" si="3"/>
        <v>WR10</v>
      </c>
      <c r="AB114">
        <f ca="1">Z114*LeagueInfo!$H$5</f>
        <v>-13.847226772556077</v>
      </c>
    </row>
    <row r="115" spans="1:28" ht="15.75" thickBot="1" x14ac:dyDescent="0.3">
      <c r="A115">
        <f>RANK(P115,P$3:P$213)</f>
        <v>113</v>
      </c>
      <c r="B115" t="str">
        <f>WR_Raw!A112</f>
        <v>Mack Hollins</v>
      </c>
      <c r="C115" t="s">
        <v>35</v>
      </c>
      <c r="D115">
        <f>_xlfn.IFNA(INDEX(BYEs!$E$2:$E$411,MATCH(B115,BYEs!$D$2:$D$411,0)),"N/A")</f>
        <v>27</v>
      </c>
      <c r="E115">
        <f>INDEX(BYEs!$B$2:$B$34,MATCH(F115,BYEs!$A$2:$A$34,0))</f>
        <v>6</v>
      </c>
      <c r="F115" t="str">
        <f>WR_Raw!B112</f>
        <v>LV</v>
      </c>
      <c r="G115" s="206">
        <v>0</v>
      </c>
      <c r="H115" s="207">
        <v>0</v>
      </c>
      <c r="I115" s="204">
        <f>WR_Raw!F112</f>
        <v>0.2</v>
      </c>
      <c r="J115" s="204">
        <f>WR_Raw!G112</f>
        <v>0</v>
      </c>
      <c r="K115" s="204">
        <f>WR_Raw!H112</f>
        <v>0</v>
      </c>
      <c r="L115" s="206">
        <f>WR_Raw!C112</f>
        <v>19.8</v>
      </c>
      <c r="M115" s="204">
        <f>WR_Raw!D112</f>
        <v>258</v>
      </c>
      <c r="N115" s="207">
        <f>WR_Raw!E112</f>
        <v>2</v>
      </c>
      <c r="O115" s="204">
        <f>WR_Raw!I112</f>
        <v>0.1</v>
      </c>
      <c r="P115" s="208">
        <f>(J115*WRRushingYd)+(K115*WRRushingTD)+(L115*WRRec)+(M115*WRRecYd)+(N115*WRRecTD)+(O115*WRFuml)+(I115*WRRushAtt)</f>
        <v>47.5</v>
      </c>
      <c r="Q115" t="str">
        <f ca="1">IF(A115&lt;=WRStarters,"Starter",IF(A115&gt;WRStarters+WRBench,"Undrafted","Bench"))</f>
        <v>Undrafted</v>
      </c>
      <c r="R115">
        <f ca="1">IFERROR(MAX(P115-LARGE(WRSheetCount,WRStarters),0),0)</f>
        <v>0</v>
      </c>
      <c r="S115">
        <f ca="1">IFERROR(IF(AllowNegative="Yes",P115-LARGE(WRSheetCount,WRCount),MAX(P115-LARGE(WRSheetCount,WRCount),0)),0)</f>
        <v>-76.109999999999985</v>
      </c>
      <c r="T115" s="85">
        <f ca="1">(S115-R115)*BenchPF+R115*StarterPF</f>
        <v>-13.800029434562058</v>
      </c>
      <c r="U115" s="85">
        <f ca="1">T115*Auction!$A$2</f>
        <v>-13.800029434562058</v>
      </c>
      <c r="V115" s="6" t="str">
        <f>IF(OR(INDEX(Auction!$H$13:$H$656,MATCH(B115,Auction!$A$13:$A$656,0))&gt;0,IFERROR(INDEX(CheatSheet!$V$5:$V$64,MATCH(B115,CheatSheet!$S$5:$S$64,0)),"")&lt;&gt;""),"Yes","No")</f>
        <v>No</v>
      </c>
      <c r="W115" s="179"/>
      <c r="Y115" s="114">
        <f ca="1">IFERROR(SUMIFS($Z$3:$Z257,$Z$3:$Z$195,"&gt;0",$V$3:$V$195,"No")/SUMIF($Z$3:$Z$195,"&gt;0"),0)</f>
        <v>0</v>
      </c>
      <c r="Z115">
        <f t="shared" ca="1" si="4"/>
        <v>-38.054999999999993</v>
      </c>
      <c r="AA115" s="116" t="str">
        <f t="shared" ca="1" si="3"/>
        <v>WR11</v>
      </c>
      <c r="AB115">
        <f ca="1">Z115*LeagueInfo!$H$5</f>
        <v>-14.012929526116782</v>
      </c>
    </row>
    <row r="116" spans="1:28" ht="15.75" thickBot="1" x14ac:dyDescent="0.3">
      <c r="A116">
        <f>RANK(P116,P$3:P$213)</f>
        <v>114</v>
      </c>
      <c r="B116" t="str">
        <f>WR_Raw!A115</f>
        <v>Terrace Marshall Jr.</v>
      </c>
      <c r="C116" t="s">
        <v>35</v>
      </c>
      <c r="D116" t="str">
        <f>_xlfn.IFNA(INDEX(BYEs!$E$2:$E$411,MATCH(B116,BYEs!$D$2:$D$411,0)),"N/A")</f>
        <v>N/A</v>
      </c>
      <c r="E116">
        <f>INDEX(BYEs!$B$2:$B$34,MATCH(F116,BYEs!$A$2:$A$34,0))</f>
        <v>13</v>
      </c>
      <c r="F116" t="str">
        <f>WR_Raw!B115</f>
        <v>CAR</v>
      </c>
      <c r="G116" s="206">
        <v>0</v>
      </c>
      <c r="H116" s="207">
        <v>0</v>
      </c>
      <c r="I116" s="204">
        <f>WR_Raw!F115</f>
        <v>0</v>
      </c>
      <c r="J116" s="204">
        <f>WR_Raw!G115</f>
        <v>0</v>
      </c>
      <c r="K116" s="204">
        <f>WR_Raw!H115</f>
        <v>0</v>
      </c>
      <c r="L116" s="206">
        <f>WR_Raw!C115</f>
        <v>20.5</v>
      </c>
      <c r="M116" s="204">
        <f>WR_Raw!D115</f>
        <v>259.60000000000002</v>
      </c>
      <c r="N116" s="207">
        <f>WR_Raw!E115</f>
        <v>1.8</v>
      </c>
      <c r="O116" s="204">
        <f>WR_Raw!I115</f>
        <v>0.1</v>
      </c>
      <c r="P116" s="208">
        <f>(J116*WRRushingYd)+(K116*WRRushingTD)+(L116*WRRec)+(M116*WRRecYd)+(N116*WRRecTD)+(O116*WRFuml)+(I116*WRRushAtt)</f>
        <v>46.81</v>
      </c>
      <c r="Q116" t="str">
        <f ca="1">IF(A116&lt;=WRStarters,"Starter",IF(A116&gt;WRStarters+WRBench,"Undrafted","Bench"))</f>
        <v>Undrafted</v>
      </c>
      <c r="R116">
        <f ca="1">IFERROR(MAX(P116-LARGE(WRSheetCount,WRStarters),0),0)</f>
        <v>0</v>
      </c>
      <c r="S116">
        <f ca="1">IFERROR(IF(AllowNegative="Yes",P116-LARGE(WRSheetCount,WRCount),MAX(P116-LARGE(WRSheetCount,WRCount),0)),0)</f>
        <v>-76.799999999999983</v>
      </c>
      <c r="T116" s="85">
        <f ca="1">(S116-R116)*BenchPF+R116*StarterPF</f>
        <v>-13.925138097153672</v>
      </c>
      <c r="U116" s="85">
        <f ca="1">T116*Auction!$A$2</f>
        <v>-13.925138097153672</v>
      </c>
      <c r="V116" s="6" t="str">
        <f>IF(OR(INDEX(Auction!$H$13:$H$656,MATCH(B116,Auction!$A$13:$A$656,0))&gt;0,IFERROR(INDEX(CheatSheet!$V$5:$V$64,MATCH(B116,CheatSheet!$S$5:$S$64,0)),"")&lt;&gt;""),"Yes","No")</f>
        <v>No</v>
      </c>
      <c r="W116" s="179"/>
      <c r="Y116" s="114">
        <f ca="1">IFERROR(SUMIFS($Z$3:$Z258,$Z$3:$Z$195,"&gt;0",$V$3:$V$195,"No")/SUMIF($Z$3:$Z$195,"&gt;0"),0)</f>
        <v>0</v>
      </c>
      <c r="Z116">
        <f t="shared" ca="1" si="4"/>
        <v>-38.399999999999991</v>
      </c>
      <c r="AA116" s="116" t="str">
        <f t="shared" ca="1" si="3"/>
        <v>WR11</v>
      </c>
      <c r="AB116">
        <f ca="1">Z116*LeagueInfo!$H$5</f>
        <v>-14.139968303846652</v>
      </c>
    </row>
    <row r="117" spans="1:28" ht="15.75" thickBot="1" x14ac:dyDescent="0.3">
      <c r="A117">
        <f>RANK(P117,P$3:P$213)</f>
        <v>115</v>
      </c>
      <c r="B117" t="str">
        <f>WR_Raw!A116</f>
        <v>Marquez Callaway</v>
      </c>
      <c r="C117" t="s">
        <v>35</v>
      </c>
      <c r="D117" t="str">
        <f>_xlfn.IFNA(INDEX(BYEs!$E$2:$E$411,MATCH(B117,BYEs!$D$2:$D$411,0)),"N/A")</f>
        <v>N/A</v>
      </c>
      <c r="E117">
        <f>INDEX(BYEs!$B$2:$B$34,MATCH(F117,BYEs!$A$2:$A$34,0))</f>
        <v>14</v>
      </c>
      <c r="F117" t="str">
        <f>WR_Raw!B116</f>
        <v>NO</v>
      </c>
      <c r="G117" s="206">
        <v>0</v>
      </c>
      <c r="H117" s="207">
        <v>0</v>
      </c>
      <c r="I117" s="204">
        <f>WR_Raw!F116</f>
        <v>0</v>
      </c>
      <c r="J117" s="204">
        <f>WR_Raw!G116</f>
        <v>0</v>
      </c>
      <c r="K117" s="204">
        <f>WR_Raw!H116</f>
        <v>0</v>
      </c>
      <c r="L117" s="206">
        <f>WR_Raw!C116</f>
        <v>17.3</v>
      </c>
      <c r="M117" s="204">
        <f>WR_Raw!D116</f>
        <v>255.2</v>
      </c>
      <c r="N117" s="207">
        <f>WR_Raw!E116</f>
        <v>1.7</v>
      </c>
      <c r="O117" s="204">
        <f>WR_Raw!I116</f>
        <v>0</v>
      </c>
      <c r="P117" s="208">
        <f>(J117*WRRushingYd)+(K117*WRRushingTD)+(L117*WRRec)+(M117*WRRecYd)+(N117*WRRecTD)+(O117*WRFuml)+(I117*WRRushAtt)</f>
        <v>44.370000000000005</v>
      </c>
      <c r="Q117" t="str">
        <f ca="1">IF(A117&lt;=WRStarters,"Starter",IF(A117&gt;WRStarters+WRBench,"Undrafted","Bench"))</f>
        <v>Undrafted</v>
      </c>
      <c r="R117">
        <f ca="1">IFERROR(MAX(P117-LARGE(WRSheetCount,WRStarters),0),0)</f>
        <v>0</v>
      </c>
      <c r="S117">
        <f ca="1">IFERROR(IF(AllowNegative="Yes",P117-LARGE(WRSheetCount,WRCount),MAX(P117-LARGE(WRSheetCount,WRCount),0)),0)</f>
        <v>-79.239999999999981</v>
      </c>
      <c r="T117" s="85">
        <f ca="1">(S117-R117)*BenchPF+R117*StarterPF</f>
        <v>-14.367551338781992</v>
      </c>
      <c r="U117" s="85">
        <f ca="1">T117*Auction!$A$2</f>
        <v>-14.367551338781992</v>
      </c>
      <c r="V117" s="6" t="str">
        <f>IF(OR(INDEX(Auction!$H$13:$H$656,MATCH(B117,Auction!$A$13:$A$656,0))&gt;0,IFERROR(INDEX(CheatSheet!$V$5:$V$64,MATCH(B117,CheatSheet!$S$5:$S$64,0)),"")&lt;&gt;""),"Yes","No")</f>
        <v>No</v>
      </c>
      <c r="W117" s="179"/>
      <c r="Y117" s="114">
        <f ca="1">IFERROR(SUMIFS($Z$3:$Z259,$Z$3:$Z$195,"&gt;0",$V$3:$V$195,"No")/SUMIF($Z$3:$Z$195,"&gt;0"),0)</f>
        <v>0</v>
      </c>
      <c r="Z117">
        <f t="shared" ca="1" si="4"/>
        <v>-39.61999999999999</v>
      </c>
      <c r="AA117" s="116" t="str">
        <f t="shared" ca="1" si="3"/>
        <v>WR11</v>
      </c>
      <c r="AB117">
        <f ca="1">Z117*LeagueInfo!$H$5</f>
        <v>-14.589206880166781</v>
      </c>
    </row>
    <row r="118" spans="1:28" ht="15.75" thickBot="1" x14ac:dyDescent="0.3">
      <c r="A118">
        <f>RANK(P118,P$3:P$213)</f>
        <v>116</v>
      </c>
      <c r="B118" t="str">
        <f>WR_Raw!A117</f>
        <v>Jamal Agnew</v>
      </c>
      <c r="C118" t="s">
        <v>35</v>
      </c>
      <c r="D118" t="str">
        <f>_xlfn.IFNA(INDEX(BYEs!$E$2:$E$411,MATCH(B118,BYEs!$D$2:$D$411,0)),"N/A")</f>
        <v>N/A</v>
      </c>
      <c r="E118">
        <f>INDEX(BYEs!$B$2:$B$34,MATCH(F118,BYEs!$A$2:$A$34,0))</f>
        <v>11</v>
      </c>
      <c r="F118" t="str">
        <f>WR_Raw!B117</f>
        <v>JAC</v>
      </c>
      <c r="G118" s="206">
        <v>0</v>
      </c>
      <c r="H118" s="207">
        <v>0</v>
      </c>
      <c r="I118" s="204">
        <f>WR_Raw!F117</f>
        <v>8.3000000000000007</v>
      </c>
      <c r="J118" s="204">
        <f>WR_Raw!G117</f>
        <v>57.7</v>
      </c>
      <c r="K118" s="204">
        <f>WR_Raw!H117</f>
        <v>0.4</v>
      </c>
      <c r="L118" s="206">
        <f>WR_Raw!C117</f>
        <v>16.3</v>
      </c>
      <c r="M118" s="204">
        <f>WR_Raw!D117</f>
        <v>188.1</v>
      </c>
      <c r="N118" s="207">
        <f>WR_Raw!E117</f>
        <v>0.9</v>
      </c>
      <c r="O118" s="204">
        <f>WR_Raw!I117</f>
        <v>0.1</v>
      </c>
      <c r="P118" s="208">
        <f>(J118*WRRushingYd)+(K118*WRRushingTD)+(L118*WRRec)+(M118*WRRecYd)+(N118*WRRecTD)+(O118*WRFuml)+(I118*WRRushAtt)</f>
        <v>40.329999999999991</v>
      </c>
      <c r="Q118" t="str">
        <f ca="1">IF(A118&lt;=WRStarters,"Starter",IF(A118&gt;WRStarters+WRBench,"Undrafted","Bench"))</f>
        <v>Undrafted</v>
      </c>
      <c r="R118">
        <f ca="1">IFERROR(MAX(P118-LARGE(WRSheetCount,WRStarters),0),0)</f>
        <v>0</v>
      </c>
      <c r="S118">
        <f ca="1">IFERROR(IF(AllowNegative="Yes",P118-LARGE(WRSheetCount,WRCount),MAX(P118-LARGE(WRSheetCount,WRCount),0)),0)</f>
        <v>-83.28</v>
      </c>
      <c r="T118" s="85">
        <f ca="1">(S118-R118)*BenchPF+R118*StarterPF</f>
        <v>-15.100071624101018</v>
      </c>
      <c r="U118" s="85">
        <f ca="1">T118*Auction!$A$2</f>
        <v>-15.100071624101018</v>
      </c>
      <c r="V118" s="6" t="str">
        <f>IF(OR(INDEX(Auction!$H$13:$H$656,MATCH(B118,Auction!$A$13:$A$656,0))&gt;0,IFERROR(INDEX(CheatSheet!$V$5:$V$64,MATCH(B118,CheatSheet!$S$5:$S$64,0)),"")&lt;&gt;""),"Yes","No")</f>
        <v>No</v>
      </c>
      <c r="W118" s="179"/>
      <c r="Y118" s="114">
        <f ca="1">IFERROR(SUMIFS($Z$3:$Z260,$Z$3:$Z$195,"&gt;0",$V$3:$V$195,"No")/SUMIF($Z$3:$Z$195,"&gt;0"),0)</f>
        <v>0</v>
      </c>
      <c r="Z118">
        <f t="shared" ca="1" si="4"/>
        <v>-41.64</v>
      </c>
      <c r="AA118" s="116" t="str">
        <f t="shared" ca="1" si="3"/>
        <v>WR11</v>
      </c>
      <c r="AB118">
        <f ca="1">Z118*LeagueInfo!$H$5</f>
        <v>-15.333028129483719</v>
      </c>
    </row>
    <row r="119" spans="1:28" ht="15.75" thickBot="1" x14ac:dyDescent="0.3">
      <c r="A119">
        <f>RANK(P119,P$3:P$213)</f>
        <v>117</v>
      </c>
      <c r="B119" t="str">
        <f>WR_Raw!A119</f>
        <v>Noah Brown</v>
      </c>
      <c r="C119" t="s">
        <v>35</v>
      </c>
      <c r="D119" t="str">
        <f>_xlfn.IFNA(INDEX(BYEs!$E$2:$E$411,MATCH(B119,BYEs!$D$2:$D$411,0)),"N/A")</f>
        <v>N/A</v>
      </c>
      <c r="E119">
        <f>INDEX(BYEs!$B$2:$B$34,MATCH(F119,BYEs!$A$2:$A$34,0))</f>
        <v>9</v>
      </c>
      <c r="F119" t="str">
        <f>WR_Raw!B119</f>
        <v>DAL</v>
      </c>
      <c r="G119" s="206">
        <v>0</v>
      </c>
      <c r="H119" s="207">
        <v>0</v>
      </c>
      <c r="I119" s="204">
        <f>WR_Raw!F119</f>
        <v>0</v>
      </c>
      <c r="J119" s="204">
        <f>WR_Raw!G119</f>
        <v>0</v>
      </c>
      <c r="K119" s="204">
        <f>WR_Raw!H119</f>
        <v>0</v>
      </c>
      <c r="L119" s="206">
        <f>WR_Raw!C119</f>
        <v>17.399999999999999</v>
      </c>
      <c r="M119" s="204">
        <f>WR_Raw!D119</f>
        <v>213.6</v>
      </c>
      <c r="N119" s="207">
        <f>WR_Raw!E119</f>
        <v>1.5</v>
      </c>
      <c r="O119" s="204">
        <f>WR_Raw!I119</f>
        <v>0.1</v>
      </c>
      <c r="P119" s="208">
        <f>(J119*WRRushingYd)+(K119*WRRushingTD)+(L119*WRRec)+(M119*WRRecYd)+(N119*WRRecTD)+(O119*WRFuml)+(I119*WRRushAtt)</f>
        <v>38.86</v>
      </c>
      <c r="Q119" t="str">
        <f ca="1">IF(A119&lt;=WRStarters,"Starter",IF(A119&gt;WRStarters+WRBench,"Undrafted","Bench"))</f>
        <v>Undrafted</v>
      </c>
      <c r="R119">
        <f ca="1">IFERROR(MAX(P119-LARGE(WRSheetCount,WRStarters),0),0)</f>
        <v>0</v>
      </c>
      <c r="S119">
        <f ca="1">IFERROR(IF(AllowNegative="Yes",P119-LARGE(WRSheetCount,WRCount),MAX(P119-LARGE(WRSheetCount,WRCount),0)),0)</f>
        <v>-84.749999999999986</v>
      </c>
      <c r="T119" s="85">
        <f ca="1">(S119-R119)*BenchPF+R119*StarterPF</f>
        <v>-15.366607470491846</v>
      </c>
      <c r="U119" s="85">
        <f ca="1">T119*Auction!$A$2</f>
        <v>-15.366607470491846</v>
      </c>
      <c r="V119" s="6" t="str">
        <f>IF(OR(INDEX(Auction!$H$13:$H$656,MATCH(B119,Auction!$A$13:$A$656,0))&gt;0,IFERROR(INDEX(CheatSheet!$V$5:$V$64,MATCH(B119,CheatSheet!$S$5:$S$64,0)),"")&lt;&gt;""),"Yes","No")</f>
        <v>No</v>
      </c>
      <c r="W119" s="179"/>
      <c r="Y119" s="114">
        <f ca="1">IFERROR(SUMIFS($Z$3:$Z261,$Z$3:$Z$195,"&gt;0",$V$3:$V$195,"No")/SUMIF($Z$3:$Z$195,"&gt;0"),0)</f>
        <v>0</v>
      </c>
      <c r="Z119">
        <f t="shared" ca="1" si="4"/>
        <v>-42.374999999999993</v>
      </c>
      <c r="AA119" s="116" t="str">
        <f t="shared" ca="1" si="3"/>
        <v>WR11</v>
      </c>
      <c r="AB119">
        <f ca="1">Z119*LeagueInfo!$H$5</f>
        <v>-15.60367596029953</v>
      </c>
    </row>
    <row r="120" spans="1:28" ht="15.75" thickBot="1" x14ac:dyDescent="0.3">
      <c r="A120">
        <f>RANK(P120,P$3:P$213)</f>
        <v>118</v>
      </c>
      <c r="B120" t="str">
        <f>WR_Raw!A122</f>
        <v>Tyler Johnson</v>
      </c>
      <c r="C120" t="s">
        <v>35</v>
      </c>
      <c r="D120" t="str">
        <f>_xlfn.IFNA(INDEX(BYEs!$E$2:$E$411,MATCH(B120,BYEs!$D$2:$D$411,0)),"N/A")</f>
        <v>N/A</v>
      </c>
      <c r="E120">
        <f>INDEX(BYEs!$B$2:$B$34,MATCH(F120,BYEs!$A$2:$A$34,0))</f>
        <v>6</v>
      </c>
      <c r="F120" t="str">
        <f>WR_Raw!B122</f>
        <v>HOU</v>
      </c>
      <c r="G120" s="206">
        <v>0</v>
      </c>
      <c r="H120" s="207">
        <v>0</v>
      </c>
      <c r="I120" s="204">
        <f>WR_Raw!F122</f>
        <v>0</v>
      </c>
      <c r="J120" s="204">
        <f>WR_Raw!G122</f>
        <v>0</v>
      </c>
      <c r="K120" s="204">
        <f>WR_Raw!H122</f>
        <v>0</v>
      </c>
      <c r="L120" s="206">
        <f>WR_Raw!C122</f>
        <v>19.899999999999999</v>
      </c>
      <c r="M120" s="204">
        <f>WR_Raw!D122</f>
        <v>216.5</v>
      </c>
      <c r="N120" s="207">
        <f>WR_Raw!E122</f>
        <v>1.2</v>
      </c>
      <c r="O120" s="204">
        <f>WR_Raw!I122</f>
        <v>0.1</v>
      </c>
      <c r="P120" s="208">
        <f>(J120*WRRushingYd)+(K120*WRRushingTD)+(L120*WRRec)+(M120*WRRecYd)+(N120*WRRecTD)+(O120*WRFuml)+(I120*WRRushAtt)</f>
        <v>38.599999999999994</v>
      </c>
      <c r="Q120" t="str">
        <f ca="1">IF(A120&lt;=WRStarters,"Starter",IF(A120&gt;WRStarters+WRBench,"Undrafted","Bench"))</f>
        <v>Undrafted</v>
      </c>
      <c r="R120">
        <f ca="1">IFERROR(MAX(P120-LARGE(WRSheetCount,WRStarters),0),0)</f>
        <v>0</v>
      </c>
      <c r="S120">
        <f ca="1">IFERROR(IF(AllowNegative="Yes",P120-LARGE(WRSheetCount,WRCount),MAX(P120-LARGE(WRSheetCount,WRCount),0)),0)</f>
        <v>-85.009999999999991</v>
      </c>
      <c r="T120" s="85">
        <f ca="1">(S120-R120)*BenchPF+R120*StarterPF</f>
        <v>-15.413749865091587</v>
      </c>
      <c r="U120" s="85">
        <f ca="1">T120*Auction!$A$2</f>
        <v>-15.413749865091587</v>
      </c>
      <c r="V120" s="6" t="str">
        <f>IF(OR(INDEX(Auction!$H$13:$H$656,MATCH(B120,Auction!$A$13:$A$656,0))&gt;0,IFERROR(INDEX(CheatSheet!$V$5:$V$64,MATCH(B120,CheatSheet!$S$5:$S$64,0)),"")&lt;&gt;""),"Yes","No")</f>
        <v>No</v>
      </c>
      <c r="W120" s="179"/>
      <c r="Y120" s="114">
        <f ca="1">IFERROR(SUMIFS($Z$3:$Z262,$Z$3:$Z$195,"&gt;0",$V$3:$V$195,"No")/SUMIF($Z$3:$Z$195,"&gt;0"),0)</f>
        <v>0</v>
      </c>
      <c r="Z120">
        <f t="shared" ca="1" si="4"/>
        <v>-42.504999999999995</v>
      </c>
      <c r="AA120" s="116" t="str">
        <f t="shared" ca="1" si="3"/>
        <v>WR11</v>
      </c>
      <c r="AB120">
        <f ca="1">Z120*LeagueInfo!$H$5</f>
        <v>-15.651545644661512</v>
      </c>
    </row>
    <row r="121" spans="1:28" ht="15.75" thickBot="1" x14ac:dyDescent="0.3">
      <c r="A121">
        <f>RANK(P121,P$3:P$213)</f>
        <v>119</v>
      </c>
      <c r="B121" t="str">
        <f>WR_Raw!A121</f>
        <v>Rashard Higgins</v>
      </c>
      <c r="C121" t="s">
        <v>35</v>
      </c>
      <c r="D121">
        <f>_xlfn.IFNA(INDEX(BYEs!$E$2:$E$411,MATCH(B121,BYEs!$D$2:$D$411,0)),"N/A")</f>
        <v>26</v>
      </c>
      <c r="E121">
        <f>INDEX(BYEs!$B$2:$B$34,MATCH(F121,BYEs!$A$2:$A$34,0))</f>
        <v>13</v>
      </c>
      <c r="F121" t="str">
        <f>WR_Raw!B121</f>
        <v>CAR</v>
      </c>
      <c r="G121" s="206">
        <v>0</v>
      </c>
      <c r="H121" s="207">
        <v>0</v>
      </c>
      <c r="I121" s="204">
        <f>WR_Raw!F121</f>
        <v>0.3</v>
      </c>
      <c r="J121" s="204">
        <f>WR_Raw!G121</f>
        <v>2.7</v>
      </c>
      <c r="K121" s="204">
        <f>WR_Raw!H121</f>
        <v>0</v>
      </c>
      <c r="L121" s="206">
        <f>WR_Raw!C121</f>
        <v>17.2</v>
      </c>
      <c r="M121" s="204">
        <f>WR_Raw!D121</f>
        <v>223</v>
      </c>
      <c r="N121" s="207">
        <f>WR_Raw!E121</f>
        <v>1.2</v>
      </c>
      <c r="O121" s="204">
        <f>WR_Raw!I121</f>
        <v>0.2</v>
      </c>
      <c r="P121" s="208">
        <f>(J121*WRRushingYd)+(K121*WRRushingTD)+(L121*WRRec)+(M121*WRRecYd)+(N121*WRRecTD)+(O121*WRFuml)+(I121*WRRushAtt)</f>
        <v>37.970000000000006</v>
      </c>
      <c r="Q121" t="str">
        <f ca="1">IF(A121&lt;=WRStarters,"Starter",IF(A121&gt;WRStarters+WRBench,"Undrafted","Bench"))</f>
        <v>Undrafted</v>
      </c>
      <c r="R121">
        <f ca="1">IFERROR(MAX(P121-LARGE(WRSheetCount,WRStarters),0),0)</f>
        <v>0</v>
      </c>
      <c r="S121">
        <f ca="1">IFERROR(IF(AllowNegative="Yes",P121-LARGE(WRSheetCount,WRCount),MAX(P121-LARGE(WRSheetCount,WRCount),0)),0)</f>
        <v>-85.639999999999986</v>
      </c>
      <c r="T121" s="85">
        <f ca="1">(S121-R121)*BenchPF+R121*StarterPF</f>
        <v>-15.5279795135448</v>
      </c>
      <c r="U121" s="85">
        <f ca="1">T121*Auction!$A$2</f>
        <v>-15.5279795135448</v>
      </c>
      <c r="V121" s="6" t="str">
        <f>IF(OR(INDEX(Auction!$H$13:$H$656,MATCH(B121,Auction!$A$13:$A$656,0))&gt;0,IFERROR(INDEX(CheatSheet!$V$5:$V$64,MATCH(B121,CheatSheet!$S$5:$S$64,0)),"")&lt;&gt;""),"Yes","No")</f>
        <v>No</v>
      </c>
      <c r="W121" s="179"/>
      <c r="Y121" s="114">
        <f ca="1">IFERROR(SUMIFS($Z$3:$Z263,$Z$3:$Z$195,"&gt;0",$V$3:$V$195,"No")/SUMIF($Z$3:$Z$195,"&gt;0"),0)</f>
        <v>0</v>
      </c>
      <c r="Z121">
        <f t="shared" ca="1" si="4"/>
        <v>-42.819999999999993</v>
      </c>
      <c r="AA121" s="116" t="str">
        <f t="shared" ca="1" si="3"/>
        <v>WR11</v>
      </c>
      <c r="AB121">
        <f ca="1">Z121*LeagueInfo!$H$5</f>
        <v>-15.767537572154003</v>
      </c>
    </row>
    <row r="122" spans="1:28" ht="15.75" thickBot="1" x14ac:dyDescent="0.3">
      <c r="A122">
        <f>RANK(P122,P$3:P$213)</f>
        <v>120</v>
      </c>
      <c r="B122" t="str">
        <f>WR_Raw!A125</f>
        <v>Chris Moore</v>
      </c>
      <c r="C122" t="s">
        <v>35</v>
      </c>
      <c r="D122">
        <f>_xlfn.IFNA(INDEX(BYEs!$E$2:$E$411,MATCH(B122,BYEs!$D$2:$D$411,0)),"N/A")</f>
        <v>28</v>
      </c>
      <c r="E122">
        <f>INDEX(BYEs!$B$2:$B$34,MATCH(F122,BYEs!$A$2:$A$34,0))</f>
        <v>6</v>
      </c>
      <c r="F122" t="str">
        <f>WR_Raw!B125</f>
        <v>HOU</v>
      </c>
      <c r="G122" s="206">
        <v>0</v>
      </c>
      <c r="H122" s="207">
        <v>0</v>
      </c>
      <c r="I122" s="204">
        <f>WR_Raw!F125</f>
        <v>0</v>
      </c>
      <c r="J122" s="204">
        <f>WR_Raw!G125</f>
        <v>0</v>
      </c>
      <c r="K122" s="204">
        <f>WR_Raw!H125</f>
        <v>0</v>
      </c>
      <c r="L122" s="206">
        <f>WR_Raw!C125</f>
        <v>19.8</v>
      </c>
      <c r="M122" s="204">
        <f>WR_Raw!D125</f>
        <v>216.3</v>
      </c>
      <c r="N122" s="207">
        <f>WR_Raw!E125</f>
        <v>1.1000000000000001</v>
      </c>
      <c r="O122" s="204">
        <f>WR_Raw!I125</f>
        <v>0.1</v>
      </c>
      <c r="P122" s="208">
        <f>(J122*WRRushingYd)+(K122*WRRushingTD)+(L122*WRRec)+(M122*WRRecYd)+(N122*WRRecTD)+(O122*WRFuml)+(I122*WRRushAtt)</f>
        <v>37.93</v>
      </c>
      <c r="Q122" t="str">
        <f ca="1">IF(A122&lt;=WRStarters,"Starter",IF(A122&gt;WRStarters+WRBench,"Undrafted","Bench"))</f>
        <v>Undrafted</v>
      </c>
      <c r="R122">
        <f ca="1">IFERROR(MAX(P122-LARGE(WRSheetCount,WRStarters),0),0)</f>
        <v>0</v>
      </c>
      <c r="S122">
        <f ca="1">IFERROR(IF(AllowNegative="Yes",P122-LARGE(WRSheetCount,WRCount),MAX(P122-LARGE(WRSheetCount,WRCount),0)),0)</f>
        <v>-85.679999999999978</v>
      </c>
      <c r="T122" s="85">
        <f ca="1">(S122-R122)*BenchPF+R122*StarterPF</f>
        <v>-15.535232189637066</v>
      </c>
      <c r="U122" s="85">
        <f ca="1">T122*Auction!$A$2</f>
        <v>-15.535232189637066</v>
      </c>
      <c r="V122" s="6" t="str">
        <f>IF(OR(INDEX(Auction!$H$13:$H$656,MATCH(B122,Auction!$A$13:$A$656,0))&gt;0,IFERROR(INDEX(CheatSheet!$V$5:$V$64,MATCH(B122,CheatSheet!$S$5:$S$64,0)),"")&lt;&gt;""),"Yes","No")</f>
        <v>No</v>
      </c>
      <c r="W122" s="179"/>
      <c r="Y122" s="114">
        <f ca="1">IFERROR(SUMIFS($Z$3:$Z264,$Z$3:$Z$195,"&gt;0",$V$3:$V$195,"No")/SUMIF($Z$3:$Z$195,"&gt;0"),0)</f>
        <v>0</v>
      </c>
      <c r="Z122">
        <f t="shared" ca="1" si="4"/>
        <v>-42.839999999999989</v>
      </c>
      <c r="AA122" s="116" t="str">
        <f t="shared" ca="1" si="3"/>
        <v>WR11</v>
      </c>
      <c r="AB122">
        <f ca="1">Z122*LeagueInfo!$H$5</f>
        <v>-15.774902138978922</v>
      </c>
    </row>
    <row r="123" spans="1:28" ht="15.75" thickBot="1" x14ac:dyDescent="0.3">
      <c r="A123">
        <f>RANK(P123,P$3:P$213)</f>
        <v>121</v>
      </c>
      <c r="B123" t="str">
        <f>WR_Raw!A120</f>
        <v>Darius Slayton</v>
      </c>
      <c r="C123" t="s">
        <v>35</v>
      </c>
      <c r="D123">
        <f>_xlfn.IFNA(INDEX(BYEs!$E$2:$E$411,MATCH(B123,BYEs!$D$2:$D$411,0)),"N/A")</f>
        <v>24</v>
      </c>
      <c r="E123">
        <f>INDEX(BYEs!$B$2:$B$34,MATCH(F123,BYEs!$A$2:$A$34,0))</f>
        <v>9</v>
      </c>
      <c r="F123" t="str">
        <f>WR_Raw!B120</f>
        <v>NYG</v>
      </c>
      <c r="G123" s="206">
        <v>0</v>
      </c>
      <c r="H123" s="207">
        <v>0</v>
      </c>
      <c r="I123" s="204">
        <f>WR_Raw!F120</f>
        <v>0.3</v>
      </c>
      <c r="J123" s="204">
        <f>WR_Raw!G120</f>
        <v>-2.5</v>
      </c>
      <c r="K123" s="204">
        <f>WR_Raw!H120</f>
        <v>0</v>
      </c>
      <c r="L123" s="206">
        <f>WR_Raw!C120</f>
        <v>16.899999999999999</v>
      </c>
      <c r="M123" s="204">
        <f>WR_Raw!D120</f>
        <v>229.2</v>
      </c>
      <c r="N123" s="207">
        <f>WR_Raw!E120</f>
        <v>1.3</v>
      </c>
      <c r="O123" s="204">
        <f>WR_Raw!I120</f>
        <v>0.5</v>
      </c>
      <c r="P123" s="208">
        <f>(J123*WRRushingYd)+(K123*WRRushingTD)+(L123*WRRec)+(M123*WRRecYd)+(N123*WRRecTD)+(O123*WRFuml)+(I123*WRRushAtt)</f>
        <v>37.92</v>
      </c>
      <c r="Q123" t="str">
        <f ca="1">IF(A123&lt;=WRStarters,"Starter",IF(A123&gt;WRStarters+WRBench,"Undrafted","Bench"))</f>
        <v>Undrafted</v>
      </c>
      <c r="R123">
        <f ca="1">IFERROR(MAX(P123-LARGE(WRSheetCount,WRStarters),0),0)</f>
        <v>0</v>
      </c>
      <c r="S123">
        <f ca="1">IFERROR(IF(AllowNegative="Yes",P123-LARGE(WRSheetCount,WRCount),MAX(P123-LARGE(WRSheetCount,WRCount),0)),0)</f>
        <v>-85.689999999999984</v>
      </c>
      <c r="T123" s="85">
        <f ca="1">(S123-R123)*BenchPF+R123*StarterPF</f>
        <v>-15.537045358660134</v>
      </c>
      <c r="U123" s="85">
        <f ca="1">T123*Auction!$A$2</f>
        <v>-15.537045358660134</v>
      </c>
      <c r="V123" s="6" t="str">
        <f>IF(OR(INDEX(Auction!$H$13:$H$656,MATCH(B123,Auction!$A$13:$A$656,0))&gt;0,IFERROR(INDEX(CheatSheet!$V$5:$V$64,MATCH(B123,CheatSheet!$S$5:$S$64,0)),"")&lt;&gt;""),"Yes","No")</f>
        <v>No</v>
      </c>
      <c r="W123" s="179"/>
      <c r="Y123" s="114">
        <f ca="1">IFERROR(SUMIFS($Z$3:$Z265,$Z$3:$Z$195,"&gt;0",$V$3:$V$195,"No")/SUMIF($Z$3:$Z$195,"&gt;0"),0)</f>
        <v>0</v>
      </c>
      <c r="Z123">
        <f t="shared" ca="1" si="4"/>
        <v>-42.844999999999992</v>
      </c>
      <c r="AA123" s="116" t="str">
        <f t="shared" ca="1" si="3"/>
        <v>WR11</v>
      </c>
      <c r="AB123">
        <f ca="1">Z123*LeagueInfo!$H$5</f>
        <v>-15.776743280685153</v>
      </c>
    </row>
    <row r="124" spans="1:28" ht="15.75" thickBot="1" x14ac:dyDescent="0.3">
      <c r="A124">
        <f>RANK(P124,P$3:P$213)</f>
        <v>122</v>
      </c>
      <c r="B124" t="str">
        <f>WR_Raw!A118</f>
        <v>Quintez Cephus</v>
      </c>
      <c r="C124" t="s">
        <v>35</v>
      </c>
      <c r="D124" t="str">
        <f>_xlfn.IFNA(INDEX(BYEs!$E$2:$E$411,MATCH(B124,BYEs!$D$2:$D$411,0)),"N/A")</f>
        <v>N/A</v>
      </c>
      <c r="E124">
        <f>INDEX(BYEs!$B$2:$B$34,MATCH(F124,BYEs!$A$2:$A$34,0))</f>
        <v>6</v>
      </c>
      <c r="F124" t="str">
        <f>WR_Raw!B118</f>
        <v>DET</v>
      </c>
      <c r="G124" s="206">
        <v>0</v>
      </c>
      <c r="H124" s="207">
        <v>0</v>
      </c>
      <c r="I124" s="204">
        <f>WR_Raw!F118</f>
        <v>0</v>
      </c>
      <c r="J124" s="204">
        <f>WR_Raw!G118</f>
        <v>0</v>
      </c>
      <c r="K124" s="204">
        <f>WR_Raw!H118</f>
        <v>0</v>
      </c>
      <c r="L124" s="206">
        <f>WR_Raw!C118</f>
        <v>14.6</v>
      </c>
      <c r="M124" s="204">
        <f>WR_Raw!D118</f>
        <v>201.4</v>
      </c>
      <c r="N124" s="207">
        <f>WR_Raw!E118</f>
        <v>1.7</v>
      </c>
      <c r="O124" s="204">
        <f>WR_Raw!I118</f>
        <v>0</v>
      </c>
      <c r="P124" s="208">
        <f>(J124*WRRushingYd)+(K124*WRRushingTD)+(L124*WRRec)+(M124*WRRecYd)+(N124*WRRecTD)+(O124*WRFuml)+(I124*WRRushAtt)</f>
        <v>37.64</v>
      </c>
      <c r="Q124" t="str">
        <f ca="1">IF(A124&lt;=WRStarters,"Starter",IF(A124&gt;WRStarters+WRBench,"Undrafted","Bench"))</f>
        <v>Undrafted</v>
      </c>
      <c r="R124">
        <f ca="1">IFERROR(MAX(P124-LARGE(WRSheetCount,WRStarters),0),0)</f>
        <v>0</v>
      </c>
      <c r="S124">
        <f ca="1">IFERROR(IF(AllowNegative="Yes",P124-LARGE(WRSheetCount,WRCount),MAX(P124-LARGE(WRSheetCount,WRCount),0)),0)</f>
        <v>-85.969999999999985</v>
      </c>
      <c r="T124" s="85">
        <f ca="1">(S124-R124)*BenchPF+R124*StarterPF</f>
        <v>-15.587814091306006</v>
      </c>
      <c r="U124" s="85">
        <f ca="1">T124*Auction!$A$2</f>
        <v>-15.587814091306006</v>
      </c>
      <c r="V124" s="6" t="str">
        <f>IF(OR(INDEX(Auction!$H$13:$H$656,MATCH(B124,Auction!$A$13:$A$656,0))&gt;0,IFERROR(INDEX(CheatSheet!$V$5:$V$64,MATCH(B124,CheatSheet!$S$5:$S$64,0)),"")&lt;&gt;""),"Yes","No")</f>
        <v>No</v>
      </c>
      <c r="W124" s="179"/>
      <c r="Y124" s="114">
        <f ca="1">IFERROR(SUMIFS($Z$3:$Z266,$Z$3:$Z$195,"&gt;0",$V$3:$V$195,"No")/SUMIF($Z$3:$Z$195,"&gt;0"),0)</f>
        <v>0</v>
      </c>
      <c r="Z124">
        <f t="shared" ca="1" si="4"/>
        <v>-42.984999999999992</v>
      </c>
      <c r="AA124" s="116" t="str">
        <f t="shared" ca="1" si="3"/>
        <v>WR11</v>
      </c>
      <c r="AB124">
        <f ca="1">Z124*LeagueInfo!$H$5</f>
        <v>-15.828295248459595</v>
      </c>
    </row>
    <row r="125" spans="1:28" ht="15.75" thickBot="1" x14ac:dyDescent="0.3">
      <c r="A125">
        <f>RANK(P125,P$3:P$213)</f>
        <v>123</v>
      </c>
      <c r="B125" t="str">
        <f>WR_Raw!A123</f>
        <v>Jaylon Moore</v>
      </c>
      <c r="C125" t="s">
        <v>35</v>
      </c>
      <c r="D125" t="str">
        <f>_xlfn.IFNA(INDEX(BYEs!$E$2:$E$411,MATCH(B125,BYEs!$D$2:$D$411,0)),"N/A")</f>
        <v>N/A</v>
      </c>
      <c r="E125">
        <f>INDEX(BYEs!$B$2:$B$34,MATCH(F125,BYEs!$A$2:$A$34,0))</f>
        <v>11</v>
      </c>
      <c r="F125" t="str">
        <f>WR_Raw!B123</f>
        <v>JAC</v>
      </c>
      <c r="G125" s="206">
        <v>0</v>
      </c>
      <c r="H125" s="207">
        <v>0</v>
      </c>
      <c r="I125" s="204">
        <f>WR_Raw!F123</f>
        <v>0</v>
      </c>
      <c r="J125" s="204">
        <f>WR_Raw!G123</f>
        <v>0</v>
      </c>
      <c r="K125" s="204">
        <f>WR_Raw!H123</f>
        <v>0</v>
      </c>
      <c r="L125" s="206">
        <f>WR_Raw!C123</f>
        <v>16.8</v>
      </c>
      <c r="M125" s="204">
        <f>WR_Raw!D123</f>
        <v>202.8</v>
      </c>
      <c r="N125" s="207">
        <f>WR_Raw!E123</f>
        <v>1.3</v>
      </c>
      <c r="O125" s="204">
        <f>WR_Raw!I123</f>
        <v>0</v>
      </c>
      <c r="P125" s="208">
        <f>(J125*WRRushingYd)+(K125*WRRushingTD)+(L125*WRRec)+(M125*WRRecYd)+(N125*WRRecTD)+(O125*WRFuml)+(I125*WRRushAtt)</f>
        <v>36.480000000000004</v>
      </c>
      <c r="Q125" t="str">
        <f ca="1">IF(A125&lt;=WRStarters,"Starter",IF(A125&gt;WRStarters+WRBench,"Undrafted","Bench"))</f>
        <v>Undrafted</v>
      </c>
      <c r="R125">
        <f ca="1">IFERROR(MAX(P125-LARGE(WRSheetCount,WRStarters),0),0)</f>
        <v>0</v>
      </c>
      <c r="S125">
        <f ca="1">IFERROR(IF(AllowNegative="Yes",P125-LARGE(WRSheetCount,WRCount),MAX(P125-LARGE(WRSheetCount,WRCount),0)),0)</f>
        <v>-87.129999999999981</v>
      </c>
      <c r="T125" s="85">
        <f ca="1">(S125-R125)*BenchPF+R125*StarterPF</f>
        <v>-15.798141697981764</v>
      </c>
      <c r="U125" s="85">
        <f ca="1">T125*Auction!$A$2</f>
        <v>-15.798141697981764</v>
      </c>
      <c r="V125" s="6" t="str">
        <f>IF(OR(INDEX(Auction!$H$13:$H$656,MATCH(B125,Auction!$A$13:$A$656,0))&gt;0,IFERROR(INDEX(CheatSheet!$V$5:$V$64,MATCH(B125,CheatSheet!$S$5:$S$64,0)),"")&lt;&gt;""),"Yes","No")</f>
        <v>No</v>
      </c>
      <c r="W125" s="179"/>
      <c r="Y125" s="114">
        <f ca="1">IFERROR(SUMIFS($Z$3:$Z267,$Z$3:$Z$195,"&gt;0",$V$3:$V$195,"No")/SUMIF($Z$3:$Z$195,"&gt;0"),0)</f>
        <v>0</v>
      </c>
      <c r="Z125">
        <f t="shared" ca="1" si="4"/>
        <v>-43.564999999999991</v>
      </c>
      <c r="AA125" s="116" t="str">
        <f t="shared" ca="1" si="3"/>
        <v>WR11</v>
      </c>
      <c r="AB125">
        <f ca="1">Z125*LeagueInfo!$H$5</f>
        <v>-16.041867686382279</v>
      </c>
    </row>
    <row r="126" spans="1:28" ht="15.75" thickBot="1" x14ac:dyDescent="0.3">
      <c r="A126">
        <f>RANK(P126,P$3:P$213)</f>
        <v>124</v>
      </c>
      <c r="B126" t="str">
        <f>WR_Raw!A124</f>
        <v>Ben Skowronek</v>
      </c>
      <c r="C126" t="s">
        <v>35</v>
      </c>
      <c r="D126" t="str">
        <f>_xlfn.IFNA(INDEX(BYEs!$E$2:$E$411,MATCH(B126,BYEs!$D$2:$D$411,0)),"N/A")</f>
        <v>N/A</v>
      </c>
      <c r="E126">
        <f>INDEX(BYEs!$B$2:$B$34,MATCH(F126,BYEs!$A$2:$A$34,0))</f>
        <v>7</v>
      </c>
      <c r="F126" t="str">
        <f>WR_Raw!B124</f>
        <v>LAR</v>
      </c>
      <c r="G126" s="206">
        <v>0</v>
      </c>
      <c r="H126" s="207">
        <v>0</v>
      </c>
      <c r="I126" s="204">
        <f>WR_Raw!F124</f>
        <v>0</v>
      </c>
      <c r="J126" s="204">
        <f>WR_Raw!G124</f>
        <v>0</v>
      </c>
      <c r="K126" s="204">
        <f>WR_Raw!H124</f>
        <v>0</v>
      </c>
      <c r="L126" s="206">
        <f>WR_Raw!C124</f>
        <v>16</v>
      </c>
      <c r="M126" s="204">
        <f>WR_Raw!D124</f>
        <v>195.2</v>
      </c>
      <c r="N126" s="207">
        <f>WR_Raw!E124</f>
        <v>1.4</v>
      </c>
      <c r="O126" s="204">
        <f>WR_Raw!I124</f>
        <v>0</v>
      </c>
      <c r="P126" s="208">
        <f>(J126*WRRushingYd)+(K126*WRRushingTD)+(L126*WRRec)+(M126*WRRecYd)+(N126*WRRecTD)+(O126*WRFuml)+(I126*WRRushAtt)</f>
        <v>35.92</v>
      </c>
      <c r="Q126" t="str">
        <f ca="1">IF(A126&lt;=WRStarters,"Starter",IF(A126&gt;WRStarters+WRBench,"Undrafted","Bench"))</f>
        <v>Undrafted</v>
      </c>
      <c r="R126">
        <f ca="1">IFERROR(MAX(P126-LARGE(WRSheetCount,WRStarters),0),0)</f>
        <v>0</v>
      </c>
      <c r="S126">
        <f ca="1">IFERROR(IF(AllowNegative="Yes",P126-LARGE(WRSheetCount,WRCount),MAX(P126-LARGE(WRSheetCount,WRCount),0)),0)</f>
        <v>-87.689999999999984</v>
      </c>
      <c r="T126" s="85">
        <f ca="1">(S126-R126)*BenchPF+R126*StarterPF</f>
        <v>-15.899679163273509</v>
      </c>
      <c r="U126" s="85">
        <f ca="1">T126*Auction!$A$2</f>
        <v>-15.899679163273509</v>
      </c>
      <c r="V126" s="6" t="str">
        <f>IF(OR(INDEX(Auction!$H$13:$H$656,MATCH(B126,Auction!$A$13:$A$656,0))&gt;0,IFERROR(INDEX(CheatSheet!$V$5:$V$64,MATCH(B126,CheatSheet!$S$5:$S$64,0)),"")&lt;&gt;""),"Yes","No")</f>
        <v>No</v>
      </c>
      <c r="W126" s="179"/>
      <c r="Y126" s="114">
        <f ca="1">IFERROR(SUMIFS($Z$3:$Z268,$Z$3:$Z$195,"&gt;0",$V$3:$V$195,"No")/SUMIF($Z$3:$Z$195,"&gt;0"),0)</f>
        <v>0</v>
      </c>
      <c r="Z126">
        <f t="shared" ca="1" si="4"/>
        <v>-43.844999999999992</v>
      </c>
      <c r="AA126" s="116" t="str">
        <f t="shared" ca="1" si="3"/>
        <v>WR11</v>
      </c>
      <c r="AB126">
        <f ca="1">Z126*LeagueInfo!$H$5</f>
        <v>-16.144971621931159</v>
      </c>
    </row>
    <row r="127" spans="1:28" ht="15.75" thickBot="1" x14ac:dyDescent="0.3">
      <c r="A127">
        <f>RANK(P127,P$3:P$213)</f>
        <v>125</v>
      </c>
      <c r="B127" t="str">
        <f>WR_Raw!A126</f>
        <v>Demarcus Robinson</v>
      </c>
      <c r="C127" t="s">
        <v>35</v>
      </c>
      <c r="D127">
        <f>_xlfn.IFNA(INDEX(BYEs!$E$2:$E$411,MATCH(B127,BYEs!$D$2:$D$411,0)),"N/A")</f>
        <v>26</v>
      </c>
      <c r="E127">
        <f>INDEX(BYEs!$B$2:$B$34,MATCH(F127,BYEs!$A$2:$A$34,0))</f>
        <v>10</v>
      </c>
      <c r="F127" t="str">
        <f>WR_Raw!B126</f>
        <v>BAL</v>
      </c>
      <c r="G127" s="206">
        <v>0</v>
      </c>
      <c r="H127" s="207">
        <v>0</v>
      </c>
      <c r="I127" s="204">
        <f>WR_Raw!F126</f>
        <v>0</v>
      </c>
      <c r="J127" s="204">
        <f>WR_Raw!G126</f>
        <v>0</v>
      </c>
      <c r="K127" s="204">
        <f>WR_Raw!H126</f>
        <v>0</v>
      </c>
      <c r="L127" s="206">
        <f>WR_Raw!C126</f>
        <v>16.3</v>
      </c>
      <c r="M127" s="204">
        <f>WR_Raw!D126</f>
        <v>198.1</v>
      </c>
      <c r="N127" s="207">
        <f>WR_Raw!E126</f>
        <v>1.2</v>
      </c>
      <c r="O127" s="204">
        <f>WR_Raw!I126</f>
        <v>0</v>
      </c>
      <c r="P127" s="208">
        <f>(J127*WRRushingYd)+(K127*WRRushingTD)+(L127*WRRec)+(M127*WRRecYd)+(N127*WRRecTD)+(O127*WRFuml)+(I127*WRRushAtt)</f>
        <v>35.159999999999997</v>
      </c>
      <c r="Q127" t="str">
        <f ca="1">IF(A127&lt;=WRStarters,"Starter",IF(A127&gt;WRStarters+WRBench,"Undrafted","Bench"))</f>
        <v>Undrafted</v>
      </c>
      <c r="R127">
        <f ca="1">IFERROR(MAX(P127-LARGE(WRSheetCount,WRStarters),0),0)</f>
        <v>0</v>
      </c>
      <c r="S127">
        <f ca="1">IFERROR(IF(AllowNegative="Yes",P127-LARGE(WRSheetCount,WRCount),MAX(P127-LARGE(WRSheetCount,WRCount),0)),0)</f>
        <v>-88.449999999999989</v>
      </c>
      <c r="T127" s="85">
        <f ca="1">(S127-R127)*BenchPF+R127*StarterPF</f>
        <v>-16.037480009026595</v>
      </c>
      <c r="U127" s="85">
        <f ca="1">T127*Auction!$A$2</f>
        <v>-16.037480009026595</v>
      </c>
      <c r="V127" s="6" t="str">
        <f>IF(OR(INDEX(Auction!$H$13:$H$656,MATCH(B127,Auction!$A$13:$A$656,0))&gt;0,IFERROR(INDEX(CheatSheet!$V$5:$V$64,MATCH(B127,CheatSheet!$S$5:$S$64,0)),"")&lt;&gt;""),"Yes","No")</f>
        <v>No</v>
      </c>
      <c r="W127" s="179"/>
      <c r="Y127" s="114">
        <f ca="1">IFERROR(SUMIFS($Z$3:$Z269,$Z$3:$Z$195,"&gt;0",$V$3:$V$195,"No")/SUMIF($Z$3:$Z$195,"&gt;0"),0)</f>
        <v>0</v>
      </c>
      <c r="Z127">
        <f t="shared" ca="1" si="4"/>
        <v>-44.224999999999994</v>
      </c>
      <c r="AA127" s="116" t="str">
        <f t="shared" ca="1" si="3"/>
        <v>WR11</v>
      </c>
      <c r="AB127">
        <f ca="1">Z127*LeagueInfo!$H$5</f>
        <v>-16.284898391604642</v>
      </c>
    </row>
    <row r="128" spans="1:28" ht="15.75" thickBot="1" x14ac:dyDescent="0.3">
      <c r="A128">
        <f>RANK(P128,P$3:P$213)</f>
        <v>126</v>
      </c>
      <c r="B128" t="str">
        <f>WR_Raw!A127</f>
        <v>Dez Fitzpatrick</v>
      </c>
      <c r="C128" t="s">
        <v>35</v>
      </c>
      <c r="D128" t="str">
        <f>_xlfn.IFNA(INDEX(BYEs!$E$2:$E$411,MATCH(B128,BYEs!$D$2:$D$411,0)),"N/A")</f>
        <v>N/A</v>
      </c>
      <c r="E128">
        <f>INDEX(BYEs!$B$2:$B$34,MATCH(F128,BYEs!$A$2:$A$34,0))</f>
        <v>6</v>
      </c>
      <c r="F128" t="str">
        <f>WR_Raw!B127</f>
        <v>TEN</v>
      </c>
      <c r="G128" s="206">
        <v>0</v>
      </c>
      <c r="H128" s="207">
        <v>0</v>
      </c>
      <c r="I128" s="204">
        <f>WR_Raw!F127</f>
        <v>0</v>
      </c>
      <c r="J128" s="204">
        <f>WR_Raw!G127</f>
        <v>0</v>
      </c>
      <c r="K128" s="204">
        <f>WR_Raw!H127</f>
        <v>0</v>
      </c>
      <c r="L128" s="206">
        <f>WR_Raw!C127</f>
        <v>13.9</v>
      </c>
      <c r="M128" s="204">
        <f>WR_Raw!D127</f>
        <v>207.3</v>
      </c>
      <c r="N128" s="207">
        <f>WR_Raw!E127</f>
        <v>0.9</v>
      </c>
      <c r="O128" s="204">
        <f>WR_Raw!I127</f>
        <v>0</v>
      </c>
      <c r="P128" s="208">
        <f>(J128*WRRushingYd)+(K128*WRRushingTD)+(L128*WRRec)+(M128*WRRecYd)+(N128*WRRecTD)+(O128*WRFuml)+(I128*WRRushAtt)</f>
        <v>33.080000000000005</v>
      </c>
      <c r="Q128" t="str">
        <f ca="1">IF(A128&lt;=WRStarters,"Starter",IF(A128&gt;WRStarters+WRBench,"Undrafted","Bench"))</f>
        <v>Undrafted</v>
      </c>
      <c r="R128">
        <f ca="1">IFERROR(MAX(P128-LARGE(WRSheetCount,WRStarters),0),0)</f>
        <v>0</v>
      </c>
      <c r="S128">
        <f ca="1">IFERROR(IF(AllowNegative="Yes",P128-LARGE(WRSheetCount,WRCount),MAX(P128-LARGE(WRSheetCount,WRCount),0)),0)</f>
        <v>-90.529999999999973</v>
      </c>
      <c r="T128" s="85">
        <f ca="1">(S128-R128)*BenchPF+R128*StarterPF</f>
        <v>-16.414619165824504</v>
      </c>
      <c r="U128" s="85">
        <f ca="1">T128*Auction!$A$2</f>
        <v>-16.414619165824504</v>
      </c>
      <c r="V128" s="6" t="str">
        <f>IF(OR(INDEX(Auction!$H$13:$H$656,MATCH(B128,Auction!$A$13:$A$656,0))&gt;0,IFERROR(INDEX(CheatSheet!$V$5:$V$64,MATCH(B128,CheatSheet!$S$5:$S$64,0)),"")&lt;&gt;""),"Yes","No")</f>
        <v>No</v>
      </c>
      <c r="W128" s="179"/>
      <c r="Y128" s="114">
        <f ca="1">IFERROR(SUMIFS($Z$3:$Z270,$Z$3:$Z$195,"&gt;0",$V$3:$V$195,"No")/SUMIF($Z$3:$Z$195,"&gt;0"),0)</f>
        <v>0</v>
      </c>
      <c r="Z128">
        <f t="shared" ca="1" si="4"/>
        <v>-45.264999999999986</v>
      </c>
      <c r="AA128" s="116" t="str">
        <f t="shared" ca="1" si="3"/>
        <v>WR11</v>
      </c>
      <c r="AB128">
        <f ca="1">Z128*LeagueInfo!$H$5</f>
        <v>-16.667855866500489</v>
      </c>
    </row>
    <row r="129" spans="1:28" ht="15.75" thickBot="1" x14ac:dyDescent="0.3">
      <c r="A129">
        <f>RANK(P129,P$3:P$213)</f>
        <v>127</v>
      </c>
      <c r="B129" t="str">
        <f>WR_Raw!A128</f>
        <v>Marquise Goodwin</v>
      </c>
      <c r="C129" t="s">
        <v>35</v>
      </c>
      <c r="D129">
        <f>_xlfn.IFNA(INDEX(BYEs!$E$2:$E$411,MATCH(B129,BYEs!$D$2:$D$411,0)),"N/A")</f>
        <v>30</v>
      </c>
      <c r="E129">
        <f>INDEX(BYEs!$B$2:$B$34,MATCH(F129,BYEs!$A$2:$A$34,0))</f>
        <v>11</v>
      </c>
      <c r="F129" t="str">
        <f>WR_Raw!B128</f>
        <v>SEA</v>
      </c>
      <c r="G129" s="206">
        <v>0</v>
      </c>
      <c r="H129" s="207">
        <v>0</v>
      </c>
      <c r="I129" s="204">
        <f>WR_Raw!F128</f>
        <v>0.7</v>
      </c>
      <c r="J129" s="204">
        <f>WR_Raw!G128</f>
        <v>3.8</v>
      </c>
      <c r="K129" s="204">
        <f>WR_Raw!H128</f>
        <v>0</v>
      </c>
      <c r="L129" s="206">
        <f>WR_Raw!C128</f>
        <v>15</v>
      </c>
      <c r="M129" s="204">
        <f>WR_Raw!D128</f>
        <v>189.1</v>
      </c>
      <c r="N129" s="207">
        <f>WR_Raw!E128</f>
        <v>1</v>
      </c>
      <c r="O129" s="204">
        <f>WR_Raw!I128</f>
        <v>0.1</v>
      </c>
      <c r="P129" s="208">
        <f>(J129*WRRushingYd)+(K129*WRRushingTD)+(L129*WRRec)+(M129*WRRecYd)+(N129*WRRecTD)+(O129*WRFuml)+(I129*WRRushAtt)</f>
        <v>32.589999999999996</v>
      </c>
      <c r="Q129" t="str">
        <f ca="1">IF(A129&lt;=WRStarters,"Starter",IF(A129&gt;WRStarters+WRBench,"Undrafted","Bench"))</f>
        <v>Undrafted</v>
      </c>
      <c r="R129">
        <f ca="1">IFERROR(MAX(P129-LARGE(WRSheetCount,WRStarters),0),0)</f>
        <v>0</v>
      </c>
      <c r="S129">
        <f ca="1">IFERROR(IF(AllowNegative="Yes",P129-LARGE(WRSheetCount,WRCount),MAX(P129-LARGE(WRSheetCount,WRCount),0)),0)</f>
        <v>-91.019999999999982</v>
      </c>
      <c r="T129" s="85">
        <f ca="1">(S129-R129)*BenchPF+R129*StarterPF</f>
        <v>-16.503464447954784</v>
      </c>
      <c r="U129" s="85">
        <f ca="1">T129*Auction!$A$2</f>
        <v>-16.503464447954784</v>
      </c>
      <c r="V129" s="6" t="str">
        <f>IF(OR(INDEX(Auction!$H$13:$H$656,MATCH(B129,Auction!$A$13:$A$656,0))&gt;0,IFERROR(INDEX(CheatSheet!$V$5:$V$64,MATCH(B129,CheatSheet!$S$5:$S$64,0)),"")&lt;&gt;""),"Yes","No")</f>
        <v>No</v>
      </c>
      <c r="W129" s="179"/>
      <c r="Y129" s="114">
        <f ca="1">IFERROR(SUMIFS($Z$3:$Z271,$Z$3:$Z$195,"&gt;0",$V$3:$V$195,"No")/SUMIF($Z$3:$Z$195,"&gt;0"),0)</f>
        <v>0</v>
      </c>
      <c r="Z129">
        <f t="shared" ca="1" si="4"/>
        <v>-45.509999999999991</v>
      </c>
      <c r="AA129" s="116" t="str">
        <f t="shared" ca="1" si="3"/>
        <v>WR11</v>
      </c>
      <c r="AB129">
        <f ca="1">Z129*LeagueInfo!$H$5</f>
        <v>-16.758071810105761</v>
      </c>
    </row>
    <row r="130" spans="1:28" ht="15.75" thickBot="1" x14ac:dyDescent="0.3">
      <c r="A130">
        <f>RANK(P130,P$3:P$213)</f>
        <v>128</v>
      </c>
      <c r="B130" t="str">
        <f>WR_Raw!A132</f>
        <v>Kyle Philips</v>
      </c>
      <c r="C130" t="s">
        <v>35</v>
      </c>
      <c r="D130" t="str">
        <f>_xlfn.IFNA(INDEX(BYEs!$E$2:$E$411,MATCH(B130,BYEs!$D$2:$D$411,0)),"N/A")</f>
        <v>N/A</v>
      </c>
      <c r="E130">
        <f>INDEX(BYEs!$B$2:$B$34,MATCH(F130,BYEs!$A$2:$A$34,0))</f>
        <v>6</v>
      </c>
      <c r="F130" t="str">
        <f>WR_Raw!B132</f>
        <v>TEN</v>
      </c>
      <c r="G130" s="206">
        <v>0</v>
      </c>
      <c r="H130" s="207">
        <v>0</v>
      </c>
      <c r="I130" s="204">
        <f>WR_Raw!F132</f>
        <v>0</v>
      </c>
      <c r="J130" s="204">
        <f>WR_Raw!G132</f>
        <v>0</v>
      </c>
      <c r="K130" s="204">
        <f>WR_Raw!H132</f>
        <v>0</v>
      </c>
      <c r="L130" s="206">
        <f>WR_Raw!C132</f>
        <v>15.3</v>
      </c>
      <c r="M130" s="204">
        <f>WR_Raw!D132</f>
        <v>188.3</v>
      </c>
      <c r="N130" s="207">
        <f>WR_Raw!E132</f>
        <v>1</v>
      </c>
      <c r="O130" s="204">
        <f>WR_Raw!I132</f>
        <v>0.1</v>
      </c>
      <c r="P130" s="208">
        <f>(J130*WRRushingYd)+(K130*WRRushingTD)+(L130*WRRec)+(M130*WRRecYd)+(N130*WRRecTD)+(O130*WRFuml)+(I130*WRRushAtt)</f>
        <v>32.28</v>
      </c>
      <c r="Q130" t="str">
        <f ca="1">IF(A130&lt;=WRStarters,"Starter",IF(A130&gt;WRStarters+WRBench,"Undrafted","Bench"))</f>
        <v>Undrafted</v>
      </c>
      <c r="R130">
        <f ca="1">IFERROR(MAX(P130-LARGE(WRSheetCount,WRStarters),0),0)</f>
        <v>0</v>
      </c>
      <c r="S130">
        <f ca="1">IFERROR(IF(AllowNegative="Yes",P130-LARGE(WRSheetCount,WRCount),MAX(P130-LARGE(WRSheetCount,WRCount),0)),0)</f>
        <v>-91.329999999999984</v>
      </c>
      <c r="T130" s="85">
        <f ca="1">(S130-R130)*BenchPF+R130*StarterPF</f>
        <v>-16.559672687669856</v>
      </c>
      <c r="U130" s="85">
        <f ca="1">T130*Auction!$A$2</f>
        <v>-16.559672687669856</v>
      </c>
      <c r="V130" s="6" t="str">
        <f>IF(OR(INDEX(Auction!$H$13:$H$656,MATCH(B130,Auction!$A$13:$A$656,0))&gt;0,IFERROR(INDEX(CheatSheet!$V$5:$V$64,MATCH(B130,CheatSheet!$S$5:$S$64,0)),"")&lt;&gt;""),"Yes","No")</f>
        <v>No</v>
      </c>
      <c r="W130" s="179"/>
      <c r="Y130" s="114">
        <f ca="1">IFERROR(SUMIFS($Z$3:$Z272,$Z$3:$Z$195,"&gt;0",$V$3:$V$195,"No")/SUMIF($Z$3:$Z$195,"&gt;0"),0)</f>
        <v>0</v>
      </c>
      <c r="Z130">
        <f t="shared" ca="1" si="4"/>
        <v>-45.664999999999992</v>
      </c>
      <c r="AA130" s="116" t="str">
        <f t="shared" ca="1" si="3"/>
        <v>WR11</v>
      </c>
      <c r="AB130">
        <f ca="1">Z130*LeagueInfo!$H$5</f>
        <v>-16.81514720299889</v>
      </c>
    </row>
    <row r="131" spans="1:28" ht="15.75" thickBot="1" x14ac:dyDescent="0.3">
      <c r="A131">
        <f>RANK(P131,P$3:P$213)</f>
        <v>129</v>
      </c>
      <c r="B131" t="str">
        <f>WR_Raw!A131</f>
        <v>Montrell Washington</v>
      </c>
      <c r="C131" t="s">
        <v>35</v>
      </c>
      <c r="D131" t="str">
        <f>_xlfn.IFNA(INDEX(BYEs!$E$2:$E$411,MATCH(B131,BYEs!$D$2:$D$411,0)),"N/A")</f>
        <v>N/A</v>
      </c>
      <c r="E131">
        <f>INDEX(BYEs!$B$2:$B$34,MATCH(F131,BYEs!$A$2:$A$34,0))</f>
        <v>9</v>
      </c>
      <c r="F131" t="str">
        <f>WR_Raw!B131</f>
        <v>DEN</v>
      </c>
      <c r="G131" s="206">
        <v>0</v>
      </c>
      <c r="H131" s="207">
        <v>0</v>
      </c>
      <c r="I131" s="204">
        <f>WR_Raw!F131</f>
        <v>0</v>
      </c>
      <c r="J131" s="204">
        <f>WR_Raw!G131</f>
        <v>0</v>
      </c>
      <c r="K131" s="204">
        <f>WR_Raw!H131</f>
        <v>0</v>
      </c>
      <c r="L131" s="206">
        <f>WR_Raw!C131</f>
        <v>13.5</v>
      </c>
      <c r="M131" s="204">
        <f>WR_Raw!D131</f>
        <v>177.3</v>
      </c>
      <c r="N131" s="207">
        <f>WR_Raw!E131</f>
        <v>1.2</v>
      </c>
      <c r="O131" s="204">
        <f>WR_Raw!I131</f>
        <v>0</v>
      </c>
      <c r="P131" s="208">
        <f>(J131*WRRushingYd)+(K131*WRRushingTD)+(L131*WRRec)+(M131*WRRecYd)+(N131*WRRecTD)+(O131*WRFuml)+(I131*WRRushAtt)</f>
        <v>31.68</v>
      </c>
      <c r="Q131" t="str">
        <f ca="1">IF(A131&lt;=WRStarters,"Starter",IF(A131&gt;WRStarters+WRBench,"Undrafted","Bench"))</f>
        <v>Undrafted</v>
      </c>
      <c r="R131">
        <f ca="1">IFERROR(MAX(P131-LARGE(WRSheetCount,WRStarters),0),0)</f>
        <v>0</v>
      </c>
      <c r="S131">
        <f ca="1">IFERROR(IF(AllowNegative="Yes",P131-LARGE(WRSheetCount,WRCount),MAX(P131-LARGE(WRSheetCount,WRCount),0)),0)</f>
        <v>-91.929999999999978</v>
      </c>
      <c r="T131" s="85">
        <f ca="1">(S131-R131)*BenchPF+R131*StarterPF</f>
        <v>-16.668462829053869</v>
      </c>
      <c r="U131" s="85">
        <f ca="1">T131*Auction!$A$2</f>
        <v>-16.668462829053869</v>
      </c>
      <c r="V131" s="6" t="str">
        <f>IF(OR(INDEX(Auction!$H$13:$H$656,MATCH(B131,Auction!$A$13:$A$656,0))&gt;0,IFERROR(INDEX(CheatSheet!$V$5:$V$64,MATCH(B131,CheatSheet!$S$5:$S$64,0)),"")&lt;&gt;""),"Yes","No")</f>
        <v>No</v>
      </c>
      <c r="W131" s="179"/>
      <c r="Y131" s="114">
        <f ca="1">IFERROR(SUMIFS($Z$3:$Z273,$Z$3:$Z$195,"&gt;0",$V$3:$V$195,"No")/SUMIF($Z$3:$Z$195,"&gt;0"),0)</f>
        <v>0</v>
      </c>
      <c r="Z131">
        <f t="shared" ca="1" si="4"/>
        <v>-45.964999999999989</v>
      </c>
      <c r="AA131" s="116" t="str">
        <f t="shared" ref="AA131:AA194" ca="1" si="5">CONCATENATE("WR",ROUND((LARGE($Z$3:$Z$195,1)-$Z131)/(STDEVP($Z$3:$Z$195)/2)+1,0))</f>
        <v>WR11</v>
      </c>
      <c r="AB131">
        <f ca="1">Z131*LeagueInfo!$H$5</f>
        <v>-16.925615705372692</v>
      </c>
    </row>
    <row r="132" spans="1:28" ht="15.75" thickBot="1" x14ac:dyDescent="0.3">
      <c r="A132">
        <f>RANK(P132,P$3:P$213)</f>
        <v>130</v>
      </c>
      <c r="B132" t="str">
        <f>WR_Raw!A129</f>
        <v>Equanimeous St. Brown</v>
      </c>
      <c r="C132" t="s">
        <v>35</v>
      </c>
      <c r="D132">
        <f>_xlfn.IFNA(INDEX(BYEs!$E$2:$E$411,MATCH(B132,BYEs!$D$2:$D$411,0)),"N/A")</f>
        <v>24</v>
      </c>
      <c r="E132">
        <f>INDEX(BYEs!$B$2:$B$34,MATCH(F132,BYEs!$A$2:$A$34,0))</f>
        <v>14</v>
      </c>
      <c r="F132" t="str">
        <f>WR_Raw!B129</f>
        <v>CHI</v>
      </c>
      <c r="G132" s="206">
        <v>0</v>
      </c>
      <c r="H132" s="207">
        <v>0</v>
      </c>
      <c r="I132" s="204">
        <f>WR_Raw!F129</f>
        <v>0</v>
      </c>
      <c r="J132" s="204">
        <f>WR_Raw!G129</f>
        <v>0</v>
      </c>
      <c r="K132" s="204">
        <f>WR_Raw!H129</f>
        <v>0</v>
      </c>
      <c r="L132" s="206">
        <f>WR_Raw!C129</f>
        <v>13.5</v>
      </c>
      <c r="M132" s="204">
        <f>WR_Raw!D129</f>
        <v>197.1</v>
      </c>
      <c r="N132" s="207">
        <f>WR_Raw!E129</f>
        <v>0.9</v>
      </c>
      <c r="O132" s="204">
        <f>WR_Raw!I129</f>
        <v>0.1</v>
      </c>
      <c r="P132" s="208">
        <f>(J132*WRRushingYd)+(K132*WRRushingTD)+(L132*WRRec)+(M132*WRRecYd)+(N132*WRRecTD)+(O132*WRFuml)+(I132*WRRushAtt)</f>
        <v>31.66</v>
      </c>
      <c r="Q132" t="str">
        <f ca="1">IF(A132&lt;=WRStarters,"Starter",IF(A132&gt;WRStarters+WRBench,"Undrafted","Bench"))</f>
        <v>Undrafted</v>
      </c>
      <c r="R132">
        <f ca="1">IFERROR(MAX(P132-LARGE(WRSheetCount,WRStarters),0),0)</f>
        <v>0</v>
      </c>
      <c r="S132">
        <f ca="1">IFERROR(IF(AllowNegative="Yes",P132-LARGE(WRSheetCount,WRCount),MAX(P132-LARGE(WRSheetCount,WRCount),0)),0)</f>
        <v>-91.949999999999989</v>
      </c>
      <c r="T132" s="85">
        <f ca="1">(S132-R132)*BenchPF+R132*StarterPF</f>
        <v>-16.672089167100005</v>
      </c>
      <c r="U132" s="85">
        <f ca="1">T132*Auction!$A$2</f>
        <v>-16.672089167100005</v>
      </c>
      <c r="V132" s="6" t="str">
        <f>IF(OR(INDEX(Auction!$H$13:$H$656,MATCH(B132,Auction!$A$13:$A$656,0))&gt;0,IFERROR(INDEX(CheatSheet!$V$5:$V$64,MATCH(B132,CheatSheet!$S$5:$S$64,0)),"")&lt;&gt;""),"Yes","No")</f>
        <v>No</v>
      </c>
      <c r="W132" s="179"/>
      <c r="Y132" s="114">
        <f ca="1">IFERROR(SUMIFS($Z$3:$Z274,$Z$3:$Z$195,"&gt;0",$V$3:$V$195,"No")/SUMIF($Z$3:$Z$195,"&gt;0"),0)</f>
        <v>0</v>
      </c>
      <c r="Z132">
        <f t="shared" ref="Z132:Z195" ca="1" si="6">AVERAGE(R132:S132)</f>
        <v>-45.974999999999994</v>
      </c>
      <c r="AA132" s="116" t="str">
        <f t="shared" ca="1" si="5"/>
        <v>WR11</v>
      </c>
      <c r="AB132">
        <f ca="1">Z132*LeagueInfo!$H$5</f>
        <v>-16.929297988785155</v>
      </c>
    </row>
    <row r="133" spans="1:28" ht="15.75" thickBot="1" x14ac:dyDescent="0.3">
      <c r="A133">
        <f>RANK(P133,P$3:P$213)</f>
        <v>131</v>
      </c>
      <c r="B133" t="str">
        <f>WR_Raw!A133</f>
        <v>Cody Hollister</v>
      </c>
      <c r="C133" t="s">
        <v>35</v>
      </c>
      <c r="D133" t="str">
        <f>_xlfn.IFNA(INDEX(BYEs!$E$2:$E$411,MATCH(B133,BYEs!$D$2:$D$411,0)),"N/A")</f>
        <v>N/A</v>
      </c>
      <c r="E133">
        <f>INDEX(BYEs!$B$2:$B$34,MATCH(F133,BYEs!$A$2:$A$34,0))</f>
        <v>6</v>
      </c>
      <c r="F133" t="str">
        <f>WR_Raw!B133</f>
        <v>TEN</v>
      </c>
      <c r="G133" s="206">
        <v>0</v>
      </c>
      <c r="H133" s="207">
        <v>0</v>
      </c>
      <c r="I133" s="204">
        <f>WR_Raw!F133</f>
        <v>0</v>
      </c>
      <c r="J133" s="204">
        <f>WR_Raw!G133</f>
        <v>0</v>
      </c>
      <c r="K133" s="204">
        <f>WR_Raw!H133</f>
        <v>0</v>
      </c>
      <c r="L133" s="206">
        <f>WR_Raw!C133</f>
        <v>14.5</v>
      </c>
      <c r="M133" s="204">
        <f>WR_Raw!D133</f>
        <v>171.3</v>
      </c>
      <c r="N133" s="207">
        <f>WR_Raw!E133</f>
        <v>1.2</v>
      </c>
      <c r="O133" s="204">
        <f>WR_Raw!I133</f>
        <v>0</v>
      </c>
      <c r="P133" s="208">
        <f>(J133*WRRushingYd)+(K133*WRRushingTD)+(L133*WRRec)+(M133*WRRecYd)+(N133*WRRecTD)+(O133*WRFuml)+(I133*WRRushAtt)</f>
        <v>31.580000000000002</v>
      </c>
      <c r="Q133" t="str">
        <f ca="1">IF(A133&lt;=WRStarters,"Starter",IF(A133&gt;WRStarters+WRBench,"Undrafted","Bench"))</f>
        <v>Undrafted</v>
      </c>
      <c r="R133">
        <f ca="1">IFERROR(MAX(P133-LARGE(WRSheetCount,WRStarters),0),0)</f>
        <v>0</v>
      </c>
      <c r="S133">
        <f ca="1">IFERROR(IF(AllowNegative="Yes",P133-LARGE(WRSheetCount,WRCount),MAX(P133-LARGE(WRSheetCount,WRCount),0)),0)</f>
        <v>-92.029999999999987</v>
      </c>
      <c r="T133" s="85">
        <f ca="1">(S133-R133)*BenchPF+R133*StarterPF</f>
        <v>-16.68659451928454</v>
      </c>
      <c r="U133" s="85">
        <f ca="1">T133*Auction!$A$2</f>
        <v>-16.68659451928454</v>
      </c>
      <c r="V133" s="6" t="str">
        <f>IF(OR(INDEX(Auction!$H$13:$H$656,MATCH(B133,Auction!$A$13:$A$656,0))&gt;0,IFERROR(INDEX(CheatSheet!$V$5:$V$64,MATCH(B133,CheatSheet!$S$5:$S$64,0)),"")&lt;&gt;""),"Yes","No")</f>
        <v>No</v>
      </c>
      <c r="W133" s="179"/>
      <c r="Y133" s="114">
        <f ca="1">IFERROR(SUMIFS($Z$3:$Z275,$Z$3:$Z$195,"&gt;0",$V$3:$V$195,"No")/SUMIF($Z$3:$Z$195,"&gt;0"),0)</f>
        <v>0</v>
      </c>
      <c r="Z133">
        <f t="shared" ca="1" si="6"/>
        <v>-46.014999999999993</v>
      </c>
      <c r="AA133" s="116" t="str">
        <f t="shared" ca="1" si="5"/>
        <v>WR11</v>
      </c>
      <c r="AB133">
        <f ca="1">Z133*LeagueInfo!$H$5</f>
        <v>-16.944027122434996</v>
      </c>
    </row>
    <row r="134" spans="1:28" ht="15.75" thickBot="1" x14ac:dyDescent="0.3">
      <c r="A134">
        <f>RANK(P134,P$3:P$213)</f>
        <v>132</v>
      </c>
      <c r="B134" t="str">
        <f>WR_Raw!A130</f>
        <v>Keke Coutee</v>
      </c>
      <c r="C134" t="s">
        <v>35</v>
      </c>
      <c r="D134">
        <f>_xlfn.IFNA(INDEX(BYEs!$E$2:$E$411,MATCH(B134,BYEs!$D$2:$D$411,0)),"N/A")</f>
        <v>24</v>
      </c>
      <c r="E134">
        <f>INDEX(BYEs!$B$2:$B$34,MATCH(F134,BYEs!$A$2:$A$34,0))</f>
        <v>14</v>
      </c>
      <c r="F134" t="str">
        <f>WR_Raw!B130</f>
        <v>IND</v>
      </c>
      <c r="G134" s="206">
        <v>0</v>
      </c>
      <c r="H134" s="207">
        <v>0</v>
      </c>
      <c r="I134" s="204">
        <f>WR_Raw!F130</f>
        <v>0</v>
      </c>
      <c r="J134" s="204">
        <f>WR_Raw!G130</f>
        <v>0</v>
      </c>
      <c r="K134" s="204">
        <f>WR_Raw!H130</f>
        <v>0</v>
      </c>
      <c r="L134" s="206">
        <f>WR_Raw!C130</f>
        <v>12.3</v>
      </c>
      <c r="M134" s="204">
        <f>WR_Raw!D130</f>
        <v>184.3</v>
      </c>
      <c r="N134" s="207">
        <f>WR_Raw!E130</f>
        <v>1.1000000000000001</v>
      </c>
      <c r="O134" s="204">
        <f>WR_Raw!I130</f>
        <v>0</v>
      </c>
      <c r="P134" s="208">
        <f>(J134*WRRushingYd)+(K134*WRRushingTD)+(L134*WRRec)+(M134*WRRecYd)+(N134*WRRecTD)+(O134*WRFuml)+(I134*WRRushAtt)</f>
        <v>31.180000000000007</v>
      </c>
      <c r="Q134" t="str">
        <f ca="1">IF(A134&lt;=WRStarters,"Starter",IF(A134&gt;WRStarters+WRBench,"Undrafted","Bench"))</f>
        <v>Undrafted</v>
      </c>
      <c r="R134">
        <f ca="1">IFERROR(MAX(P134-LARGE(WRSheetCount,WRStarters),0),0)</f>
        <v>0</v>
      </c>
      <c r="S134">
        <f ca="1">IFERROR(IF(AllowNegative="Yes",P134-LARGE(WRSheetCount,WRCount),MAX(P134-LARGE(WRSheetCount,WRCount),0)),0)</f>
        <v>-92.429999999999978</v>
      </c>
      <c r="T134" s="85">
        <f ca="1">(S134-R134)*BenchPF+R134*StarterPF</f>
        <v>-16.759121280207214</v>
      </c>
      <c r="U134" s="85">
        <f ca="1">T134*Auction!$A$2</f>
        <v>-16.759121280207214</v>
      </c>
      <c r="V134" s="6" t="str">
        <f>IF(OR(INDEX(Auction!$H$13:$H$656,MATCH(B134,Auction!$A$13:$A$656,0))&gt;0,IFERROR(INDEX(CheatSheet!$V$5:$V$64,MATCH(B134,CheatSheet!$S$5:$S$64,0)),"")&lt;&gt;""),"Yes","No")</f>
        <v>No</v>
      </c>
      <c r="W134" s="179"/>
      <c r="Y134" s="114">
        <f ca="1">IFERROR(SUMIFS($Z$3:$Z276,$Z$3:$Z$195,"&gt;0",$V$3:$V$195,"No")/SUMIF($Z$3:$Z$195,"&gt;0"),0)</f>
        <v>0</v>
      </c>
      <c r="Z134">
        <f t="shared" ca="1" si="6"/>
        <v>-46.214999999999989</v>
      </c>
      <c r="AA134" s="116" t="str">
        <f t="shared" ca="1" si="5"/>
        <v>WR11</v>
      </c>
      <c r="AB134">
        <f ca="1">Z134*LeagueInfo!$H$5</f>
        <v>-17.017672790684195</v>
      </c>
    </row>
    <row r="135" spans="1:28" ht="15.75" thickBot="1" x14ac:dyDescent="0.3">
      <c r="A135">
        <f>RANK(P135,P$3:P$213)</f>
        <v>133</v>
      </c>
      <c r="B135" t="str">
        <f>WR_Raw!A137</f>
        <v>Damiere Byrd</v>
      </c>
      <c r="C135" t="s">
        <v>35</v>
      </c>
      <c r="D135" t="str">
        <f>_xlfn.IFNA(INDEX(BYEs!$E$2:$E$411,MATCH(B135,BYEs!$D$2:$D$411,0)),"N/A")</f>
        <v>N/A</v>
      </c>
      <c r="E135">
        <f>INDEX(BYEs!$B$2:$B$34,MATCH(F135,BYEs!$A$2:$A$34,0))</f>
        <v>14</v>
      </c>
      <c r="F135" t="str">
        <f>WR_Raw!B137</f>
        <v>ATL</v>
      </c>
      <c r="G135" s="206">
        <v>0</v>
      </c>
      <c r="H135" s="207">
        <v>0</v>
      </c>
      <c r="I135" s="204">
        <f>WR_Raw!F137</f>
        <v>0</v>
      </c>
      <c r="J135" s="204">
        <f>WR_Raw!G137</f>
        <v>0</v>
      </c>
      <c r="K135" s="204">
        <f>WR_Raw!H137</f>
        <v>0</v>
      </c>
      <c r="L135" s="206">
        <f>WR_Raw!C137</f>
        <v>14.9</v>
      </c>
      <c r="M135" s="204">
        <f>WR_Raw!D137</f>
        <v>177</v>
      </c>
      <c r="N135" s="207">
        <f>WR_Raw!E137</f>
        <v>0.9</v>
      </c>
      <c r="O135" s="204">
        <f>WR_Raw!I137</f>
        <v>0</v>
      </c>
      <c r="P135" s="208">
        <f>(J135*WRRushingYd)+(K135*WRRushingTD)+(L135*WRRec)+(M135*WRRecYd)+(N135*WRRecTD)+(O135*WRFuml)+(I135*WRRushAtt)</f>
        <v>30.549999999999997</v>
      </c>
      <c r="Q135" t="str">
        <f ca="1">IF(A135&lt;=WRStarters,"Starter",IF(A135&gt;WRStarters+WRBench,"Undrafted","Bench"))</f>
        <v>Undrafted</v>
      </c>
      <c r="R135">
        <f ca="1">IFERROR(MAX(P135-LARGE(WRSheetCount,WRStarters),0),0)</f>
        <v>0</v>
      </c>
      <c r="S135">
        <f ca="1">IFERROR(IF(AllowNegative="Yes",P135-LARGE(WRSheetCount,WRCount),MAX(P135-LARGE(WRSheetCount,WRCount),0)),0)</f>
        <v>-93.059999999999988</v>
      </c>
      <c r="T135" s="85">
        <f ca="1">(S135-R135)*BenchPF+R135*StarterPF</f>
        <v>-16.873350928660429</v>
      </c>
      <c r="U135" s="85">
        <f ca="1">T135*Auction!$A$2</f>
        <v>-16.873350928660429</v>
      </c>
      <c r="V135" s="6" t="str">
        <f>IF(OR(INDEX(Auction!$H$13:$H$656,MATCH(B135,Auction!$A$13:$A$656,0))&gt;0,IFERROR(INDEX(CheatSheet!$V$5:$V$64,MATCH(B135,CheatSheet!$S$5:$S$64,0)),"")&lt;&gt;""),"Yes","No")</f>
        <v>No</v>
      </c>
      <c r="W135" s="179"/>
      <c r="Y135" s="114">
        <f ca="1">IFERROR(SUMIFS($Z$3:$Z277,$Z$3:$Z$195,"&gt;0",$V$3:$V$195,"No")/SUMIF($Z$3:$Z$195,"&gt;0"),0)</f>
        <v>0</v>
      </c>
      <c r="Z135">
        <f t="shared" ca="1" si="6"/>
        <v>-46.529999999999994</v>
      </c>
      <c r="AA135" s="116" t="str">
        <f t="shared" ca="1" si="5"/>
        <v>WR11</v>
      </c>
      <c r="AB135">
        <f ca="1">Z135*LeagueInfo!$H$5</f>
        <v>-17.133664718176689</v>
      </c>
    </row>
    <row r="136" spans="1:28" ht="15.75" thickBot="1" x14ac:dyDescent="0.3">
      <c r="A136">
        <f>RANK(P136,P$3:P$213)</f>
        <v>134</v>
      </c>
      <c r="B136" t="str">
        <f>WR_Raw!A138</f>
        <v>Trent Sherfield</v>
      </c>
      <c r="C136" t="s">
        <v>35</v>
      </c>
      <c r="D136" t="str">
        <f>_xlfn.IFNA(INDEX(BYEs!$E$2:$E$411,MATCH(B136,BYEs!$D$2:$D$411,0)),"N/A")</f>
        <v>N/A</v>
      </c>
      <c r="E136">
        <f>INDEX(BYEs!$B$2:$B$34,MATCH(F136,BYEs!$A$2:$A$34,0))</f>
        <v>11</v>
      </c>
      <c r="F136" t="str">
        <f>WR_Raw!B138</f>
        <v>MIA</v>
      </c>
      <c r="G136" s="206">
        <v>0</v>
      </c>
      <c r="H136" s="207">
        <v>0</v>
      </c>
      <c r="I136" s="204">
        <f>WR_Raw!F138</f>
        <v>0</v>
      </c>
      <c r="J136" s="204">
        <f>WR_Raw!G138</f>
        <v>0</v>
      </c>
      <c r="K136" s="204">
        <f>WR_Raw!H138</f>
        <v>0</v>
      </c>
      <c r="L136" s="206">
        <f>WR_Raw!C138</f>
        <v>14.2</v>
      </c>
      <c r="M136" s="204">
        <f>WR_Raw!D138</f>
        <v>169.4</v>
      </c>
      <c r="N136" s="207">
        <f>WR_Raw!E138</f>
        <v>1.1000000000000001</v>
      </c>
      <c r="O136" s="204">
        <f>WR_Raw!I138</f>
        <v>0.1</v>
      </c>
      <c r="P136" s="208">
        <f>(J136*WRRushingYd)+(K136*WRRushingTD)+(L136*WRRec)+(M136*WRRecYd)+(N136*WRRecTD)+(O136*WRFuml)+(I136*WRRushAtt)</f>
        <v>30.44</v>
      </c>
      <c r="Q136" t="str">
        <f ca="1">IF(A136&lt;=WRStarters,"Starter",IF(A136&gt;WRStarters+WRBench,"Undrafted","Bench"))</f>
        <v>Undrafted</v>
      </c>
      <c r="R136">
        <f ca="1">IFERROR(MAX(P136-LARGE(WRSheetCount,WRStarters),0),0)</f>
        <v>0</v>
      </c>
      <c r="S136">
        <f ca="1">IFERROR(IF(AllowNegative="Yes",P136-LARGE(WRSheetCount,WRCount),MAX(P136-LARGE(WRSheetCount,WRCount),0)),0)</f>
        <v>-93.169999999999987</v>
      </c>
      <c r="T136" s="85">
        <f ca="1">(S136-R136)*BenchPF+R136*StarterPF</f>
        <v>-16.893295787914163</v>
      </c>
      <c r="U136" s="85">
        <f ca="1">T136*Auction!$A$2</f>
        <v>-16.893295787914163</v>
      </c>
      <c r="V136" s="6" t="str">
        <f>IF(OR(INDEX(Auction!$H$13:$H$656,MATCH(B136,Auction!$A$13:$A$656,0))&gt;0,IFERROR(INDEX(CheatSheet!$V$5:$V$64,MATCH(B136,CheatSheet!$S$5:$S$64,0)),"")&lt;&gt;""),"Yes","No")</f>
        <v>No</v>
      </c>
      <c r="W136" s="179"/>
      <c r="Y136" s="114">
        <f ca="1">IFERROR(SUMIFS($Z$3:$Z278,$Z$3:$Z$195,"&gt;0",$V$3:$V$195,"No")/SUMIF($Z$3:$Z$195,"&gt;0"),0)</f>
        <v>0</v>
      </c>
      <c r="Z136">
        <f t="shared" ca="1" si="6"/>
        <v>-46.584999999999994</v>
      </c>
      <c r="AA136" s="116" t="str">
        <f t="shared" ca="1" si="5"/>
        <v>WR11</v>
      </c>
      <c r="AB136">
        <f ca="1">Z136*LeagueInfo!$H$5</f>
        <v>-17.153917276945219</v>
      </c>
    </row>
    <row r="137" spans="1:28" ht="15.75" thickBot="1" x14ac:dyDescent="0.3">
      <c r="A137">
        <f>RANK(P137,P$3:P$213)</f>
        <v>135</v>
      </c>
      <c r="B137" t="str">
        <f>WR_Raw!A136</f>
        <v>Tutu Atwell</v>
      </c>
      <c r="C137" t="s">
        <v>35</v>
      </c>
      <c r="D137" t="str">
        <f>_xlfn.IFNA(INDEX(BYEs!$E$2:$E$411,MATCH(B137,BYEs!$D$2:$D$411,0)),"N/A")</f>
        <v>N/A</v>
      </c>
      <c r="E137">
        <f>INDEX(BYEs!$B$2:$B$34,MATCH(F137,BYEs!$A$2:$A$34,0))</f>
        <v>7</v>
      </c>
      <c r="F137" t="str">
        <f>WR_Raw!B136</f>
        <v>LAR</v>
      </c>
      <c r="G137" s="206">
        <v>0</v>
      </c>
      <c r="H137" s="207">
        <v>0</v>
      </c>
      <c r="I137" s="204">
        <f>WR_Raw!F136</f>
        <v>0</v>
      </c>
      <c r="J137" s="204">
        <f>WR_Raw!G136</f>
        <v>0</v>
      </c>
      <c r="K137" s="204">
        <f>WR_Raw!H136</f>
        <v>0</v>
      </c>
      <c r="L137" s="206">
        <f>WR_Raw!C136</f>
        <v>13.4</v>
      </c>
      <c r="M137" s="204">
        <f>WR_Raw!D136</f>
        <v>167.4</v>
      </c>
      <c r="N137" s="207">
        <f>WR_Raw!E136</f>
        <v>1.2</v>
      </c>
      <c r="O137" s="204">
        <f>WR_Raw!I136</f>
        <v>0.2</v>
      </c>
      <c r="P137" s="208">
        <f>(J137*WRRushingYd)+(K137*WRRushingTD)+(L137*WRRec)+(M137*WRRecYd)+(N137*WRRecTD)+(O137*WRFuml)+(I137*WRRushAtt)</f>
        <v>30.240000000000002</v>
      </c>
      <c r="Q137" t="str">
        <f ca="1">IF(A137&lt;=WRStarters,"Starter",IF(A137&gt;WRStarters+WRBench,"Undrafted","Bench"))</f>
        <v>Undrafted</v>
      </c>
      <c r="R137">
        <f ca="1">IFERROR(MAX(P137-LARGE(WRSheetCount,WRStarters),0),0)</f>
        <v>0</v>
      </c>
      <c r="S137">
        <f ca="1">IFERROR(IF(AllowNegative="Yes",P137-LARGE(WRSheetCount,WRCount),MAX(P137-LARGE(WRSheetCount,WRCount),0)),0)</f>
        <v>-93.369999999999976</v>
      </c>
      <c r="T137" s="85">
        <f ca="1">(S137-R137)*BenchPF+R137*StarterPF</f>
        <v>-16.929559168375498</v>
      </c>
      <c r="U137" s="85">
        <f ca="1">T137*Auction!$A$2</f>
        <v>-16.929559168375498</v>
      </c>
      <c r="V137" s="6" t="str">
        <f>IF(OR(INDEX(Auction!$H$13:$H$656,MATCH(B137,Auction!$A$13:$A$656,0))&gt;0,IFERROR(INDEX(CheatSheet!$V$5:$V$64,MATCH(B137,CheatSheet!$S$5:$S$64,0)),"")&lt;&gt;""),"Yes","No")</f>
        <v>No</v>
      </c>
      <c r="W137" s="179"/>
      <c r="Y137" s="114">
        <f ca="1">IFERROR(SUMIFS($Z$3:$Z279,$Z$3:$Z$195,"&gt;0",$V$3:$V$195,"No")/SUMIF($Z$3:$Z$195,"&gt;0"),0)</f>
        <v>0</v>
      </c>
      <c r="Z137">
        <f t="shared" ca="1" si="6"/>
        <v>-46.684999999999988</v>
      </c>
      <c r="AA137" s="116" t="str">
        <f t="shared" ca="1" si="5"/>
        <v>WR11</v>
      </c>
      <c r="AB137">
        <f ca="1">Z137*LeagueInfo!$H$5</f>
        <v>-17.190740111069818</v>
      </c>
    </row>
    <row r="138" spans="1:28" ht="15.75" thickBot="1" x14ac:dyDescent="0.3">
      <c r="A138">
        <f>RANK(P138,P$3:P$213)</f>
        <v>136</v>
      </c>
      <c r="B138" t="str">
        <f>WR_Raw!A135</f>
        <v>Zach Pascal</v>
      </c>
      <c r="C138" t="s">
        <v>35</v>
      </c>
      <c r="D138" t="str">
        <f>_xlfn.IFNA(INDEX(BYEs!$E$2:$E$411,MATCH(B138,BYEs!$D$2:$D$411,0)),"N/A")</f>
        <v>N/A</v>
      </c>
      <c r="E138">
        <f>INDEX(BYEs!$B$2:$B$34,MATCH(F138,BYEs!$A$2:$A$34,0))</f>
        <v>7</v>
      </c>
      <c r="F138" t="str">
        <f>WR_Raw!B135</f>
        <v>PHI</v>
      </c>
      <c r="G138" s="206">
        <v>0</v>
      </c>
      <c r="H138" s="207">
        <v>0</v>
      </c>
      <c r="I138" s="204">
        <f>WR_Raw!F135</f>
        <v>0.3</v>
      </c>
      <c r="J138" s="204">
        <f>WR_Raw!G135</f>
        <v>1.8</v>
      </c>
      <c r="K138" s="204">
        <f>WR_Raw!H135</f>
        <v>0</v>
      </c>
      <c r="L138" s="206">
        <f>WR_Raw!C135</f>
        <v>12.8</v>
      </c>
      <c r="M138" s="204">
        <f>WR_Raw!D135</f>
        <v>161.6</v>
      </c>
      <c r="N138" s="207">
        <f>WR_Raw!E135</f>
        <v>1.2</v>
      </c>
      <c r="O138" s="204">
        <f>WR_Raw!I135</f>
        <v>0</v>
      </c>
      <c r="P138" s="208">
        <f>(J138*WRRushingYd)+(K138*WRRushingTD)+(L138*WRRec)+(M138*WRRecYd)+(N138*WRRecTD)+(O138*WRFuml)+(I138*WRRushAtt)</f>
        <v>29.94</v>
      </c>
      <c r="Q138" t="str">
        <f ca="1">IF(A138&lt;=WRStarters,"Starter",IF(A138&gt;WRStarters+WRBench,"Undrafted","Bench"))</f>
        <v>Undrafted</v>
      </c>
      <c r="R138">
        <f ca="1">IFERROR(MAX(P138-LARGE(WRSheetCount,WRStarters),0),0)</f>
        <v>0</v>
      </c>
      <c r="S138">
        <f ca="1">IFERROR(IF(AllowNegative="Yes",P138-LARGE(WRSheetCount,WRCount),MAX(P138-LARGE(WRSheetCount,WRCount),0)),0)</f>
        <v>-93.669999999999987</v>
      </c>
      <c r="T138" s="85">
        <f ca="1">(S138-R138)*BenchPF+R138*StarterPF</f>
        <v>-16.983954239067508</v>
      </c>
      <c r="U138" s="85">
        <f ca="1">T138*Auction!$A$2</f>
        <v>-16.983954239067508</v>
      </c>
      <c r="V138" s="6" t="str">
        <f>IF(OR(INDEX(Auction!$H$13:$H$656,MATCH(B138,Auction!$A$13:$A$656,0))&gt;0,IFERROR(INDEX(CheatSheet!$V$5:$V$64,MATCH(B138,CheatSheet!$S$5:$S$64,0)),"")&lt;&gt;""),"Yes","No")</f>
        <v>No</v>
      </c>
      <c r="W138" s="179"/>
      <c r="Y138" s="114">
        <f ca="1">IFERROR(SUMIFS($Z$3:$Z280,$Z$3:$Z$195,"&gt;0",$V$3:$V$195,"No")/SUMIF($Z$3:$Z$195,"&gt;0"),0)</f>
        <v>0</v>
      </c>
      <c r="Z138">
        <f t="shared" ca="1" si="6"/>
        <v>-46.834999999999994</v>
      </c>
      <c r="AA138" s="116" t="str">
        <f t="shared" ca="1" si="5"/>
        <v>WR11</v>
      </c>
      <c r="AB138">
        <f ca="1">Z138*LeagueInfo!$H$5</f>
        <v>-17.245974362256721</v>
      </c>
    </row>
    <row r="139" spans="1:28" ht="15.75" thickBot="1" x14ac:dyDescent="0.3">
      <c r="A139">
        <f>RANK(P139,P$3:P$213)</f>
        <v>137</v>
      </c>
      <c r="B139" t="str">
        <f>WR_Raw!A134</f>
        <v>Anthony Schwartz</v>
      </c>
      <c r="C139" t="s">
        <v>35</v>
      </c>
      <c r="D139" t="str">
        <f>_xlfn.IFNA(INDEX(BYEs!$E$2:$E$411,MATCH(B139,BYEs!$D$2:$D$411,0)),"N/A")</f>
        <v>N/A</v>
      </c>
      <c r="E139">
        <f>INDEX(BYEs!$B$2:$B$34,MATCH(F139,BYEs!$A$2:$A$34,0))</f>
        <v>9</v>
      </c>
      <c r="F139" t="str">
        <f>WR_Raw!B134</f>
        <v>CLE</v>
      </c>
      <c r="G139" s="206">
        <v>0</v>
      </c>
      <c r="H139" s="207">
        <v>0</v>
      </c>
      <c r="I139" s="204">
        <f>WR_Raw!F134</f>
        <v>1.1000000000000001</v>
      </c>
      <c r="J139" s="204">
        <f>WR_Raw!G134</f>
        <v>6.8</v>
      </c>
      <c r="K139" s="204">
        <f>WR_Raw!H134</f>
        <v>0</v>
      </c>
      <c r="L139" s="206">
        <f>WR_Raw!C134</f>
        <v>12.6</v>
      </c>
      <c r="M139" s="204">
        <f>WR_Raw!D134</f>
        <v>166.5</v>
      </c>
      <c r="N139" s="207">
        <f>WR_Raw!E134</f>
        <v>1</v>
      </c>
      <c r="O139" s="204">
        <f>WR_Raw!I134</f>
        <v>0.1</v>
      </c>
      <c r="P139" s="208">
        <f>(J139*WRRushingYd)+(K139*WRRushingTD)+(L139*WRRec)+(M139*WRRecYd)+(N139*WRRecTD)+(O139*WRFuml)+(I139*WRRushAtt)</f>
        <v>29.430000000000003</v>
      </c>
      <c r="Q139" t="str">
        <f ca="1">IF(A139&lt;=WRStarters,"Starter",IF(A139&gt;WRStarters+WRBench,"Undrafted","Bench"))</f>
        <v>Undrafted</v>
      </c>
      <c r="R139">
        <f ca="1">IFERROR(MAX(P139-LARGE(WRSheetCount,WRStarters),0),0)</f>
        <v>0</v>
      </c>
      <c r="S139">
        <f ca="1">IFERROR(IF(AllowNegative="Yes",P139-LARGE(WRSheetCount,WRCount),MAX(P139-LARGE(WRSheetCount,WRCount),0)),0)</f>
        <v>-94.179999999999978</v>
      </c>
      <c r="T139" s="85">
        <f ca="1">(S139-R139)*BenchPF+R139*StarterPF</f>
        <v>-17.076425859243919</v>
      </c>
      <c r="U139" s="85">
        <f ca="1">T139*Auction!$A$2</f>
        <v>-17.076425859243919</v>
      </c>
      <c r="V139" s="6" t="str">
        <f>IF(OR(INDEX(Auction!$H$13:$H$656,MATCH(B139,Auction!$A$13:$A$656,0))&gt;0,IFERROR(INDEX(CheatSheet!$V$5:$V$64,MATCH(B139,CheatSheet!$S$5:$S$64,0)),"")&lt;&gt;""),"Yes","No")</f>
        <v>No</v>
      </c>
      <c r="W139" s="179"/>
      <c r="Y139" s="114">
        <f ca="1">IFERROR(SUMIFS($Z$3:$Z281,$Z$3:$Z$195,"&gt;0",$V$3:$V$195,"No")/SUMIF($Z$3:$Z$195,"&gt;0"),0)</f>
        <v>0</v>
      </c>
      <c r="Z139">
        <f t="shared" ca="1" si="6"/>
        <v>-47.089999999999989</v>
      </c>
      <c r="AA139" s="116" t="str">
        <f t="shared" ca="1" si="5"/>
        <v>WR11</v>
      </c>
      <c r="AB139">
        <f ca="1">Z139*LeagueInfo!$H$5</f>
        <v>-17.339872589274449</v>
      </c>
    </row>
    <row r="140" spans="1:28" ht="15.75" thickBot="1" x14ac:dyDescent="0.3">
      <c r="A140">
        <f>RANK(P140,P$3:P$213)</f>
        <v>138</v>
      </c>
      <c r="B140" t="str">
        <f>WR_Raw!A139</f>
        <v>Kalif Raymond</v>
      </c>
      <c r="C140" t="s">
        <v>35</v>
      </c>
      <c r="D140" t="str">
        <f>_xlfn.IFNA(INDEX(BYEs!$E$2:$E$411,MATCH(B140,BYEs!$D$2:$D$411,0)),"N/A")</f>
        <v>N/A</v>
      </c>
      <c r="E140">
        <f>INDEX(BYEs!$B$2:$B$34,MATCH(F140,BYEs!$A$2:$A$34,0))</f>
        <v>6</v>
      </c>
      <c r="F140" t="str">
        <f>WR_Raw!B139</f>
        <v>DET</v>
      </c>
      <c r="G140" s="206">
        <v>0</v>
      </c>
      <c r="H140" s="207">
        <v>0</v>
      </c>
      <c r="I140" s="204">
        <f>WR_Raw!F139</f>
        <v>0.9</v>
      </c>
      <c r="J140" s="204">
        <f>WR_Raw!G139</f>
        <v>5.2</v>
      </c>
      <c r="K140" s="204">
        <f>WR_Raw!H139</f>
        <v>0</v>
      </c>
      <c r="L140" s="206">
        <f>WR_Raw!C139</f>
        <v>12.9</v>
      </c>
      <c r="M140" s="204">
        <f>WR_Raw!D139</f>
        <v>156.19999999999999</v>
      </c>
      <c r="N140" s="207">
        <f>WR_Raw!E139</f>
        <v>1</v>
      </c>
      <c r="O140" s="204">
        <f>WR_Raw!I139</f>
        <v>0.1</v>
      </c>
      <c r="P140" s="208">
        <f>(J140*WRRushingYd)+(K140*WRRushingTD)+(L140*WRRec)+(M140*WRRecYd)+(N140*WRRecTD)+(O140*WRFuml)+(I140*WRRushAtt)</f>
        <v>28.39</v>
      </c>
      <c r="Q140" t="str">
        <f ca="1">IF(A140&lt;=WRStarters,"Starter",IF(A140&gt;WRStarters+WRBench,"Undrafted","Bench"))</f>
        <v>Undrafted</v>
      </c>
      <c r="R140">
        <f ca="1">IFERROR(MAX(P140-LARGE(WRSheetCount,WRStarters),0),0)</f>
        <v>0</v>
      </c>
      <c r="S140">
        <f ca="1">IFERROR(IF(AllowNegative="Yes",P140-LARGE(WRSheetCount,WRCount),MAX(P140-LARGE(WRSheetCount,WRCount),0)),0)</f>
        <v>-95.219999999999985</v>
      </c>
      <c r="T140" s="85">
        <f ca="1">(S140-R140)*BenchPF+R140*StarterPF</f>
        <v>-17.264995437642874</v>
      </c>
      <c r="U140" s="85">
        <f ca="1">T140*Auction!$A$2</f>
        <v>-17.264995437642874</v>
      </c>
      <c r="V140" s="6" t="str">
        <f>IF(OR(INDEX(Auction!$H$13:$H$656,MATCH(B140,Auction!$A$13:$A$656,0))&gt;0,IFERROR(INDEX(CheatSheet!$V$5:$V$64,MATCH(B140,CheatSheet!$S$5:$S$64,0)),"")&lt;&gt;""),"Yes","No")</f>
        <v>No</v>
      </c>
      <c r="W140" s="179"/>
      <c r="Y140" s="114">
        <f ca="1">IFERROR(SUMIFS($Z$3:$Z282,$Z$3:$Z$195,"&gt;0",$V$3:$V$195,"No")/SUMIF($Z$3:$Z$195,"&gt;0"),0)</f>
        <v>0</v>
      </c>
      <c r="Z140">
        <f t="shared" ca="1" si="6"/>
        <v>-47.609999999999992</v>
      </c>
      <c r="AA140" s="116" t="str">
        <f t="shared" ca="1" si="5"/>
        <v>WR11</v>
      </c>
      <c r="AB140">
        <f ca="1">Z140*LeagueInfo!$H$5</f>
        <v>-17.531351326722376</v>
      </c>
    </row>
    <row r="141" spans="1:28" ht="15.75" thickBot="1" x14ac:dyDescent="0.3">
      <c r="A141">
        <f>RANK(P141,P$3:P$213)</f>
        <v>139</v>
      </c>
      <c r="B141" t="str">
        <f>WR_Raw!A140</f>
        <v>Dyami Brown</v>
      </c>
      <c r="C141" t="s">
        <v>35</v>
      </c>
      <c r="D141" t="str">
        <f>_xlfn.IFNA(INDEX(BYEs!$E$2:$E$411,MATCH(B141,BYEs!$D$2:$D$411,0)),"N/A")</f>
        <v>N/A</v>
      </c>
      <c r="E141">
        <f>INDEX(BYEs!$B$2:$B$34,MATCH(F141,BYEs!$A$2:$A$34,0))</f>
        <v>14</v>
      </c>
      <c r="F141" t="str">
        <f>WR_Raw!B140</f>
        <v>WAS</v>
      </c>
      <c r="G141" s="206">
        <v>0</v>
      </c>
      <c r="H141" s="207">
        <v>0</v>
      </c>
      <c r="I141" s="204">
        <f>WR_Raw!F140</f>
        <v>0</v>
      </c>
      <c r="J141" s="204">
        <f>WR_Raw!G140</f>
        <v>0</v>
      </c>
      <c r="K141" s="204">
        <f>WR_Raw!H140</f>
        <v>0</v>
      </c>
      <c r="L141" s="206">
        <f>WR_Raw!C140</f>
        <v>11.2</v>
      </c>
      <c r="M141" s="204">
        <f>WR_Raw!D140</f>
        <v>174.6</v>
      </c>
      <c r="N141" s="207">
        <f>WR_Raw!E140</f>
        <v>0.8</v>
      </c>
      <c r="O141" s="204">
        <f>WR_Raw!I140</f>
        <v>0</v>
      </c>
      <c r="P141" s="208">
        <f>(J141*WRRushingYd)+(K141*WRRushingTD)+(L141*WRRec)+(M141*WRRecYd)+(N141*WRRecTD)+(O141*WRFuml)+(I141*WRRushAtt)</f>
        <v>27.860000000000003</v>
      </c>
      <c r="Q141" t="str">
        <f ca="1">IF(A141&lt;=WRStarters,"Starter",IF(A141&gt;WRStarters+WRBench,"Undrafted","Bench"))</f>
        <v>Undrafted</v>
      </c>
      <c r="R141">
        <f ca="1">IFERROR(MAX(P141-LARGE(WRSheetCount,WRStarters),0),0)</f>
        <v>0</v>
      </c>
      <c r="S141">
        <f ca="1">IFERROR(IF(AllowNegative="Yes",P141-LARGE(WRSheetCount,WRCount),MAX(P141-LARGE(WRSheetCount,WRCount),0)),0)</f>
        <v>-95.749999999999986</v>
      </c>
      <c r="T141" s="85">
        <f ca="1">(S141-R141)*BenchPF+R141*StarterPF</f>
        <v>-17.361093395865421</v>
      </c>
      <c r="U141" s="85">
        <f ca="1">T141*Auction!$A$2</f>
        <v>-17.361093395865421</v>
      </c>
      <c r="V141" s="6" t="str">
        <f>IF(OR(INDEX(Auction!$H$13:$H$656,MATCH(B141,Auction!$A$13:$A$656,0))&gt;0,IFERROR(INDEX(CheatSheet!$V$5:$V$64,MATCH(B141,CheatSheet!$S$5:$S$64,0)),"")&lt;&gt;""),"Yes","No")</f>
        <v>No</v>
      </c>
      <c r="W141" s="179"/>
      <c r="Y141" s="114">
        <f ca="1">IFERROR(SUMIFS($Z$3:$Z283,$Z$3:$Z$195,"&gt;0",$V$3:$V$195,"No")/SUMIF($Z$3:$Z$195,"&gt;0"),0)</f>
        <v>0</v>
      </c>
      <c r="Z141">
        <f t="shared" ca="1" si="6"/>
        <v>-47.874999999999993</v>
      </c>
      <c r="AA141" s="116" t="str">
        <f t="shared" ca="1" si="5"/>
        <v>WR11</v>
      </c>
      <c r="AB141">
        <f ca="1">Z141*LeagueInfo!$H$5</f>
        <v>-17.628931837152567</v>
      </c>
    </row>
    <row r="142" spans="1:28" ht="15.75" thickBot="1" x14ac:dyDescent="0.3">
      <c r="A142">
        <f>RANK(P142,P$3:P$213)</f>
        <v>140</v>
      </c>
      <c r="B142" t="str">
        <f>WR_Raw!A143</f>
        <v>Calvin Austin III</v>
      </c>
      <c r="C142" t="s">
        <v>35</v>
      </c>
      <c r="D142" t="str">
        <f>_xlfn.IFNA(INDEX(BYEs!$E$2:$E$411,MATCH(B142,BYEs!$D$2:$D$411,0)),"N/A")</f>
        <v>N/A</v>
      </c>
      <c r="E142">
        <f>INDEX(BYEs!$B$2:$B$34,MATCH(F142,BYEs!$A$2:$A$34,0))</f>
        <v>9</v>
      </c>
      <c r="F142" t="str">
        <f>WR_Raw!B143</f>
        <v>PIT</v>
      </c>
      <c r="G142" s="206">
        <v>0</v>
      </c>
      <c r="H142" s="207">
        <v>0</v>
      </c>
      <c r="I142" s="204">
        <f>WR_Raw!F143</f>
        <v>0</v>
      </c>
      <c r="J142" s="204">
        <f>WR_Raw!G143</f>
        <v>0</v>
      </c>
      <c r="K142" s="204">
        <f>WR_Raw!H143</f>
        <v>0</v>
      </c>
      <c r="L142" s="206">
        <f>WR_Raw!C143</f>
        <v>13.9</v>
      </c>
      <c r="M142" s="204">
        <f>WR_Raw!D143</f>
        <v>162.6</v>
      </c>
      <c r="N142" s="207">
        <f>WR_Raw!E143</f>
        <v>0.7</v>
      </c>
      <c r="O142" s="204">
        <f>WR_Raw!I143</f>
        <v>0.1</v>
      </c>
      <c r="P142" s="208">
        <f>(J142*WRRushingYd)+(K142*WRRushingTD)+(L142*WRRec)+(M142*WRRecYd)+(N142*WRRecTD)+(O142*WRFuml)+(I142*WRRushAtt)</f>
        <v>27.21</v>
      </c>
      <c r="Q142" t="str">
        <f ca="1">IF(A142&lt;=WRStarters,"Starter",IF(A142&gt;WRStarters+WRBench,"Undrafted","Bench"))</f>
        <v>Undrafted</v>
      </c>
      <c r="R142">
        <f ca="1">IFERROR(MAX(P142-LARGE(WRSheetCount,WRStarters),0),0)</f>
        <v>0</v>
      </c>
      <c r="S142">
        <f ca="1">IFERROR(IF(AllowNegative="Yes",P142-LARGE(WRSheetCount,WRCount),MAX(P142-LARGE(WRSheetCount,WRCount),0)),0)</f>
        <v>-96.399999999999977</v>
      </c>
      <c r="T142" s="85">
        <f ca="1">(S142-R142)*BenchPF+R142*StarterPF</f>
        <v>-17.478949382364764</v>
      </c>
      <c r="U142" s="85">
        <f ca="1">T142*Auction!$A$2</f>
        <v>-17.478949382364764</v>
      </c>
      <c r="V142" s="6" t="str">
        <f>IF(OR(INDEX(Auction!$H$13:$H$656,MATCH(B142,Auction!$A$13:$A$656,0))&gt;0,IFERROR(INDEX(CheatSheet!$V$5:$V$64,MATCH(B142,CheatSheet!$S$5:$S$64,0)),"")&lt;&gt;""),"Yes","No")</f>
        <v>No</v>
      </c>
      <c r="W142" s="179"/>
      <c r="Y142" s="114">
        <f ca="1">IFERROR(SUMIFS($Z$3:$Z284,$Z$3:$Z$195,"&gt;0",$V$3:$V$195,"No")/SUMIF($Z$3:$Z$195,"&gt;0"),0)</f>
        <v>0</v>
      </c>
      <c r="Z142">
        <f t="shared" ca="1" si="6"/>
        <v>-48.199999999999989</v>
      </c>
      <c r="AA142" s="116" t="str">
        <f t="shared" ca="1" si="5"/>
        <v>WR11</v>
      </c>
      <c r="AB142">
        <f ca="1">Z142*LeagueInfo!$H$5</f>
        <v>-17.748606048057518</v>
      </c>
    </row>
    <row r="143" spans="1:28" ht="15.75" thickBot="1" x14ac:dyDescent="0.3">
      <c r="A143">
        <f>RANK(P143,P$3:P$213)</f>
        <v>141</v>
      </c>
      <c r="B143" t="str">
        <f>WR_Raw!A142</f>
        <v>DJ Turner</v>
      </c>
      <c r="C143" t="s">
        <v>35</v>
      </c>
      <c r="D143" t="str">
        <f>_xlfn.IFNA(INDEX(BYEs!$E$2:$E$411,MATCH(B143,BYEs!$D$2:$D$411,0)),"N/A")</f>
        <v>N/A</v>
      </c>
      <c r="E143">
        <f>INDEX(BYEs!$B$2:$B$34,MATCH(F143,BYEs!$A$2:$A$34,0))</f>
        <v>6</v>
      </c>
      <c r="F143" t="str">
        <f>WR_Raw!B142</f>
        <v>LV</v>
      </c>
      <c r="G143" s="206">
        <v>0</v>
      </c>
      <c r="H143" s="207">
        <v>0</v>
      </c>
      <c r="I143" s="204">
        <f>WR_Raw!F142</f>
        <v>0</v>
      </c>
      <c r="J143" s="204">
        <f>WR_Raw!G142</f>
        <v>0</v>
      </c>
      <c r="K143" s="204">
        <f>WR_Raw!H142</f>
        <v>0</v>
      </c>
      <c r="L143" s="206">
        <f>WR_Raw!C142</f>
        <v>12.1</v>
      </c>
      <c r="M143" s="204">
        <f>WR_Raw!D142</f>
        <v>145</v>
      </c>
      <c r="N143" s="207">
        <f>WR_Raw!E142</f>
        <v>1</v>
      </c>
      <c r="O143" s="204">
        <f>WR_Raw!I142</f>
        <v>0</v>
      </c>
      <c r="P143" s="208">
        <f>(J143*WRRushingYd)+(K143*WRRushingTD)+(L143*WRRec)+(M143*WRRecYd)+(N143*WRRecTD)+(O143*WRFuml)+(I143*WRRushAtt)</f>
        <v>26.55</v>
      </c>
      <c r="Q143" t="str">
        <f ca="1">IF(A143&lt;=WRStarters,"Starter",IF(A143&gt;WRStarters+WRBench,"Undrafted","Bench"))</f>
        <v>Undrafted</v>
      </c>
      <c r="R143">
        <f ca="1">IFERROR(MAX(P143-LARGE(WRSheetCount,WRStarters),0),0)</f>
        <v>0</v>
      </c>
      <c r="S143">
        <f ca="1">IFERROR(IF(AllowNegative="Yes",P143-LARGE(WRSheetCount,WRCount),MAX(P143-LARGE(WRSheetCount,WRCount),0)),0)</f>
        <v>-97.059999999999988</v>
      </c>
      <c r="T143" s="85">
        <f ca="1">(S143-R143)*BenchPF+R143*StarterPF</f>
        <v>-17.59861853788718</v>
      </c>
      <c r="U143" s="85">
        <f ca="1">T143*Auction!$A$2</f>
        <v>-17.59861853788718</v>
      </c>
      <c r="V143" s="6" t="str">
        <f>IF(OR(INDEX(Auction!$H$13:$H$656,MATCH(B143,Auction!$A$13:$A$656,0))&gt;0,IFERROR(INDEX(CheatSheet!$V$5:$V$64,MATCH(B143,CheatSheet!$S$5:$S$64,0)),"")&lt;&gt;""),"Yes","No")</f>
        <v>No</v>
      </c>
      <c r="W143" s="179"/>
      <c r="Y143" s="114">
        <f ca="1">IFERROR(SUMIFS($Z$3:$Z285,$Z$3:$Z$195,"&gt;0",$V$3:$V$195,"No")/SUMIF($Z$3:$Z$195,"&gt;0"),0)</f>
        <v>0</v>
      </c>
      <c r="Z143">
        <f t="shared" ca="1" si="6"/>
        <v>-48.529999999999994</v>
      </c>
      <c r="AA143" s="116" t="str">
        <f t="shared" ca="1" si="5"/>
        <v>WR11</v>
      </c>
      <c r="AB143">
        <f ca="1">Z143*LeagueInfo!$H$5</f>
        <v>-17.870121400668701</v>
      </c>
    </row>
    <row r="144" spans="1:28" ht="15.75" thickBot="1" x14ac:dyDescent="0.3">
      <c r="A144">
        <f>RANK(P144,P$3:P$213)</f>
        <v>142</v>
      </c>
      <c r="B144" t="str">
        <f>WR_Raw!A144</f>
        <v>Lynn Bowden Jr.</v>
      </c>
      <c r="C144" t="s">
        <v>35</v>
      </c>
      <c r="D144" t="str">
        <f>_xlfn.IFNA(INDEX(BYEs!$E$2:$E$411,MATCH(B144,BYEs!$D$2:$D$411,0)),"N/A")</f>
        <v>N/A</v>
      </c>
      <c r="E144">
        <f>INDEX(BYEs!$B$2:$B$34,MATCH(F144,BYEs!$A$2:$A$34,0))</f>
        <v>10</v>
      </c>
      <c r="F144" t="str">
        <f>WR_Raw!B144</f>
        <v>NE</v>
      </c>
      <c r="G144" s="206">
        <v>0</v>
      </c>
      <c r="H144" s="207">
        <v>0</v>
      </c>
      <c r="I144" s="204">
        <f>WR_Raw!F144</f>
        <v>0</v>
      </c>
      <c r="J144" s="204">
        <f>WR_Raw!G144</f>
        <v>0</v>
      </c>
      <c r="K144" s="204">
        <f>WR_Raw!H144</f>
        <v>0</v>
      </c>
      <c r="L144" s="206">
        <f>WR_Raw!C144</f>
        <v>14.3</v>
      </c>
      <c r="M144" s="204">
        <f>WR_Raw!D144</f>
        <v>151.1</v>
      </c>
      <c r="N144" s="207">
        <f>WR_Raw!E144</f>
        <v>0.7</v>
      </c>
      <c r="O144" s="204">
        <f>WR_Raw!I144</f>
        <v>0</v>
      </c>
      <c r="P144" s="208">
        <f>(J144*WRRushingYd)+(K144*WRRushingTD)+(L144*WRRec)+(M144*WRRecYd)+(N144*WRRecTD)+(O144*WRFuml)+(I144*WRRushAtt)</f>
        <v>26.459999999999997</v>
      </c>
      <c r="Q144" t="str">
        <f ca="1">IF(A144&lt;=WRStarters,"Starter",IF(A144&gt;WRStarters+WRBench,"Undrafted","Bench"))</f>
        <v>Undrafted</v>
      </c>
      <c r="R144">
        <f ca="1">IFERROR(MAX(P144-LARGE(WRSheetCount,WRStarters),0),0)</f>
        <v>0</v>
      </c>
      <c r="S144">
        <f ca="1">IFERROR(IF(AllowNegative="Yes",P144-LARGE(WRSheetCount,WRCount),MAX(P144-LARGE(WRSheetCount,WRCount),0)),0)</f>
        <v>-97.149999999999991</v>
      </c>
      <c r="T144" s="85">
        <f ca="1">(S144-R144)*BenchPF+R144*StarterPF</f>
        <v>-17.614937059094785</v>
      </c>
      <c r="U144" s="85">
        <f ca="1">T144*Auction!$A$2</f>
        <v>-17.614937059094785</v>
      </c>
      <c r="V144" s="6" t="str">
        <f>IF(OR(INDEX(Auction!$H$13:$H$656,MATCH(B144,Auction!$A$13:$A$656,0))&gt;0,IFERROR(INDEX(CheatSheet!$V$5:$V$64,MATCH(B144,CheatSheet!$S$5:$S$64,0)),"")&lt;&gt;""),"Yes","No")</f>
        <v>No</v>
      </c>
      <c r="W144" s="179"/>
      <c r="Y144" s="114">
        <f ca="1">IFERROR(SUMIFS($Z$3:$Z286,$Z$3:$Z$195,"&gt;0",$V$3:$V$195,"No")/SUMIF($Z$3:$Z$195,"&gt;0"),0)</f>
        <v>0</v>
      </c>
      <c r="Z144">
        <f t="shared" ca="1" si="6"/>
        <v>-48.574999999999996</v>
      </c>
      <c r="AA144" s="116" t="str">
        <f t="shared" ca="1" si="5"/>
        <v>WR11</v>
      </c>
      <c r="AB144">
        <f ca="1">Z144*LeagueInfo!$H$5</f>
        <v>-17.886691676024771</v>
      </c>
    </row>
    <row r="145" spans="1:28" ht="15.75" thickBot="1" x14ac:dyDescent="0.3">
      <c r="A145">
        <f>RANK(P145,P$3:P$213)</f>
        <v>143</v>
      </c>
      <c r="B145" t="str">
        <f>WR_Raw!A141</f>
        <v>Jalen Reagor</v>
      </c>
      <c r="C145" t="s">
        <v>35</v>
      </c>
      <c r="D145" t="str">
        <f>_xlfn.IFNA(INDEX(BYEs!$E$2:$E$411,MATCH(B145,BYEs!$D$2:$D$411,0)),"N/A")</f>
        <v>N/A</v>
      </c>
      <c r="E145">
        <f>INDEX(BYEs!$B$2:$B$34,MATCH(F145,BYEs!$A$2:$A$34,0))</f>
        <v>7</v>
      </c>
      <c r="F145" t="str">
        <f>WR_Raw!B141</f>
        <v>MIN</v>
      </c>
      <c r="G145" s="206">
        <v>0</v>
      </c>
      <c r="H145" s="207">
        <v>0</v>
      </c>
      <c r="I145" s="204">
        <f>WR_Raw!F141</f>
        <v>1</v>
      </c>
      <c r="J145" s="204">
        <f>WR_Raw!G141</f>
        <v>5.7</v>
      </c>
      <c r="K145" s="204">
        <f>WR_Raw!H141</f>
        <v>0</v>
      </c>
      <c r="L145" s="206">
        <f>WR_Raw!C141</f>
        <v>12.9</v>
      </c>
      <c r="M145" s="204">
        <f>WR_Raw!D141</f>
        <v>141.5</v>
      </c>
      <c r="N145" s="207">
        <f>WR_Raw!E141</f>
        <v>0.9</v>
      </c>
      <c r="O145" s="204">
        <f>WR_Raw!I141</f>
        <v>0.1</v>
      </c>
      <c r="P145" s="208">
        <f>(J145*WRRushingYd)+(K145*WRRushingTD)+(L145*WRRec)+(M145*WRRecYd)+(N145*WRRecTD)+(O145*WRFuml)+(I145*WRRushAtt)</f>
        <v>26.37</v>
      </c>
      <c r="Q145" t="str">
        <f ca="1">IF(A145&lt;=WRStarters,"Starter",IF(A145&gt;WRStarters+WRBench,"Undrafted","Bench"))</f>
        <v>Undrafted</v>
      </c>
      <c r="R145">
        <f ca="1">IFERROR(MAX(P145-LARGE(WRSheetCount,WRStarters),0),0)</f>
        <v>0</v>
      </c>
      <c r="S145">
        <f ca="1">IFERROR(IF(AllowNegative="Yes",P145-LARGE(WRSheetCount,WRCount),MAX(P145-LARGE(WRSheetCount,WRCount),0)),0)</f>
        <v>-97.239999999999981</v>
      </c>
      <c r="T145" s="85">
        <f ca="1">(S145-R145)*BenchPF+R145*StarterPF</f>
        <v>-17.631255580302383</v>
      </c>
      <c r="U145" s="85">
        <f ca="1">T145*Auction!$A$2</f>
        <v>-17.631255580302383</v>
      </c>
      <c r="V145" s="6" t="str">
        <f>IF(OR(INDEX(Auction!$H$13:$H$656,MATCH(B145,Auction!$A$13:$A$656,0))&gt;0,IFERROR(INDEX(CheatSheet!$V$5:$V$64,MATCH(B145,CheatSheet!$S$5:$S$64,0)),"")&lt;&gt;""),"Yes","No")</f>
        <v>No</v>
      </c>
      <c r="W145" s="179"/>
      <c r="Y145" s="114">
        <f ca="1">IFERROR(SUMIFS($Z$3:$Z287,$Z$3:$Z$195,"&gt;0",$V$3:$V$195,"No")/SUMIF($Z$3:$Z$195,"&gt;0"),0)</f>
        <v>0</v>
      </c>
      <c r="Z145">
        <f t="shared" ca="1" si="6"/>
        <v>-48.61999999999999</v>
      </c>
      <c r="AA145" s="116" t="str">
        <f t="shared" ca="1" si="5"/>
        <v>WR11</v>
      </c>
      <c r="AB145">
        <f ca="1">Z145*LeagueInfo!$H$5</f>
        <v>-17.903261951380841</v>
      </c>
    </row>
    <row r="146" spans="1:28" ht="15.75" thickBot="1" x14ac:dyDescent="0.3">
      <c r="A146">
        <f>RANK(P146,P$3:P$213)</f>
        <v>144</v>
      </c>
      <c r="B146" t="str">
        <f>WR_Raw!A147</f>
        <v>Ray-Ray McCloud</v>
      </c>
      <c r="C146" t="s">
        <v>35</v>
      </c>
      <c r="D146" t="str">
        <f>_xlfn.IFNA(INDEX(BYEs!$E$2:$E$411,MATCH(B146,BYEs!$D$2:$D$411,0)),"N/A")</f>
        <v>N/A</v>
      </c>
      <c r="E146">
        <f>INDEX(BYEs!$B$2:$B$34,MATCH(F146,BYEs!$A$2:$A$34,0))</f>
        <v>9</v>
      </c>
      <c r="F146" t="str">
        <f>WR_Raw!B147</f>
        <v>SF</v>
      </c>
      <c r="G146" s="206">
        <v>0</v>
      </c>
      <c r="H146" s="207">
        <v>0</v>
      </c>
      <c r="I146" s="204">
        <f>WR_Raw!F147</f>
        <v>0</v>
      </c>
      <c r="J146" s="204">
        <f>WR_Raw!G147</f>
        <v>0</v>
      </c>
      <c r="K146" s="204">
        <f>WR_Raw!H147</f>
        <v>0</v>
      </c>
      <c r="L146" s="206">
        <f>WR_Raw!C147</f>
        <v>12.3</v>
      </c>
      <c r="M146" s="204">
        <f>WR_Raw!D147</f>
        <v>141.30000000000001</v>
      </c>
      <c r="N146" s="207">
        <f>WR_Raw!E147</f>
        <v>0.8</v>
      </c>
      <c r="O146" s="204">
        <f>WR_Raw!I147</f>
        <v>0</v>
      </c>
      <c r="P146" s="208">
        <f>(J146*WRRushingYd)+(K146*WRRushingTD)+(L146*WRRec)+(M146*WRRecYd)+(N146*WRRecTD)+(O146*WRFuml)+(I146*WRRushAtt)</f>
        <v>25.080000000000002</v>
      </c>
      <c r="Q146" t="str">
        <f ca="1">IF(A146&lt;=WRStarters,"Starter",IF(A146&gt;WRStarters+WRBench,"Undrafted","Bench"))</f>
        <v>Undrafted</v>
      </c>
      <c r="R146">
        <f ca="1">IFERROR(MAX(P146-LARGE(WRSheetCount,WRStarters),0),0)</f>
        <v>0</v>
      </c>
      <c r="S146">
        <f ca="1">IFERROR(IF(AllowNegative="Yes",P146-LARGE(WRSheetCount,WRCount),MAX(P146-LARGE(WRSheetCount,WRCount),0)),0)</f>
        <v>-98.529999999999987</v>
      </c>
      <c r="T146" s="85">
        <f ca="1">(S146-R146)*BenchPF+R146*StarterPF</f>
        <v>-17.865154384278014</v>
      </c>
      <c r="U146" s="85">
        <f ca="1">T146*Auction!$A$2</f>
        <v>-17.865154384278014</v>
      </c>
      <c r="V146" s="6" t="str">
        <f>IF(OR(INDEX(Auction!$H$13:$H$656,MATCH(B146,Auction!$A$13:$A$656,0))&gt;0,IFERROR(INDEX(CheatSheet!$V$5:$V$64,MATCH(B146,CheatSheet!$S$5:$S$64,0)),"")&lt;&gt;""),"Yes","No")</f>
        <v>No</v>
      </c>
      <c r="W146" s="179"/>
      <c r="Y146" s="114">
        <f ca="1">IFERROR(SUMIFS($Z$3:$Z288,$Z$3:$Z$195,"&gt;0",$V$3:$V$195,"No")/SUMIF($Z$3:$Z$195,"&gt;0"),0)</f>
        <v>0</v>
      </c>
      <c r="Z146">
        <f t="shared" ca="1" si="6"/>
        <v>-49.264999999999993</v>
      </c>
      <c r="AA146" s="116" t="str">
        <f t="shared" ca="1" si="5"/>
        <v>WR11</v>
      </c>
      <c r="AB146">
        <f ca="1">Z146*LeagueInfo!$H$5</f>
        <v>-18.140769231484516</v>
      </c>
    </row>
    <row r="147" spans="1:28" ht="15.75" thickBot="1" x14ac:dyDescent="0.3">
      <c r="A147">
        <f>RANK(P147,P$3:P$213)</f>
        <v>145</v>
      </c>
      <c r="B147" t="str">
        <f>WR_Raw!A146</f>
        <v>Antoine Wesley</v>
      </c>
      <c r="C147" t="s">
        <v>35</v>
      </c>
      <c r="D147" t="str">
        <f>_xlfn.IFNA(INDEX(BYEs!$E$2:$E$411,MATCH(B147,BYEs!$D$2:$D$411,0)),"N/A")</f>
        <v>N/A</v>
      </c>
      <c r="E147">
        <f>INDEX(BYEs!$B$2:$B$34,MATCH(F147,BYEs!$A$2:$A$34,0))</f>
        <v>13</v>
      </c>
      <c r="F147" t="str">
        <f>WR_Raw!B146</f>
        <v>ARI</v>
      </c>
      <c r="G147" s="206">
        <v>0</v>
      </c>
      <c r="H147" s="207">
        <v>0</v>
      </c>
      <c r="I147" s="204">
        <f>WR_Raw!F146</f>
        <v>0</v>
      </c>
      <c r="J147" s="204">
        <f>WR_Raw!G146</f>
        <v>0</v>
      </c>
      <c r="K147" s="204">
        <f>WR_Raw!H146</f>
        <v>0</v>
      </c>
      <c r="L147" s="206">
        <f>WR_Raw!C146</f>
        <v>11.1</v>
      </c>
      <c r="M147" s="204">
        <f>WR_Raw!D146</f>
        <v>137.4</v>
      </c>
      <c r="N147" s="207">
        <f>WR_Raw!E146</f>
        <v>0.9</v>
      </c>
      <c r="O147" s="204">
        <f>WR_Raw!I146</f>
        <v>0</v>
      </c>
      <c r="P147" s="208">
        <f>(J147*WRRushingYd)+(K147*WRRushingTD)+(L147*WRRec)+(M147*WRRecYd)+(N147*WRRecTD)+(O147*WRFuml)+(I147*WRRushAtt)</f>
        <v>24.690000000000005</v>
      </c>
      <c r="Q147" t="str">
        <f ca="1">IF(A147&lt;=WRStarters,"Starter",IF(A147&gt;WRStarters+WRBench,"Undrafted","Bench"))</f>
        <v>Undrafted</v>
      </c>
      <c r="R147">
        <f ca="1">IFERROR(MAX(P147-LARGE(WRSheetCount,WRStarters),0),0)</f>
        <v>0</v>
      </c>
      <c r="S147">
        <f ca="1">IFERROR(IF(AllowNegative="Yes",P147-LARGE(WRSheetCount,WRCount),MAX(P147-LARGE(WRSheetCount,WRCount),0)),0)</f>
        <v>-98.919999999999987</v>
      </c>
      <c r="T147" s="85">
        <f ca="1">(S147-R147)*BenchPF+R147*StarterPF</f>
        <v>-17.935867976177622</v>
      </c>
      <c r="U147" s="85">
        <f ca="1">T147*Auction!$A$2</f>
        <v>-17.935867976177622</v>
      </c>
      <c r="V147" s="6" t="str">
        <f>IF(OR(INDEX(Auction!$H$13:$H$656,MATCH(B147,Auction!$A$13:$A$656,0))&gt;0,IFERROR(INDEX(CheatSheet!$V$5:$V$64,MATCH(B147,CheatSheet!$S$5:$S$64,0)),"")&lt;&gt;""),"Yes","No")</f>
        <v>No</v>
      </c>
      <c r="W147" s="179"/>
      <c r="Y147" s="114">
        <f ca="1">IFERROR(SUMIFS($Z$3:$Z289,$Z$3:$Z$195,"&gt;0",$V$3:$V$195,"No")/SUMIF($Z$3:$Z$195,"&gt;0"),0)</f>
        <v>0</v>
      </c>
      <c r="Z147">
        <f t="shared" ca="1" si="6"/>
        <v>-49.459999999999994</v>
      </c>
      <c r="AA147" s="116" t="str">
        <f t="shared" ca="1" si="5"/>
        <v>WR11</v>
      </c>
      <c r="AB147">
        <f ca="1">Z147*LeagueInfo!$H$5</f>
        <v>-18.212573758027489</v>
      </c>
    </row>
    <row r="148" spans="1:28" ht="15.75" thickBot="1" x14ac:dyDescent="0.3">
      <c r="A148">
        <f>RANK(P148,P$3:P$213)</f>
        <v>146</v>
      </c>
      <c r="B148" t="str">
        <f>WR_Raw!A145</f>
        <v>Deonte Harty</v>
      </c>
      <c r="C148" t="s">
        <v>35</v>
      </c>
      <c r="D148" t="str">
        <f>_xlfn.IFNA(INDEX(BYEs!$E$2:$E$411,MATCH(B148,BYEs!$D$2:$D$411,0)),"N/A")</f>
        <v>N/A</v>
      </c>
      <c r="E148">
        <f>INDEX(BYEs!$B$2:$B$34,MATCH(F148,BYEs!$A$2:$A$34,0))</f>
        <v>14</v>
      </c>
      <c r="F148" t="str">
        <f>WR_Raw!B145</f>
        <v>NO</v>
      </c>
      <c r="G148" s="206">
        <v>0</v>
      </c>
      <c r="H148" s="207">
        <v>0</v>
      </c>
      <c r="I148" s="204">
        <f>WR_Raw!F145</f>
        <v>4.3</v>
      </c>
      <c r="J148" s="204">
        <f>WR_Raw!G145</f>
        <v>30</v>
      </c>
      <c r="K148" s="204">
        <f>WR_Raw!H145</f>
        <v>0.1</v>
      </c>
      <c r="L148" s="206">
        <f>WR_Raw!C145</f>
        <v>8.1</v>
      </c>
      <c r="M148" s="204">
        <f>WR_Raw!D145</f>
        <v>112.3</v>
      </c>
      <c r="N148" s="207">
        <f>WR_Raw!E145</f>
        <v>0.8</v>
      </c>
      <c r="O148" s="204">
        <f>WR_Raw!I145</f>
        <v>0.1</v>
      </c>
      <c r="P148" s="208">
        <f>(J148*WRRushingYd)+(K148*WRRushingTD)+(L148*WRRec)+(M148*WRRecYd)+(N148*WRRecTD)+(O148*WRFuml)+(I148*WRRushAtt)</f>
        <v>23.480000000000004</v>
      </c>
      <c r="Q148" t="str">
        <f ca="1">IF(A148&lt;=WRStarters,"Starter",IF(A148&gt;WRStarters+WRBench,"Undrafted","Bench"))</f>
        <v>Undrafted</v>
      </c>
      <c r="R148">
        <f ca="1">IFERROR(MAX(P148-LARGE(WRSheetCount,WRStarters),0),0)</f>
        <v>0</v>
      </c>
      <c r="S148">
        <f ca="1">IFERROR(IF(AllowNegative="Yes",P148-LARGE(WRSheetCount,WRCount),MAX(P148-LARGE(WRSheetCount,WRCount),0)),0)</f>
        <v>-100.12999999999998</v>
      </c>
      <c r="T148" s="85">
        <f ca="1">(S148-R148)*BenchPF+R148*StarterPF</f>
        <v>-18.155261427968714</v>
      </c>
      <c r="U148" s="85">
        <f ca="1">T148*Auction!$A$2</f>
        <v>-18.155261427968714</v>
      </c>
      <c r="V148" s="6" t="str">
        <f>IF(OR(INDEX(Auction!$H$13:$H$656,MATCH(B148,Auction!$A$13:$A$656,0))&gt;0,IFERROR(INDEX(CheatSheet!$V$5:$V$64,MATCH(B148,CheatSheet!$S$5:$S$64,0)),"")&lt;&gt;""),"Yes","No")</f>
        <v>No</v>
      </c>
      <c r="W148" s="179"/>
      <c r="Y148" s="114">
        <f ca="1">IFERROR(SUMIFS($Z$3:$Z290,$Z$3:$Z$195,"&gt;0",$V$3:$V$195,"No")/SUMIF($Z$3:$Z$195,"&gt;0"),0)</f>
        <v>0</v>
      </c>
      <c r="Z148">
        <f t="shared" ca="1" si="6"/>
        <v>-50.064999999999991</v>
      </c>
      <c r="AA148" s="116" t="str">
        <f t="shared" ca="1" si="5"/>
        <v>WR11</v>
      </c>
      <c r="AB148">
        <f ca="1">Z148*LeagueInfo!$H$5</f>
        <v>-18.435351904481319</v>
      </c>
    </row>
    <row r="149" spans="1:28" ht="15.75" thickBot="1" x14ac:dyDescent="0.3">
      <c r="A149">
        <f>RANK(P149,P$3:P$213)</f>
        <v>147</v>
      </c>
      <c r="B149" t="str">
        <f>WR_Raw!A153</f>
        <v>Dareke Young</v>
      </c>
      <c r="C149" t="s">
        <v>35</v>
      </c>
      <c r="D149" t="str">
        <f>_xlfn.IFNA(INDEX(BYEs!$E$2:$E$411,MATCH(B149,BYEs!$D$2:$D$411,0)),"N/A")</f>
        <v>N/A</v>
      </c>
      <c r="E149">
        <f>INDEX(BYEs!$B$2:$B$34,MATCH(F149,BYEs!$A$2:$A$34,0))</f>
        <v>11</v>
      </c>
      <c r="F149" t="str">
        <f>WR_Raw!B153</f>
        <v>SEA</v>
      </c>
      <c r="G149" s="206">
        <v>0</v>
      </c>
      <c r="H149" s="207">
        <v>0</v>
      </c>
      <c r="I149" s="204">
        <f>WR_Raw!F153</f>
        <v>0</v>
      </c>
      <c r="J149" s="204">
        <f>WR_Raw!G153</f>
        <v>0</v>
      </c>
      <c r="K149" s="204">
        <f>WR_Raw!H153</f>
        <v>0</v>
      </c>
      <c r="L149" s="206">
        <f>WR_Raw!C153</f>
        <v>11.1</v>
      </c>
      <c r="M149" s="204">
        <f>WR_Raw!D153</f>
        <v>132.6</v>
      </c>
      <c r="N149" s="207">
        <f>WR_Raw!E153</f>
        <v>0.7</v>
      </c>
      <c r="O149" s="204">
        <f>WR_Raw!I153</f>
        <v>0</v>
      </c>
      <c r="P149" s="208">
        <f>(J149*WRRushingYd)+(K149*WRRushingTD)+(L149*WRRec)+(M149*WRRecYd)+(N149*WRRecTD)+(O149*WRFuml)+(I149*WRRushAtt)</f>
        <v>23.009999999999998</v>
      </c>
      <c r="Q149" t="str">
        <f ca="1">IF(A149&lt;=WRStarters,"Starter",IF(A149&gt;WRStarters+WRBench,"Undrafted","Bench"))</f>
        <v>Undrafted</v>
      </c>
      <c r="R149">
        <f ca="1">IFERROR(MAX(P149-LARGE(WRSheetCount,WRStarters),0),0)</f>
        <v>0</v>
      </c>
      <c r="S149">
        <f ca="1">IFERROR(IF(AllowNegative="Yes",P149-LARGE(WRSheetCount,WRCount),MAX(P149-LARGE(WRSheetCount,WRCount),0)),0)</f>
        <v>-100.6</v>
      </c>
      <c r="T149" s="85">
        <f ca="1">(S149-R149)*BenchPF+R149*StarterPF</f>
        <v>-18.240480372052861</v>
      </c>
      <c r="U149" s="85">
        <f ca="1">T149*Auction!$A$2</f>
        <v>-18.240480372052861</v>
      </c>
      <c r="V149" s="6" t="str">
        <f>IF(OR(INDEX(Auction!$H$13:$H$656,MATCH(B149,Auction!$A$13:$A$656,0))&gt;0,IFERROR(INDEX(CheatSheet!$V$5:$V$64,MATCH(B149,CheatSheet!$S$5:$S$64,0)),"")&lt;&gt;""),"Yes","No")</f>
        <v>No</v>
      </c>
      <c r="W149" s="179"/>
      <c r="Y149" s="114">
        <f ca="1">IFERROR(SUMIFS($Z$3:$Z291,$Z$3:$Z$195,"&gt;0",$V$3:$V$195,"No")/SUMIF($Z$3:$Z$195,"&gt;0"),0)</f>
        <v>0</v>
      </c>
      <c r="Z149">
        <f t="shared" ca="1" si="6"/>
        <v>-50.3</v>
      </c>
      <c r="AA149" s="116" t="str">
        <f t="shared" ca="1" si="5"/>
        <v>WR11</v>
      </c>
      <c r="AB149">
        <f ca="1">Z149*LeagueInfo!$H$5</f>
        <v>-18.521885564674136</v>
      </c>
    </row>
    <row r="150" spans="1:28" ht="15.75" thickBot="1" x14ac:dyDescent="0.3">
      <c r="A150">
        <f>RANK(P150,P$3:P$213)</f>
        <v>148</v>
      </c>
      <c r="B150" t="str">
        <f>WR_Raw!A149</f>
        <v>Erik Ezukanma</v>
      </c>
      <c r="C150" t="s">
        <v>35</v>
      </c>
      <c r="D150" t="str">
        <f>_xlfn.IFNA(INDEX(BYEs!$E$2:$E$411,MATCH(B150,BYEs!$D$2:$D$411,0)),"N/A")</f>
        <v>N/A</v>
      </c>
      <c r="E150">
        <f>INDEX(BYEs!$B$2:$B$34,MATCH(F150,BYEs!$A$2:$A$34,0))</f>
        <v>11</v>
      </c>
      <c r="F150" t="str">
        <f>WR_Raw!B149</f>
        <v>MIA</v>
      </c>
      <c r="G150" s="206">
        <v>0</v>
      </c>
      <c r="H150" s="207">
        <v>0</v>
      </c>
      <c r="I150" s="204">
        <f>WR_Raw!F149</f>
        <v>0</v>
      </c>
      <c r="J150" s="204">
        <f>WR_Raw!G149</f>
        <v>0</v>
      </c>
      <c r="K150" s="204">
        <f>WR_Raw!H149</f>
        <v>0</v>
      </c>
      <c r="L150" s="206">
        <f>WR_Raw!C149</f>
        <v>9.6999999999999993</v>
      </c>
      <c r="M150" s="204">
        <f>WR_Raw!D149</f>
        <v>132.6</v>
      </c>
      <c r="N150" s="207">
        <f>WR_Raw!E149</f>
        <v>0.8</v>
      </c>
      <c r="O150" s="204">
        <f>WR_Raw!I149</f>
        <v>0</v>
      </c>
      <c r="P150" s="208">
        <f>(J150*WRRushingYd)+(K150*WRRushingTD)+(L150*WRRec)+(M150*WRRecYd)+(N150*WRRecTD)+(O150*WRFuml)+(I150*WRRushAtt)</f>
        <v>22.91</v>
      </c>
      <c r="Q150" t="str">
        <f ca="1">IF(A150&lt;=WRStarters,"Starter",IF(A150&gt;WRStarters+WRBench,"Undrafted","Bench"))</f>
        <v>Undrafted</v>
      </c>
      <c r="R150">
        <f ca="1">IFERROR(MAX(P150-LARGE(WRSheetCount,WRStarters),0),0)</f>
        <v>0</v>
      </c>
      <c r="S150">
        <f ca="1">IFERROR(IF(AllowNegative="Yes",P150-LARGE(WRSheetCount,WRCount),MAX(P150-LARGE(WRSheetCount,WRCount),0)),0)</f>
        <v>-100.69999999999999</v>
      </c>
      <c r="T150" s="85">
        <f ca="1">(S150-R150)*BenchPF+R150*StarterPF</f>
        <v>-18.258612062283529</v>
      </c>
      <c r="U150" s="85">
        <f ca="1">T150*Auction!$A$2</f>
        <v>-18.258612062283529</v>
      </c>
      <c r="V150" s="6" t="str">
        <f>IF(OR(INDEX(Auction!$H$13:$H$656,MATCH(B150,Auction!$A$13:$A$656,0))&gt;0,IFERROR(INDEX(CheatSheet!$V$5:$V$64,MATCH(B150,CheatSheet!$S$5:$S$64,0)),"")&lt;&gt;""),"Yes","No")</f>
        <v>No</v>
      </c>
      <c r="W150" s="179"/>
      <c r="Y150" s="114">
        <f ca="1">IFERROR(SUMIFS($Z$3:$Z292,$Z$3:$Z$195,"&gt;0",$V$3:$V$195,"No")/SUMIF($Z$3:$Z$195,"&gt;0"),0)</f>
        <v>0</v>
      </c>
      <c r="Z150">
        <f t="shared" ca="1" si="6"/>
        <v>-50.349999999999994</v>
      </c>
      <c r="AA150" s="116" t="str">
        <f t="shared" ca="1" si="5"/>
        <v>WR11</v>
      </c>
      <c r="AB150">
        <f ca="1">Z150*LeagueInfo!$H$5</f>
        <v>-18.540296981736432</v>
      </c>
    </row>
    <row r="151" spans="1:28" ht="15.75" thickBot="1" x14ac:dyDescent="0.3">
      <c r="A151">
        <f>RANK(P151,P$3:P$213)</f>
        <v>148</v>
      </c>
      <c r="B151" t="str">
        <f>WR_Raw!A150</f>
        <v>Tyrie Cleveland</v>
      </c>
      <c r="C151" t="s">
        <v>35</v>
      </c>
      <c r="D151" t="str">
        <f>_xlfn.IFNA(INDEX(BYEs!$E$2:$E$411,MATCH(B151,BYEs!$D$2:$D$411,0)),"N/A")</f>
        <v>N/A</v>
      </c>
      <c r="E151">
        <f>INDEX(BYEs!$B$2:$B$34,MATCH(F151,BYEs!$A$2:$A$34,0))</f>
        <v>9</v>
      </c>
      <c r="F151" t="str">
        <f>WR_Raw!B150</f>
        <v>DEN</v>
      </c>
      <c r="G151" s="206">
        <v>0</v>
      </c>
      <c r="H151" s="207">
        <v>0</v>
      </c>
      <c r="I151" s="204">
        <f>WR_Raw!F150</f>
        <v>0</v>
      </c>
      <c r="J151" s="204">
        <f>WR_Raw!G150</f>
        <v>0</v>
      </c>
      <c r="K151" s="204">
        <f>WR_Raw!H150</f>
        <v>0</v>
      </c>
      <c r="L151" s="206">
        <f>WR_Raw!C150</f>
        <v>10.3</v>
      </c>
      <c r="M151" s="204">
        <f>WR_Raw!D150</f>
        <v>125.6</v>
      </c>
      <c r="N151" s="207">
        <f>WR_Raw!E150</f>
        <v>0.9</v>
      </c>
      <c r="O151" s="204">
        <f>WR_Raw!I150</f>
        <v>0.1</v>
      </c>
      <c r="P151" s="208">
        <f>(J151*WRRushingYd)+(K151*WRRushingTD)+(L151*WRRec)+(M151*WRRecYd)+(N151*WRRecTD)+(O151*WRFuml)+(I151*WRRushAtt)</f>
        <v>22.91</v>
      </c>
      <c r="Q151" t="str">
        <f ca="1">IF(A151&lt;=WRStarters,"Starter",IF(A151&gt;WRStarters+WRBench,"Undrafted","Bench"))</f>
        <v>Undrafted</v>
      </c>
      <c r="R151">
        <f ca="1">IFERROR(MAX(P151-LARGE(WRSheetCount,WRStarters),0),0)</f>
        <v>0</v>
      </c>
      <c r="S151">
        <f ca="1">IFERROR(IF(AllowNegative="Yes",P151-LARGE(WRSheetCount,WRCount),MAX(P151-LARGE(WRSheetCount,WRCount),0)),0)</f>
        <v>-100.69999999999999</v>
      </c>
      <c r="T151" s="85">
        <f ca="1">(S151-R151)*BenchPF+R151*StarterPF</f>
        <v>-18.258612062283529</v>
      </c>
      <c r="U151" s="85">
        <f ca="1">T151*Auction!$A$2</f>
        <v>-18.258612062283529</v>
      </c>
      <c r="V151" s="6" t="str">
        <f>IF(OR(INDEX(Auction!$H$13:$H$656,MATCH(B151,Auction!$A$13:$A$656,0))&gt;0,IFERROR(INDEX(CheatSheet!$V$5:$V$64,MATCH(B151,CheatSheet!$S$5:$S$64,0)),"")&lt;&gt;""),"Yes","No")</f>
        <v>No</v>
      </c>
      <c r="W151" s="179"/>
      <c r="Y151" s="114">
        <f ca="1">IFERROR(SUMIFS($Z$3:$Z293,$Z$3:$Z$195,"&gt;0",$V$3:$V$195,"No")/SUMIF($Z$3:$Z$195,"&gt;0"),0)</f>
        <v>0</v>
      </c>
      <c r="Z151">
        <f t="shared" ca="1" si="6"/>
        <v>-50.349999999999994</v>
      </c>
      <c r="AA151" s="116" t="str">
        <f t="shared" ca="1" si="5"/>
        <v>WR11</v>
      </c>
      <c r="AB151">
        <f ca="1">Z151*LeagueInfo!$H$5</f>
        <v>-18.540296981736432</v>
      </c>
    </row>
    <row r="152" spans="1:28" ht="15.75" thickBot="1" x14ac:dyDescent="0.3">
      <c r="A152">
        <f>RANK(P152,P$3:P$213)</f>
        <v>150</v>
      </c>
      <c r="B152" t="str">
        <f>WR_Raw!A154</f>
        <v>Tylan Wallace</v>
      </c>
      <c r="C152" t="s">
        <v>35</v>
      </c>
      <c r="D152" t="str">
        <f>_xlfn.IFNA(INDEX(BYEs!$E$2:$E$411,MATCH(B152,BYEs!$D$2:$D$411,0)),"N/A")</f>
        <v>N/A</v>
      </c>
      <c r="E152">
        <f>INDEX(BYEs!$B$2:$B$34,MATCH(F152,BYEs!$A$2:$A$34,0))</f>
        <v>10</v>
      </c>
      <c r="F152" t="str">
        <f>WR_Raw!B154</f>
        <v>BAL</v>
      </c>
      <c r="G152" s="206">
        <v>0</v>
      </c>
      <c r="H152" s="207">
        <v>0</v>
      </c>
      <c r="I152" s="204">
        <f>WR_Raw!F154</f>
        <v>0</v>
      </c>
      <c r="J152" s="204">
        <f>WR_Raw!G154</f>
        <v>0</v>
      </c>
      <c r="K152" s="204">
        <f>WR_Raw!H154</f>
        <v>0</v>
      </c>
      <c r="L152" s="206">
        <f>WR_Raw!C154</f>
        <v>9.9</v>
      </c>
      <c r="M152" s="204">
        <f>WR_Raw!D154</f>
        <v>129.30000000000001</v>
      </c>
      <c r="N152" s="207">
        <f>WR_Raw!E154</f>
        <v>0.8</v>
      </c>
      <c r="O152" s="204">
        <f>WR_Raw!I154</f>
        <v>0</v>
      </c>
      <c r="P152" s="208">
        <f>(J152*WRRushingYd)+(K152*WRRushingTD)+(L152*WRRec)+(M152*WRRecYd)+(N152*WRRecTD)+(O152*WRFuml)+(I152*WRRushAtt)</f>
        <v>22.680000000000003</v>
      </c>
      <c r="Q152" t="str">
        <f ca="1">IF(A152&lt;=WRStarters,"Starter",IF(A152&gt;WRStarters+WRBench,"Undrafted","Bench"))</f>
        <v>Undrafted</v>
      </c>
      <c r="R152">
        <f ca="1">IFERROR(MAX(P152-LARGE(WRSheetCount,WRStarters),0),0)</f>
        <v>0</v>
      </c>
      <c r="S152">
        <f ca="1">IFERROR(IF(AllowNegative="Yes",P152-LARGE(WRSheetCount,WRCount),MAX(P152-LARGE(WRSheetCount,WRCount),0)),0)</f>
        <v>-100.92999999999998</v>
      </c>
      <c r="T152" s="85">
        <f ca="1">(S152-R152)*BenchPF+R152*StarterPF</f>
        <v>-18.300314949814066</v>
      </c>
      <c r="U152" s="85">
        <f ca="1">T152*Auction!$A$2</f>
        <v>-18.300314949814066</v>
      </c>
      <c r="V152" s="6" t="str">
        <f>IF(OR(INDEX(Auction!$H$13:$H$656,MATCH(B152,Auction!$A$13:$A$656,0))&gt;0,IFERROR(INDEX(CheatSheet!$V$5:$V$64,MATCH(B152,CheatSheet!$S$5:$S$64,0)),"")&lt;&gt;""),"Yes","No")</f>
        <v>No</v>
      </c>
      <c r="W152" s="179"/>
      <c r="Y152" s="114">
        <f ca="1">IFERROR(SUMIFS($Z$3:$Z294,$Z$3:$Z$195,"&gt;0",$V$3:$V$195,"No")/SUMIF($Z$3:$Z$195,"&gt;0"),0)</f>
        <v>0</v>
      </c>
      <c r="Z152">
        <f t="shared" ca="1" si="6"/>
        <v>-50.464999999999989</v>
      </c>
      <c r="AA152" s="116" t="str">
        <f t="shared" ca="1" si="5"/>
        <v>WR11</v>
      </c>
      <c r="AB152">
        <f ca="1">Z152*LeagueInfo!$H$5</f>
        <v>-18.582643240979724</v>
      </c>
    </row>
    <row r="153" spans="1:28" ht="15.75" thickBot="1" x14ac:dyDescent="0.3">
      <c r="A153">
        <f>RANK(P153,P$3:P$213)</f>
        <v>150</v>
      </c>
      <c r="B153" t="str">
        <f>WR_Raw!A152</f>
        <v>Cam Sims</v>
      </c>
      <c r="C153" t="s">
        <v>35</v>
      </c>
      <c r="D153" t="str">
        <f>_xlfn.IFNA(INDEX(BYEs!$E$2:$E$411,MATCH(B153,BYEs!$D$2:$D$411,0)),"N/A")</f>
        <v>N/A</v>
      </c>
      <c r="E153">
        <f>INDEX(BYEs!$B$2:$B$34,MATCH(F153,BYEs!$A$2:$A$34,0))</f>
        <v>14</v>
      </c>
      <c r="F153" t="str">
        <f>WR_Raw!B152</f>
        <v>WAS</v>
      </c>
      <c r="G153" s="206">
        <v>0</v>
      </c>
      <c r="H153" s="207">
        <v>0</v>
      </c>
      <c r="I153" s="204">
        <f>WR_Raw!F152</f>
        <v>0</v>
      </c>
      <c r="J153" s="204">
        <f>WR_Raw!G152</f>
        <v>0</v>
      </c>
      <c r="K153" s="204">
        <f>WR_Raw!H152</f>
        <v>0</v>
      </c>
      <c r="L153" s="206">
        <f>WR_Raw!C152</f>
        <v>9.5</v>
      </c>
      <c r="M153" s="204">
        <f>WR_Raw!D152</f>
        <v>131.30000000000001</v>
      </c>
      <c r="N153" s="207">
        <f>WR_Raw!E152</f>
        <v>0.8</v>
      </c>
      <c r="O153" s="204">
        <f>WR_Raw!I152</f>
        <v>0</v>
      </c>
      <c r="P153" s="208">
        <f>(J153*WRRushingYd)+(K153*WRRushingTD)+(L153*WRRec)+(M153*WRRecYd)+(N153*WRRecTD)+(O153*WRFuml)+(I153*WRRushAtt)</f>
        <v>22.680000000000003</v>
      </c>
      <c r="Q153" t="str">
        <f ca="1">IF(A153&lt;=WRStarters,"Starter",IF(A153&gt;WRStarters+WRBench,"Undrafted","Bench"))</f>
        <v>Undrafted</v>
      </c>
      <c r="R153">
        <f ca="1">IFERROR(MAX(P153-LARGE(WRSheetCount,WRStarters),0),0)</f>
        <v>0</v>
      </c>
      <c r="S153">
        <f ca="1">IFERROR(IF(AllowNegative="Yes",P153-LARGE(WRSheetCount,WRCount),MAX(P153-LARGE(WRSheetCount,WRCount),0)),0)</f>
        <v>-100.92999999999998</v>
      </c>
      <c r="T153" s="85">
        <f ca="1">(S153-R153)*BenchPF+R153*StarterPF</f>
        <v>-18.300314949814066</v>
      </c>
      <c r="U153" s="85">
        <f ca="1">T153*Auction!$A$2</f>
        <v>-18.300314949814066</v>
      </c>
      <c r="V153" s="6" t="str">
        <f>IF(OR(INDEX(Auction!$H$13:$H$656,MATCH(B153,Auction!$A$13:$A$656,0))&gt;0,IFERROR(INDEX(CheatSheet!$V$5:$V$64,MATCH(B153,CheatSheet!$S$5:$S$64,0)),"")&lt;&gt;""),"Yes","No")</f>
        <v>No</v>
      </c>
      <c r="W153" s="179"/>
      <c r="Y153" s="114">
        <f ca="1">IFERROR(SUMIFS($Z$3:$Z295,$Z$3:$Z$195,"&gt;0",$V$3:$V$195,"No")/SUMIF($Z$3:$Z$195,"&gt;0"),0)</f>
        <v>0</v>
      </c>
      <c r="Z153">
        <f t="shared" ca="1" si="6"/>
        <v>-50.464999999999989</v>
      </c>
      <c r="AA153" s="116" t="str">
        <f t="shared" ca="1" si="5"/>
        <v>WR11</v>
      </c>
      <c r="AB153">
        <f ca="1">Z153*LeagueInfo!$H$5</f>
        <v>-18.582643240979724</v>
      </c>
    </row>
    <row r="154" spans="1:28" ht="15.75" thickBot="1" x14ac:dyDescent="0.3">
      <c r="A154">
        <f>RANK(P154,P$3:P$213)</f>
        <v>152</v>
      </c>
      <c r="B154" t="str">
        <f>WR_Raw!A151</f>
        <v>Demetric Felton Jr.</v>
      </c>
      <c r="C154" t="s">
        <v>35</v>
      </c>
      <c r="D154" t="str">
        <f>_xlfn.IFNA(INDEX(BYEs!$E$2:$E$411,MATCH(B154,BYEs!$D$2:$D$411,0)),"N/A")</f>
        <v>N/A</v>
      </c>
      <c r="E154">
        <f>INDEX(BYEs!$B$2:$B$34,MATCH(F154,BYEs!$A$2:$A$34,0))</f>
        <v>9</v>
      </c>
      <c r="F154" t="str">
        <f>WR_Raw!B151</f>
        <v>CLE</v>
      </c>
      <c r="G154" s="206">
        <v>0</v>
      </c>
      <c r="H154" s="207">
        <v>0</v>
      </c>
      <c r="I154" s="204">
        <f>WR_Raw!F151</f>
        <v>4.4000000000000004</v>
      </c>
      <c r="J154" s="204">
        <f>WR_Raw!G151</f>
        <v>24.5</v>
      </c>
      <c r="K154" s="204">
        <f>WR_Raw!H151</f>
        <v>0.1</v>
      </c>
      <c r="L154" s="206">
        <f>WR_Raw!C151</f>
        <v>10.3</v>
      </c>
      <c r="M154" s="204">
        <f>WR_Raw!D151</f>
        <v>109.1</v>
      </c>
      <c r="N154" s="207">
        <f>WR_Raw!E151</f>
        <v>0.6</v>
      </c>
      <c r="O154" s="204">
        <f>WR_Raw!I151</f>
        <v>0.1</v>
      </c>
      <c r="P154" s="208">
        <f>(J154*WRRushingYd)+(K154*WRRushingTD)+(L154*WRRec)+(M154*WRRecYd)+(N154*WRRecTD)+(O154*WRFuml)+(I154*WRRushAtt)</f>
        <v>22.51</v>
      </c>
      <c r="Q154" t="str">
        <f ca="1">IF(A154&lt;=WRStarters,"Starter",IF(A154&gt;WRStarters+WRBench,"Undrafted","Bench"))</f>
        <v>Undrafted</v>
      </c>
      <c r="R154">
        <f ca="1">IFERROR(MAX(P154-LARGE(WRSheetCount,WRStarters),0),0)</f>
        <v>0</v>
      </c>
      <c r="S154">
        <f ca="1">IFERROR(IF(AllowNegative="Yes",P154-LARGE(WRSheetCount,WRCount),MAX(P154-LARGE(WRSheetCount,WRCount),0)),0)</f>
        <v>-101.09999999999998</v>
      </c>
      <c r="T154" s="85">
        <f ca="1">(S154-R154)*BenchPF+R154*StarterPF</f>
        <v>-18.331138823206203</v>
      </c>
      <c r="U154" s="85">
        <f ca="1">T154*Auction!$A$2</f>
        <v>-18.331138823206203</v>
      </c>
      <c r="V154" s="6" t="str">
        <f>IF(OR(INDEX(Auction!$H$13:$H$656,MATCH(B154,Auction!$A$13:$A$656,0))&gt;0,IFERROR(INDEX(CheatSheet!$V$5:$V$64,MATCH(B154,CheatSheet!$S$5:$S$64,0)),"")&lt;&gt;""),"Yes","No")</f>
        <v>No</v>
      </c>
      <c r="W154" s="179"/>
      <c r="Y154" s="114">
        <f ca="1">IFERROR(SUMIFS($Z$3:$Z296,$Z$3:$Z$195,"&gt;0",$V$3:$V$195,"No")/SUMIF($Z$3:$Z$195,"&gt;0"),0)</f>
        <v>0</v>
      </c>
      <c r="Z154">
        <f t="shared" ca="1" si="6"/>
        <v>-50.54999999999999</v>
      </c>
      <c r="AA154" s="116" t="str">
        <f t="shared" ca="1" si="5"/>
        <v>WR11</v>
      </c>
      <c r="AB154">
        <f ca="1">Z154*LeagueInfo!$H$5</f>
        <v>-18.613942649985635</v>
      </c>
    </row>
    <row r="155" spans="1:28" ht="15.75" thickBot="1" x14ac:dyDescent="0.3">
      <c r="A155">
        <f>RANK(P155,P$3:P$213)</f>
        <v>153</v>
      </c>
      <c r="B155" t="str">
        <f>WR_Raw!A148</f>
        <v>Richie James Jr.</v>
      </c>
      <c r="C155" t="s">
        <v>35</v>
      </c>
      <c r="D155" t="str">
        <f>_xlfn.IFNA(INDEX(BYEs!$E$2:$E$411,MATCH(B155,BYEs!$D$2:$D$411,0)),"N/A")</f>
        <v>N/A</v>
      </c>
      <c r="E155">
        <f>INDEX(BYEs!$B$2:$B$34,MATCH(F155,BYEs!$A$2:$A$34,0))</f>
        <v>9</v>
      </c>
      <c r="F155" t="str">
        <f>WR_Raw!B148</f>
        <v>NYG</v>
      </c>
      <c r="G155" s="206">
        <v>0</v>
      </c>
      <c r="H155" s="207">
        <v>0</v>
      </c>
      <c r="I155" s="204">
        <f>WR_Raw!F148</f>
        <v>0</v>
      </c>
      <c r="J155" s="204">
        <f>WR_Raw!G148</f>
        <v>0</v>
      </c>
      <c r="K155" s="204">
        <f>WR_Raw!H148</f>
        <v>0</v>
      </c>
      <c r="L155" s="206">
        <f>WR_Raw!C148</f>
        <v>8.6999999999999993</v>
      </c>
      <c r="M155" s="204">
        <f>WR_Raw!D148</f>
        <v>138.4</v>
      </c>
      <c r="N155" s="207">
        <f>WR_Raw!E148</f>
        <v>0.7</v>
      </c>
      <c r="O155" s="204">
        <f>WR_Raw!I148</f>
        <v>0</v>
      </c>
      <c r="P155" s="208">
        <f>(J155*WRRushingYd)+(K155*WRRushingTD)+(L155*WRRec)+(M155*WRRecYd)+(N155*WRRecTD)+(O155*WRFuml)+(I155*WRRushAtt)</f>
        <v>22.39</v>
      </c>
      <c r="Q155" t="str">
        <f ca="1">IF(A155&lt;=WRStarters,"Starter",IF(A155&gt;WRStarters+WRBench,"Undrafted","Bench"))</f>
        <v>Undrafted</v>
      </c>
      <c r="R155">
        <f ca="1">IFERROR(MAX(P155-LARGE(WRSheetCount,WRStarters),0),0)</f>
        <v>0</v>
      </c>
      <c r="S155">
        <f ca="1">IFERROR(IF(AllowNegative="Yes",P155-LARGE(WRSheetCount,WRCount),MAX(P155-LARGE(WRSheetCount,WRCount),0)),0)</f>
        <v>-101.21999999999998</v>
      </c>
      <c r="T155" s="85">
        <f ca="1">(S155-R155)*BenchPF+R155*StarterPF</f>
        <v>-18.352896851483006</v>
      </c>
      <c r="U155" s="85">
        <f ca="1">T155*Auction!$A$2</f>
        <v>-18.352896851483006</v>
      </c>
      <c r="V155" s="6" t="str">
        <f>IF(OR(INDEX(Auction!$H$13:$H$656,MATCH(B155,Auction!$A$13:$A$656,0))&gt;0,IFERROR(INDEX(CheatSheet!$V$5:$V$64,MATCH(B155,CheatSheet!$S$5:$S$64,0)),"")&lt;&gt;""),"Yes","No")</f>
        <v>No</v>
      </c>
      <c r="W155" s="179"/>
      <c r="Y155" s="114">
        <f ca="1">IFERROR(SUMIFS($Z$3:$Z297,$Z$3:$Z$195,"&gt;0",$V$3:$V$195,"No")/SUMIF($Z$3:$Z$195,"&gt;0"),0)</f>
        <v>0</v>
      </c>
      <c r="Z155">
        <f t="shared" ca="1" si="6"/>
        <v>-50.609999999999992</v>
      </c>
      <c r="AA155" s="116" t="str">
        <f t="shared" ca="1" si="5"/>
        <v>WR11</v>
      </c>
      <c r="AB155">
        <f ca="1">Z155*LeagueInfo!$H$5</f>
        <v>-18.636036350460394</v>
      </c>
    </row>
    <row r="156" spans="1:28" ht="15.75" thickBot="1" x14ac:dyDescent="0.3">
      <c r="A156">
        <f>RANK(P156,P$3:P$213)</f>
        <v>154</v>
      </c>
      <c r="B156" t="str">
        <f>WR_Raw!A159</f>
        <v>Kristian Wilkerson</v>
      </c>
      <c r="C156" t="s">
        <v>35</v>
      </c>
      <c r="D156" t="str">
        <f>_xlfn.IFNA(INDEX(BYEs!$E$2:$E$411,MATCH(B156,BYEs!$D$2:$D$411,0)),"N/A")</f>
        <v>N/A</v>
      </c>
      <c r="E156">
        <f>INDEX(BYEs!$B$2:$B$34,MATCH(F156,BYEs!$A$2:$A$34,0))</f>
        <v>10</v>
      </c>
      <c r="F156" t="str">
        <f>WR_Raw!B159</f>
        <v>NE</v>
      </c>
      <c r="G156" s="206">
        <v>0</v>
      </c>
      <c r="H156" s="207">
        <v>0</v>
      </c>
      <c r="I156" s="204">
        <f>WR_Raw!F159</f>
        <v>0</v>
      </c>
      <c r="J156" s="204">
        <f>WR_Raw!G159</f>
        <v>0</v>
      </c>
      <c r="K156" s="204">
        <f>WR_Raw!H159</f>
        <v>0</v>
      </c>
      <c r="L156" s="206">
        <f>WR_Raw!C159</f>
        <v>10.199999999999999</v>
      </c>
      <c r="M156" s="204">
        <f>WR_Raw!D159</f>
        <v>117.2</v>
      </c>
      <c r="N156" s="207">
        <f>WR_Raw!E159</f>
        <v>0.8</v>
      </c>
      <c r="O156" s="204">
        <f>WR_Raw!I159</f>
        <v>0</v>
      </c>
      <c r="P156" s="208">
        <f>(J156*WRRushingYd)+(K156*WRRushingTD)+(L156*WRRec)+(M156*WRRecYd)+(N156*WRRecTD)+(O156*WRFuml)+(I156*WRRushAtt)</f>
        <v>21.62</v>
      </c>
      <c r="Q156" t="str">
        <f ca="1">IF(A156&lt;=WRStarters,"Starter",IF(A156&gt;WRStarters+WRBench,"Undrafted","Bench"))</f>
        <v>Undrafted</v>
      </c>
      <c r="R156">
        <f ca="1">IFERROR(MAX(P156-LARGE(WRSheetCount,WRStarters),0),0)</f>
        <v>0</v>
      </c>
      <c r="S156">
        <f ca="1">IFERROR(IF(AllowNegative="Yes",P156-LARGE(WRSheetCount,WRCount),MAX(P156-LARGE(WRSheetCount,WRCount),0)),0)</f>
        <v>-101.98999999999998</v>
      </c>
      <c r="T156" s="85">
        <f ca="1">(S156-R156)*BenchPF+R156*StarterPF</f>
        <v>-18.492510866259156</v>
      </c>
      <c r="U156" s="85">
        <f ca="1">T156*Auction!$A$2</f>
        <v>-18.492510866259156</v>
      </c>
      <c r="V156" s="6" t="str">
        <f>IF(OR(INDEX(Auction!$H$13:$H$656,MATCH(B156,Auction!$A$13:$A$656,0))&gt;0,IFERROR(INDEX(CheatSheet!$V$5:$V$64,MATCH(B156,CheatSheet!$S$5:$S$64,0)),"")&lt;&gt;""),"Yes","No")</f>
        <v>No</v>
      </c>
      <c r="W156" s="179"/>
      <c r="Y156" s="114">
        <f ca="1">IFERROR(SUMIFS($Z$3:$Z298,$Z$3:$Z$195,"&gt;0",$V$3:$V$195,"No")/SUMIF($Z$3:$Z$195,"&gt;0"),0)</f>
        <v>0</v>
      </c>
      <c r="Z156">
        <f t="shared" ca="1" si="6"/>
        <v>-50.99499999999999</v>
      </c>
      <c r="AA156" s="116" t="str">
        <f t="shared" ca="1" si="5"/>
        <v>WR11</v>
      </c>
      <c r="AB156">
        <f ca="1">Z156*LeagueInfo!$H$5</f>
        <v>-18.777804261840107</v>
      </c>
    </row>
    <row r="157" spans="1:28" ht="15.75" thickBot="1" x14ac:dyDescent="0.3">
      <c r="A157">
        <f>RANK(P157,P$3:P$213)</f>
        <v>155</v>
      </c>
      <c r="B157" t="str">
        <f>WR_Raw!A155</f>
        <v>Simi Fehoko</v>
      </c>
      <c r="C157" t="s">
        <v>35</v>
      </c>
      <c r="D157" t="str">
        <f>_xlfn.IFNA(INDEX(BYEs!$E$2:$E$411,MATCH(B157,BYEs!$D$2:$D$411,0)),"N/A")</f>
        <v>N/A</v>
      </c>
      <c r="E157">
        <f>INDEX(BYEs!$B$2:$B$34,MATCH(F157,BYEs!$A$2:$A$34,0))</f>
        <v>9</v>
      </c>
      <c r="F157" t="str">
        <f>WR_Raw!B155</f>
        <v>DAL</v>
      </c>
      <c r="G157" s="206">
        <v>0</v>
      </c>
      <c r="H157" s="207">
        <v>0</v>
      </c>
      <c r="I157" s="204">
        <f>WR_Raw!F155</f>
        <v>0</v>
      </c>
      <c r="J157" s="204">
        <f>WR_Raw!G155</f>
        <v>0</v>
      </c>
      <c r="K157" s="204">
        <f>WR_Raw!H155</f>
        <v>0</v>
      </c>
      <c r="L157" s="206">
        <f>WR_Raw!C155</f>
        <v>9.6999999999999993</v>
      </c>
      <c r="M157" s="204">
        <f>WR_Raw!D155</f>
        <v>120.2</v>
      </c>
      <c r="N157" s="207">
        <f>WR_Raw!E155</f>
        <v>0.8</v>
      </c>
      <c r="O157" s="204">
        <f>WR_Raw!I155</f>
        <v>0.1</v>
      </c>
      <c r="P157" s="208">
        <f>(J157*WRRushingYd)+(K157*WRRushingTD)+(L157*WRRec)+(M157*WRRecYd)+(N157*WRRecTD)+(O157*WRFuml)+(I157*WRRushAtt)</f>
        <v>21.470000000000002</v>
      </c>
      <c r="Q157" t="str">
        <f ca="1">IF(A157&lt;=WRStarters,"Starter",IF(A157&gt;WRStarters+WRBench,"Undrafted","Bench"))</f>
        <v>Undrafted</v>
      </c>
      <c r="R157">
        <f ca="1">IFERROR(MAX(P157-LARGE(WRSheetCount,WRStarters),0),0)</f>
        <v>0</v>
      </c>
      <c r="S157">
        <f ca="1">IFERROR(IF(AllowNegative="Yes",P157-LARGE(WRSheetCount,WRCount),MAX(P157-LARGE(WRSheetCount,WRCount),0)),0)</f>
        <v>-102.13999999999999</v>
      </c>
      <c r="T157" s="85">
        <f ca="1">(S157-R157)*BenchPF+R157*StarterPF</f>
        <v>-18.519708401605158</v>
      </c>
      <c r="U157" s="85">
        <f ca="1">T157*Auction!$A$2</f>
        <v>-18.519708401605158</v>
      </c>
      <c r="V157" s="6" t="str">
        <f>IF(OR(INDEX(Auction!$H$13:$H$656,MATCH(B157,Auction!$A$13:$A$656,0))&gt;0,IFERROR(INDEX(CheatSheet!$V$5:$V$64,MATCH(B157,CheatSheet!$S$5:$S$64,0)),"")&lt;&gt;""),"Yes","No")</f>
        <v>No</v>
      </c>
      <c r="W157" s="179"/>
      <c r="Y157" s="114">
        <f ca="1">IFERROR(SUMIFS($Z$3:$Z299,$Z$3:$Z$195,"&gt;0",$V$3:$V$195,"No")/SUMIF($Z$3:$Z$195,"&gt;0"),0)</f>
        <v>0</v>
      </c>
      <c r="Z157">
        <f t="shared" ca="1" si="6"/>
        <v>-51.069999999999993</v>
      </c>
      <c r="AA157" s="116" t="str">
        <f t="shared" ca="1" si="5"/>
        <v>WR11</v>
      </c>
      <c r="AB157">
        <f ca="1">Z157*LeagueInfo!$H$5</f>
        <v>-18.805421387433558</v>
      </c>
    </row>
    <row r="158" spans="1:28" ht="15.75" thickBot="1" x14ac:dyDescent="0.3">
      <c r="A158">
        <f>RANK(P158,P$3:P$213)</f>
        <v>156</v>
      </c>
      <c r="B158" t="str">
        <f>WR_Raw!A157</f>
        <v>Khalil Shakir</v>
      </c>
      <c r="C158" t="s">
        <v>35</v>
      </c>
      <c r="D158" t="str">
        <f>_xlfn.IFNA(INDEX(BYEs!$E$2:$E$411,MATCH(B158,BYEs!$D$2:$D$411,0)),"N/A")</f>
        <v>N/A</v>
      </c>
      <c r="E158">
        <f>INDEX(BYEs!$B$2:$B$34,MATCH(F158,BYEs!$A$2:$A$34,0))</f>
        <v>7</v>
      </c>
      <c r="F158" t="str">
        <f>WR_Raw!B157</f>
        <v>BUF</v>
      </c>
      <c r="G158" s="206">
        <v>0</v>
      </c>
      <c r="H158" s="207">
        <v>0</v>
      </c>
      <c r="I158" s="204">
        <f>WR_Raw!F157</f>
        <v>0.7</v>
      </c>
      <c r="J158" s="204">
        <f>WR_Raw!G157</f>
        <v>4</v>
      </c>
      <c r="K158" s="204">
        <f>WR_Raw!H157</f>
        <v>0</v>
      </c>
      <c r="L158" s="206">
        <f>WR_Raw!C157</f>
        <v>9.4</v>
      </c>
      <c r="M158" s="204">
        <f>WR_Raw!D157</f>
        <v>114</v>
      </c>
      <c r="N158" s="207">
        <f>WR_Raw!E157</f>
        <v>0.8</v>
      </c>
      <c r="O158" s="204">
        <f>WR_Raw!I157</f>
        <v>0</v>
      </c>
      <c r="P158" s="208">
        <f>(J158*WRRushingYd)+(K158*WRRushingTD)+(L158*WRRec)+(M158*WRRecYd)+(N158*WRRecTD)+(O158*WRFuml)+(I158*WRRushAtt)</f>
        <v>21.3</v>
      </c>
      <c r="Q158" t="str">
        <f ca="1">IF(A158&lt;=WRStarters,"Starter",IF(A158&gt;WRStarters+WRBench,"Undrafted","Bench"))</f>
        <v>Undrafted</v>
      </c>
      <c r="R158">
        <f ca="1">IFERROR(MAX(P158-LARGE(WRSheetCount,WRStarters),0),0)</f>
        <v>0</v>
      </c>
      <c r="S158">
        <f ca="1">IFERROR(IF(AllowNegative="Yes",P158-LARGE(WRSheetCount,WRCount),MAX(P158-LARGE(WRSheetCount,WRCount),0)),0)</f>
        <v>-102.30999999999999</v>
      </c>
      <c r="T158" s="85">
        <f ca="1">(S158-R158)*BenchPF+R158*StarterPF</f>
        <v>-18.550532274997295</v>
      </c>
      <c r="U158" s="85">
        <f ca="1">T158*Auction!$A$2</f>
        <v>-18.550532274997295</v>
      </c>
      <c r="V158" s="6" t="str">
        <f>IF(OR(INDEX(Auction!$H$13:$H$656,MATCH(B158,Auction!$A$13:$A$656,0))&gt;0,IFERROR(INDEX(CheatSheet!$V$5:$V$64,MATCH(B158,CheatSheet!$S$5:$S$64,0)),"")&lt;&gt;""),"Yes","No")</f>
        <v>No</v>
      </c>
      <c r="W158" s="179"/>
      <c r="Y158" s="114">
        <f ca="1">IFERROR(SUMIFS($Z$3:$Z300,$Z$3:$Z$195,"&gt;0",$V$3:$V$195,"No")/SUMIF($Z$3:$Z$195,"&gt;0"),0)</f>
        <v>0</v>
      </c>
      <c r="Z158">
        <f t="shared" ca="1" si="6"/>
        <v>-51.154999999999994</v>
      </c>
      <c r="AA158" s="116" t="str">
        <f t="shared" ca="1" si="5"/>
        <v>WR11</v>
      </c>
      <c r="AB158">
        <f ca="1">Z158*LeagueInfo!$H$5</f>
        <v>-18.836720796439469</v>
      </c>
    </row>
    <row r="159" spans="1:28" ht="15.75" thickBot="1" x14ac:dyDescent="0.3">
      <c r="A159">
        <f>RANK(P159,P$3:P$213)</f>
        <v>157</v>
      </c>
      <c r="B159" t="str">
        <f>WR_Raw!A160</f>
        <v>Jalen Nailor</v>
      </c>
      <c r="C159" t="s">
        <v>35</v>
      </c>
      <c r="D159" t="str">
        <f>_xlfn.IFNA(INDEX(BYEs!$E$2:$E$411,MATCH(B159,BYEs!$D$2:$D$411,0)),"N/A")</f>
        <v>N/A</v>
      </c>
      <c r="E159">
        <f>INDEX(BYEs!$B$2:$B$34,MATCH(F159,BYEs!$A$2:$A$34,0))</f>
        <v>7</v>
      </c>
      <c r="F159" t="str">
        <f>WR_Raw!B160</f>
        <v>MIN</v>
      </c>
      <c r="G159" s="206">
        <v>0</v>
      </c>
      <c r="H159" s="207">
        <v>0</v>
      </c>
      <c r="I159" s="204">
        <f>WR_Raw!F160</f>
        <v>0</v>
      </c>
      <c r="J159" s="204">
        <f>WR_Raw!G160</f>
        <v>0</v>
      </c>
      <c r="K159" s="204">
        <f>WR_Raw!H160</f>
        <v>0</v>
      </c>
      <c r="L159" s="206">
        <f>WR_Raw!C160</f>
        <v>9.6999999999999993</v>
      </c>
      <c r="M159" s="204">
        <f>WR_Raw!D160</f>
        <v>114.4</v>
      </c>
      <c r="N159" s="207">
        <f>WR_Raw!E160</f>
        <v>0.8</v>
      </c>
      <c r="O159" s="204">
        <f>WR_Raw!I160</f>
        <v>0</v>
      </c>
      <c r="P159" s="208">
        <f>(J159*WRRushingYd)+(K159*WRRushingTD)+(L159*WRRec)+(M159*WRRecYd)+(N159*WRRecTD)+(O159*WRFuml)+(I159*WRRushAtt)</f>
        <v>21.09</v>
      </c>
      <c r="Q159" t="str">
        <f ca="1">IF(A159&lt;=WRStarters,"Starter",IF(A159&gt;WRStarters+WRBench,"Undrafted","Bench"))</f>
        <v>Undrafted</v>
      </c>
      <c r="R159">
        <f ca="1">IFERROR(MAX(P159-LARGE(WRSheetCount,WRStarters),0),0)</f>
        <v>0</v>
      </c>
      <c r="S159">
        <f ca="1">IFERROR(IF(AllowNegative="Yes",P159-LARGE(WRSheetCount,WRCount),MAX(P159-LARGE(WRSheetCount,WRCount),0)),0)</f>
        <v>-102.51999999999998</v>
      </c>
      <c r="T159" s="85">
        <f ca="1">(S159-R159)*BenchPF+R159*StarterPF</f>
        <v>-18.5886088244817</v>
      </c>
      <c r="U159" s="85">
        <f ca="1">T159*Auction!$A$2</f>
        <v>-18.5886088244817</v>
      </c>
      <c r="V159" s="6" t="str">
        <f>IF(OR(INDEX(Auction!$H$13:$H$656,MATCH(B159,Auction!$A$13:$A$656,0))&gt;0,IFERROR(INDEX(CheatSheet!$V$5:$V$64,MATCH(B159,CheatSheet!$S$5:$S$64,0)),"")&lt;&gt;""),"Yes","No")</f>
        <v>No</v>
      </c>
      <c r="W159" s="179"/>
      <c r="Y159" s="114">
        <f ca="1">IFERROR(SUMIFS($Z$3:$Z301,$Z$3:$Z$195,"&gt;0",$V$3:$V$195,"No")/SUMIF($Z$3:$Z$195,"&gt;0"),0)</f>
        <v>0</v>
      </c>
      <c r="Z159">
        <f t="shared" ca="1" si="6"/>
        <v>-51.259999999999991</v>
      </c>
      <c r="AA159" s="116" t="str">
        <f t="shared" ca="1" si="5"/>
        <v>WR11</v>
      </c>
      <c r="AB159">
        <f ca="1">Z159*LeagueInfo!$H$5</f>
        <v>-18.875384772270298</v>
      </c>
    </row>
    <row r="160" spans="1:28" ht="15.75" thickBot="1" x14ac:dyDescent="0.3">
      <c r="A160">
        <f>RANK(P160,P$3:P$213)</f>
        <v>158</v>
      </c>
      <c r="B160" t="str">
        <f>WR_Raw!A156</f>
        <v>Ashton Dulin</v>
      </c>
      <c r="C160" t="s">
        <v>35</v>
      </c>
      <c r="D160" t="str">
        <f>_xlfn.IFNA(INDEX(BYEs!$E$2:$E$411,MATCH(B160,BYEs!$D$2:$D$411,0)),"N/A")</f>
        <v>N/A</v>
      </c>
      <c r="E160">
        <f>INDEX(BYEs!$B$2:$B$34,MATCH(F160,BYEs!$A$2:$A$34,0))</f>
        <v>14</v>
      </c>
      <c r="F160" t="str">
        <f>WR_Raw!B156</f>
        <v>IND</v>
      </c>
      <c r="G160" s="206">
        <v>0</v>
      </c>
      <c r="H160" s="207">
        <v>0</v>
      </c>
      <c r="I160" s="204">
        <f>WR_Raw!F156</f>
        <v>1.1000000000000001</v>
      </c>
      <c r="J160" s="204">
        <f>WR_Raw!G156</f>
        <v>7.2</v>
      </c>
      <c r="K160" s="204">
        <f>WR_Raw!H156</f>
        <v>0</v>
      </c>
      <c r="L160" s="206">
        <f>WR_Raw!C156</f>
        <v>8.9</v>
      </c>
      <c r="M160" s="204">
        <f>WR_Raw!D156</f>
        <v>117.3</v>
      </c>
      <c r="N160" s="207">
        <f>WR_Raw!E156</f>
        <v>0.7</v>
      </c>
      <c r="O160" s="204">
        <f>WR_Raw!I156</f>
        <v>0.1</v>
      </c>
      <c r="P160" s="208">
        <f>(J160*WRRushingYd)+(K160*WRRushingTD)+(L160*WRRec)+(M160*WRRecYd)+(N160*WRRecTD)+(O160*WRFuml)+(I160*WRRushAtt)</f>
        <v>20.9</v>
      </c>
      <c r="Q160" t="str">
        <f ca="1">IF(A160&lt;=WRStarters,"Starter",IF(A160&gt;WRStarters+WRBench,"Undrafted","Bench"))</f>
        <v>Undrafted</v>
      </c>
      <c r="R160">
        <f ca="1">IFERROR(MAX(P160-LARGE(WRSheetCount,WRStarters),0),0)</f>
        <v>0</v>
      </c>
      <c r="S160">
        <f ca="1">IFERROR(IF(AllowNegative="Yes",P160-LARGE(WRSheetCount,WRCount),MAX(P160-LARGE(WRSheetCount,WRCount),0)),0)</f>
        <v>-102.70999999999998</v>
      </c>
      <c r="T160" s="85">
        <f ca="1">(S160-R160)*BenchPF+R160*StarterPF</f>
        <v>-18.623059035919969</v>
      </c>
      <c r="U160" s="85">
        <f ca="1">T160*Auction!$A$2</f>
        <v>-18.623059035919969</v>
      </c>
      <c r="V160" s="6" t="str">
        <f>IF(OR(INDEX(Auction!$H$13:$H$656,MATCH(B160,Auction!$A$13:$A$656,0))&gt;0,IFERROR(INDEX(CheatSheet!$V$5:$V$64,MATCH(B160,CheatSheet!$S$5:$S$64,0)),"")&lt;&gt;""),"Yes","No")</f>
        <v>No</v>
      </c>
      <c r="W160" s="179"/>
      <c r="Y160" s="114">
        <f ca="1">IFERROR(SUMIFS($Z$3:$Z302,$Z$3:$Z$195,"&gt;0",$V$3:$V$195,"No")/SUMIF($Z$3:$Z$195,"&gt;0"),0)</f>
        <v>0</v>
      </c>
      <c r="Z160">
        <f t="shared" ca="1" si="6"/>
        <v>-51.35499999999999</v>
      </c>
      <c r="AA160" s="116" t="str">
        <f t="shared" ca="1" si="5"/>
        <v>WR11</v>
      </c>
      <c r="AB160">
        <f ca="1">Z160*LeagueInfo!$H$5</f>
        <v>-18.910366464688668</v>
      </c>
    </row>
    <row r="161" spans="1:28" ht="15.75" thickBot="1" x14ac:dyDescent="0.3">
      <c r="A161">
        <f>RANK(P161,P$3:P$213)</f>
        <v>159</v>
      </c>
      <c r="B161" t="str">
        <f>WR_Raw!A158</f>
        <v>Breshad Perriman</v>
      </c>
      <c r="C161" t="s">
        <v>35</v>
      </c>
      <c r="D161">
        <f>_xlfn.IFNA(INDEX(BYEs!$E$2:$E$411,MATCH(B161,BYEs!$D$2:$D$411,0)),"N/A")</f>
        <v>27</v>
      </c>
      <c r="E161">
        <f>INDEX(BYEs!$B$2:$B$34,MATCH(F161,BYEs!$A$2:$A$34,0))</f>
        <v>11</v>
      </c>
      <c r="F161" t="str">
        <f>WR_Raw!B158</f>
        <v>TB</v>
      </c>
      <c r="G161" s="206">
        <v>0</v>
      </c>
      <c r="H161" s="207">
        <v>0</v>
      </c>
      <c r="I161" s="204">
        <f>WR_Raw!F158</f>
        <v>0</v>
      </c>
      <c r="J161" s="204">
        <f>WR_Raw!G158</f>
        <v>0</v>
      </c>
      <c r="K161" s="204">
        <f>WR_Raw!H158</f>
        <v>0</v>
      </c>
      <c r="L161" s="206">
        <f>WR_Raw!C158</f>
        <v>8</v>
      </c>
      <c r="M161" s="204">
        <f>WR_Raw!D158</f>
        <v>115.9</v>
      </c>
      <c r="N161" s="207">
        <f>WR_Raw!E158</f>
        <v>0.8</v>
      </c>
      <c r="O161" s="204">
        <f>WR_Raw!I158</f>
        <v>0</v>
      </c>
      <c r="P161" s="208">
        <f>(J161*WRRushingYd)+(K161*WRRushingTD)+(L161*WRRec)+(M161*WRRecYd)+(N161*WRRecTD)+(O161*WRFuml)+(I161*WRRushAtt)</f>
        <v>20.39</v>
      </c>
      <c r="Q161" t="str">
        <f ca="1">IF(A161&lt;=WRStarters,"Starter",IF(A161&gt;WRStarters+WRBench,"Undrafted","Bench"))</f>
        <v>Undrafted</v>
      </c>
      <c r="R161">
        <f ca="1">IFERROR(MAX(P161-LARGE(WRSheetCount,WRStarters),0),0)</f>
        <v>0</v>
      </c>
      <c r="S161">
        <f ca="1">IFERROR(IF(AllowNegative="Yes",P161-LARGE(WRSheetCount,WRCount),MAX(P161-LARGE(WRSheetCount,WRCount),0)),0)</f>
        <v>-103.21999999999998</v>
      </c>
      <c r="T161" s="85">
        <f ca="1">(S161-R161)*BenchPF+R161*StarterPF</f>
        <v>-18.715530656096384</v>
      </c>
      <c r="U161" s="85">
        <f ca="1">T161*Auction!$A$2</f>
        <v>-18.715530656096384</v>
      </c>
      <c r="V161" s="6" t="str">
        <f>IF(OR(INDEX(Auction!$H$13:$H$656,MATCH(B161,Auction!$A$13:$A$656,0))&gt;0,IFERROR(INDEX(CheatSheet!$V$5:$V$64,MATCH(B161,CheatSheet!$S$5:$S$64,0)),"")&lt;&gt;""),"Yes","No")</f>
        <v>No</v>
      </c>
      <c r="W161" s="179"/>
      <c r="Y161" s="114">
        <f ca="1">IFERROR(SUMIFS($Z$3:$Z303,$Z$3:$Z$195,"&gt;0",$V$3:$V$195,"No")/SUMIF($Z$3:$Z$195,"&gt;0"),0)</f>
        <v>0</v>
      </c>
      <c r="Z161">
        <f t="shared" ca="1" si="6"/>
        <v>-51.609999999999992</v>
      </c>
      <c r="AA161" s="116" t="str">
        <f t="shared" ca="1" si="5"/>
        <v>WR11</v>
      </c>
      <c r="AB161">
        <f ca="1">Z161*LeagueInfo!$H$5</f>
        <v>-19.004264691706403</v>
      </c>
    </row>
    <row r="162" spans="1:28" ht="15.75" thickBot="1" x14ac:dyDescent="0.3">
      <c r="A162">
        <f>RANK(P162,P$3:P$213)</f>
        <v>160</v>
      </c>
      <c r="B162" t="str">
        <f>WR_Raw!A162</f>
        <v>Shi Smith</v>
      </c>
      <c r="C162" t="s">
        <v>35</v>
      </c>
      <c r="D162" t="str">
        <f>_xlfn.IFNA(INDEX(BYEs!$E$2:$E$411,MATCH(B162,BYEs!$D$2:$D$411,0)),"N/A")</f>
        <v>N/A</v>
      </c>
      <c r="E162">
        <f>INDEX(BYEs!$B$2:$B$34,MATCH(F162,BYEs!$A$2:$A$34,0))</f>
        <v>13</v>
      </c>
      <c r="F162" t="str">
        <f>WR_Raw!B162</f>
        <v>CAR</v>
      </c>
      <c r="G162" s="206">
        <v>0</v>
      </c>
      <c r="H162" s="207">
        <v>0</v>
      </c>
      <c r="I162" s="204">
        <f>WR_Raw!F162</f>
        <v>0</v>
      </c>
      <c r="J162" s="204">
        <f>WR_Raw!G162</f>
        <v>0</v>
      </c>
      <c r="K162" s="204">
        <f>WR_Raw!H162</f>
        <v>0</v>
      </c>
      <c r="L162" s="206">
        <f>WR_Raw!C162</f>
        <v>9.1</v>
      </c>
      <c r="M162" s="204">
        <f>WR_Raw!D162</f>
        <v>113.6</v>
      </c>
      <c r="N162" s="207">
        <f>WR_Raw!E162</f>
        <v>0.6</v>
      </c>
      <c r="O162" s="204">
        <f>WR_Raw!I162</f>
        <v>0.1</v>
      </c>
      <c r="P162" s="208">
        <f>(J162*WRRushingYd)+(K162*WRRushingTD)+(L162*WRRec)+(M162*WRRecYd)+(N162*WRRecTD)+(O162*WRFuml)+(I162*WRRushAtt)</f>
        <v>19.309999999999999</v>
      </c>
      <c r="Q162" t="str">
        <f ca="1">IF(A162&lt;=WRStarters,"Starter",IF(A162&gt;WRStarters+WRBench,"Undrafted","Bench"))</f>
        <v>Undrafted</v>
      </c>
      <c r="R162">
        <f ca="1">IFERROR(MAX(P162-LARGE(WRSheetCount,WRStarters),0),0)</f>
        <v>0</v>
      </c>
      <c r="S162">
        <f ca="1">IFERROR(IF(AllowNegative="Yes",P162-LARGE(WRSheetCount,WRCount),MAX(P162-LARGE(WRSheetCount,WRCount),0)),0)</f>
        <v>-104.29999999999998</v>
      </c>
      <c r="T162" s="85">
        <f ca="1">(S162-R162)*BenchPF+R162*StarterPF</f>
        <v>-18.911352910587606</v>
      </c>
      <c r="U162" s="85">
        <f ca="1">T162*Auction!$A$2</f>
        <v>-18.911352910587606</v>
      </c>
      <c r="V162" s="6" t="str">
        <f>IF(OR(INDEX(Auction!$H$13:$H$656,MATCH(B162,Auction!$A$13:$A$656,0))&gt;0,IFERROR(INDEX(CheatSheet!$V$5:$V$64,MATCH(B162,CheatSheet!$S$5:$S$64,0)),"")&lt;&gt;""),"Yes","No")</f>
        <v>No</v>
      </c>
      <c r="W162" s="179"/>
      <c r="Y162" s="114">
        <f ca="1">IFERROR(SUMIFS($Z$3:$Z304,$Z$3:$Z$195,"&gt;0",$V$3:$V$195,"No")/SUMIF($Z$3:$Z$195,"&gt;0"),0)</f>
        <v>0</v>
      </c>
      <c r="Z162">
        <f t="shared" ca="1" si="6"/>
        <v>-52.149999999999991</v>
      </c>
      <c r="AA162" s="116" t="str">
        <f t="shared" ca="1" si="5"/>
        <v>WR11</v>
      </c>
      <c r="AB162">
        <f ca="1">Z162*LeagueInfo!$H$5</f>
        <v>-19.203107995979245</v>
      </c>
    </row>
    <row r="163" spans="1:28" ht="15.75" thickBot="1" x14ac:dyDescent="0.3">
      <c r="A163">
        <f>RANK(P163,P$3:P$213)</f>
        <v>161</v>
      </c>
      <c r="B163" t="str">
        <f>WR_Raw!A161</f>
        <v>KhaDarel Hodge</v>
      </c>
      <c r="C163" t="s">
        <v>35</v>
      </c>
      <c r="D163" t="str">
        <f>_xlfn.IFNA(INDEX(BYEs!$E$2:$E$411,MATCH(B163,BYEs!$D$2:$D$411,0)),"N/A")</f>
        <v>N/A</v>
      </c>
      <c r="E163">
        <f>INDEX(BYEs!$B$2:$B$34,MATCH(F163,BYEs!$A$2:$A$34,0))</f>
        <v>14</v>
      </c>
      <c r="F163" t="str">
        <f>WR_Raw!B161</f>
        <v>ATL</v>
      </c>
      <c r="G163" s="206">
        <v>0</v>
      </c>
      <c r="H163" s="207">
        <v>0</v>
      </c>
      <c r="I163" s="204">
        <f>WR_Raw!F161</f>
        <v>0</v>
      </c>
      <c r="J163" s="204">
        <f>WR_Raw!G161</f>
        <v>0</v>
      </c>
      <c r="K163" s="204">
        <f>WR_Raw!H161</f>
        <v>0</v>
      </c>
      <c r="L163" s="206">
        <f>WR_Raw!C161</f>
        <v>8.1</v>
      </c>
      <c r="M163" s="204">
        <f>WR_Raw!D161</f>
        <v>113</v>
      </c>
      <c r="N163" s="207">
        <f>WR_Raw!E161</f>
        <v>0.6</v>
      </c>
      <c r="O163" s="204">
        <f>WR_Raw!I161</f>
        <v>0</v>
      </c>
      <c r="P163" s="208">
        <f>(J163*WRRushingYd)+(K163*WRRushingTD)+(L163*WRRec)+(M163*WRRecYd)+(N163*WRRecTD)+(O163*WRFuml)+(I163*WRRushAtt)</f>
        <v>18.950000000000003</v>
      </c>
      <c r="Q163" t="str">
        <f ca="1">IF(A163&lt;=WRStarters,"Starter",IF(A163&gt;WRStarters+WRBench,"Undrafted","Bench"))</f>
        <v>Undrafted</v>
      </c>
      <c r="R163">
        <f ca="1">IFERROR(MAX(P163-LARGE(WRSheetCount,WRStarters),0),0)</f>
        <v>0</v>
      </c>
      <c r="S163">
        <f ca="1">IFERROR(IF(AllowNegative="Yes",P163-LARGE(WRSheetCount,WRCount),MAX(P163-LARGE(WRSheetCount,WRCount),0)),0)</f>
        <v>-104.65999999999998</v>
      </c>
      <c r="T163" s="85">
        <f ca="1">(S163-R163)*BenchPF+R163*StarterPF</f>
        <v>-18.976626995418012</v>
      </c>
      <c r="U163" s="85">
        <f ca="1">T163*Auction!$A$2</f>
        <v>-18.976626995418012</v>
      </c>
      <c r="V163" s="6" t="str">
        <f>IF(OR(INDEX(Auction!$H$13:$H$656,MATCH(B163,Auction!$A$13:$A$656,0))&gt;0,IFERROR(INDEX(CheatSheet!$V$5:$V$64,MATCH(B163,CheatSheet!$S$5:$S$64,0)),"")&lt;&gt;""),"Yes","No")</f>
        <v>No</v>
      </c>
      <c r="W163" s="179"/>
      <c r="Y163" s="114">
        <f ca="1">IFERROR(SUMIFS($Z$3:$Z305,$Z$3:$Z$195,"&gt;0",$V$3:$V$195,"No")/SUMIF($Z$3:$Z$195,"&gt;0"),0)</f>
        <v>0</v>
      </c>
      <c r="Z163">
        <f t="shared" ca="1" si="6"/>
        <v>-52.329999999999991</v>
      </c>
      <c r="AA163" s="116" t="str">
        <f t="shared" ca="1" si="5"/>
        <v>WR11</v>
      </c>
      <c r="AB163">
        <f ca="1">Z163*LeagueInfo!$H$5</f>
        <v>-19.269389097403526</v>
      </c>
    </row>
    <row r="164" spans="1:28" ht="15.75" thickBot="1" x14ac:dyDescent="0.3">
      <c r="A164">
        <f>RANK(P164,P$3:P$213)</f>
        <v>162</v>
      </c>
      <c r="B164" t="str">
        <f>WR_Raw!A166</f>
        <v>Penny Hart</v>
      </c>
      <c r="C164" t="s">
        <v>35</v>
      </c>
      <c r="D164" t="str">
        <f>_xlfn.IFNA(INDEX(BYEs!$E$2:$E$411,MATCH(B164,BYEs!$D$2:$D$411,0)),"N/A")</f>
        <v>N/A</v>
      </c>
      <c r="E164">
        <f>INDEX(BYEs!$B$2:$B$34,MATCH(F164,BYEs!$A$2:$A$34,0))</f>
        <v>11</v>
      </c>
      <c r="F164" t="str">
        <f>WR_Raw!B166</f>
        <v>SEA</v>
      </c>
      <c r="G164" s="206">
        <v>0</v>
      </c>
      <c r="H164" s="207">
        <v>0</v>
      </c>
      <c r="I164" s="204">
        <f>WR_Raw!F166</f>
        <v>0</v>
      </c>
      <c r="J164" s="204">
        <f>WR_Raw!G166</f>
        <v>0</v>
      </c>
      <c r="K164" s="204">
        <f>WR_Raw!H166</f>
        <v>0</v>
      </c>
      <c r="L164" s="206">
        <f>WR_Raw!C166</f>
        <v>9.6</v>
      </c>
      <c r="M164" s="204">
        <f>WR_Raw!D166</f>
        <v>103.8</v>
      </c>
      <c r="N164" s="207">
        <f>WR_Raw!E166</f>
        <v>0.6</v>
      </c>
      <c r="O164" s="204">
        <f>WR_Raw!I166</f>
        <v>0</v>
      </c>
      <c r="P164" s="208">
        <f>(J164*WRRushingYd)+(K164*WRRushingTD)+(L164*WRRec)+(M164*WRRecYd)+(N164*WRRecTD)+(O164*WRFuml)+(I164*WRRushAtt)</f>
        <v>18.78</v>
      </c>
      <c r="Q164" t="str">
        <f ca="1">IF(A164&lt;=WRStarters,"Starter",IF(A164&gt;WRStarters+WRBench,"Undrafted","Bench"))</f>
        <v>Undrafted</v>
      </c>
      <c r="R164">
        <f ca="1">IFERROR(MAX(P164-LARGE(WRSheetCount,WRStarters),0),0)</f>
        <v>0</v>
      </c>
      <c r="S164">
        <f ca="1">IFERROR(IF(AllowNegative="Yes",P164-LARGE(WRSheetCount,WRCount),MAX(P164-LARGE(WRSheetCount,WRCount),0)),0)</f>
        <v>-104.82999999999998</v>
      </c>
      <c r="T164" s="85">
        <f ca="1">(S164-R164)*BenchPF+R164*StarterPF</f>
        <v>-19.00745086881015</v>
      </c>
      <c r="U164" s="85">
        <f ca="1">T164*Auction!$A$2</f>
        <v>-19.00745086881015</v>
      </c>
      <c r="V164" s="6" t="str">
        <f>IF(OR(INDEX(Auction!$H$13:$H$656,MATCH(B164,Auction!$A$13:$A$656,0))&gt;0,IFERROR(INDEX(CheatSheet!$V$5:$V$64,MATCH(B164,CheatSheet!$S$5:$S$64,0)),"")&lt;&gt;""),"Yes","No")</f>
        <v>No</v>
      </c>
      <c r="W164" s="179"/>
      <c r="Y164" s="114">
        <f ca="1">IFERROR(SUMIFS($Z$3:$Z306,$Z$3:$Z$195,"&gt;0",$V$3:$V$195,"No")/SUMIF($Z$3:$Z$195,"&gt;0"),0)</f>
        <v>0</v>
      </c>
      <c r="Z164">
        <f t="shared" ca="1" si="6"/>
        <v>-52.414999999999992</v>
      </c>
      <c r="AA164" s="116" t="str">
        <f t="shared" ca="1" si="5"/>
        <v>WR11</v>
      </c>
      <c r="AB164">
        <f ca="1">Z164*LeagueInfo!$H$5</f>
        <v>-19.300688506409436</v>
      </c>
    </row>
    <row r="165" spans="1:28" ht="15.75" thickBot="1" x14ac:dyDescent="0.3">
      <c r="A165">
        <f>RANK(P165,P$3:P$213)</f>
        <v>163</v>
      </c>
      <c r="B165" t="str">
        <f>WR_Raw!A165</f>
        <v>Danny Gray</v>
      </c>
      <c r="C165" t="s">
        <v>35</v>
      </c>
      <c r="D165" t="str">
        <f>_xlfn.IFNA(INDEX(BYEs!$E$2:$E$411,MATCH(B165,BYEs!$D$2:$D$411,0)),"N/A")</f>
        <v>N/A</v>
      </c>
      <c r="E165">
        <f>INDEX(BYEs!$B$2:$B$34,MATCH(F165,BYEs!$A$2:$A$34,0))</f>
        <v>9</v>
      </c>
      <c r="F165" t="str">
        <f>WR_Raw!B165</f>
        <v>SF</v>
      </c>
      <c r="G165" s="206">
        <v>0</v>
      </c>
      <c r="H165" s="207">
        <v>0</v>
      </c>
      <c r="I165" s="204">
        <f>WR_Raw!F165</f>
        <v>0</v>
      </c>
      <c r="J165" s="204">
        <f>WR_Raw!G165</f>
        <v>0</v>
      </c>
      <c r="K165" s="204">
        <f>WR_Raw!H165</f>
        <v>0</v>
      </c>
      <c r="L165" s="206">
        <f>WR_Raw!C165</f>
        <v>8.6999999999999993</v>
      </c>
      <c r="M165" s="204">
        <f>WR_Raw!D165</f>
        <v>107.3</v>
      </c>
      <c r="N165" s="207">
        <f>WR_Raw!E165</f>
        <v>0.6</v>
      </c>
      <c r="O165" s="204">
        <f>WR_Raw!I165</f>
        <v>0</v>
      </c>
      <c r="P165" s="208">
        <f>(J165*WRRushingYd)+(K165*WRRushingTD)+(L165*WRRec)+(M165*WRRecYd)+(N165*WRRecTD)+(O165*WRFuml)+(I165*WRRushAtt)</f>
        <v>18.68</v>
      </c>
      <c r="Q165" t="str">
        <f ca="1">IF(A165&lt;=WRStarters,"Starter",IF(A165&gt;WRStarters+WRBench,"Undrafted","Bench"))</f>
        <v>Undrafted</v>
      </c>
      <c r="R165">
        <f ca="1">IFERROR(MAX(P165-LARGE(WRSheetCount,WRStarters),0),0)</f>
        <v>0</v>
      </c>
      <c r="S165">
        <f ca="1">IFERROR(IF(AllowNegative="Yes",P165-LARGE(WRSheetCount,WRCount),MAX(P165-LARGE(WRSheetCount,WRCount),0)),0)</f>
        <v>-104.92999999999998</v>
      </c>
      <c r="T165" s="85">
        <f ca="1">(S165-R165)*BenchPF+R165*StarterPF</f>
        <v>-19.025582559040817</v>
      </c>
      <c r="U165" s="85">
        <f ca="1">T165*Auction!$A$2</f>
        <v>-19.025582559040817</v>
      </c>
      <c r="V165" s="6" t="str">
        <f>IF(OR(INDEX(Auction!$H$13:$H$656,MATCH(B165,Auction!$A$13:$A$656,0))&gt;0,IFERROR(INDEX(CheatSheet!$V$5:$V$64,MATCH(B165,CheatSheet!$S$5:$S$64,0)),"")&lt;&gt;""),"Yes","No")</f>
        <v>No</v>
      </c>
      <c r="W165" s="179"/>
      <c r="Y165" s="114">
        <f ca="1">IFERROR(SUMIFS($Z$3:$Z307,$Z$3:$Z$195,"&gt;0",$V$3:$V$195,"No")/SUMIF($Z$3:$Z$195,"&gt;0"),0)</f>
        <v>0</v>
      </c>
      <c r="Z165">
        <f t="shared" ca="1" si="6"/>
        <v>-52.464999999999989</v>
      </c>
      <c r="AA165" s="116" t="str">
        <f t="shared" ca="1" si="5"/>
        <v>WR11</v>
      </c>
      <c r="AB165">
        <f ca="1">Z165*LeagueInfo!$H$5</f>
        <v>-19.319099923471736</v>
      </c>
    </row>
    <row r="166" spans="1:28" ht="15.75" thickBot="1" x14ac:dyDescent="0.3">
      <c r="A166">
        <f>RANK(P166,P$3:P$213)</f>
        <v>164</v>
      </c>
      <c r="B166" t="str">
        <f>WR_Raw!A163</f>
        <v>Tyquan Thornton</v>
      </c>
      <c r="C166" t="s">
        <v>35</v>
      </c>
      <c r="D166" t="str">
        <f>_xlfn.IFNA(INDEX(BYEs!$E$2:$E$411,MATCH(B166,BYEs!$D$2:$D$411,0)),"N/A")</f>
        <v>N/A</v>
      </c>
      <c r="E166">
        <f>INDEX(BYEs!$B$2:$B$34,MATCH(F166,BYEs!$A$2:$A$34,0))</f>
        <v>10</v>
      </c>
      <c r="F166" t="str">
        <f>WR_Raw!B163</f>
        <v>NE</v>
      </c>
      <c r="G166" s="206">
        <v>0</v>
      </c>
      <c r="H166" s="207">
        <v>0</v>
      </c>
      <c r="I166" s="204">
        <f>WR_Raw!F163</f>
        <v>0</v>
      </c>
      <c r="J166" s="204">
        <f>WR_Raw!G163</f>
        <v>0</v>
      </c>
      <c r="K166" s="204">
        <f>WR_Raw!H163</f>
        <v>0</v>
      </c>
      <c r="L166" s="206">
        <f>WR_Raw!C163</f>
        <v>8.8000000000000007</v>
      </c>
      <c r="M166" s="204">
        <f>WR_Raw!D163</f>
        <v>102.1</v>
      </c>
      <c r="N166" s="207">
        <f>WR_Raw!E163</f>
        <v>0.7</v>
      </c>
      <c r="O166" s="204">
        <f>WR_Raw!I163</f>
        <v>0.1</v>
      </c>
      <c r="P166" s="208">
        <f>(J166*WRRushingYd)+(K166*WRRushingTD)+(L166*WRRec)+(M166*WRRecYd)+(N166*WRRecTD)+(O166*WRFuml)+(I166*WRRushAtt)</f>
        <v>18.610000000000003</v>
      </c>
      <c r="Q166" t="str">
        <f ca="1">IF(A166&lt;=WRStarters,"Starter",IF(A166&gt;WRStarters+WRBench,"Undrafted","Bench"))</f>
        <v>Undrafted</v>
      </c>
      <c r="R166">
        <f ca="1">IFERROR(MAX(P166-LARGE(WRSheetCount,WRStarters),0),0)</f>
        <v>0</v>
      </c>
      <c r="S166">
        <f ca="1">IFERROR(IF(AllowNegative="Yes",P166-LARGE(WRSheetCount,WRCount),MAX(P166-LARGE(WRSheetCount,WRCount),0)),0)</f>
        <v>-104.99999999999999</v>
      </c>
      <c r="T166" s="85">
        <f ca="1">(S166-R166)*BenchPF+R166*StarterPF</f>
        <v>-19.038274742202287</v>
      </c>
      <c r="U166" s="85">
        <f ca="1">T166*Auction!$A$2</f>
        <v>-19.038274742202287</v>
      </c>
      <c r="V166" s="6" t="str">
        <f>IF(OR(INDEX(Auction!$H$13:$H$656,MATCH(B166,Auction!$A$13:$A$656,0))&gt;0,IFERROR(INDEX(CheatSheet!$V$5:$V$64,MATCH(B166,CheatSheet!$S$5:$S$64,0)),"")&lt;&gt;""),"Yes","No")</f>
        <v>No</v>
      </c>
      <c r="W166" s="179"/>
      <c r="Y166" s="114">
        <f ca="1">IFERROR(SUMIFS($Z$3:$Z308,$Z$3:$Z$195,"&gt;0",$V$3:$V$195,"No")/SUMIF($Z$3:$Z$195,"&gt;0"),0)</f>
        <v>0</v>
      </c>
      <c r="Z166">
        <f t="shared" ca="1" si="6"/>
        <v>-52.499999999999993</v>
      </c>
      <c r="AA166" s="116" t="str">
        <f t="shared" ca="1" si="5"/>
        <v>WR11</v>
      </c>
      <c r="AB166">
        <f ca="1">Z166*LeagueInfo!$H$5</f>
        <v>-19.331987915415347</v>
      </c>
    </row>
    <row r="167" spans="1:28" ht="15.75" thickBot="1" x14ac:dyDescent="0.3">
      <c r="A167">
        <f>RANK(P167,P$3:P$213)</f>
        <v>165</v>
      </c>
      <c r="B167" t="str">
        <f>WR_Raw!A167</f>
        <v>Juwan Johnson</v>
      </c>
      <c r="C167" t="s">
        <v>35</v>
      </c>
      <c r="D167" t="str">
        <f>_xlfn.IFNA(INDEX(BYEs!$E$2:$E$411,MATCH(B167,BYEs!$D$2:$D$411,0)),"N/A")</f>
        <v>N/A</v>
      </c>
      <c r="E167">
        <f>INDEX(BYEs!$B$2:$B$34,MATCH(F167,BYEs!$A$2:$A$34,0))</f>
        <v>14</v>
      </c>
      <c r="F167" t="str">
        <f>WR_Raw!B167</f>
        <v>NO</v>
      </c>
      <c r="G167" s="206">
        <v>0</v>
      </c>
      <c r="H167" s="207">
        <v>0</v>
      </c>
      <c r="I167" s="204">
        <f>WR_Raw!F167</f>
        <v>0</v>
      </c>
      <c r="J167" s="204">
        <f>WR_Raw!G167</f>
        <v>0</v>
      </c>
      <c r="K167" s="204">
        <f>WR_Raw!H167</f>
        <v>0</v>
      </c>
      <c r="L167" s="206">
        <f>WR_Raw!C167</f>
        <v>9.6999999999999993</v>
      </c>
      <c r="M167" s="204">
        <f>WR_Raw!D167</f>
        <v>95.6</v>
      </c>
      <c r="N167" s="207">
        <f>WR_Raw!E167</f>
        <v>0.7</v>
      </c>
      <c r="O167" s="204">
        <f>WR_Raw!I167</f>
        <v>0</v>
      </c>
      <c r="P167" s="208">
        <f>(J167*WRRushingYd)+(K167*WRRushingTD)+(L167*WRRec)+(M167*WRRecYd)+(N167*WRRecTD)+(O167*WRFuml)+(I167*WRRushAtt)</f>
        <v>18.61</v>
      </c>
      <c r="Q167" t="str">
        <f ca="1">IF(A167&lt;=WRStarters,"Starter",IF(A167&gt;WRStarters+WRBench,"Undrafted","Bench"))</f>
        <v>Undrafted</v>
      </c>
      <c r="R167">
        <f ca="1">IFERROR(MAX(P167-LARGE(WRSheetCount,WRStarters),0),0)</f>
        <v>0</v>
      </c>
      <c r="S167">
        <f ca="1">IFERROR(IF(AllowNegative="Yes",P167-LARGE(WRSheetCount,WRCount),MAX(P167-LARGE(WRSheetCount,WRCount),0)),0)</f>
        <v>-104.99999999999999</v>
      </c>
      <c r="T167" s="85">
        <f ca="1">(S167-R167)*BenchPF+R167*StarterPF</f>
        <v>-19.038274742202287</v>
      </c>
      <c r="U167" s="85">
        <f ca="1">T167*Auction!$A$2</f>
        <v>-19.038274742202287</v>
      </c>
      <c r="V167" s="6" t="str">
        <f>IF(OR(INDEX(Auction!$H$13:$H$656,MATCH(B167,Auction!$A$13:$A$656,0))&gt;0,IFERROR(INDEX(CheatSheet!$V$5:$V$64,MATCH(B167,CheatSheet!$S$5:$S$64,0)),"")&lt;&gt;""),"Yes","No")</f>
        <v>No</v>
      </c>
      <c r="W167" s="179"/>
      <c r="Y167" s="114">
        <f ca="1">IFERROR(SUMIFS($Z$3:$Z309,$Z$3:$Z$195,"&gt;0",$V$3:$V$195,"No")/SUMIF($Z$3:$Z$195,"&gt;0"),0)</f>
        <v>0</v>
      </c>
      <c r="Z167">
        <f t="shared" ca="1" si="6"/>
        <v>-52.499999999999993</v>
      </c>
      <c r="AA167" s="116" t="str">
        <f t="shared" ca="1" si="5"/>
        <v>WR11</v>
      </c>
      <c r="AB167">
        <f ca="1">Z167*LeagueInfo!$H$5</f>
        <v>-19.331987915415347</v>
      </c>
    </row>
    <row r="168" spans="1:28" ht="15.75" thickBot="1" x14ac:dyDescent="0.3">
      <c r="A168">
        <f>RANK(P168,P$3:P$213)</f>
        <v>166</v>
      </c>
      <c r="B168" t="str">
        <f>WR_Raw!A164</f>
        <v>Ihmir Smith-Marsette</v>
      </c>
      <c r="C168" t="s">
        <v>35</v>
      </c>
      <c r="D168" t="str">
        <f>_xlfn.IFNA(INDEX(BYEs!$E$2:$E$411,MATCH(B168,BYEs!$D$2:$D$411,0)),"N/A")</f>
        <v>N/A</v>
      </c>
      <c r="E168">
        <f>INDEX(BYEs!$B$2:$B$34,MATCH(F168,BYEs!$A$2:$A$34,0))</f>
        <v>14</v>
      </c>
      <c r="F168" t="str">
        <f>WR_Raw!B164</f>
        <v>CHI</v>
      </c>
      <c r="G168" s="206">
        <v>0</v>
      </c>
      <c r="H168" s="207">
        <v>0</v>
      </c>
      <c r="I168" s="204">
        <f>WR_Raw!F164</f>
        <v>0</v>
      </c>
      <c r="J168" s="204">
        <f>WR_Raw!G164</f>
        <v>0</v>
      </c>
      <c r="K168" s="204">
        <f>WR_Raw!H164</f>
        <v>0</v>
      </c>
      <c r="L168" s="206">
        <f>WR_Raw!C164</f>
        <v>8.3000000000000007</v>
      </c>
      <c r="M168" s="204">
        <f>WR_Raw!D164</f>
        <v>115.1</v>
      </c>
      <c r="N168" s="207">
        <f>WR_Raw!E164</f>
        <v>0.4</v>
      </c>
      <c r="O168" s="204">
        <f>WR_Raw!I164</f>
        <v>0</v>
      </c>
      <c r="P168" s="208">
        <f>(J168*WRRushingYd)+(K168*WRRushingTD)+(L168*WRRec)+(M168*WRRecYd)+(N168*WRRecTD)+(O168*WRFuml)+(I168*WRRushAtt)</f>
        <v>18.060000000000002</v>
      </c>
      <c r="Q168" t="str">
        <f ca="1">IF(A168&lt;=WRStarters,"Starter",IF(A168&gt;WRStarters+WRBench,"Undrafted","Bench"))</f>
        <v>Undrafted</v>
      </c>
      <c r="R168">
        <f ca="1">IFERROR(MAX(P168-LARGE(WRSheetCount,WRStarters),0),0)</f>
        <v>0</v>
      </c>
      <c r="S168">
        <f ca="1">IFERROR(IF(AllowNegative="Yes",P168-LARGE(WRSheetCount,WRCount),MAX(P168-LARGE(WRSheetCount,WRCount),0)),0)</f>
        <v>-105.54999999999998</v>
      </c>
      <c r="T168" s="85">
        <f ca="1">(S168-R168)*BenchPF+R168*StarterPF</f>
        <v>-19.137999038470966</v>
      </c>
      <c r="U168" s="85">
        <f ca="1">T168*Auction!$A$2</f>
        <v>-19.137999038470966</v>
      </c>
      <c r="V168" s="6" t="str">
        <f>IF(OR(INDEX(Auction!$H$13:$H$656,MATCH(B168,Auction!$A$13:$A$656,0))&gt;0,IFERROR(INDEX(CheatSheet!$V$5:$V$64,MATCH(B168,CheatSheet!$S$5:$S$64,0)),"")&lt;&gt;""),"Yes","No")</f>
        <v>No</v>
      </c>
      <c r="W168" s="179"/>
      <c r="Y168" s="114">
        <f ca="1">IFERROR(SUMIFS($Z$3:$Z310,$Z$3:$Z$195,"&gt;0",$V$3:$V$195,"No")/SUMIF($Z$3:$Z$195,"&gt;0"),0)</f>
        <v>0</v>
      </c>
      <c r="Z168">
        <f t="shared" ca="1" si="6"/>
        <v>-52.774999999999991</v>
      </c>
      <c r="AA168" s="116" t="str">
        <f t="shared" ca="1" si="5"/>
        <v>WR11</v>
      </c>
      <c r="AB168">
        <f ca="1">Z168*LeagueInfo!$H$5</f>
        <v>-19.433250709257997</v>
      </c>
    </row>
    <row r="169" spans="1:28" ht="15.75" thickBot="1" x14ac:dyDescent="0.3">
      <c r="A169">
        <f>RANK(P169,P$3:P$213)</f>
        <v>167</v>
      </c>
      <c r="B169" t="str">
        <f>WR_Raw!A169</f>
        <v>Bo Melton</v>
      </c>
      <c r="C169" t="s">
        <v>35</v>
      </c>
      <c r="D169" t="str">
        <f>_xlfn.IFNA(INDEX(BYEs!$E$2:$E$411,MATCH(B169,BYEs!$D$2:$D$411,0)),"N/A")</f>
        <v>N/A</v>
      </c>
      <c r="E169">
        <f>INDEX(BYEs!$B$2:$B$34,MATCH(F169,BYEs!$A$2:$A$34,0))</f>
        <v>11</v>
      </c>
      <c r="F169" t="str">
        <f>WR_Raw!B169</f>
        <v>SEA</v>
      </c>
      <c r="G169" s="206">
        <v>0</v>
      </c>
      <c r="H169" s="207">
        <v>0</v>
      </c>
      <c r="I169" s="204">
        <f>WR_Raw!F169</f>
        <v>0</v>
      </c>
      <c r="J169" s="204">
        <f>WR_Raw!G169</f>
        <v>0</v>
      </c>
      <c r="K169" s="204">
        <f>WR_Raw!H169</f>
        <v>0</v>
      </c>
      <c r="L169" s="206">
        <f>WR_Raw!C169</f>
        <v>8.1</v>
      </c>
      <c r="M169" s="204">
        <f>WR_Raw!D169</f>
        <v>100.8</v>
      </c>
      <c r="N169" s="207">
        <f>WR_Raw!E169</f>
        <v>0.5</v>
      </c>
      <c r="O169" s="204">
        <f>WR_Raw!I169</f>
        <v>0</v>
      </c>
      <c r="P169" s="208">
        <f>(J169*WRRushingYd)+(K169*WRRushingTD)+(L169*WRRec)+(M169*WRRecYd)+(N169*WRRecTD)+(O169*WRFuml)+(I169*WRRushAtt)</f>
        <v>17.13</v>
      </c>
      <c r="Q169" t="str">
        <f ca="1">IF(A169&lt;=WRStarters,"Starter",IF(A169&gt;WRStarters+WRBench,"Undrafted","Bench"))</f>
        <v>Undrafted</v>
      </c>
      <c r="R169">
        <f ca="1">IFERROR(MAX(P169-LARGE(WRSheetCount,WRStarters),0),0)</f>
        <v>0</v>
      </c>
      <c r="S169">
        <f ca="1">IFERROR(IF(AllowNegative="Yes",P169-LARGE(WRSheetCount,WRCount),MAX(P169-LARGE(WRSheetCount,WRCount),0)),0)</f>
        <v>-106.47999999999999</v>
      </c>
      <c r="T169" s="85">
        <f ca="1">(S169-R169)*BenchPF+R169*StarterPF</f>
        <v>-19.306623757616187</v>
      </c>
      <c r="U169" s="85">
        <f ca="1">T169*Auction!$A$2</f>
        <v>-19.306623757616187</v>
      </c>
      <c r="V169" s="6" t="str">
        <f>IF(OR(INDEX(Auction!$H$13:$H$656,MATCH(B169,Auction!$A$13:$A$656,0))&gt;0,IFERROR(INDEX(CheatSheet!$V$5:$V$64,MATCH(B169,CheatSheet!$S$5:$S$64,0)),"")&lt;&gt;""),"Yes","No")</f>
        <v>No</v>
      </c>
      <c r="W169" s="179"/>
      <c r="Y169" s="114">
        <f ca="1">IFERROR(SUMIFS($Z$3:$Z311,$Z$3:$Z$195,"&gt;0",$V$3:$V$195,"No")/SUMIF($Z$3:$Z$195,"&gt;0"),0)</f>
        <v>0</v>
      </c>
      <c r="Z169">
        <f t="shared" ca="1" si="6"/>
        <v>-53.239999999999995</v>
      </c>
      <c r="AA169" s="116" t="str">
        <f t="shared" ca="1" si="5"/>
        <v>WR11</v>
      </c>
      <c r="AB169">
        <f ca="1">Z169*LeagueInfo!$H$5</f>
        <v>-19.604476887937395</v>
      </c>
    </row>
    <row r="170" spans="1:28" ht="15.75" thickBot="1" x14ac:dyDescent="0.3">
      <c r="A170">
        <f>RANK(P170,P$3:P$213)</f>
        <v>168</v>
      </c>
      <c r="B170" t="str">
        <f>WR_Raw!A168</f>
        <v>Jason Moore Jr.</v>
      </c>
      <c r="C170" t="s">
        <v>35</v>
      </c>
      <c r="D170" t="str">
        <f>_xlfn.IFNA(INDEX(BYEs!$E$2:$E$411,MATCH(B170,BYEs!$D$2:$D$411,0)),"N/A")</f>
        <v>N/A</v>
      </c>
      <c r="E170">
        <f>INDEX(BYEs!$B$2:$B$34,MATCH(F170,BYEs!$A$2:$A$34,0))</f>
        <v>8</v>
      </c>
      <c r="F170" t="str">
        <f>WR_Raw!B168</f>
        <v>LAC</v>
      </c>
      <c r="G170" s="206">
        <v>0</v>
      </c>
      <c r="H170" s="207">
        <v>0</v>
      </c>
      <c r="I170" s="204">
        <f>WR_Raw!F168</f>
        <v>0</v>
      </c>
      <c r="J170" s="204">
        <f>WR_Raw!G168</f>
        <v>0</v>
      </c>
      <c r="K170" s="204">
        <f>WR_Raw!H168</f>
        <v>0</v>
      </c>
      <c r="L170" s="206">
        <f>WR_Raw!C168</f>
        <v>7.7</v>
      </c>
      <c r="M170" s="204">
        <f>WR_Raw!D168</f>
        <v>95.2</v>
      </c>
      <c r="N170" s="207">
        <f>WR_Raw!E168</f>
        <v>0.6</v>
      </c>
      <c r="O170" s="204">
        <f>WR_Raw!I168</f>
        <v>0</v>
      </c>
      <c r="P170" s="208">
        <f>(J170*WRRushingYd)+(K170*WRRushingTD)+(L170*WRRec)+(M170*WRRecYd)+(N170*WRRecTD)+(O170*WRFuml)+(I170*WRRushAtt)</f>
        <v>16.97</v>
      </c>
      <c r="Q170" t="str">
        <f ca="1">IF(A170&lt;=WRStarters,"Starter",IF(A170&gt;WRStarters+WRBench,"Undrafted","Bench"))</f>
        <v>Undrafted</v>
      </c>
      <c r="R170">
        <f ca="1">IFERROR(MAX(P170-LARGE(WRSheetCount,WRStarters),0),0)</f>
        <v>0</v>
      </c>
      <c r="S170">
        <f ca="1">IFERROR(IF(AllowNegative="Yes",P170-LARGE(WRSheetCount,WRCount),MAX(P170-LARGE(WRSheetCount,WRCount),0)),0)</f>
        <v>-106.63999999999999</v>
      </c>
      <c r="T170" s="85">
        <f ca="1">(S170-R170)*BenchPF+R170*StarterPF</f>
        <v>-19.335634461985258</v>
      </c>
      <c r="U170" s="85">
        <f ca="1">T170*Auction!$A$2</f>
        <v>-19.335634461985258</v>
      </c>
      <c r="V170" s="6" t="str">
        <f>IF(OR(INDEX(Auction!$H$13:$H$656,MATCH(B170,Auction!$A$13:$A$656,0))&gt;0,IFERROR(INDEX(CheatSheet!$V$5:$V$64,MATCH(B170,CheatSheet!$S$5:$S$64,0)),"")&lt;&gt;""),"Yes","No")</f>
        <v>No</v>
      </c>
      <c r="W170" s="179"/>
      <c r="Y170" s="114">
        <f ca="1">IFERROR(SUMIFS($Z$3:$Z312,$Z$3:$Z$195,"&gt;0",$V$3:$V$195,"No")/SUMIF($Z$3:$Z$195,"&gt;0"),0)</f>
        <v>0</v>
      </c>
      <c r="Z170">
        <f t="shared" ca="1" si="6"/>
        <v>-53.319999999999993</v>
      </c>
      <c r="AA170" s="116" t="str">
        <f t="shared" ca="1" si="5"/>
        <v>WR11</v>
      </c>
      <c r="AB170">
        <f ca="1">Z170*LeagueInfo!$H$5</f>
        <v>-19.633935155237072</v>
      </c>
    </row>
    <row r="171" spans="1:28" ht="15.75" thickBot="1" x14ac:dyDescent="0.3">
      <c r="A171">
        <f>RANK(P171,P$3:P$213)</f>
        <v>169</v>
      </c>
      <c r="B171" t="str">
        <f>WR_Raw!A174</f>
        <v>Greg Ward</v>
      </c>
      <c r="C171" t="s">
        <v>35</v>
      </c>
      <c r="D171" t="str">
        <f>_xlfn.IFNA(INDEX(BYEs!$E$2:$E$411,MATCH(B171,BYEs!$D$2:$D$411,0)),"N/A")</f>
        <v>N/A</v>
      </c>
      <c r="E171">
        <f>INDEX(BYEs!$B$2:$B$34,MATCH(F171,BYEs!$A$2:$A$34,0))</f>
        <v>7</v>
      </c>
      <c r="F171" t="str">
        <f>WR_Raw!B174</f>
        <v>PHI</v>
      </c>
      <c r="G171" s="206">
        <v>0</v>
      </c>
      <c r="H171" s="207">
        <v>0</v>
      </c>
      <c r="I171" s="204">
        <f>WR_Raw!F174</f>
        <v>0</v>
      </c>
      <c r="J171" s="204">
        <f>WR_Raw!G174</f>
        <v>0</v>
      </c>
      <c r="K171" s="204">
        <f>WR_Raw!H174</f>
        <v>0</v>
      </c>
      <c r="L171" s="206">
        <f>WR_Raw!C174</f>
        <v>7.6</v>
      </c>
      <c r="M171" s="204">
        <f>WR_Raw!D174</f>
        <v>87.7</v>
      </c>
      <c r="N171" s="207">
        <f>WR_Raw!E174</f>
        <v>0.6</v>
      </c>
      <c r="O171" s="204">
        <f>WR_Raw!I174</f>
        <v>0</v>
      </c>
      <c r="P171" s="208">
        <f>(J171*WRRushingYd)+(K171*WRRushingTD)+(L171*WRRec)+(M171*WRRecYd)+(N171*WRRecTD)+(O171*WRFuml)+(I171*WRRushAtt)</f>
        <v>16.170000000000002</v>
      </c>
      <c r="Q171" t="str">
        <f ca="1">IF(A171&lt;=WRStarters,"Starter",IF(A171&gt;WRStarters+WRBench,"Undrafted","Bench"))</f>
        <v>Undrafted</v>
      </c>
      <c r="R171">
        <f ca="1">IFERROR(MAX(P171-LARGE(WRSheetCount,WRStarters),0),0)</f>
        <v>0</v>
      </c>
      <c r="S171">
        <f ca="1">IFERROR(IF(AllowNegative="Yes",P171-LARGE(WRSheetCount,WRCount),MAX(P171-LARGE(WRSheetCount,WRCount),0)),0)</f>
        <v>-107.43999999999998</v>
      </c>
      <c r="T171" s="85">
        <f ca="1">(S171-R171)*BenchPF+R171*StarterPF</f>
        <v>-19.480687983830606</v>
      </c>
      <c r="U171" s="85">
        <f ca="1">T171*Auction!$A$2</f>
        <v>-19.480687983830606</v>
      </c>
      <c r="V171" s="6" t="str">
        <f>IF(OR(INDEX(Auction!$H$13:$H$656,MATCH(B171,Auction!$A$13:$A$656,0))&gt;0,IFERROR(INDEX(CheatSheet!$V$5:$V$64,MATCH(B171,CheatSheet!$S$5:$S$64,0)),"")&lt;&gt;""),"Yes","No")</f>
        <v>No</v>
      </c>
      <c r="W171" s="179"/>
      <c r="Y171" s="114">
        <f ca="1">IFERROR(SUMIFS($Z$3:$Z313,$Z$3:$Z$195,"&gt;0",$V$3:$V$195,"No")/SUMIF($Z$3:$Z$195,"&gt;0"),0)</f>
        <v>0</v>
      </c>
      <c r="Z171">
        <f t="shared" ca="1" si="6"/>
        <v>-53.719999999999992</v>
      </c>
      <c r="AA171" s="116" t="str">
        <f t="shared" ca="1" si="5"/>
        <v>WR11</v>
      </c>
      <c r="AB171">
        <f ca="1">Z171*LeagueInfo!$H$5</f>
        <v>-19.781226491735474</v>
      </c>
    </row>
    <row r="172" spans="1:28" ht="15.75" thickBot="1" x14ac:dyDescent="0.3">
      <c r="A172">
        <f>RANK(P172,P$3:P$213)</f>
        <v>170</v>
      </c>
      <c r="B172" t="str">
        <f>WR_Raw!A170</f>
        <v>Seth Williams</v>
      </c>
      <c r="C172" t="s">
        <v>35</v>
      </c>
      <c r="D172" t="str">
        <f>_xlfn.IFNA(INDEX(BYEs!$E$2:$E$411,MATCH(B172,BYEs!$D$2:$D$411,0)),"N/A")</f>
        <v>N/A</v>
      </c>
      <c r="E172">
        <f>INDEX(BYEs!$B$2:$B$34,MATCH(F172,BYEs!$A$2:$A$34,0))</f>
        <v>11</v>
      </c>
      <c r="F172" t="str">
        <f>WR_Raw!B170</f>
        <v>JAC</v>
      </c>
      <c r="G172" s="206">
        <v>0</v>
      </c>
      <c r="H172" s="207">
        <v>0</v>
      </c>
      <c r="I172" s="204">
        <f>WR_Raw!F170</f>
        <v>0</v>
      </c>
      <c r="J172" s="204">
        <f>WR_Raw!G170</f>
        <v>0</v>
      </c>
      <c r="K172" s="204">
        <f>WR_Raw!H170</f>
        <v>0</v>
      </c>
      <c r="L172" s="206">
        <f>WR_Raw!C170</f>
        <v>7.4</v>
      </c>
      <c r="M172" s="204">
        <f>WR_Raw!D170</f>
        <v>88</v>
      </c>
      <c r="N172" s="207">
        <f>WR_Raw!E170</f>
        <v>0.6</v>
      </c>
      <c r="O172" s="204">
        <f>WR_Raw!I170</f>
        <v>0</v>
      </c>
      <c r="P172" s="208">
        <f>(J172*WRRushingYd)+(K172*WRRushingTD)+(L172*WRRec)+(M172*WRRecYd)+(N172*WRRecTD)+(O172*WRFuml)+(I172*WRRushAtt)</f>
        <v>16.100000000000001</v>
      </c>
      <c r="Q172" t="str">
        <f ca="1">IF(A172&lt;=WRStarters,"Starter",IF(A172&gt;WRStarters+WRBench,"Undrafted","Bench"))</f>
        <v>Undrafted</v>
      </c>
      <c r="R172">
        <f ca="1">IFERROR(MAX(P172-LARGE(WRSheetCount,WRStarters),0),0)</f>
        <v>0</v>
      </c>
      <c r="S172">
        <f ca="1">IFERROR(IF(AllowNegative="Yes",P172-LARGE(WRSheetCount,WRCount),MAX(P172-LARGE(WRSheetCount,WRCount),0)),0)</f>
        <v>-107.50999999999999</v>
      </c>
      <c r="T172" s="85">
        <f ca="1">(S172-R172)*BenchPF+R172*StarterPF</f>
        <v>-19.493380166992075</v>
      </c>
      <c r="U172" s="85">
        <f ca="1">T172*Auction!$A$2</f>
        <v>-19.493380166992075</v>
      </c>
      <c r="V172" s="6" t="str">
        <f>IF(OR(INDEX(Auction!$H$13:$H$656,MATCH(B172,Auction!$A$13:$A$656,0))&gt;0,IFERROR(INDEX(CheatSheet!$V$5:$V$64,MATCH(B172,CheatSheet!$S$5:$S$64,0)),"")&lt;&gt;""),"Yes","No")</f>
        <v>No</v>
      </c>
      <c r="W172" s="179"/>
      <c r="Y172" s="114">
        <f ca="1">IFERROR(SUMIFS($Z$3:$Z314,$Z$3:$Z$195,"&gt;0",$V$3:$V$195,"No")/SUMIF($Z$3:$Z$195,"&gt;0"),0)</f>
        <v>0</v>
      </c>
      <c r="Z172">
        <f t="shared" ca="1" si="6"/>
        <v>-53.754999999999995</v>
      </c>
      <c r="AA172" s="116" t="str">
        <f t="shared" ca="1" si="5"/>
        <v>WR11</v>
      </c>
      <c r="AB172">
        <f ca="1">Z172*LeagueInfo!$H$5</f>
        <v>-19.794114483679088</v>
      </c>
    </row>
    <row r="173" spans="1:28" ht="15.75" thickBot="1" x14ac:dyDescent="0.3">
      <c r="A173">
        <f>RANK(P173,P$3:P$213)</f>
        <v>171</v>
      </c>
      <c r="B173" t="str">
        <f>WR_Raw!A172</f>
        <v>Tim Jones</v>
      </c>
      <c r="C173" t="s">
        <v>35</v>
      </c>
      <c r="D173" t="str">
        <f>_xlfn.IFNA(INDEX(BYEs!$E$2:$E$411,MATCH(B173,BYEs!$D$2:$D$411,0)),"N/A")</f>
        <v>N/A</v>
      </c>
      <c r="E173">
        <f>INDEX(BYEs!$B$2:$B$34,MATCH(F173,BYEs!$A$2:$A$34,0))</f>
        <v>11</v>
      </c>
      <c r="F173" t="str">
        <f>WR_Raw!B172</f>
        <v>JAC</v>
      </c>
      <c r="G173" s="206">
        <v>0</v>
      </c>
      <c r="H173" s="207">
        <v>0</v>
      </c>
      <c r="I173" s="204">
        <f>WR_Raw!F172</f>
        <v>0</v>
      </c>
      <c r="J173" s="204">
        <f>WR_Raw!G172</f>
        <v>0</v>
      </c>
      <c r="K173" s="204">
        <f>WR_Raw!H172</f>
        <v>0</v>
      </c>
      <c r="L173" s="206">
        <f>WR_Raw!C172</f>
        <v>7.5</v>
      </c>
      <c r="M173" s="204">
        <f>WR_Raw!D172</f>
        <v>91.6</v>
      </c>
      <c r="N173" s="207">
        <f>WR_Raw!E172</f>
        <v>0.5</v>
      </c>
      <c r="O173" s="204">
        <f>WR_Raw!I172</f>
        <v>0</v>
      </c>
      <c r="P173" s="208">
        <f>(J173*WRRushingYd)+(K173*WRRushingTD)+(L173*WRRec)+(M173*WRRecYd)+(N173*WRRecTD)+(O173*WRFuml)+(I173*WRRushAtt)</f>
        <v>15.91</v>
      </c>
      <c r="Q173" t="str">
        <f ca="1">IF(A173&lt;=WRStarters,"Starter",IF(A173&gt;WRStarters+WRBench,"Undrafted","Bench"))</f>
        <v>Undrafted</v>
      </c>
      <c r="R173">
        <f ca="1">IFERROR(MAX(P173-LARGE(WRSheetCount,WRStarters),0),0)</f>
        <v>0</v>
      </c>
      <c r="S173">
        <f ca="1">IFERROR(IF(AllowNegative="Yes",P173-LARGE(WRSheetCount,WRCount),MAX(P173-LARGE(WRSheetCount,WRCount),0)),0)</f>
        <v>-107.69999999999999</v>
      </c>
      <c r="T173" s="85">
        <f ca="1">(S173-R173)*BenchPF+R173*StarterPF</f>
        <v>-19.527830378430348</v>
      </c>
      <c r="U173" s="85">
        <f ca="1">T173*Auction!$A$2</f>
        <v>-19.527830378430348</v>
      </c>
      <c r="V173" s="6" t="str">
        <f>IF(OR(INDEX(Auction!$H$13:$H$656,MATCH(B173,Auction!$A$13:$A$656,0))&gt;0,IFERROR(INDEX(CheatSheet!$V$5:$V$64,MATCH(B173,CheatSheet!$S$5:$S$64,0)),"")&lt;&gt;""),"Yes","No")</f>
        <v>No</v>
      </c>
      <c r="W173" s="179"/>
      <c r="Y173" s="114">
        <f ca="1">IFERROR(SUMIFS($Z$3:$Z315,$Z$3:$Z$195,"&gt;0",$V$3:$V$195,"No")/SUMIF($Z$3:$Z$195,"&gt;0"),0)</f>
        <v>0</v>
      </c>
      <c r="Z173">
        <f t="shared" ca="1" si="6"/>
        <v>-53.849999999999994</v>
      </c>
      <c r="AA173" s="116" t="str">
        <f t="shared" ca="1" si="5"/>
        <v>WR11</v>
      </c>
      <c r="AB173">
        <f ca="1">Z173*LeagueInfo!$H$5</f>
        <v>-19.829096176097458</v>
      </c>
    </row>
    <row r="174" spans="1:28" ht="15.75" thickBot="1" x14ac:dyDescent="0.3">
      <c r="A174">
        <f>RANK(P174,P$3:P$213)</f>
        <v>172</v>
      </c>
      <c r="B174" t="str">
        <f>WR_Raw!A173</f>
        <v>Tajae Sharpe</v>
      </c>
      <c r="C174" t="s">
        <v>35</v>
      </c>
      <c r="D174">
        <f>_xlfn.IFNA(INDEX(BYEs!$E$2:$E$411,MATCH(B174,BYEs!$D$2:$D$411,0)),"N/A")</f>
        <v>26</v>
      </c>
      <c r="E174">
        <f>INDEX(BYEs!$B$2:$B$34,MATCH(F174,BYEs!$A$2:$A$34,0))</f>
        <v>14</v>
      </c>
      <c r="F174" t="str">
        <f>WR_Raw!B173</f>
        <v>CHI</v>
      </c>
      <c r="G174" s="206">
        <v>0</v>
      </c>
      <c r="H174" s="207">
        <v>0</v>
      </c>
      <c r="I174" s="204">
        <f>WR_Raw!F173</f>
        <v>0</v>
      </c>
      <c r="J174" s="204">
        <f>WR_Raw!G173</f>
        <v>0</v>
      </c>
      <c r="K174" s="204">
        <f>WR_Raw!H173</f>
        <v>0</v>
      </c>
      <c r="L174" s="206">
        <f>WR_Raw!C173</f>
        <v>7.7</v>
      </c>
      <c r="M174" s="204">
        <f>WR_Raw!D173</f>
        <v>91.7</v>
      </c>
      <c r="N174" s="207">
        <f>WR_Raw!E173</f>
        <v>0.5</v>
      </c>
      <c r="O174" s="204">
        <f>WR_Raw!I173</f>
        <v>0.1</v>
      </c>
      <c r="P174" s="208">
        <f>(J174*WRRushingYd)+(K174*WRRushingTD)+(L174*WRRec)+(M174*WRRecYd)+(N174*WRRecTD)+(O174*WRFuml)+(I174*WRRushAtt)</f>
        <v>15.82</v>
      </c>
      <c r="Q174" t="str">
        <f ca="1">IF(A174&lt;=WRStarters,"Starter",IF(A174&gt;WRStarters+WRBench,"Undrafted","Bench"))</f>
        <v>Undrafted</v>
      </c>
      <c r="R174">
        <f ca="1">IFERROR(MAX(P174-LARGE(WRSheetCount,WRStarters),0),0)</f>
        <v>0</v>
      </c>
      <c r="S174">
        <f ca="1">IFERROR(IF(AllowNegative="Yes",P174-LARGE(WRSheetCount,WRCount),MAX(P174-LARGE(WRSheetCount,WRCount),0)),0)</f>
        <v>-107.78999999999999</v>
      </c>
      <c r="T174" s="85">
        <f ca="1">(S174-R174)*BenchPF+R174*StarterPF</f>
        <v>-19.54414889963795</v>
      </c>
      <c r="U174" s="85">
        <f ca="1">T174*Auction!$A$2</f>
        <v>-19.54414889963795</v>
      </c>
      <c r="V174" s="6" t="str">
        <f>IF(OR(INDEX(Auction!$H$13:$H$656,MATCH(B174,Auction!$A$13:$A$656,0))&gt;0,IFERROR(INDEX(CheatSheet!$V$5:$V$64,MATCH(B174,CheatSheet!$S$5:$S$64,0)),"")&lt;&gt;""),"Yes","No")</f>
        <v>No</v>
      </c>
      <c r="W174" s="179"/>
      <c r="Y174" s="114">
        <f ca="1">IFERROR(SUMIFS($Z$3:$Z316,$Z$3:$Z$195,"&gt;0",$V$3:$V$195,"No")/SUMIF($Z$3:$Z$195,"&gt;0"),0)</f>
        <v>0</v>
      </c>
      <c r="Z174">
        <f t="shared" ca="1" si="6"/>
        <v>-53.894999999999996</v>
      </c>
      <c r="AA174" s="116" t="str">
        <f t="shared" ca="1" si="5"/>
        <v>WR11</v>
      </c>
      <c r="AB174">
        <f ca="1">Z174*LeagueInfo!$H$5</f>
        <v>-19.845666451453528</v>
      </c>
    </row>
    <row r="175" spans="1:28" ht="15.75" thickBot="1" x14ac:dyDescent="0.3">
      <c r="A175">
        <f>RANK(P175,P$3:P$213)</f>
        <v>173</v>
      </c>
      <c r="B175" t="str">
        <f>WR_Raw!A171</f>
        <v>Samori Toure</v>
      </c>
      <c r="C175" t="s">
        <v>35</v>
      </c>
      <c r="D175" t="str">
        <f>_xlfn.IFNA(INDEX(BYEs!$E$2:$E$411,MATCH(B175,BYEs!$D$2:$D$411,0)),"N/A")</f>
        <v>N/A</v>
      </c>
      <c r="E175">
        <f>INDEX(BYEs!$B$2:$B$34,MATCH(F175,BYEs!$A$2:$A$34,0))</f>
        <v>14</v>
      </c>
      <c r="F175" t="str">
        <f>WR_Raw!B171</f>
        <v>GB</v>
      </c>
      <c r="G175" s="206">
        <v>0</v>
      </c>
      <c r="H175" s="207">
        <v>0</v>
      </c>
      <c r="I175" s="204">
        <f>WR_Raw!F171</f>
        <v>0</v>
      </c>
      <c r="J175" s="204">
        <f>WR_Raw!G171</f>
        <v>0</v>
      </c>
      <c r="K175" s="204">
        <f>WR_Raw!H171</f>
        <v>0</v>
      </c>
      <c r="L175" s="206">
        <f>WR_Raw!C171</f>
        <v>6.8</v>
      </c>
      <c r="M175" s="204">
        <f>WR_Raw!D171</f>
        <v>80.900000000000006</v>
      </c>
      <c r="N175" s="207">
        <f>WR_Raw!E171</f>
        <v>0.7</v>
      </c>
      <c r="O175" s="204">
        <f>WR_Raw!I171</f>
        <v>0</v>
      </c>
      <c r="P175" s="208">
        <f>(J175*WRRushingYd)+(K175*WRRushingTD)+(L175*WRRec)+(M175*WRRecYd)+(N175*WRRecTD)+(O175*WRFuml)+(I175*WRRushAtt)</f>
        <v>15.690000000000001</v>
      </c>
      <c r="Q175" t="str">
        <f ca="1">IF(A175&lt;=WRStarters,"Starter",IF(A175&gt;WRStarters+WRBench,"Undrafted","Bench"))</f>
        <v>Undrafted</v>
      </c>
      <c r="R175">
        <f ca="1">IFERROR(MAX(P175-LARGE(WRSheetCount,WRStarters),0),0)</f>
        <v>0</v>
      </c>
      <c r="S175">
        <f ca="1">IFERROR(IF(AllowNegative="Yes",P175-LARGE(WRSheetCount,WRCount),MAX(P175-LARGE(WRSheetCount,WRCount),0)),0)</f>
        <v>-107.91999999999999</v>
      </c>
      <c r="T175" s="85">
        <f ca="1">(S175-R175)*BenchPF+R175*StarterPF</f>
        <v>-19.567720096937819</v>
      </c>
      <c r="U175" s="85">
        <f ca="1">T175*Auction!$A$2</f>
        <v>-19.567720096937819</v>
      </c>
      <c r="V175" s="6" t="str">
        <f>IF(OR(INDEX(Auction!$H$13:$H$656,MATCH(B175,Auction!$A$13:$A$656,0))&gt;0,IFERROR(INDEX(CheatSheet!$V$5:$V$64,MATCH(B175,CheatSheet!$S$5:$S$64,0)),"")&lt;&gt;""),"Yes","No")</f>
        <v>No</v>
      </c>
      <c r="W175" s="179"/>
      <c r="Y175" s="114">
        <f ca="1">IFERROR(SUMIFS($Z$3:$Z317,$Z$3:$Z$195,"&gt;0",$V$3:$V$195,"No")/SUMIF($Z$3:$Z$195,"&gt;0"),0)</f>
        <v>0</v>
      </c>
      <c r="Z175">
        <f t="shared" ca="1" si="6"/>
        <v>-53.959999999999994</v>
      </c>
      <c r="AA175" s="116" t="str">
        <f t="shared" ca="1" si="5"/>
        <v>WR11</v>
      </c>
      <c r="AB175">
        <f ca="1">Z175*LeagueInfo!$H$5</f>
        <v>-19.869601293634517</v>
      </c>
    </row>
    <row r="176" spans="1:28" ht="15.75" thickBot="1" x14ac:dyDescent="0.3">
      <c r="A176">
        <f>RANK(P176,P$3:P$213)</f>
        <v>174</v>
      </c>
      <c r="B176" t="str">
        <f>WR_Raw!A176</f>
        <v>Scotty Miller</v>
      </c>
      <c r="C176" t="s">
        <v>35</v>
      </c>
      <c r="D176" t="str">
        <f>_xlfn.IFNA(INDEX(BYEs!$E$2:$E$411,MATCH(B176,BYEs!$D$2:$D$411,0)),"N/A")</f>
        <v>N/A</v>
      </c>
      <c r="E176">
        <f>INDEX(BYEs!$B$2:$B$34,MATCH(F176,BYEs!$A$2:$A$34,0))</f>
        <v>11</v>
      </c>
      <c r="F176" t="str">
        <f>WR_Raw!B176</f>
        <v>TB</v>
      </c>
      <c r="G176" s="206">
        <v>0</v>
      </c>
      <c r="H176" s="207">
        <v>0</v>
      </c>
      <c r="I176" s="204">
        <f>WR_Raw!F176</f>
        <v>0</v>
      </c>
      <c r="J176" s="204">
        <f>WR_Raw!G176</f>
        <v>0</v>
      </c>
      <c r="K176" s="204">
        <f>WR_Raw!H176</f>
        <v>0</v>
      </c>
      <c r="L176" s="206">
        <f>WR_Raw!C176</f>
        <v>6.5</v>
      </c>
      <c r="M176" s="204">
        <f>WR_Raw!D176</f>
        <v>82.1</v>
      </c>
      <c r="N176" s="207">
        <f>WR_Raw!E176</f>
        <v>0.6</v>
      </c>
      <c r="O176" s="204">
        <f>WR_Raw!I176</f>
        <v>0</v>
      </c>
      <c r="P176" s="208">
        <f>(J176*WRRushingYd)+(K176*WRRushingTD)+(L176*WRRec)+(M176*WRRecYd)+(N176*WRRecTD)+(O176*WRFuml)+(I176*WRRushAtt)</f>
        <v>15.059999999999999</v>
      </c>
      <c r="Q176" t="str">
        <f ca="1">IF(A176&lt;=WRStarters,"Starter",IF(A176&gt;WRStarters+WRBench,"Undrafted","Bench"))</f>
        <v>Undrafted</v>
      </c>
      <c r="R176">
        <f ca="1">IFERROR(MAX(P176-LARGE(WRSheetCount,WRStarters),0),0)</f>
        <v>0</v>
      </c>
      <c r="S176">
        <f ca="1">IFERROR(IF(AllowNegative="Yes",P176-LARGE(WRSheetCount,WRCount),MAX(P176-LARGE(WRSheetCount,WRCount),0)),0)</f>
        <v>-108.54999999999998</v>
      </c>
      <c r="T176" s="85">
        <f ca="1">(S176-R176)*BenchPF+R176*StarterPF</f>
        <v>-19.68194974539103</v>
      </c>
      <c r="U176" s="85">
        <f ca="1">T176*Auction!$A$2</f>
        <v>-19.68194974539103</v>
      </c>
      <c r="V176" s="6" t="str">
        <f>IF(OR(INDEX(Auction!$H$13:$H$656,MATCH(B176,Auction!$A$13:$A$656,0))&gt;0,IFERROR(INDEX(CheatSheet!$V$5:$V$64,MATCH(B176,CheatSheet!$S$5:$S$64,0)),"")&lt;&gt;""),"Yes","No")</f>
        <v>No</v>
      </c>
      <c r="W176" s="179"/>
      <c r="Y176" s="114">
        <f ca="1">IFERROR(SUMIFS($Z$3:$Z318,$Z$3:$Z$195,"&gt;0",$V$3:$V$195,"No")/SUMIF($Z$3:$Z$195,"&gt;0"),0)</f>
        <v>0</v>
      </c>
      <c r="Z176">
        <f t="shared" ca="1" si="6"/>
        <v>-54.274999999999991</v>
      </c>
      <c r="AA176" s="116" t="str">
        <f t="shared" ca="1" si="5"/>
        <v>WR11</v>
      </c>
      <c r="AB176">
        <f ca="1">Z176*LeagueInfo!$H$5</f>
        <v>-19.985593221127008</v>
      </c>
    </row>
    <row r="177" spans="1:28" ht="15.75" thickBot="1" x14ac:dyDescent="0.3">
      <c r="A177">
        <f>RANK(P177,P$3:P$213)</f>
        <v>175</v>
      </c>
      <c r="B177" t="str">
        <f>WR_Raw!A175</f>
        <v>KaVontae Turpin</v>
      </c>
      <c r="C177" t="s">
        <v>35</v>
      </c>
      <c r="D177" t="str">
        <f>_xlfn.IFNA(INDEX(BYEs!$E$2:$E$411,MATCH(B177,BYEs!$D$2:$D$411,0)),"N/A")</f>
        <v>N/A</v>
      </c>
      <c r="E177">
        <f>INDEX(BYEs!$B$2:$B$34,MATCH(F177,BYEs!$A$2:$A$34,0))</f>
        <v>9</v>
      </c>
      <c r="F177" t="str">
        <f>WR_Raw!B175</f>
        <v>DAL</v>
      </c>
      <c r="G177" s="206">
        <v>0</v>
      </c>
      <c r="H177" s="207">
        <v>0</v>
      </c>
      <c r="I177" s="204">
        <f>WR_Raw!F175</f>
        <v>4.4000000000000004</v>
      </c>
      <c r="J177" s="204">
        <f>WR_Raw!G175</f>
        <v>26.6</v>
      </c>
      <c r="K177" s="204">
        <f>WR_Raw!H175</f>
        <v>0.2</v>
      </c>
      <c r="L177" s="206">
        <f>WR_Raw!C175</f>
        <v>4.5999999999999996</v>
      </c>
      <c r="M177" s="204">
        <f>WR_Raw!D175</f>
        <v>59.2</v>
      </c>
      <c r="N177" s="207">
        <f>WR_Raw!E175</f>
        <v>0.4</v>
      </c>
      <c r="O177" s="204">
        <f>WR_Raw!I175</f>
        <v>0</v>
      </c>
      <c r="P177" s="208">
        <f>(J177*WRRushingYd)+(K177*WRRushingTD)+(L177*WRRec)+(M177*WRRecYd)+(N177*WRRecTD)+(O177*WRFuml)+(I177*WRRushAtt)</f>
        <v>14.480000000000002</v>
      </c>
      <c r="Q177" t="str">
        <f ca="1">IF(A177&lt;=WRStarters,"Starter",IF(A177&gt;WRStarters+WRBench,"Undrafted","Bench"))</f>
        <v>Undrafted</v>
      </c>
      <c r="R177">
        <f ca="1">IFERROR(MAX(P177-LARGE(WRSheetCount,WRStarters),0),0)</f>
        <v>0</v>
      </c>
      <c r="S177">
        <f ca="1">IFERROR(IF(AllowNegative="Yes",P177-LARGE(WRSheetCount,WRCount),MAX(P177-LARGE(WRSheetCount,WRCount),0)),0)</f>
        <v>-109.12999999999998</v>
      </c>
      <c r="T177" s="85">
        <f ca="1">(S177-R177)*BenchPF+R177*StarterPF</f>
        <v>-19.787113548728911</v>
      </c>
      <c r="U177" s="85">
        <f ca="1">T177*Auction!$A$2</f>
        <v>-19.787113548728911</v>
      </c>
      <c r="V177" s="6" t="str">
        <f>IF(OR(INDEX(Auction!$H$13:$H$656,MATCH(B177,Auction!$A$13:$A$656,0))&gt;0,IFERROR(INDEX(CheatSheet!$V$5:$V$64,MATCH(B177,CheatSheet!$S$5:$S$64,0)),"")&lt;&gt;""),"Yes","No")</f>
        <v>No</v>
      </c>
      <c r="W177" s="179"/>
      <c r="Y177" s="114">
        <f ca="1">IFERROR(SUMIFS($Z$3:$Z319,$Z$3:$Z$195,"&gt;0",$V$3:$V$195,"No")/SUMIF($Z$3:$Z$195,"&gt;0"),0)</f>
        <v>0</v>
      </c>
      <c r="Z177">
        <f t="shared" ca="1" si="6"/>
        <v>-54.564999999999991</v>
      </c>
      <c r="AA177" s="116" t="str">
        <f t="shared" ca="1" si="5"/>
        <v>WR11</v>
      </c>
      <c r="AB177">
        <f ca="1">Z177*LeagueInfo!$H$5</f>
        <v>-20.092379440088351</v>
      </c>
    </row>
    <row r="178" spans="1:28" ht="15.75" thickBot="1" x14ac:dyDescent="0.3">
      <c r="A178">
        <f>RANK(P178,P$3:P$213)</f>
        <v>176</v>
      </c>
      <c r="B178" t="str">
        <f>WR_Raw!A181</f>
        <v>Trent Taylor</v>
      </c>
      <c r="C178" t="s">
        <v>35</v>
      </c>
      <c r="D178">
        <f>_xlfn.IFNA(INDEX(BYEs!$E$2:$E$411,MATCH(B178,BYEs!$D$2:$D$411,0)),"N/A")</f>
        <v>27</v>
      </c>
      <c r="E178">
        <f>INDEX(BYEs!$B$2:$B$34,MATCH(F178,BYEs!$A$2:$A$34,0))</f>
        <v>10</v>
      </c>
      <c r="F178" t="str">
        <f>WR_Raw!B181</f>
        <v>CIN</v>
      </c>
      <c r="G178" s="206">
        <v>0</v>
      </c>
      <c r="H178" s="207">
        <v>0</v>
      </c>
      <c r="I178" s="204">
        <f>WR_Raw!F181</f>
        <v>0</v>
      </c>
      <c r="J178" s="204">
        <f>WR_Raw!G181</f>
        <v>0</v>
      </c>
      <c r="K178" s="204">
        <f>WR_Raw!H181</f>
        <v>0</v>
      </c>
      <c r="L178" s="206">
        <f>WR_Raw!C181</f>
        <v>6.9</v>
      </c>
      <c r="M178" s="204">
        <f>WR_Raw!D181</f>
        <v>73.099999999999994</v>
      </c>
      <c r="N178" s="207">
        <f>WR_Raw!E181</f>
        <v>0.6</v>
      </c>
      <c r="O178" s="204">
        <f>WR_Raw!I181</f>
        <v>0</v>
      </c>
      <c r="P178" s="208">
        <f>(J178*WRRushingYd)+(K178*WRRushingTD)+(L178*WRRec)+(M178*WRRecYd)+(N178*WRRecTD)+(O178*WRFuml)+(I178*WRRushAtt)</f>
        <v>14.36</v>
      </c>
      <c r="Q178" t="str">
        <f ca="1">IF(A178&lt;=WRStarters,"Starter",IF(A178&gt;WRStarters+WRBench,"Undrafted","Bench"))</f>
        <v>Undrafted</v>
      </c>
      <c r="R178">
        <f ca="1">IFERROR(MAX(P178-LARGE(WRSheetCount,WRStarters),0),0)</f>
        <v>0</v>
      </c>
      <c r="S178">
        <f ca="1">IFERROR(IF(AllowNegative="Yes",P178-LARGE(WRSheetCount,WRCount),MAX(P178-LARGE(WRSheetCount,WRCount),0)),0)</f>
        <v>-109.24999999999999</v>
      </c>
      <c r="T178" s="85">
        <f ca="1">(S178-R178)*BenchPF+R178*StarterPF</f>
        <v>-19.808871577005714</v>
      </c>
      <c r="U178" s="85">
        <f ca="1">T178*Auction!$A$2</f>
        <v>-19.808871577005714</v>
      </c>
      <c r="V178" s="6" t="str">
        <f>IF(OR(INDEX(Auction!$H$13:$H$656,MATCH(B178,Auction!$A$13:$A$656,0))&gt;0,IFERROR(INDEX(CheatSheet!$V$5:$V$64,MATCH(B178,CheatSheet!$S$5:$S$64,0)),"")&lt;&gt;""),"Yes","No")</f>
        <v>No</v>
      </c>
      <c r="W178" s="179"/>
      <c r="Y178" s="114">
        <f ca="1">IFERROR(SUMIFS($Z$3:$Z320,$Z$3:$Z$195,"&gt;0",$V$3:$V$195,"No")/SUMIF($Z$3:$Z$195,"&gt;0"),0)</f>
        <v>0</v>
      </c>
      <c r="Z178">
        <f t="shared" ca="1" si="6"/>
        <v>-54.624999999999993</v>
      </c>
      <c r="AA178" s="116" t="str">
        <f t="shared" ca="1" si="5"/>
        <v>WR11</v>
      </c>
      <c r="AB178">
        <f ca="1">Z178*LeagueInfo!$H$5</f>
        <v>-20.114473140563113</v>
      </c>
    </row>
    <row r="179" spans="1:28" ht="15.75" thickBot="1" x14ac:dyDescent="0.3">
      <c r="A179">
        <f>RANK(P179,P$3:P$213)</f>
        <v>177</v>
      </c>
      <c r="B179" t="str">
        <f>WR_Raw!A177</f>
        <v>Mike Strachan</v>
      </c>
      <c r="C179" t="s">
        <v>35</v>
      </c>
      <c r="D179" t="str">
        <f>_xlfn.IFNA(INDEX(BYEs!$E$2:$E$411,MATCH(B179,BYEs!$D$2:$D$411,0)),"N/A")</f>
        <v>N/A</v>
      </c>
      <c r="E179">
        <f>INDEX(BYEs!$B$2:$B$34,MATCH(F179,BYEs!$A$2:$A$34,0))</f>
        <v>14</v>
      </c>
      <c r="F179" t="str">
        <f>WR_Raw!B177</f>
        <v>IND</v>
      </c>
      <c r="G179" s="206">
        <v>0</v>
      </c>
      <c r="H179" s="207">
        <v>0</v>
      </c>
      <c r="I179" s="204">
        <f>WR_Raw!F177</f>
        <v>0</v>
      </c>
      <c r="J179" s="204">
        <f>WR_Raw!G177</f>
        <v>0</v>
      </c>
      <c r="K179" s="204">
        <f>WR_Raw!H177</f>
        <v>0</v>
      </c>
      <c r="L179" s="206">
        <f>WR_Raw!C177</f>
        <v>6.7</v>
      </c>
      <c r="M179" s="204">
        <f>WR_Raw!D177</f>
        <v>79</v>
      </c>
      <c r="N179" s="207">
        <f>WR_Raw!E177</f>
        <v>0.5</v>
      </c>
      <c r="O179" s="204">
        <f>WR_Raw!I177</f>
        <v>0</v>
      </c>
      <c r="P179" s="208">
        <f>(J179*WRRushingYd)+(K179*WRRushingTD)+(L179*WRRec)+(M179*WRRecYd)+(N179*WRRecTD)+(O179*WRFuml)+(I179*WRRushAtt)</f>
        <v>14.25</v>
      </c>
      <c r="Q179" t="str">
        <f ca="1">IF(A179&lt;=WRStarters,"Starter",IF(A179&gt;WRStarters+WRBench,"Undrafted","Bench"))</f>
        <v>Undrafted</v>
      </c>
      <c r="R179">
        <f ca="1">IFERROR(MAX(P179-LARGE(WRSheetCount,WRStarters),0),0)</f>
        <v>0</v>
      </c>
      <c r="S179">
        <f ca="1">IFERROR(IF(AllowNegative="Yes",P179-LARGE(WRSheetCount,WRCount),MAX(P179-LARGE(WRSheetCount,WRCount),0)),0)</f>
        <v>-109.35999999999999</v>
      </c>
      <c r="T179" s="85">
        <f ca="1">(S179-R179)*BenchPF+R179*StarterPF</f>
        <v>-19.828816436259451</v>
      </c>
      <c r="U179" s="85">
        <f ca="1">T179*Auction!$A$2</f>
        <v>-19.828816436259451</v>
      </c>
      <c r="V179" s="6" t="str">
        <f>IF(OR(INDEX(Auction!$H$13:$H$656,MATCH(B179,Auction!$A$13:$A$656,0))&gt;0,IFERROR(INDEX(CheatSheet!$V$5:$V$64,MATCH(B179,CheatSheet!$S$5:$S$64,0)),"")&lt;&gt;""),"Yes","No")</f>
        <v>No</v>
      </c>
      <c r="W179" s="179"/>
      <c r="Y179" s="114">
        <f ca="1">IFERROR(SUMIFS($Z$3:$Z321,$Z$3:$Z$195,"&gt;0",$V$3:$V$195,"No")/SUMIF($Z$3:$Z$195,"&gt;0"),0)</f>
        <v>0</v>
      </c>
      <c r="Z179">
        <f t="shared" ca="1" si="6"/>
        <v>-54.679999999999993</v>
      </c>
      <c r="AA179" s="116" t="str">
        <f t="shared" ca="1" si="5"/>
        <v>WR11</v>
      </c>
      <c r="AB179">
        <f ca="1">Z179*LeagueInfo!$H$5</f>
        <v>-20.134725699331643</v>
      </c>
    </row>
    <row r="180" spans="1:28" ht="15.75" thickBot="1" x14ac:dyDescent="0.3">
      <c r="A180">
        <f>RANK(P180,P$3:P$213)</f>
        <v>178</v>
      </c>
      <c r="B180" t="str">
        <f>WR_Raw!A182</f>
        <v>Tre Nixon</v>
      </c>
      <c r="C180" t="s">
        <v>35</v>
      </c>
      <c r="D180" t="str">
        <f>_xlfn.IFNA(INDEX(BYEs!$E$2:$E$411,MATCH(B180,BYEs!$D$2:$D$411,0)),"N/A")</f>
        <v>N/A</v>
      </c>
      <c r="E180">
        <f>INDEX(BYEs!$B$2:$B$34,MATCH(F180,BYEs!$A$2:$A$34,0))</f>
        <v>10</v>
      </c>
      <c r="F180" t="str">
        <f>WR_Raw!B182</f>
        <v>NE</v>
      </c>
      <c r="G180" s="206">
        <v>0</v>
      </c>
      <c r="H180" s="207">
        <v>0</v>
      </c>
      <c r="I180" s="204">
        <f>WR_Raw!F182</f>
        <v>0</v>
      </c>
      <c r="J180" s="204">
        <f>WR_Raw!G182</f>
        <v>0</v>
      </c>
      <c r="K180" s="204">
        <f>WR_Raw!H182</f>
        <v>0</v>
      </c>
      <c r="L180" s="206">
        <f>WR_Raw!C182</f>
        <v>6.2</v>
      </c>
      <c r="M180" s="204">
        <f>WR_Raw!D182</f>
        <v>80.099999999999994</v>
      </c>
      <c r="N180" s="207">
        <f>WR_Raw!E182</f>
        <v>0.5</v>
      </c>
      <c r="O180" s="204">
        <f>WR_Raw!I182</f>
        <v>0</v>
      </c>
      <c r="P180" s="208">
        <f>(J180*WRRushingYd)+(K180*WRRushingTD)+(L180*WRRec)+(M180*WRRecYd)+(N180*WRRecTD)+(O180*WRFuml)+(I180*WRRushAtt)</f>
        <v>14.11</v>
      </c>
      <c r="Q180" t="str">
        <f ca="1">IF(A180&lt;=WRStarters,"Starter",IF(A180&gt;WRStarters+WRBench,"Undrafted","Bench"))</f>
        <v>Undrafted</v>
      </c>
      <c r="R180">
        <f ca="1">IFERROR(MAX(P180-LARGE(WRSheetCount,WRStarters),0),0)</f>
        <v>0</v>
      </c>
      <c r="S180">
        <f ca="1">IFERROR(IF(AllowNegative="Yes",P180-LARGE(WRSheetCount,WRCount),MAX(P180-LARGE(WRSheetCount,WRCount),0)),0)</f>
        <v>-109.49999999999999</v>
      </c>
      <c r="T180" s="85">
        <f ca="1">(S180-R180)*BenchPF+R180*StarterPF</f>
        <v>-19.854200802582387</v>
      </c>
      <c r="U180" s="85">
        <f ca="1">T180*Auction!$A$2</f>
        <v>-19.854200802582387</v>
      </c>
      <c r="V180" s="6" t="str">
        <f>IF(OR(INDEX(Auction!$H$13:$H$656,MATCH(B180,Auction!$A$13:$A$656,0))&gt;0,IFERROR(INDEX(CheatSheet!$V$5:$V$64,MATCH(B180,CheatSheet!$S$5:$S$64,0)),"")&lt;&gt;""),"Yes","No")</f>
        <v>No</v>
      </c>
      <c r="W180" s="179"/>
      <c r="Y180" s="114">
        <f ca="1">IFERROR(SUMIFS($Z$3:$Z322,$Z$3:$Z$195,"&gt;0",$V$3:$V$195,"No")/SUMIF($Z$3:$Z$195,"&gt;0"),0)</f>
        <v>0</v>
      </c>
      <c r="Z180">
        <f t="shared" ca="1" si="6"/>
        <v>-54.749999999999993</v>
      </c>
      <c r="AA180" s="116" t="str">
        <f t="shared" ca="1" si="5"/>
        <v>WR11</v>
      </c>
      <c r="AB180">
        <f ca="1">Z180*LeagueInfo!$H$5</f>
        <v>-20.160501683218861</v>
      </c>
    </row>
    <row r="181" spans="1:28" ht="15.75" thickBot="1" x14ac:dyDescent="0.3">
      <c r="A181">
        <f>RANK(P181,P$3:P$213)</f>
        <v>179</v>
      </c>
      <c r="B181" t="str">
        <f>WR_Raw!A178</f>
        <v>Dezmon Patmon</v>
      </c>
      <c r="C181" t="s">
        <v>35</v>
      </c>
      <c r="D181" t="str">
        <f>_xlfn.IFNA(INDEX(BYEs!$E$2:$E$411,MATCH(B181,BYEs!$D$2:$D$411,0)),"N/A")</f>
        <v>N/A</v>
      </c>
      <c r="E181">
        <f>INDEX(BYEs!$B$2:$B$34,MATCH(F181,BYEs!$A$2:$A$34,0))</f>
        <v>14</v>
      </c>
      <c r="F181" t="str">
        <f>WR_Raw!B178</f>
        <v>IND</v>
      </c>
      <c r="G181" s="206">
        <v>0</v>
      </c>
      <c r="H181" s="207">
        <v>0</v>
      </c>
      <c r="I181" s="204">
        <f>WR_Raw!F178</f>
        <v>0</v>
      </c>
      <c r="J181" s="204">
        <f>WR_Raw!G178</f>
        <v>0</v>
      </c>
      <c r="K181" s="204">
        <f>WR_Raw!H178</f>
        <v>0</v>
      </c>
      <c r="L181" s="206">
        <f>WR_Raw!C178</f>
        <v>6</v>
      </c>
      <c r="M181" s="204">
        <f>WR_Raw!D178</f>
        <v>74.099999999999994</v>
      </c>
      <c r="N181" s="207">
        <f>WR_Raw!E178</f>
        <v>0.6</v>
      </c>
      <c r="O181" s="204">
        <f>WR_Raw!I178</f>
        <v>0</v>
      </c>
      <c r="P181" s="208">
        <f>(J181*WRRushingYd)+(K181*WRRushingTD)+(L181*WRRec)+(M181*WRRecYd)+(N181*WRRecTD)+(O181*WRFuml)+(I181*WRRushAtt)</f>
        <v>14.01</v>
      </c>
      <c r="Q181" t="str">
        <f ca="1">IF(A181&lt;=WRStarters,"Starter",IF(A181&gt;WRStarters+WRBench,"Undrafted","Bench"))</f>
        <v>Undrafted</v>
      </c>
      <c r="R181">
        <f ca="1">IFERROR(MAX(P181-LARGE(WRSheetCount,WRStarters),0),0)</f>
        <v>0</v>
      </c>
      <c r="S181">
        <f ca="1">IFERROR(IF(AllowNegative="Yes",P181-LARGE(WRSheetCount,WRCount),MAX(P181-LARGE(WRSheetCount,WRCount),0)),0)</f>
        <v>-109.59999999999998</v>
      </c>
      <c r="T181" s="85">
        <f ca="1">(S181-R181)*BenchPF+R181*StarterPF</f>
        <v>-19.872332492813054</v>
      </c>
      <c r="U181" s="85">
        <f ca="1">T181*Auction!$A$2</f>
        <v>-19.872332492813054</v>
      </c>
      <c r="V181" s="6" t="str">
        <f>IF(OR(INDEX(Auction!$H$13:$H$656,MATCH(B181,Auction!$A$13:$A$656,0))&gt;0,IFERROR(INDEX(CheatSheet!$V$5:$V$64,MATCH(B181,CheatSheet!$S$5:$S$64,0)),"")&lt;&gt;""),"Yes","No")</f>
        <v>No</v>
      </c>
      <c r="W181" s="179"/>
      <c r="Y181" s="114">
        <f ca="1">IFERROR(SUMIFS($Z$3:$Z323,$Z$3:$Z$195,"&gt;0",$V$3:$V$195,"No")/SUMIF($Z$3:$Z$195,"&gt;0"),0)</f>
        <v>0</v>
      </c>
      <c r="Z181">
        <f t="shared" ca="1" si="6"/>
        <v>-54.79999999999999</v>
      </c>
      <c r="AA181" s="116" t="str">
        <f t="shared" ca="1" si="5"/>
        <v>WR11</v>
      </c>
      <c r="AB181">
        <f ca="1">Z181*LeagueInfo!$H$5</f>
        <v>-20.178913100281161</v>
      </c>
    </row>
    <row r="182" spans="1:28" ht="15.75" thickBot="1" x14ac:dyDescent="0.3">
      <c r="A182">
        <f>RANK(P182,P$3:P$213)</f>
        <v>180</v>
      </c>
      <c r="B182" t="str">
        <f>WR_Raw!A180</f>
        <v>Mason Kinsey</v>
      </c>
      <c r="C182" t="s">
        <v>35</v>
      </c>
      <c r="D182" t="str">
        <f>_xlfn.IFNA(INDEX(BYEs!$E$2:$E$411,MATCH(B182,BYEs!$D$2:$D$411,0)),"N/A")</f>
        <v>N/A</v>
      </c>
      <c r="E182">
        <f>INDEX(BYEs!$B$2:$B$34,MATCH(F182,BYEs!$A$2:$A$34,0))</f>
        <v>6</v>
      </c>
      <c r="F182" t="str">
        <f>WR_Raw!B180</f>
        <v>TEN</v>
      </c>
      <c r="G182" s="206">
        <v>0</v>
      </c>
      <c r="H182" s="207">
        <v>0</v>
      </c>
      <c r="I182" s="204">
        <f>WR_Raw!F180</f>
        <v>0</v>
      </c>
      <c r="J182" s="204">
        <f>WR_Raw!G180</f>
        <v>0</v>
      </c>
      <c r="K182" s="204">
        <f>WR_Raw!H180</f>
        <v>0</v>
      </c>
      <c r="L182" s="206">
        <f>WR_Raw!C180</f>
        <v>6.4</v>
      </c>
      <c r="M182" s="204">
        <f>WR_Raw!D180</f>
        <v>77.2</v>
      </c>
      <c r="N182" s="207">
        <f>WR_Raw!E180</f>
        <v>0.5</v>
      </c>
      <c r="O182" s="204">
        <f>WR_Raw!I180</f>
        <v>0</v>
      </c>
      <c r="P182" s="208">
        <f>(J182*WRRushingYd)+(K182*WRRushingTD)+(L182*WRRec)+(M182*WRRecYd)+(N182*WRRecTD)+(O182*WRFuml)+(I182*WRRushAtt)</f>
        <v>13.920000000000002</v>
      </c>
      <c r="Q182" t="str">
        <f ca="1">IF(A182&lt;=WRStarters,"Starter",IF(A182&gt;WRStarters+WRBench,"Undrafted","Bench"))</f>
        <v>Undrafted</v>
      </c>
      <c r="R182">
        <f ca="1">IFERROR(MAX(P182-LARGE(WRSheetCount,WRStarters),0),0)</f>
        <v>0</v>
      </c>
      <c r="S182">
        <f ca="1">IFERROR(IF(AllowNegative="Yes",P182-LARGE(WRSheetCount,WRCount),MAX(P182-LARGE(WRSheetCount,WRCount),0)),0)</f>
        <v>-109.68999999999998</v>
      </c>
      <c r="T182" s="85">
        <f ca="1">(S182-R182)*BenchPF+R182*StarterPF</f>
        <v>-19.888651014020656</v>
      </c>
      <c r="U182" s="85">
        <f ca="1">T182*Auction!$A$2</f>
        <v>-19.888651014020656</v>
      </c>
      <c r="V182" s="6" t="str">
        <f>IF(OR(INDEX(Auction!$H$13:$H$656,MATCH(B182,Auction!$A$13:$A$656,0))&gt;0,IFERROR(INDEX(CheatSheet!$V$5:$V$64,MATCH(B182,CheatSheet!$S$5:$S$64,0)),"")&lt;&gt;""),"Yes","No")</f>
        <v>No</v>
      </c>
      <c r="W182" s="179"/>
      <c r="Y182" s="114">
        <f ca="1">IFERROR(SUMIFS($Z$3:$Z324,$Z$3:$Z$195,"&gt;0",$V$3:$V$195,"No")/SUMIF($Z$3:$Z$195,"&gt;0"),0)</f>
        <v>0</v>
      </c>
      <c r="Z182">
        <f t="shared" ca="1" si="6"/>
        <v>-54.844999999999992</v>
      </c>
      <c r="AA182" s="116" t="str">
        <f t="shared" ca="1" si="5"/>
        <v>WR11</v>
      </c>
      <c r="AB182">
        <f ca="1">Z182*LeagueInfo!$H$5</f>
        <v>-20.195483375637235</v>
      </c>
    </row>
    <row r="183" spans="1:28" ht="15.75" thickBot="1" x14ac:dyDescent="0.3">
      <c r="A183">
        <f>RANK(P183,P$3:P$213)</f>
        <v>181</v>
      </c>
      <c r="B183" t="str">
        <f>WR_Raw!A179</f>
        <v>Jeff Smith</v>
      </c>
      <c r="C183" t="s">
        <v>35</v>
      </c>
      <c r="D183" t="str">
        <f>_xlfn.IFNA(INDEX(BYEs!$E$2:$E$411,MATCH(B183,BYEs!$D$2:$D$411,0)),"N/A")</f>
        <v>N/A</v>
      </c>
      <c r="E183">
        <f>INDEX(BYEs!$B$2:$B$34,MATCH(F183,BYEs!$A$2:$A$34,0))</f>
        <v>10</v>
      </c>
      <c r="F183" t="str">
        <f>WR_Raw!B179</f>
        <v>NYJ</v>
      </c>
      <c r="G183" s="206">
        <v>0</v>
      </c>
      <c r="H183" s="207">
        <v>0</v>
      </c>
      <c r="I183" s="204">
        <f>WR_Raw!F179</f>
        <v>0</v>
      </c>
      <c r="J183" s="204">
        <f>WR_Raw!G179</f>
        <v>0</v>
      </c>
      <c r="K183" s="204">
        <f>WR_Raw!H179</f>
        <v>0</v>
      </c>
      <c r="L183" s="206">
        <f>WR_Raw!C179</f>
        <v>6.1</v>
      </c>
      <c r="M183" s="204">
        <f>WR_Raw!D179</f>
        <v>84.4</v>
      </c>
      <c r="N183" s="207">
        <f>WR_Raw!E179</f>
        <v>0.4</v>
      </c>
      <c r="O183" s="204">
        <f>WR_Raw!I179</f>
        <v>0</v>
      </c>
      <c r="P183" s="208">
        <f>(J183*WRRushingYd)+(K183*WRRushingTD)+(L183*WRRec)+(M183*WRRecYd)+(N183*WRRecTD)+(O183*WRFuml)+(I183*WRRushAtt)</f>
        <v>13.890000000000002</v>
      </c>
      <c r="Q183" t="str">
        <f ca="1">IF(A183&lt;=WRStarters,"Starter",IF(A183&gt;WRStarters+WRBench,"Undrafted","Bench"))</f>
        <v>Undrafted</v>
      </c>
      <c r="R183">
        <f ca="1">IFERROR(MAX(P183-LARGE(WRSheetCount,WRStarters),0),0)</f>
        <v>0</v>
      </c>
      <c r="S183">
        <f ca="1">IFERROR(IF(AllowNegative="Yes",P183-LARGE(WRSheetCount,WRCount),MAX(P183-LARGE(WRSheetCount,WRCount),0)),0)</f>
        <v>-109.71999999999998</v>
      </c>
      <c r="T183" s="85">
        <f ca="1">(S183-R183)*BenchPF+R183*StarterPF</f>
        <v>-19.894090521089858</v>
      </c>
      <c r="U183" s="85">
        <f ca="1">T183*Auction!$A$2</f>
        <v>-19.894090521089858</v>
      </c>
      <c r="V183" s="6" t="str">
        <f>IF(OR(INDEX(Auction!$H$13:$H$656,MATCH(B183,Auction!$A$13:$A$656,0))&gt;0,IFERROR(INDEX(CheatSheet!$V$5:$V$64,MATCH(B183,CheatSheet!$S$5:$S$64,0)),"")&lt;&gt;""),"Yes","No")</f>
        <v>No</v>
      </c>
      <c r="W183" s="179"/>
      <c r="Y183" s="114">
        <f ca="1">IFERROR(SUMIFS($Z$3:$Z325,$Z$3:$Z$195,"&gt;0",$V$3:$V$195,"No")/SUMIF($Z$3:$Z$195,"&gt;0"),0)</f>
        <v>0</v>
      </c>
      <c r="Z183">
        <f t="shared" ca="1" si="6"/>
        <v>-54.859999999999992</v>
      </c>
      <c r="AA183" s="116" t="str">
        <f t="shared" ca="1" si="5"/>
        <v>WR11</v>
      </c>
      <c r="AB183">
        <f ca="1">Z183*LeagueInfo!$H$5</f>
        <v>-20.201006800755923</v>
      </c>
    </row>
    <row r="184" spans="1:28" ht="15.75" thickBot="1" x14ac:dyDescent="0.3">
      <c r="A184">
        <f>RANK(P184,P$3:P$213)</f>
        <v>182</v>
      </c>
      <c r="B184" t="str">
        <f>WR_Raw!A183</f>
        <v>Denzel Mims</v>
      </c>
      <c r="C184" t="s">
        <v>35</v>
      </c>
      <c r="D184" t="str">
        <f>_xlfn.IFNA(INDEX(BYEs!$E$2:$E$411,MATCH(B184,BYEs!$D$2:$D$411,0)),"N/A")</f>
        <v>N/A</v>
      </c>
      <c r="E184">
        <f>INDEX(BYEs!$B$2:$B$34,MATCH(F184,BYEs!$A$2:$A$34,0))</f>
        <v>10</v>
      </c>
      <c r="F184" t="str">
        <f>WR_Raw!B183</f>
        <v>NYJ</v>
      </c>
      <c r="G184" s="206">
        <v>0</v>
      </c>
      <c r="H184" s="207">
        <v>0</v>
      </c>
      <c r="I184" s="204">
        <f>WR_Raw!F183</f>
        <v>0</v>
      </c>
      <c r="J184" s="204">
        <f>WR_Raw!G183</f>
        <v>0</v>
      </c>
      <c r="K184" s="204">
        <f>WR_Raw!H183</f>
        <v>0</v>
      </c>
      <c r="L184" s="206">
        <f>WR_Raw!C183</f>
        <v>6.1</v>
      </c>
      <c r="M184" s="204">
        <f>WR_Raw!D183</f>
        <v>82.8</v>
      </c>
      <c r="N184" s="207">
        <f>WR_Raw!E183</f>
        <v>0.4</v>
      </c>
      <c r="O184" s="204">
        <f>WR_Raw!I183</f>
        <v>0</v>
      </c>
      <c r="P184" s="208">
        <f>(J184*WRRushingYd)+(K184*WRRushingTD)+(L184*WRRec)+(M184*WRRecYd)+(N184*WRRecTD)+(O184*WRFuml)+(I184*WRRushAtt)</f>
        <v>13.729999999999999</v>
      </c>
      <c r="Q184" t="str">
        <f ca="1">IF(A184&lt;=WRStarters,"Starter",IF(A184&gt;WRStarters+WRBench,"Undrafted","Bench"))</f>
        <v>Undrafted</v>
      </c>
      <c r="R184">
        <f ca="1">IFERROR(MAX(P184-LARGE(WRSheetCount,WRStarters),0),0)</f>
        <v>0</v>
      </c>
      <c r="S184">
        <f ca="1">IFERROR(IF(AllowNegative="Yes",P184-LARGE(WRSheetCount,WRCount),MAX(P184-LARGE(WRSheetCount,WRCount),0)),0)</f>
        <v>-109.87999999999998</v>
      </c>
      <c r="T184" s="85">
        <f ca="1">(S184-R184)*BenchPF+R184*StarterPF</f>
        <v>-19.923101225458925</v>
      </c>
      <c r="U184" s="85">
        <f ca="1">T184*Auction!$A$2</f>
        <v>-19.923101225458925</v>
      </c>
      <c r="V184" s="6" t="str">
        <f>IF(OR(INDEX(Auction!$H$13:$H$656,MATCH(B184,Auction!$A$13:$A$656,0))&gt;0,IFERROR(INDEX(CheatSheet!$V$5:$V$64,MATCH(B184,CheatSheet!$S$5:$S$64,0)),"")&lt;&gt;""),"Yes","No")</f>
        <v>No</v>
      </c>
      <c r="W184" s="179"/>
      <c r="Y184" s="114">
        <f ca="1">IFERROR(SUMIFS($Z$3:$Z326,$Z$3:$Z$195,"&gt;0",$V$3:$V$195,"No")/SUMIF($Z$3:$Z$195,"&gt;0"),0)</f>
        <v>0</v>
      </c>
      <c r="Z184">
        <f t="shared" ca="1" si="6"/>
        <v>-54.939999999999991</v>
      </c>
      <c r="AA184" s="116" t="str">
        <f t="shared" ca="1" si="5"/>
        <v>WR11</v>
      </c>
      <c r="AB184">
        <f ca="1">Z184*LeagueInfo!$H$5</f>
        <v>-20.230465068055604</v>
      </c>
    </row>
    <row r="185" spans="1:28" ht="15.75" thickBot="1" x14ac:dyDescent="0.3">
      <c r="A185">
        <f>RANK(P185,P$3:P$213)</f>
        <v>183</v>
      </c>
      <c r="B185" t="str">
        <f>WR_Raw!A185</f>
        <v>Racey McMath</v>
      </c>
      <c r="C185" t="s">
        <v>35</v>
      </c>
      <c r="D185" t="str">
        <f>_xlfn.IFNA(INDEX(BYEs!$E$2:$E$411,MATCH(B185,BYEs!$D$2:$D$411,0)),"N/A")</f>
        <v>N/A</v>
      </c>
      <c r="E185">
        <f>INDEX(BYEs!$B$2:$B$34,MATCH(F185,BYEs!$A$2:$A$34,0))</f>
        <v>6</v>
      </c>
      <c r="F185" t="str">
        <f>WR_Raw!B185</f>
        <v>TEN</v>
      </c>
      <c r="G185" s="206">
        <v>0</v>
      </c>
      <c r="H185" s="207">
        <v>0</v>
      </c>
      <c r="I185" s="204">
        <f>WR_Raw!F185</f>
        <v>0</v>
      </c>
      <c r="J185" s="204">
        <f>WR_Raw!G185</f>
        <v>0</v>
      </c>
      <c r="K185" s="204">
        <f>WR_Raw!H185</f>
        <v>0</v>
      </c>
      <c r="L185" s="206">
        <f>WR_Raw!C185</f>
        <v>6.4</v>
      </c>
      <c r="M185" s="204">
        <f>WR_Raw!D185</f>
        <v>76.400000000000006</v>
      </c>
      <c r="N185" s="207">
        <f>WR_Raw!E185</f>
        <v>0.5</v>
      </c>
      <c r="O185" s="204">
        <f>WR_Raw!I185</f>
        <v>0.1</v>
      </c>
      <c r="P185" s="208">
        <f>(J185*WRRushingYd)+(K185*WRRushingTD)+(L185*WRRec)+(M185*WRRecYd)+(N185*WRRecTD)+(O185*WRFuml)+(I185*WRRushAtt)</f>
        <v>13.64</v>
      </c>
      <c r="Q185" t="str">
        <f ca="1">IF(A185&lt;=WRStarters,"Starter",IF(A185&gt;WRStarters+WRBench,"Undrafted","Bench"))</f>
        <v>Undrafted</v>
      </c>
      <c r="R185">
        <f ca="1">IFERROR(MAX(P185-LARGE(WRSheetCount,WRStarters),0),0)</f>
        <v>0</v>
      </c>
      <c r="S185">
        <f ca="1">IFERROR(IF(AllowNegative="Yes",P185-LARGE(WRSheetCount,WRCount),MAX(P185-LARGE(WRSheetCount,WRCount),0)),0)</f>
        <v>-109.96999999999998</v>
      </c>
      <c r="T185" s="85">
        <f ca="1">(S185-R185)*BenchPF+R185*StarterPF</f>
        <v>-19.93941974666653</v>
      </c>
      <c r="U185" s="85">
        <f ca="1">T185*Auction!$A$2</f>
        <v>-19.93941974666653</v>
      </c>
      <c r="V185" s="6" t="str">
        <f>IF(OR(INDEX(Auction!$H$13:$H$656,MATCH(B185,Auction!$A$13:$A$656,0))&gt;0,IFERROR(INDEX(CheatSheet!$V$5:$V$64,MATCH(B185,CheatSheet!$S$5:$S$64,0)),"")&lt;&gt;""),"Yes","No")</f>
        <v>No</v>
      </c>
      <c r="W185" s="179"/>
      <c r="Y185" s="114">
        <f ca="1">IFERROR(SUMIFS($Z$3:$Z327,$Z$3:$Z$195,"&gt;0",$V$3:$V$195,"No")/SUMIF($Z$3:$Z$195,"&gt;0"),0)</f>
        <v>0</v>
      </c>
      <c r="Z185">
        <f t="shared" ca="1" si="6"/>
        <v>-54.984999999999992</v>
      </c>
      <c r="AA185" s="116" t="str">
        <f t="shared" ca="1" si="5"/>
        <v>WR11</v>
      </c>
      <c r="AB185">
        <f ca="1">Z185*LeagueInfo!$H$5</f>
        <v>-20.247035343411675</v>
      </c>
    </row>
    <row r="186" spans="1:28" ht="15.75" thickBot="1" x14ac:dyDescent="0.3">
      <c r="A186">
        <f>RANK(P186,P$3:P$213)</f>
        <v>184</v>
      </c>
      <c r="B186" t="str">
        <f>WR_Raw!A187</f>
        <v>Tyron Johnson</v>
      </c>
      <c r="C186" t="s">
        <v>35</v>
      </c>
      <c r="D186" t="str">
        <f>_xlfn.IFNA(INDEX(BYEs!$E$2:$E$411,MATCH(B186,BYEs!$D$2:$D$411,0)),"N/A")</f>
        <v>N/A</v>
      </c>
      <c r="E186">
        <f>INDEX(BYEs!$B$2:$B$34,MATCH(F186,BYEs!$A$2:$A$34,0))</f>
        <v>6</v>
      </c>
      <c r="F186" t="str">
        <f>WR_Raw!B187</f>
        <v>LV</v>
      </c>
      <c r="G186" s="206">
        <v>0</v>
      </c>
      <c r="H186" s="207">
        <v>0</v>
      </c>
      <c r="I186" s="204">
        <f>WR_Raw!F187</f>
        <v>0</v>
      </c>
      <c r="J186" s="204">
        <f>WR_Raw!G187</f>
        <v>0</v>
      </c>
      <c r="K186" s="204">
        <f>WR_Raw!H187</f>
        <v>0</v>
      </c>
      <c r="L186" s="206">
        <f>WR_Raw!C187</f>
        <v>6</v>
      </c>
      <c r="M186" s="204">
        <f>WR_Raw!D187</f>
        <v>77.099999999999994</v>
      </c>
      <c r="N186" s="207">
        <f>WR_Raw!E187</f>
        <v>0.5</v>
      </c>
      <c r="O186" s="204">
        <f>WR_Raw!I187</f>
        <v>0.1</v>
      </c>
      <c r="P186" s="208">
        <f>(J186*WRRushingYd)+(K186*WRRushingTD)+(L186*WRRec)+(M186*WRRecYd)+(N186*WRRecTD)+(O186*WRFuml)+(I186*WRRushAtt)</f>
        <v>13.510000000000002</v>
      </c>
      <c r="Q186" t="str">
        <f ca="1">IF(A186&lt;=WRStarters,"Starter",IF(A186&gt;WRStarters+WRBench,"Undrafted","Bench"))</f>
        <v>Undrafted</v>
      </c>
      <c r="R186">
        <f ca="1">IFERROR(MAX(P186-LARGE(WRSheetCount,WRStarters),0),0)</f>
        <v>0</v>
      </c>
      <c r="S186">
        <f ca="1">IFERROR(IF(AllowNegative="Yes",P186-LARGE(WRSheetCount,WRCount),MAX(P186-LARGE(WRSheetCount,WRCount),0)),0)</f>
        <v>-110.09999999999998</v>
      </c>
      <c r="T186" s="85">
        <f ca="1">(S186-R186)*BenchPF+R186*StarterPF</f>
        <v>-19.9629909439664</v>
      </c>
      <c r="U186" s="85">
        <f ca="1">T186*Auction!$A$2</f>
        <v>-19.9629909439664</v>
      </c>
      <c r="V186" s="6" t="str">
        <f>IF(OR(INDEX(Auction!$H$13:$H$656,MATCH(B186,Auction!$A$13:$A$656,0))&gt;0,IFERROR(INDEX(CheatSheet!$V$5:$V$64,MATCH(B186,CheatSheet!$S$5:$S$64,0)),"")&lt;&gt;""),"Yes","No")</f>
        <v>No</v>
      </c>
      <c r="W186" s="179"/>
      <c r="Y186" s="114">
        <f ca="1">IFERROR(SUMIFS($Z$3:$Z328,$Z$3:$Z$195,"&gt;0",$V$3:$V$195,"No")/SUMIF($Z$3:$Z$195,"&gt;0"),0)</f>
        <v>0</v>
      </c>
      <c r="Z186">
        <f t="shared" ca="1" si="6"/>
        <v>-55.04999999999999</v>
      </c>
      <c r="AA186" s="116" t="str">
        <f t="shared" ca="1" si="5"/>
        <v>WR11</v>
      </c>
      <c r="AB186">
        <f ca="1">Z186*LeagueInfo!$H$5</f>
        <v>-20.270970185592663</v>
      </c>
    </row>
    <row r="187" spans="1:28" ht="15.75" thickBot="1" x14ac:dyDescent="0.3">
      <c r="A187">
        <f>RANK(P187,P$3:P$213)</f>
        <v>185</v>
      </c>
      <c r="B187" t="str">
        <f>WR_Raw!A184</f>
        <v>Kendall Hinton</v>
      </c>
      <c r="C187" t="s">
        <v>35</v>
      </c>
      <c r="D187" t="str">
        <f>_xlfn.IFNA(INDEX(BYEs!$E$2:$E$411,MATCH(B187,BYEs!$D$2:$D$411,0)),"N/A")</f>
        <v>N/A</v>
      </c>
      <c r="E187">
        <f>INDEX(BYEs!$B$2:$B$34,MATCH(F187,BYEs!$A$2:$A$34,0))</f>
        <v>9</v>
      </c>
      <c r="F187" t="str">
        <f>WR_Raw!B184</f>
        <v>DEN</v>
      </c>
      <c r="G187" s="206">
        <v>0</v>
      </c>
      <c r="H187" s="207">
        <v>0</v>
      </c>
      <c r="I187" s="204">
        <f>WR_Raw!F184</f>
        <v>0</v>
      </c>
      <c r="J187" s="204">
        <f>WR_Raw!G184</f>
        <v>0</v>
      </c>
      <c r="K187" s="204">
        <f>WR_Raw!H184</f>
        <v>0</v>
      </c>
      <c r="L187" s="206">
        <f>WR_Raw!C184</f>
        <v>5.4</v>
      </c>
      <c r="M187" s="204">
        <f>WR_Raw!D184</f>
        <v>77.400000000000006</v>
      </c>
      <c r="N187" s="207">
        <f>WR_Raw!E184</f>
        <v>0.5</v>
      </c>
      <c r="O187" s="204">
        <f>WR_Raw!I184</f>
        <v>0</v>
      </c>
      <c r="P187" s="208">
        <f>(J187*WRRushingYd)+(K187*WRRushingTD)+(L187*WRRec)+(M187*WRRecYd)+(N187*WRRecTD)+(O187*WRFuml)+(I187*WRRushAtt)</f>
        <v>13.440000000000001</v>
      </c>
      <c r="Q187" t="str">
        <f ca="1">IF(A187&lt;=WRStarters,"Starter",IF(A187&gt;WRStarters+WRBench,"Undrafted","Bench"))</f>
        <v>Undrafted</v>
      </c>
      <c r="R187">
        <f ca="1">IFERROR(MAX(P187-LARGE(WRSheetCount,WRStarters),0),0)</f>
        <v>0</v>
      </c>
      <c r="S187">
        <f ca="1">IFERROR(IF(AllowNegative="Yes",P187-LARGE(WRSheetCount,WRCount),MAX(P187-LARGE(WRSheetCount,WRCount),0)),0)</f>
        <v>-110.16999999999999</v>
      </c>
      <c r="T187" s="85">
        <f ca="1">(S187-R187)*BenchPF+R187*StarterPF</f>
        <v>-19.975683127127869</v>
      </c>
      <c r="U187" s="85">
        <f ca="1">T187*Auction!$A$2</f>
        <v>-19.975683127127869</v>
      </c>
      <c r="V187" s="6" t="str">
        <f>IF(OR(INDEX(Auction!$H$13:$H$656,MATCH(B187,Auction!$A$13:$A$656,0))&gt;0,IFERROR(INDEX(CheatSheet!$V$5:$V$64,MATCH(B187,CheatSheet!$S$5:$S$64,0)),"")&lt;&gt;""),"Yes","No")</f>
        <v>No</v>
      </c>
      <c r="W187" s="179"/>
      <c r="Y187" s="114">
        <f ca="1">IFERROR(SUMIFS($Z$3:$Z329,$Z$3:$Z$195,"&gt;0",$V$3:$V$195,"No")/SUMIF($Z$3:$Z$195,"&gt;0"),0)</f>
        <v>0</v>
      </c>
      <c r="Z187">
        <f t="shared" ca="1" si="6"/>
        <v>-55.084999999999994</v>
      </c>
      <c r="AA187" s="116" t="str">
        <f t="shared" ca="1" si="5"/>
        <v>WR11</v>
      </c>
      <c r="AB187">
        <f ca="1">Z187*LeagueInfo!$H$5</f>
        <v>-20.283858177536274</v>
      </c>
    </row>
    <row r="188" spans="1:28" ht="15.75" thickBot="1" x14ac:dyDescent="0.3">
      <c r="A188">
        <f>RANK(P188,P$3:P$213)</f>
        <v>186</v>
      </c>
      <c r="B188" t="str">
        <f>WR_Raw!A186</f>
        <v>Justin Watson</v>
      </c>
      <c r="C188" t="s">
        <v>35</v>
      </c>
      <c r="D188">
        <f>_xlfn.IFNA(INDEX(BYEs!$E$2:$E$411,MATCH(B188,BYEs!$D$2:$D$411,0)),"N/A")</f>
        <v>26</v>
      </c>
      <c r="E188">
        <f>INDEX(BYEs!$B$2:$B$34,MATCH(F188,BYEs!$A$2:$A$34,0))</f>
        <v>8</v>
      </c>
      <c r="F188" t="str">
        <f>WR_Raw!B186</f>
        <v>KC</v>
      </c>
      <c r="G188" s="206">
        <v>0</v>
      </c>
      <c r="H188" s="207">
        <v>0</v>
      </c>
      <c r="I188" s="204">
        <f>WR_Raw!F186</f>
        <v>0</v>
      </c>
      <c r="J188" s="204">
        <f>WR_Raw!G186</f>
        <v>0</v>
      </c>
      <c r="K188" s="204">
        <f>WR_Raw!H186</f>
        <v>0</v>
      </c>
      <c r="L188" s="206">
        <f>WR_Raw!C186</f>
        <v>6.1</v>
      </c>
      <c r="M188" s="204">
        <f>WR_Raw!D186</f>
        <v>68.099999999999994</v>
      </c>
      <c r="N188" s="207">
        <f>WR_Raw!E186</f>
        <v>0.6</v>
      </c>
      <c r="O188" s="204">
        <f>WR_Raw!I186</f>
        <v>0.1</v>
      </c>
      <c r="P188" s="208">
        <f>(J188*WRRushingYd)+(K188*WRRushingTD)+(L188*WRRec)+(M188*WRRecYd)+(N188*WRRecTD)+(O188*WRFuml)+(I188*WRRushAtt)</f>
        <v>13.26</v>
      </c>
      <c r="Q188" t="str">
        <f ca="1">IF(A188&lt;=WRStarters,"Starter",IF(A188&gt;WRStarters+WRBench,"Undrafted","Bench"))</f>
        <v>Undrafted</v>
      </c>
      <c r="R188">
        <f ca="1">IFERROR(MAX(P188-LARGE(WRSheetCount,WRStarters),0),0)</f>
        <v>0</v>
      </c>
      <c r="S188">
        <f ca="1">IFERROR(IF(AllowNegative="Yes",P188-LARGE(WRSheetCount,WRCount),MAX(P188-LARGE(WRSheetCount,WRCount),0)),0)</f>
        <v>-110.34999999999998</v>
      </c>
      <c r="T188" s="85">
        <f ca="1">(S188-R188)*BenchPF+R188*StarterPF</f>
        <v>-20.008320169543069</v>
      </c>
      <c r="U188" s="85">
        <f ca="1">T188*Auction!$A$2</f>
        <v>-20.008320169543069</v>
      </c>
      <c r="V188" s="6" t="str">
        <f>IF(OR(INDEX(Auction!$H$13:$H$656,MATCH(B188,Auction!$A$13:$A$656,0))&gt;0,IFERROR(INDEX(CheatSheet!$V$5:$V$64,MATCH(B188,CheatSheet!$S$5:$S$64,0)),"")&lt;&gt;""),"Yes","No")</f>
        <v>No</v>
      </c>
      <c r="W188" s="179"/>
      <c r="Y188" s="114">
        <f ca="1">IFERROR(SUMIFS($Z$3:$Z330,$Z$3:$Z$195,"&gt;0",$V$3:$V$195,"No")/SUMIF($Z$3:$Z$195,"&gt;0"),0)</f>
        <v>0</v>
      </c>
      <c r="Z188">
        <f t="shared" ca="1" si="6"/>
        <v>-55.17499999999999</v>
      </c>
      <c r="AA188" s="116" t="str">
        <f t="shared" ca="1" si="5"/>
        <v>WR11</v>
      </c>
      <c r="AB188">
        <f ca="1">Z188*LeagueInfo!$H$5</f>
        <v>-20.316998728248414</v>
      </c>
    </row>
    <row r="189" spans="1:28" ht="15.75" thickBot="1" x14ac:dyDescent="0.3">
      <c r="A189">
        <f>RANK(P189,P$3:P$213)</f>
        <v>187</v>
      </c>
      <c r="B189" t="str">
        <f>WR_Raw!A189</f>
        <v>Miles Boykin</v>
      </c>
      <c r="C189" t="s">
        <v>35</v>
      </c>
      <c r="D189">
        <f>_xlfn.IFNA(INDEX(BYEs!$E$2:$E$411,MATCH(B189,BYEs!$D$2:$D$411,0)),"N/A")</f>
        <v>24</v>
      </c>
      <c r="E189">
        <f>INDEX(BYEs!$B$2:$B$34,MATCH(F189,BYEs!$A$2:$A$34,0))</f>
        <v>9</v>
      </c>
      <c r="F189" t="str">
        <f>WR_Raw!B189</f>
        <v>PIT</v>
      </c>
      <c r="G189" s="206">
        <v>0</v>
      </c>
      <c r="H189" s="207">
        <v>0</v>
      </c>
      <c r="I189" s="204">
        <f>WR_Raw!F189</f>
        <v>0</v>
      </c>
      <c r="J189" s="204">
        <f>WR_Raw!G189</f>
        <v>0</v>
      </c>
      <c r="K189" s="204">
        <f>WR_Raw!H189</f>
        <v>0</v>
      </c>
      <c r="L189" s="206">
        <f>WR_Raw!C189</f>
        <v>6.1</v>
      </c>
      <c r="M189" s="204">
        <f>WR_Raw!D189</f>
        <v>75.900000000000006</v>
      </c>
      <c r="N189" s="207">
        <f>WR_Raw!E189</f>
        <v>0.4</v>
      </c>
      <c r="O189" s="204">
        <f>WR_Raw!I189</f>
        <v>0</v>
      </c>
      <c r="P189" s="208">
        <f>(J189*WRRushingYd)+(K189*WRRushingTD)+(L189*WRRec)+(M189*WRRecYd)+(N189*WRRecTD)+(O189*WRFuml)+(I189*WRRushAtt)</f>
        <v>13.040000000000001</v>
      </c>
      <c r="Q189" t="str">
        <f ca="1">IF(A189&lt;=WRStarters,"Starter",IF(A189&gt;WRStarters+WRBench,"Undrafted","Bench"))</f>
        <v>Undrafted</v>
      </c>
      <c r="R189">
        <f ca="1">IFERROR(MAX(P189-LARGE(WRSheetCount,WRStarters),0),0)</f>
        <v>0</v>
      </c>
      <c r="S189">
        <f ca="1">IFERROR(IF(AllowNegative="Yes",P189-LARGE(WRSheetCount,WRCount),MAX(P189-LARGE(WRSheetCount,WRCount),0)),0)</f>
        <v>-110.56999999999998</v>
      </c>
      <c r="T189" s="85">
        <f ca="1">(S189-R189)*BenchPF+R189*StarterPF</f>
        <v>-20.048209888050543</v>
      </c>
      <c r="U189" s="85">
        <f ca="1">T189*Auction!$A$2</f>
        <v>-20.048209888050543</v>
      </c>
      <c r="V189" s="6" t="str">
        <f>IF(OR(INDEX(Auction!$H$13:$H$656,MATCH(B189,Auction!$A$13:$A$656,0))&gt;0,IFERROR(INDEX(CheatSheet!$V$5:$V$64,MATCH(B189,CheatSheet!$S$5:$S$64,0)),"")&lt;&gt;""),"Yes","No")</f>
        <v>No</v>
      </c>
      <c r="W189" s="179"/>
      <c r="Y189" s="114">
        <f ca="1">IFERROR(SUMIFS($Z$3:$Z331,$Z$3:$Z$195,"&gt;0",$V$3:$V$195,"No")/SUMIF($Z$3:$Z$195,"&gt;0"),0)</f>
        <v>0</v>
      </c>
      <c r="Z189">
        <f t="shared" ca="1" si="6"/>
        <v>-55.284999999999989</v>
      </c>
      <c r="AA189" s="116" t="str">
        <f t="shared" ca="1" si="5"/>
        <v>WR11</v>
      </c>
      <c r="AB189">
        <f ca="1">Z189*LeagueInfo!$H$5</f>
        <v>-20.357503845785477</v>
      </c>
    </row>
    <row r="190" spans="1:28" ht="15.75" thickBot="1" x14ac:dyDescent="0.3">
      <c r="A190">
        <f>RANK(P190,P$3:P$213)</f>
        <v>188</v>
      </c>
      <c r="B190" t="str">
        <f>WR_Raw!A188</f>
        <v>Nsimba Webster</v>
      </c>
      <c r="C190" t="s">
        <v>35</v>
      </c>
      <c r="D190" t="str">
        <f>_xlfn.IFNA(INDEX(BYEs!$E$2:$E$411,MATCH(B190,BYEs!$D$2:$D$411,0)),"N/A")</f>
        <v>N/A</v>
      </c>
      <c r="E190">
        <f>INDEX(BYEs!$B$2:$B$34,MATCH(F190,BYEs!$A$2:$A$34,0))</f>
        <v>14</v>
      </c>
      <c r="F190" t="str">
        <f>WR_Raw!B188</f>
        <v>CHI</v>
      </c>
      <c r="G190" s="206">
        <v>0</v>
      </c>
      <c r="H190" s="207">
        <v>0</v>
      </c>
      <c r="I190" s="204">
        <f>WR_Raw!F188</f>
        <v>0</v>
      </c>
      <c r="J190" s="204">
        <f>WR_Raw!G188</f>
        <v>0</v>
      </c>
      <c r="K190" s="204">
        <f>WR_Raw!H188</f>
        <v>0</v>
      </c>
      <c r="L190" s="206">
        <f>WR_Raw!C188</f>
        <v>5.9</v>
      </c>
      <c r="M190" s="204">
        <f>WR_Raw!D188</f>
        <v>76.7</v>
      </c>
      <c r="N190" s="207">
        <f>WR_Raw!E188</f>
        <v>0.4</v>
      </c>
      <c r="O190" s="204">
        <f>WR_Raw!I188</f>
        <v>0</v>
      </c>
      <c r="P190" s="208">
        <f>(J190*WRRushingYd)+(K190*WRRushingTD)+(L190*WRRec)+(M190*WRRecYd)+(N190*WRRecTD)+(O190*WRFuml)+(I190*WRRushAtt)</f>
        <v>13.020000000000001</v>
      </c>
      <c r="Q190" t="str">
        <f ca="1">IF(A190&lt;=WRStarters,"Starter",IF(A190&gt;WRStarters+WRBench,"Undrafted","Bench"))</f>
        <v>Undrafted</v>
      </c>
      <c r="R190">
        <f ca="1">IFERROR(MAX(P190-LARGE(WRSheetCount,WRStarters),0),0)</f>
        <v>0</v>
      </c>
      <c r="S190">
        <f ca="1">IFERROR(IF(AllowNegative="Yes",P190-LARGE(WRSheetCount,WRCount),MAX(P190-LARGE(WRSheetCount,WRCount),0)),0)</f>
        <v>-110.58999999999999</v>
      </c>
      <c r="T190" s="85">
        <f ca="1">(S190-R190)*BenchPF+R190*StarterPF</f>
        <v>-20.051836226096679</v>
      </c>
      <c r="U190" s="85">
        <f ca="1">T190*Auction!$A$2</f>
        <v>-20.051836226096679</v>
      </c>
      <c r="V190" s="6" t="str">
        <f>IF(OR(INDEX(Auction!$H$13:$H$656,MATCH(B190,Auction!$A$13:$A$656,0))&gt;0,IFERROR(INDEX(CheatSheet!$V$5:$V$64,MATCH(B190,CheatSheet!$S$5:$S$64,0)),"")&lt;&gt;""),"Yes","No")</f>
        <v>No</v>
      </c>
      <c r="W190" s="179"/>
      <c r="Y190" s="114">
        <f ca="1">IFERROR(SUMIFS($Z$3:$Z332,$Z$3:$Z$195,"&gt;0",$V$3:$V$195,"No")/SUMIF($Z$3:$Z$195,"&gt;0"),0)</f>
        <v>0</v>
      </c>
      <c r="Z190">
        <f t="shared" ca="1" si="6"/>
        <v>-55.294999999999995</v>
      </c>
      <c r="AA190" s="116" t="str">
        <f t="shared" ca="1" si="5"/>
        <v>WR11</v>
      </c>
      <c r="AB190">
        <f ca="1">Z190*LeagueInfo!$H$5</f>
        <v>-20.361186129197936</v>
      </c>
    </row>
    <row r="191" spans="1:28" ht="15.75" thickBot="1" x14ac:dyDescent="0.3">
      <c r="A191">
        <f>RANK(P191,P$3:P$213)</f>
        <v>189</v>
      </c>
      <c r="B191" t="str">
        <f>WR_Raw!A190</f>
        <v>DeAndre Carter</v>
      </c>
      <c r="C191" t="s">
        <v>35</v>
      </c>
      <c r="D191" t="str">
        <f>_xlfn.IFNA(INDEX(BYEs!$E$2:$E$411,MATCH(B191,BYEs!$D$2:$D$411,0)),"N/A")</f>
        <v>N/A</v>
      </c>
      <c r="E191">
        <f>INDEX(BYEs!$B$2:$B$34,MATCH(F191,BYEs!$A$2:$A$34,0))</f>
        <v>8</v>
      </c>
      <c r="F191" t="str">
        <f>WR_Raw!B190</f>
        <v>LAC</v>
      </c>
      <c r="G191" s="206">
        <v>0</v>
      </c>
      <c r="H191" s="207">
        <v>0</v>
      </c>
      <c r="I191" s="204">
        <f>WR_Raw!F190</f>
        <v>0</v>
      </c>
      <c r="J191" s="204">
        <f>WR_Raw!G190</f>
        <v>0</v>
      </c>
      <c r="K191" s="204">
        <f>WR_Raw!H190</f>
        <v>0</v>
      </c>
      <c r="L191" s="206">
        <f>WR_Raw!C190</f>
        <v>5.9</v>
      </c>
      <c r="M191" s="204">
        <f>WR_Raw!D190</f>
        <v>69.900000000000006</v>
      </c>
      <c r="N191" s="207">
        <f>WR_Raw!E190</f>
        <v>0.5</v>
      </c>
      <c r="O191" s="204">
        <f>WR_Raw!I190</f>
        <v>0.1</v>
      </c>
      <c r="P191" s="208">
        <f>(J191*WRRushingYd)+(K191*WRRushingTD)+(L191*WRRec)+(M191*WRRecYd)+(N191*WRRecTD)+(O191*WRFuml)+(I191*WRRushAtt)</f>
        <v>12.740000000000002</v>
      </c>
      <c r="Q191" t="str">
        <f ca="1">IF(A191&lt;=WRStarters,"Starter",IF(A191&gt;WRStarters+WRBench,"Undrafted","Bench"))</f>
        <v>Undrafted</v>
      </c>
      <c r="R191">
        <f ca="1">IFERROR(MAX(P191-LARGE(WRSheetCount,WRStarters),0),0)</f>
        <v>0</v>
      </c>
      <c r="S191">
        <f ca="1">IFERROR(IF(AllowNegative="Yes",P191-LARGE(WRSheetCount,WRCount),MAX(P191-LARGE(WRSheetCount,WRCount),0)),0)</f>
        <v>-110.86999999999998</v>
      </c>
      <c r="T191" s="85">
        <f ca="1">(S191-R191)*BenchPF+R191*StarterPF</f>
        <v>-20.102604958742546</v>
      </c>
      <c r="U191" s="85">
        <f ca="1">T191*Auction!$A$2</f>
        <v>-20.102604958742546</v>
      </c>
      <c r="V191" s="6" t="str">
        <f>IF(OR(INDEX(Auction!$H$13:$H$656,MATCH(B191,Auction!$A$13:$A$656,0))&gt;0,IFERROR(INDEX(CheatSheet!$V$5:$V$64,MATCH(B191,CheatSheet!$S$5:$S$64,0)),"")&lt;&gt;""),"Yes","No")</f>
        <v>No</v>
      </c>
      <c r="W191" s="179"/>
      <c r="Y191" s="114">
        <f ca="1">IFERROR(SUMIFS($Z$3:$Z333,$Z$3:$Z$195,"&gt;0",$V$3:$V$195,"No")/SUMIF($Z$3:$Z$195,"&gt;0"),0)</f>
        <v>0</v>
      </c>
      <c r="Z191">
        <f t="shared" ca="1" si="6"/>
        <v>-55.434999999999988</v>
      </c>
      <c r="AA191" s="116" t="str">
        <f t="shared" ca="1" si="5"/>
        <v>WR11</v>
      </c>
      <c r="AB191">
        <f ca="1">Z191*LeagueInfo!$H$5</f>
        <v>-20.412738096972376</v>
      </c>
    </row>
    <row r="192" spans="1:28" ht="15.75" thickBot="1" x14ac:dyDescent="0.3">
      <c r="A192">
        <f>RANK(P192,P$3:P$213)</f>
        <v>190</v>
      </c>
      <c r="B192" t="str">
        <f>WR_Raw!A192</f>
        <v>Tre'Quan Smith</v>
      </c>
      <c r="C192" t="s">
        <v>35</v>
      </c>
      <c r="D192">
        <f>_xlfn.IFNA(INDEX(BYEs!$E$2:$E$411,MATCH(B192,BYEs!$D$2:$D$411,0)),"N/A")</f>
        <v>25</v>
      </c>
      <c r="E192">
        <f>INDEX(BYEs!$B$2:$B$34,MATCH(F192,BYEs!$A$2:$A$34,0))</f>
        <v>14</v>
      </c>
      <c r="F192" t="str">
        <f>WR_Raw!B192</f>
        <v>NO</v>
      </c>
      <c r="G192" s="206">
        <v>0</v>
      </c>
      <c r="H192" s="207">
        <v>0</v>
      </c>
      <c r="I192" s="204">
        <f>WR_Raw!F192</f>
        <v>0</v>
      </c>
      <c r="J192" s="204">
        <f>WR_Raw!G192</f>
        <v>0</v>
      </c>
      <c r="K192" s="204">
        <f>WR_Raw!H192</f>
        <v>0</v>
      </c>
      <c r="L192" s="206">
        <f>WR_Raw!C192</f>
        <v>5.9</v>
      </c>
      <c r="M192" s="204">
        <f>WR_Raw!D192</f>
        <v>60.8</v>
      </c>
      <c r="N192" s="207">
        <f>WR_Raw!E192</f>
        <v>0.5</v>
      </c>
      <c r="O192" s="204">
        <f>WR_Raw!I192</f>
        <v>0</v>
      </c>
      <c r="P192" s="208">
        <f>(J192*WRRushingYd)+(K192*WRRushingTD)+(L192*WRRec)+(M192*WRRecYd)+(N192*WRRecTD)+(O192*WRFuml)+(I192*WRRushAtt)</f>
        <v>12.030000000000001</v>
      </c>
      <c r="Q192" t="str">
        <f ca="1">IF(A192&lt;=WRStarters,"Starter",IF(A192&gt;WRStarters+WRBench,"Undrafted","Bench"))</f>
        <v>Undrafted</v>
      </c>
      <c r="R192">
        <f ca="1">IFERROR(MAX(P192-LARGE(WRSheetCount,WRStarters),0),0)</f>
        <v>0</v>
      </c>
      <c r="S192">
        <f ca="1">IFERROR(IF(AllowNegative="Yes",P192-LARGE(WRSheetCount,WRCount),MAX(P192-LARGE(WRSheetCount,WRCount),0)),0)</f>
        <v>-111.57999999999998</v>
      </c>
      <c r="T192" s="85">
        <f ca="1">(S192-R192)*BenchPF+R192*StarterPF</f>
        <v>-20.231339959380296</v>
      </c>
      <c r="U192" s="85">
        <f ca="1">T192*Auction!$A$2</f>
        <v>-20.231339959380296</v>
      </c>
      <c r="V192" s="6" t="str">
        <f>IF(OR(INDEX(Auction!$H$13:$H$656,MATCH(B192,Auction!$A$13:$A$656,0))&gt;0,IFERROR(INDEX(CheatSheet!$V$5:$V$64,MATCH(B192,CheatSheet!$S$5:$S$64,0)),"")&lt;&gt;""),"Yes","No")</f>
        <v>No</v>
      </c>
      <c r="W192" s="179"/>
      <c r="Y192" s="114">
        <f ca="1">IFERROR(SUMIFS($Z$3:$Z334,$Z$3:$Z$195,"&gt;0",$V$3:$V$195,"No")/SUMIF($Z$3:$Z$195,"&gt;0"),0)</f>
        <v>0</v>
      </c>
      <c r="Z192">
        <f t="shared" ca="1" si="6"/>
        <v>-55.789999999999992</v>
      </c>
      <c r="AA192" s="116" t="str">
        <f t="shared" ca="1" si="5"/>
        <v>WR11</v>
      </c>
      <c r="AB192">
        <f ca="1">Z192*LeagueInfo!$H$5</f>
        <v>-20.543459158114711</v>
      </c>
    </row>
    <row r="193" spans="1:28" ht="15.75" thickBot="1" x14ac:dyDescent="0.3">
      <c r="A193">
        <f>RANK(P193,P$3:P$213)</f>
        <v>191</v>
      </c>
      <c r="B193" t="str">
        <f>WR_Raw!A191</f>
        <v>Jalen Virgil</v>
      </c>
      <c r="C193" t="s">
        <v>35</v>
      </c>
      <c r="D193" t="str">
        <f>_xlfn.IFNA(INDEX(BYEs!$E$2:$E$411,MATCH(B193,BYEs!$D$2:$D$411,0)),"N/A")</f>
        <v>N/A</v>
      </c>
      <c r="E193">
        <f>INDEX(BYEs!$B$2:$B$34,MATCH(F193,BYEs!$A$2:$A$34,0))</f>
        <v>9</v>
      </c>
      <c r="F193" t="str">
        <f>WR_Raw!B191</f>
        <v>DEN</v>
      </c>
      <c r="G193" s="206">
        <v>0</v>
      </c>
      <c r="H193" s="207">
        <v>0</v>
      </c>
      <c r="I193" s="204">
        <f>WR_Raw!F191</f>
        <v>0</v>
      </c>
      <c r="J193" s="204">
        <f>WR_Raw!G191</f>
        <v>0</v>
      </c>
      <c r="K193" s="204">
        <f>WR_Raw!H191</f>
        <v>0</v>
      </c>
      <c r="L193" s="206">
        <f>WR_Raw!C191</f>
        <v>5.3</v>
      </c>
      <c r="M193" s="204">
        <f>WR_Raw!D191</f>
        <v>60.8</v>
      </c>
      <c r="N193" s="207">
        <f>WR_Raw!E191</f>
        <v>0.5</v>
      </c>
      <c r="O193" s="204">
        <f>WR_Raw!I191</f>
        <v>0</v>
      </c>
      <c r="P193" s="208">
        <f>(J193*WRRushingYd)+(K193*WRRushingTD)+(L193*WRRec)+(M193*WRRecYd)+(N193*WRRecTD)+(O193*WRFuml)+(I193*WRRushAtt)</f>
        <v>11.73</v>
      </c>
      <c r="Q193" t="str">
        <f ca="1">IF(A193&lt;=WRStarters,"Starter",IF(A193&gt;WRStarters+WRBench,"Undrafted","Bench"))</f>
        <v>Undrafted</v>
      </c>
      <c r="R193">
        <f ca="1">IFERROR(MAX(P193-LARGE(WRSheetCount,WRStarters),0),0)</f>
        <v>0</v>
      </c>
      <c r="S193">
        <f ca="1">IFERROR(IF(AllowNegative="Yes",P193-LARGE(WRSheetCount,WRCount),MAX(P193-LARGE(WRSheetCount,WRCount),0)),0)</f>
        <v>-111.87999999999998</v>
      </c>
      <c r="T193" s="85">
        <f ca="1">(S193-R193)*BenchPF+R193*StarterPF</f>
        <v>-20.285735030072303</v>
      </c>
      <c r="U193" s="85">
        <f ca="1">T193*Auction!$A$2</f>
        <v>-20.285735030072303</v>
      </c>
      <c r="V193" s="6" t="str">
        <f>IF(OR(INDEX(Auction!$H$13:$H$656,MATCH(B193,Auction!$A$13:$A$656,0))&gt;0,IFERROR(INDEX(CheatSheet!$V$5:$V$64,MATCH(B193,CheatSheet!$S$5:$S$64,0)),"")&lt;&gt;""),"Yes","No")</f>
        <v>No</v>
      </c>
      <c r="W193" s="179"/>
      <c r="Y193" s="114">
        <f ca="1">IFERROR(SUMIFS($Z$3:$Z335,$Z$3:$Z$195,"&gt;0",$V$3:$V$195,"No")/SUMIF($Z$3:$Z$195,"&gt;0"),0)</f>
        <v>0</v>
      </c>
      <c r="Z193">
        <f t="shared" ca="1" si="6"/>
        <v>-55.939999999999991</v>
      </c>
      <c r="AA193" s="116" t="str">
        <f t="shared" ca="1" si="5"/>
        <v>WR11</v>
      </c>
      <c r="AB193">
        <f ca="1">Z193*LeagueInfo!$H$5</f>
        <v>-20.59869340930161</v>
      </c>
    </row>
    <row r="194" spans="1:28" ht="15.75" thickBot="1" x14ac:dyDescent="0.3">
      <c r="A194">
        <f>RANK(P194,P$3:P$213)</f>
        <v>192</v>
      </c>
      <c r="B194" t="str">
        <f>WR_Raw!A193</f>
        <v>David Sills V</v>
      </c>
      <c r="C194" t="s">
        <v>35</v>
      </c>
      <c r="D194" t="str">
        <f>_xlfn.IFNA(INDEX(BYEs!$E$2:$E$411,MATCH(B194,BYEs!$D$2:$D$411,0)),"N/A")</f>
        <v>N/A</v>
      </c>
      <c r="E194">
        <f>INDEX(BYEs!$B$2:$B$34,MATCH(F194,BYEs!$A$2:$A$34,0))</f>
        <v>9</v>
      </c>
      <c r="F194" t="str">
        <f>WR_Raw!B193</f>
        <v>NYG</v>
      </c>
      <c r="G194" s="206">
        <v>0</v>
      </c>
      <c r="H194" s="207">
        <v>0</v>
      </c>
      <c r="I194" s="204">
        <f>WR_Raw!F193</f>
        <v>0</v>
      </c>
      <c r="J194" s="204">
        <f>WR_Raw!G193</f>
        <v>0</v>
      </c>
      <c r="K194" s="204">
        <f>WR_Raw!H193</f>
        <v>0</v>
      </c>
      <c r="L194" s="206">
        <f>WR_Raw!C193</f>
        <v>5.8</v>
      </c>
      <c r="M194" s="204">
        <f>WR_Raw!D193</f>
        <v>67.8</v>
      </c>
      <c r="N194" s="207">
        <f>WR_Raw!E193</f>
        <v>0.3</v>
      </c>
      <c r="O194" s="204">
        <f>WR_Raw!I193</f>
        <v>0.1</v>
      </c>
      <c r="P194" s="208">
        <f>(J194*WRRushingYd)+(K194*WRRushingTD)+(L194*WRRec)+(M194*WRRecYd)+(N194*WRRecTD)+(O194*WRFuml)+(I194*WRRushAtt)</f>
        <v>11.280000000000001</v>
      </c>
      <c r="Q194" t="str">
        <f ca="1">IF(A194&lt;=WRStarters,"Starter",IF(A194&gt;WRStarters+WRBench,"Undrafted","Bench"))</f>
        <v>Undrafted</v>
      </c>
      <c r="R194">
        <f ca="1">IFERROR(MAX(P194-LARGE(WRSheetCount,WRStarters),0),0)</f>
        <v>0</v>
      </c>
      <c r="S194">
        <f ca="1">IFERROR(IF(AllowNegative="Yes",P194-LARGE(WRSheetCount,WRCount),MAX(P194-LARGE(WRSheetCount,WRCount),0)),0)</f>
        <v>-112.32999999999998</v>
      </c>
      <c r="T194" s="85">
        <f ca="1">(S194-R194)*BenchPF+R194*StarterPF</f>
        <v>-20.367327636110314</v>
      </c>
      <c r="U194" s="85">
        <f ca="1">T194*Auction!$A$2</f>
        <v>-20.367327636110314</v>
      </c>
      <c r="V194" s="6" t="str">
        <f>IF(OR(INDEX(Auction!$H$13:$H$656,MATCH(B194,Auction!$A$13:$A$656,0))&gt;0,IFERROR(INDEX(CheatSheet!$V$5:$V$64,MATCH(B194,CheatSheet!$S$5:$S$64,0)),"")&lt;&gt;""),"Yes","No")</f>
        <v>No</v>
      </c>
      <c r="W194" s="179"/>
      <c r="Y194" s="114">
        <f ca="1">IFERROR(SUMIFS($Z$3:$Z336,$Z$3:$Z$195,"&gt;0",$V$3:$V$195,"No")/SUMIF($Z$3:$Z$195,"&gt;0"),0)</f>
        <v>0</v>
      </c>
      <c r="Z194">
        <f t="shared" ca="1" si="6"/>
        <v>-56.164999999999992</v>
      </c>
      <c r="AA194" s="116" t="str">
        <f t="shared" ca="1" si="5"/>
        <v>WR11</v>
      </c>
      <c r="AB194">
        <f ca="1">Z194*LeagueInfo!$H$5</f>
        <v>-20.681544786081961</v>
      </c>
    </row>
    <row r="195" spans="1:28" ht="15.75" thickBot="1" x14ac:dyDescent="0.3">
      <c r="A195">
        <f>RANK(P195,P$3:P$213)</f>
        <v>193</v>
      </c>
      <c r="B195" t="str">
        <f>WR_Raw!A194</f>
        <v>Andre Roberts</v>
      </c>
      <c r="C195" t="s">
        <v>35</v>
      </c>
      <c r="D195" t="str">
        <f>_xlfn.IFNA(INDEX(BYEs!$E$2:$E$411,MATCH(B195,BYEs!$D$2:$D$411,0)),"N/A")</f>
        <v>N/A</v>
      </c>
      <c r="E195">
        <f>INDEX(BYEs!$B$2:$B$34,MATCH(F195,BYEs!$A$2:$A$34,0))</f>
        <v>13</v>
      </c>
      <c r="F195" t="str">
        <f>WR_Raw!B194</f>
        <v>CAR</v>
      </c>
      <c r="G195" s="206">
        <v>0</v>
      </c>
      <c r="H195" s="207">
        <v>0</v>
      </c>
      <c r="I195" s="204">
        <f>WR_Raw!F194</f>
        <v>0</v>
      </c>
      <c r="J195" s="204">
        <f>WR_Raw!G194</f>
        <v>0</v>
      </c>
      <c r="K195" s="204">
        <f>WR_Raw!H194</f>
        <v>0</v>
      </c>
      <c r="L195" s="206">
        <f>WR_Raw!C194</f>
        <v>3.9</v>
      </c>
      <c r="M195" s="204">
        <f>WR_Raw!D194</f>
        <v>65.5</v>
      </c>
      <c r="N195" s="207">
        <f>WR_Raw!E194</f>
        <v>0.3</v>
      </c>
      <c r="O195" s="204">
        <f>WR_Raw!I194</f>
        <v>0</v>
      </c>
      <c r="P195" s="208">
        <f>(J195*WRRushingYd)+(K195*WRRushingTD)+(L195*WRRec)+(M195*WRRecYd)+(N195*WRRecTD)+(O195*WRFuml)+(I195*WRRushAtt)</f>
        <v>10.3</v>
      </c>
      <c r="Q195" t="str">
        <f ca="1">IF(A195&lt;=WRStarters,"Starter",IF(A195&gt;WRStarters+WRBench,"Undrafted","Bench"))</f>
        <v>Undrafted</v>
      </c>
      <c r="R195">
        <f ca="1">IFERROR(MAX(P195-LARGE(WRSheetCount,WRStarters),0),0)</f>
        <v>0</v>
      </c>
      <c r="S195">
        <f ca="1">IFERROR(IF(AllowNegative="Yes",P195-LARGE(WRSheetCount,WRCount),MAX(P195-LARGE(WRSheetCount,WRCount),0)),0)</f>
        <v>-113.30999999999999</v>
      </c>
      <c r="T195" s="85">
        <f ca="1">(S195-R195)*BenchPF+R195*StarterPF</f>
        <v>-20.545018200370869</v>
      </c>
      <c r="U195" s="85">
        <f ca="1">T195*Auction!$A$2</f>
        <v>-20.545018200370869</v>
      </c>
      <c r="V195" s="6" t="str">
        <f>IF(OR(INDEX(Auction!$H$13:$H$656,MATCH(B195,Auction!$A$13:$A$656,0))&gt;0,IFERROR(INDEX(CheatSheet!$V$5:$V$64,MATCH(B195,CheatSheet!$S$5:$S$64,0)),"")&lt;&gt;""),"Yes","No")</f>
        <v>No</v>
      </c>
      <c r="W195" s="179"/>
      <c r="Y195" s="114">
        <f ca="1">IFERROR(SUMIFS($Z$3:$Z337,$Z$3:$Z$195,"&gt;0",$V$3:$V$195,"No")/SUMIF($Z$3:$Z$195,"&gt;0"),0)</f>
        <v>0</v>
      </c>
      <c r="Z195">
        <f t="shared" ca="1" si="6"/>
        <v>-56.654999999999994</v>
      </c>
      <c r="AA195" s="116" t="str">
        <f t="shared" ref="AA195:AA212" ca="1" si="7">CONCATENATE("WR",ROUND((LARGE($Z$3:$Z$195,1)-$Z195)/(STDEVP($Z$3:$Z$195)/2)+1,0))</f>
        <v>WR11</v>
      </c>
      <c r="AB195">
        <f ca="1">Z195*LeagueInfo!$H$5</f>
        <v>-20.861976673292506</v>
      </c>
    </row>
    <row r="196" spans="1:28" ht="15.75" thickBot="1" x14ac:dyDescent="0.3">
      <c r="A196">
        <f>RANK(P196,P$3:P$213)</f>
        <v>194</v>
      </c>
      <c r="B196" t="str">
        <f>WR_Raw!A196</f>
        <v>Stanley Morgan Jr.</v>
      </c>
      <c r="C196" t="s">
        <v>35</v>
      </c>
      <c r="D196" t="str">
        <f>_xlfn.IFNA(INDEX(BYEs!$E$2:$E$411,MATCH(B196,BYEs!$D$2:$D$411,0)),"N/A")</f>
        <v>N/A</v>
      </c>
      <c r="E196">
        <f>INDEX(BYEs!$B$2:$B$34,MATCH(F196,BYEs!$A$2:$A$34,0))</f>
        <v>10</v>
      </c>
      <c r="F196" t="str">
        <f>WR_Raw!B196</f>
        <v>CIN</v>
      </c>
      <c r="G196" s="206">
        <v>0</v>
      </c>
      <c r="H196" s="207">
        <v>0</v>
      </c>
      <c r="I196" s="204">
        <f>WR_Raw!F196</f>
        <v>0</v>
      </c>
      <c r="J196" s="204">
        <f>WR_Raw!G196</f>
        <v>0</v>
      </c>
      <c r="K196" s="204">
        <f>WR_Raw!H196</f>
        <v>0</v>
      </c>
      <c r="L196" s="206">
        <f>WR_Raw!C196</f>
        <v>5.0999999999999996</v>
      </c>
      <c r="M196" s="204">
        <f>WR_Raw!D196</f>
        <v>56.9</v>
      </c>
      <c r="N196" s="207">
        <f>WR_Raw!E196</f>
        <v>0.3</v>
      </c>
      <c r="O196" s="204">
        <f>WR_Raw!I196</f>
        <v>0</v>
      </c>
      <c r="P196" s="208">
        <f>(J196*WRRushingYd)+(K196*WRRushingTD)+(L196*WRRec)+(M196*WRRecYd)+(N196*WRRecTD)+(O196*WRFuml)+(I196*WRRushAtt)</f>
        <v>10.039999999999999</v>
      </c>
      <c r="Q196" t="str">
        <f ca="1">IF(A196&lt;=WRStarters,"Starter",IF(A196&gt;WRStarters+WRBench,"Undrafted","Bench"))</f>
        <v>Undrafted</v>
      </c>
      <c r="R196">
        <f ca="1">IFERROR(MAX(P196-LARGE(WRSheetCount,WRStarters),0),0)</f>
        <v>0</v>
      </c>
      <c r="S196">
        <f ca="1">IFERROR(IF(AllowNegative="Yes",P196-LARGE(WRSheetCount,WRCount),MAX(P196-LARGE(WRSheetCount,WRCount),0)),0)</f>
        <v>-113.57</v>
      </c>
      <c r="T196" s="85">
        <f ca="1">(S196-R196)*BenchPF+R196*StarterPF</f>
        <v>-20.592160594970611</v>
      </c>
      <c r="U196" s="85">
        <f ca="1">T196*Auction!$A$2</f>
        <v>-20.592160594970611</v>
      </c>
      <c r="V196" s="6" t="str">
        <f>IF(OR(INDEX(Auction!$H$13:$H$656,MATCH(B196,Auction!$A$13:$A$656,0))&gt;0,IFERROR(INDEX(CheatSheet!$V$5:$V$64,MATCH(B196,CheatSheet!$S$5:$S$64,0)),"")&lt;&gt;""),"Yes","No")</f>
        <v>No</v>
      </c>
      <c r="W196" s="179"/>
      <c r="Y196" s="114">
        <f ca="1">IFERROR(SUMIFS($Z$3:$Z338,$Z$3:$Z$195,"&gt;0",$V$3:$V$195,"No")/SUMIF($Z$3:$Z$195,"&gt;0"),0)</f>
        <v>0</v>
      </c>
      <c r="Z196">
        <f t="shared" ref="Z196:Z212" ca="1" si="8">AVERAGE(R196:S196)</f>
        <v>-56.784999999999997</v>
      </c>
      <c r="AA196" s="116" t="str">
        <f t="shared" ca="1" si="7"/>
        <v>WR11</v>
      </c>
      <c r="AB196">
        <f ca="1">Z196*LeagueInfo!$H$5</f>
        <v>-20.909846357654487</v>
      </c>
    </row>
    <row r="197" spans="1:28" ht="15.75" thickBot="1" x14ac:dyDescent="0.3">
      <c r="A197">
        <f>RANK(P197,P$3:P$213)</f>
        <v>195</v>
      </c>
      <c r="B197" t="str">
        <f>WR_Raw!A199</f>
        <v>Mike Thomas</v>
      </c>
      <c r="C197" t="s">
        <v>35</v>
      </c>
      <c r="D197" t="str">
        <f>_xlfn.IFNA(INDEX(BYEs!$E$2:$E$411,MATCH(B197,BYEs!$D$2:$D$411,0)),"N/A")</f>
        <v>N/A</v>
      </c>
      <c r="E197">
        <f>INDEX(BYEs!$B$2:$B$34,MATCH(F197,BYEs!$A$2:$A$34,0))</f>
        <v>10</v>
      </c>
      <c r="F197" t="str">
        <f>WR_Raw!B199</f>
        <v>CIN</v>
      </c>
      <c r="G197" s="206">
        <v>0</v>
      </c>
      <c r="H197" s="207">
        <v>0</v>
      </c>
      <c r="I197" s="204">
        <f>WR_Raw!F199</f>
        <v>0</v>
      </c>
      <c r="J197" s="204">
        <f>WR_Raw!G199</f>
        <v>0</v>
      </c>
      <c r="K197" s="204">
        <f>WR_Raw!H199</f>
        <v>0</v>
      </c>
      <c r="L197" s="206">
        <f>WR_Raw!C199</f>
        <v>5</v>
      </c>
      <c r="M197" s="204">
        <f>WR_Raw!D199</f>
        <v>54.1</v>
      </c>
      <c r="N197" s="207">
        <f>WR_Raw!E199</f>
        <v>0.3</v>
      </c>
      <c r="O197" s="204">
        <f>WR_Raw!I199</f>
        <v>0</v>
      </c>
      <c r="P197" s="208">
        <f>(J197*WRRushingYd)+(K197*WRRushingTD)+(L197*WRRec)+(M197*WRRecYd)+(N197*WRRecTD)+(O197*WRFuml)+(I197*WRRushAtt)</f>
        <v>9.7100000000000009</v>
      </c>
      <c r="Q197" t="str">
        <f ca="1">IF(A197&lt;=WRStarters,"Starter",IF(A197&gt;WRStarters+WRBench,"Undrafted","Bench"))</f>
        <v>Undrafted</v>
      </c>
      <c r="R197">
        <f ca="1">IFERROR(MAX(P197-LARGE(WRSheetCount,WRStarters),0),0)</f>
        <v>0</v>
      </c>
      <c r="S197">
        <f ca="1">IFERROR(IF(AllowNegative="Yes",P197-LARGE(WRSheetCount,WRCount),MAX(P197-LARGE(WRSheetCount,WRCount),0)),0)</f>
        <v>-113.89999999999998</v>
      </c>
      <c r="T197" s="85">
        <f ca="1">(S197-R197)*BenchPF+R197*StarterPF</f>
        <v>-20.651995172731812</v>
      </c>
      <c r="U197" s="85">
        <f ca="1">T197*Auction!$A$2</f>
        <v>-20.651995172731812</v>
      </c>
      <c r="V197" s="6" t="str">
        <f>IF(OR(INDEX(Auction!$H$13:$H$656,MATCH(B197,Auction!$A$13:$A$656,0))&gt;0,IFERROR(INDEX(CheatSheet!$V$5:$V$64,MATCH(B197,CheatSheet!$S$5:$S$64,0)),"")&lt;&gt;""),"Yes","No")</f>
        <v>No</v>
      </c>
      <c r="W197" s="179"/>
      <c r="Y197" s="114">
        <f ca="1">IFERROR(SUMIFS($Z$3:$Z339,$Z$3:$Z$195,"&gt;0",$V$3:$V$195,"No")/SUMIF($Z$3:$Z$195,"&gt;0"),0)</f>
        <v>0</v>
      </c>
      <c r="Z197">
        <f t="shared" ca="1" si="8"/>
        <v>-56.949999999999989</v>
      </c>
      <c r="AA197" s="116" t="str">
        <f t="shared" ca="1" si="7"/>
        <v>WR11</v>
      </c>
      <c r="AB197">
        <f ca="1">Z197*LeagueInfo!$H$5</f>
        <v>-20.970604033960075</v>
      </c>
    </row>
    <row r="198" spans="1:28" ht="15.75" thickBot="1" x14ac:dyDescent="0.3">
      <c r="A198">
        <f>RANK(P198,P$3:P$213)</f>
        <v>196</v>
      </c>
      <c r="B198" t="str">
        <f>WR_Raw!A195</f>
        <v>Greg Dortch</v>
      </c>
      <c r="C198" t="s">
        <v>35</v>
      </c>
      <c r="D198" t="str">
        <f>_xlfn.IFNA(INDEX(BYEs!$E$2:$E$411,MATCH(B198,BYEs!$D$2:$D$411,0)),"N/A")</f>
        <v>N/A</v>
      </c>
      <c r="E198">
        <f>INDEX(BYEs!$B$2:$B$34,MATCH(F198,BYEs!$A$2:$A$34,0))</f>
        <v>13</v>
      </c>
      <c r="F198" t="str">
        <f>WR_Raw!B195</f>
        <v>ARI</v>
      </c>
      <c r="G198" s="206">
        <v>0</v>
      </c>
      <c r="H198" s="207">
        <v>0</v>
      </c>
      <c r="I198" s="204">
        <f>WR_Raw!F195</f>
        <v>0</v>
      </c>
      <c r="J198" s="204">
        <f>WR_Raw!G195</f>
        <v>0</v>
      </c>
      <c r="K198" s="204">
        <f>WR_Raw!H195</f>
        <v>0</v>
      </c>
      <c r="L198" s="206">
        <f>WR_Raw!C195</f>
        <v>4.5999999999999996</v>
      </c>
      <c r="M198" s="204">
        <f>WR_Raw!D195</f>
        <v>54.6</v>
      </c>
      <c r="N198" s="207">
        <f>WR_Raw!E195</f>
        <v>0.3</v>
      </c>
      <c r="O198" s="204">
        <f>WR_Raw!I195</f>
        <v>0</v>
      </c>
      <c r="P198" s="208">
        <f>(J198*WRRushingYd)+(K198*WRRushingTD)+(L198*WRRec)+(M198*WRRecYd)+(N198*WRRecTD)+(O198*WRFuml)+(I198*WRRushAtt)</f>
        <v>9.56</v>
      </c>
      <c r="Q198" t="str">
        <f ca="1">IF(A198&lt;=WRStarters,"Starter",IF(A198&gt;WRStarters+WRBench,"Undrafted","Bench"))</f>
        <v>Undrafted</v>
      </c>
      <c r="R198">
        <f ca="1">IFERROR(MAX(P198-LARGE(WRSheetCount,WRStarters),0),0)</f>
        <v>0</v>
      </c>
      <c r="S198">
        <f ca="1">IFERROR(IF(AllowNegative="Yes",P198-LARGE(WRSheetCount,WRCount),MAX(P198-LARGE(WRSheetCount,WRCount),0)),0)</f>
        <v>-114.04999999999998</v>
      </c>
      <c r="T198" s="85">
        <f ca="1">(S198-R198)*BenchPF+R198*StarterPF</f>
        <v>-20.679192708077817</v>
      </c>
      <c r="U198" s="85">
        <f ca="1">T198*Auction!$A$2</f>
        <v>-20.679192708077817</v>
      </c>
      <c r="V198" s="6" t="str">
        <f>IF(OR(INDEX(Auction!$H$13:$H$656,MATCH(B198,Auction!$A$13:$A$656,0))&gt;0,IFERROR(INDEX(CheatSheet!$V$5:$V$64,MATCH(B198,CheatSheet!$S$5:$S$64,0)),"")&lt;&gt;""),"Yes","No")</f>
        <v>No</v>
      </c>
      <c r="W198" s="179"/>
      <c r="Y198" s="114">
        <f ca="1">IFERROR(SUMIFS($Z$3:$Z340,$Z$3:$Z$195,"&gt;0",$V$3:$V$195,"No")/SUMIF($Z$3:$Z$195,"&gt;0"),0)</f>
        <v>0</v>
      </c>
      <c r="Z198">
        <f t="shared" ca="1" si="8"/>
        <v>-57.024999999999991</v>
      </c>
      <c r="AA198" s="116" t="str">
        <f t="shared" ca="1" si="7"/>
        <v>WR11</v>
      </c>
      <c r="AB198">
        <f ca="1">Z198*LeagueInfo!$H$5</f>
        <v>-20.998221159553527</v>
      </c>
    </row>
    <row r="199" spans="1:28" ht="15.75" thickBot="1" x14ac:dyDescent="0.3">
      <c r="A199">
        <f>RANK(P199,P$3:P$213)</f>
        <v>197</v>
      </c>
      <c r="B199" t="str">
        <f>WR_Raw!A197</f>
        <v>Cameron Batson</v>
      </c>
      <c r="C199" t="s">
        <v>35</v>
      </c>
      <c r="D199" t="str">
        <f>_xlfn.IFNA(INDEX(BYEs!$E$2:$E$411,MATCH(B199,BYEs!$D$2:$D$411,0)),"N/A")</f>
        <v>N/A</v>
      </c>
      <c r="E199">
        <f>INDEX(BYEs!$B$2:$B$34,MATCH(F199,BYEs!$A$2:$A$34,0))</f>
        <v>14</v>
      </c>
      <c r="F199" t="str">
        <f>WR_Raw!B197</f>
        <v>ATL</v>
      </c>
      <c r="G199" s="206">
        <v>0</v>
      </c>
      <c r="H199" s="207">
        <v>0</v>
      </c>
      <c r="I199" s="204">
        <f>WR_Raw!F197</f>
        <v>0</v>
      </c>
      <c r="J199" s="204">
        <f>WR_Raw!G197</f>
        <v>0</v>
      </c>
      <c r="K199" s="204">
        <f>WR_Raw!H197</f>
        <v>0</v>
      </c>
      <c r="L199" s="206">
        <f>WR_Raw!C197</f>
        <v>4.8</v>
      </c>
      <c r="M199" s="204">
        <f>WR_Raw!D197</f>
        <v>52.6</v>
      </c>
      <c r="N199" s="207">
        <f>WR_Raw!E197</f>
        <v>0.3</v>
      </c>
      <c r="O199" s="204">
        <f>WR_Raw!I197</f>
        <v>0</v>
      </c>
      <c r="P199" s="208">
        <f>(J199*WRRushingYd)+(K199*WRRushingTD)+(L199*WRRec)+(M199*WRRecYd)+(N199*WRRecTD)+(O199*WRFuml)+(I199*WRRushAtt)</f>
        <v>9.4600000000000009</v>
      </c>
      <c r="Q199" t="str">
        <f ca="1">IF(A199&lt;=WRStarters,"Starter",IF(A199&gt;WRStarters+WRBench,"Undrafted","Bench"))</f>
        <v>Undrafted</v>
      </c>
      <c r="R199">
        <f ca="1">IFERROR(MAX(P199-LARGE(WRSheetCount,WRStarters),0),0)</f>
        <v>0</v>
      </c>
      <c r="S199">
        <f ca="1">IFERROR(IF(AllowNegative="Yes",P199-LARGE(WRSheetCount,WRCount),MAX(P199-LARGE(WRSheetCount,WRCount),0)),0)</f>
        <v>-114.14999999999998</v>
      </c>
      <c r="T199" s="85">
        <f ca="1">(S199-R199)*BenchPF+R199*StarterPF</f>
        <v>-20.697324398308485</v>
      </c>
      <c r="U199" s="85">
        <f ca="1">T199*Auction!$A$2</f>
        <v>-20.697324398308485</v>
      </c>
      <c r="V199" s="6" t="str">
        <f>IF(OR(INDEX(Auction!$H$13:$H$656,MATCH(B199,Auction!$A$13:$A$656,0))&gt;0,IFERROR(INDEX(CheatSheet!$V$5:$V$64,MATCH(B199,CheatSheet!$S$5:$S$64,0)),"")&lt;&gt;""),"Yes","No")</f>
        <v>No</v>
      </c>
      <c r="W199" s="179"/>
      <c r="Y199" s="114">
        <f ca="1">IFERROR(SUMIFS($Z$3:$Z341,$Z$3:$Z$195,"&gt;0",$V$3:$V$195,"No")/SUMIF($Z$3:$Z$195,"&gt;0"),0)</f>
        <v>0</v>
      </c>
      <c r="Z199">
        <f t="shared" ca="1" si="8"/>
        <v>-57.074999999999989</v>
      </c>
      <c r="AA199" s="116" t="str">
        <f t="shared" ca="1" si="7"/>
        <v>WR11</v>
      </c>
      <c r="AB199">
        <f ca="1">Z199*LeagueInfo!$H$5</f>
        <v>-21.016632576615827</v>
      </c>
    </row>
    <row r="200" spans="1:28" ht="15.75" thickBot="1" x14ac:dyDescent="0.3">
      <c r="A200">
        <f>RANK(P200,P$3:P$213)</f>
        <v>198</v>
      </c>
      <c r="B200" t="str">
        <f>WR_Raw!A198</f>
        <v>Cody Thompson</v>
      </c>
      <c r="C200" t="s">
        <v>35</v>
      </c>
      <c r="D200" t="str">
        <f>_xlfn.IFNA(INDEX(BYEs!$E$2:$E$411,MATCH(B200,BYEs!$D$2:$D$411,0)),"N/A")</f>
        <v>N/A</v>
      </c>
      <c r="E200">
        <f>INDEX(BYEs!$B$2:$B$34,MATCH(F200,BYEs!$A$2:$A$34,0))</f>
        <v>11</v>
      </c>
      <c r="F200" t="str">
        <f>WR_Raw!B198</f>
        <v>SEA</v>
      </c>
      <c r="G200" s="206">
        <v>0</v>
      </c>
      <c r="H200" s="207">
        <v>0</v>
      </c>
      <c r="I200" s="204">
        <f>WR_Raw!F198</f>
        <v>0</v>
      </c>
      <c r="J200" s="204">
        <f>WR_Raw!G198</f>
        <v>0</v>
      </c>
      <c r="K200" s="204">
        <f>WR_Raw!H198</f>
        <v>0</v>
      </c>
      <c r="L200" s="206">
        <f>WR_Raw!C198</f>
        <v>4.8</v>
      </c>
      <c r="M200" s="204">
        <f>WR_Raw!D198</f>
        <v>52.3</v>
      </c>
      <c r="N200" s="207">
        <f>WR_Raw!E198</f>
        <v>0.3</v>
      </c>
      <c r="O200" s="204">
        <f>WR_Raw!I198</f>
        <v>0</v>
      </c>
      <c r="P200" s="208">
        <f>(J200*WRRushingYd)+(K200*WRRushingTD)+(L200*WRRec)+(M200*WRRecYd)+(N200*WRRecTD)+(O200*WRFuml)+(I200*WRRushAtt)</f>
        <v>9.43</v>
      </c>
      <c r="Q200" t="str">
        <f ca="1">IF(A200&lt;=WRStarters,"Starter",IF(A200&gt;WRStarters+WRBench,"Undrafted","Bench"))</f>
        <v>Undrafted</v>
      </c>
      <c r="R200">
        <f ca="1">IFERROR(MAX(P200-LARGE(WRSheetCount,WRStarters),0),0)</f>
        <v>0</v>
      </c>
      <c r="S200">
        <f ca="1">IFERROR(IF(AllowNegative="Yes",P200-LARGE(WRSheetCount,WRCount),MAX(P200-LARGE(WRSheetCount,WRCount),0)),0)</f>
        <v>-114.17999999999998</v>
      </c>
      <c r="T200" s="85">
        <f ca="1">(S200-R200)*BenchPF+R200*StarterPF</f>
        <v>-20.702763905377687</v>
      </c>
      <c r="U200" s="85">
        <f ca="1">T200*Auction!$A$2</f>
        <v>-20.702763905377687</v>
      </c>
      <c r="V200" s="6" t="str">
        <f>IF(OR(INDEX(Auction!$H$13:$H$656,MATCH(B200,Auction!$A$13:$A$656,0))&gt;0,IFERROR(INDEX(CheatSheet!$V$5:$V$64,MATCH(B200,CheatSheet!$S$5:$S$64,0)),"")&lt;&gt;""),"Yes","No")</f>
        <v>No</v>
      </c>
      <c r="W200" s="179"/>
      <c r="Y200" s="114">
        <f ca="1">IFERROR(SUMIFS($Z$3:$Z342,$Z$3:$Z$195,"&gt;0",$V$3:$V$195,"No")/SUMIF($Z$3:$Z$195,"&gt;0"),0)</f>
        <v>0</v>
      </c>
      <c r="Z200">
        <f t="shared" ca="1" si="8"/>
        <v>-57.089999999999989</v>
      </c>
      <c r="AA200" s="116" t="str">
        <f t="shared" ca="1" si="7"/>
        <v>WR11</v>
      </c>
      <c r="AB200">
        <f ca="1">Z200*LeagueInfo!$H$5</f>
        <v>-21.022156001734515</v>
      </c>
    </row>
    <row r="201" spans="1:28" ht="15.75" thickBot="1" x14ac:dyDescent="0.3">
      <c r="A201">
        <f>RANK(P201,P$3:P$213)</f>
        <v>199</v>
      </c>
      <c r="B201" t="str">
        <f>WR_Raw!A200</f>
        <v>Travis Fulgham</v>
      </c>
      <c r="C201" t="s">
        <v>35</v>
      </c>
      <c r="D201" t="str">
        <f>_xlfn.IFNA(INDEX(BYEs!$E$2:$E$411,MATCH(B201,BYEs!$D$2:$D$411,0)),"N/A")</f>
        <v>N/A</v>
      </c>
      <c r="E201">
        <f>INDEX(BYEs!$B$2:$B$34,MATCH(F201,BYEs!$A$2:$A$34,0))</f>
        <v>14</v>
      </c>
      <c r="F201" t="str">
        <f>WR_Raw!B200</f>
        <v>GB</v>
      </c>
      <c r="G201" s="206">
        <v>0</v>
      </c>
      <c r="H201" s="207">
        <v>0</v>
      </c>
      <c r="I201" s="204">
        <f>WR_Raw!F200</f>
        <v>0</v>
      </c>
      <c r="J201" s="204">
        <f>WR_Raw!G200</f>
        <v>0</v>
      </c>
      <c r="K201" s="204">
        <f>WR_Raw!H200</f>
        <v>0</v>
      </c>
      <c r="L201" s="206">
        <f>WR_Raw!C200</f>
        <v>3.5</v>
      </c>
      <c r="M201" s="204">
        <f>WR_Raw!D200</f>
        <v>44.1</v>
      </c>
      <c r="N201" s="207">
        <f>WR_Raw!E200</f>
        <v>0.3</v>
      </c>
      <c r="O201" s="204">
        <f>WR_Raw!I200</f>
        <v>0</v>
      </c>
      <c r="P201" s="208">
        <f>(J201*WRRushingYd)+(K201*WRRushingTD)+(L201*WRRec)+(M201*WRRecYd)+(N201*WRRecTD)+(O201*WRFuml)+(I201*WRRushAtt)</f>
        <v>7.96</v>
      </c>
      <c r="Q201" t="str">
        <f ca="1">IF(A201&lt;=WRStarters,"Starter",IF(A201&gt;WRStarters+WRBench,"Undrafted","Bench"))</f>
        <v>Undrafted</v>
      </c>
      <c r="R201">
        <f ca="1">IFERROR(MAX(P201-LARGE(WRSheetCount,WRStarters),0),0)</f>
        <v>0</v>
      </c>
      <c r="S201">
        <f ca="1">IFERROR(IF(AllowNegative="Yes",P201-LARGE(WRSheetCount,WRCount),MAX(P201-LARGE(WRSheetCount,WRCount),0)),0)</f>
        <v>-115.64999999999999</v>
      </c>
      <c r="T201" s="85">
        <f ca="1">(S201-R201)*BenchPF+R201*StarterPF</f>
        <v>-20.969299751768521</v>
      </c>
      <c r="U201" s="85">
        <f ca="1">T201*Auction!$A$2</f>
        <v>-20.969299751768521</v>
      </c>
      <c r="V201" s="6" t="str">
        <f>IF(OR(INDEX(Auction!$H$13:$H$656,MATCH(B201,Auction!$A$13:$A$656,0))&gt;0,IFERROR(INDEX(CheatSheet!$V$5:$V$64,MATCH(B201,CheatSheet!$S$5:$S$64,0)),"")&lt;&gt;""),"Yes","No")</f>
        <v>No</v>
      </c>
      <c r="W201" s="179"/>
      <c r="Y201" s="114">
        <f ca="1">IFERROR(SUMIFS($Z$3:$Z343,$Z$3:$Z$195,"&gt;0",$V$3:$V$195,"No")/SUMIF($Z$3:$Z$195,"&gt;0"),0)</f>
        <v>0</v>
      </c>
      <c r="Z201">
        <f t="shared" ca="1" si="8"/>
        <v>-57.824999999999996</v>
      </c>
      <c r="AA201" s="116" t="str">
        <f t="shared" ca="1" si="7"/>
        <v>WR12</v>
      </c>
      <c r="AB201">
        <f ca="1">Z201*LeagueInfo!$H$5</f>
        <v>-21.292803832550334</v>
      </c>
    </row>
    <row r="202" spans="1:28" ht="15.75" thickBot="1" x14ac:dyDescent="0.3">
      <c r="A202">
        <f>RANK(P202,P$3:P$213)</f>
        <v>200</v>
      </c>
      <c r="B202" t="str">
        <f>WR_Raw!A203</f>
        <v>Andy Isabella</v>
      </c>
      <c r="C202" t="s">
        <v>35</v>
      </c>
      <c r="D202">
        <f>_xlfn.IFNA(INDEX(BYEs!$E$2:$E$411,MATCH(B202,BYEs!$D$2:$D$411,0)),"N/A")</f>
        <v>24</v>
      </c>
      <c r="E202">
        <f>INDEX(BYEs!$B$2:$B$34,MATCH(F202,BYEs!$A$2:$A$34,0))</f>
        <v>13</v>
      </c>
      <c r="F202" t="str">
        <f>WR_Raw!B203</f>
        <v>ARI</v>
      </c>
      <c r="G202" s="206">
        <v>0</v>
      </c>
      <c r="H202" s="207">
        <v>0</v>
      </c>
      <c r="I202" s="204">
        <f>WR_Raw!F203</f>
        <v>0</v>
      </c>
      <c r="J202" s="204">
        <f>WR_Raw!G203</f>
        <v>0</v>
      </c>
      <c r="K202" s="204">
        <f>WR_Raw!H203</f>
        <v>0</v>
      </c>
      <c r="L202" s="206">
        <f>WR_Raw!C203</f>
        <v>3.4</v>
      </c>
      <c r="M202" s="204">
        <f>WR_Raw!D203</f>
        <v>42.4</v>
      </c>
      <c r="N202" s="207">
        <f>WR_Raw!E203</f>
        <v>0.3</v>
      </c>
      <c r="O202" s="204">
        <f>WR_Raw!I203</f>
        <v>0</v>
      </c>
      <c r="P202" s="208">
        <f>(J202*WRRushingYd)+(K202*WRRushingTD)+(L202*WRRec)+(M202*WRRecYd)+(N202*WRRecTD)+(O202*WRFuml)+(I202*WRRushAtt)</f>
        <v>7.74</v>
      </c>
      <c r="Q202" t="str">
        <f ca="1">IF(A202&lt;=WRStarters,"Starter",IF(A202&gt;WRStarters+WRBench,"Undrafted","Bench"))</f>
        <v>Undrafted</v>
      </c>
      <c r="R202">
        <f ca="1">IFERROR(MAX(P202-LARGE(WRSheetCount,WRStarters),0),0)</f>
        <v>0</v>
      </c>
      <c r="S202">
        <f ca="1">IFERROR(IF(AllowNegative="Yes",P202-LARGE(WRSheetCount,WRCount),MAX(P202-LARGE(WRSheetCount,WRCount),0)),0)</f>
        <v>-115.86999999999999</v>
      </c>
      <c r="T202" s="85">
        <f ca="1">(S202-R202)*BenchPF+R202*StarterPF</f>
        <v>-21.009189470275992</v>
      </c>
      <c r="U202" s="85">
        <f ca="1">T202*Auction!$A$2</f>
        <v>-21.009189470275992</v>
      </c>
      <c r="V202" s="6" t="str">
        <f>IF(OR(INDEX(Auction!$H$13:$H$656,MATCH(B202,Auction!$A$13:$A$656,0))&gt;0,IFERROR(INDEX(CheatSheet!$V$5:$V$64,MATCH(B202,CheatSheet!$S$5:$S$64,0)),"")&lt;&gt;""),"Yes","No")</f>
        <v>No</v>
      </c>
      <c r="W202" s="179"/>
      <c r="Y202" s="114">
        <f ca="1">IFERROR(SUMIFS($Z$3:$Z344,$Z$3:$Z$195,"&gt;0",$V$3:$V$195,"No")/SUMIF($Z$3:$Z$195,"&gt;0"),0)</f>
        <v>0</v>
      </c>
      <c r="Z202">
        <f t="shared" ca="1" si="8"/>
        <v>-57.934999999999995</v>
      </c>
      <c r="AA202" s="116" t="str">
        <f t="shared" ca="1" si="7"/>
        <v>WR12</v>
      </c>
      <c r="AB202">
        <f ca="1">Z202*LeagueInfo!$H$5</f>
        <v>-21.333308950087396</v>
      </c>
    </row>
    <row r="203" spans="1:28" ht="15.75" thickBot="1" x14ac:dyDescent="0.3">
      <c r="A203">
        <f>RANK(P203,P$3:P$213)</f>
        <v>201</v>
      </c>
      <c r="B203" t="str">
        <f>WR_Raw!A207</f>
        <v>Dennis Houston</v>
      </c>
      <c r="C203" t="s">
        <v>35</v>
      </c>
      <c r="D203" t="str">
        <f>_xlfn.IFNA(INDEX(BYEs!$E$2:$E$411,MATCH(B203,BYEs!$D$2:$D$411,0)),"N/A")</f>
        <v>N/A</v>
      </c>
      <c r="E203">
        <f>INDEX(BYEs!$B$2:$B$34,MATCH(F203,BYEs!$A$2:$A$34,0))</f>
        <v>9</v>
      </c>
      <c r="F203" t="str">
        <f>WR_Raw!B207</f>
        <v>DAL</v>
      </c>
      <c r="G203" s="206">
        <v>0</v>
      </c>
      <c r="H203" s="207">
        <v>0</v>
      </c>
      <c r="I203" s="204">
        <f>WR_Raw!F207</f>
        <v>0</v>
      </c>
      <c r="J203" s="204">
        <f>WR_Raw!G207</f>
        <v>0</v>
      </c>
      <c r="K203" s="204">
        <f>WR_Raw!H207</f>
        <v>0</v>
      </c>
      <c r="L203" s="206">
        <f>WR_Raw!C207</f>
        <v>5</v>
      </c>
      <c r="M203" s="204">
        <f>WR_Raw!D207</f>
        <v>52</v>
      </c>
      <c r="N203" s="207">
        <f>WR_Raw!E207</f>
        <v>0</v>
      </c>
      <c r="O203" s="204">
        <f>WR_Raw!I207</f>
        <v>0</v>
      </c>
      <c r="P203" s="208">
        <f>(J203*WRRushingYd)+(K203*WRRushingTD)+(L203*WRRec)+(M203*WRRecYd)+(N203*WRRecTD)+(O203*WRFuml)+(I203*WRRushAtt)</f>
        <v>7.7</v>
      </c>
      <c r="Q203" t="str">
        <f ca="1">IF(A203&lt;=WRStarters,"Starter",IF(A203&gt;WRStarters+WRBench,"Undrafted","Bench"))</f>
        <v>Undrafted</v>
      </c>
      <c r="R203">
        <f ca="1">IFERROR(MAX(P203-LARGE(WRSheetCount,WRStarters),0),0)</f>
        <v>0</v>
      </c>
      <c r="S203">
        <f ca="1">IFERROR(IF(AllowNegative="Yes",P203-LARGE(WRSheetCount,WRCount),MAX(P203-LARGE(WRSheetCount,WRCount),0)),0)</f>
        <v>-115.90999999999998</v>
      </c>
      <c r="T203" s="85">
        <f ca="1">(S203-R203)*BenchPF+R203*StarterPF</f>
        <v>-21.016442146368259</v>
      </c>
      <c r="U203" s="85">
        <f ca="1">T203*Auction!$A$2</f>
        <v>-21.016442146368259</v>
      </c>
      <c r="V203" s="6" t="str">
        <f>IF(OR(INDEX(Auction!$H$13:$H$656,MATCH(B203,Auction!$A$13:$A$656,0))&gt;0,IFERROR(INDEX(CheatSheet!$V$5:$V$64,MATCH(B203,CheatSheet!$S$5:$S$64,0)),"")&lt;&gt;""),"Yes","No")</f>
        <v>No</v>
      </c>
      <c r="W203" s="179"/>
      <c r="Y203" s="114">
        <f ca="1">IFERROR(SUMIFS($Z$3:$Z345,$Z$3:$Z$195,"&gt;0",$V$3:$V$195,"No")/SUMIF($Z$3:$Z$195,"&gt;0"),0)</f>
        <v>0</v>
      </c>
      <c r="Z203">
        <f t="shared" ca="1" si="8"/>
        <v>-57.954999999999991</v>
      </c>
      <c r="AA203" s="116" t="str">
        <f t="shared" ca="1" si="7"/>
        <v>WR12</v>
      </c>
      <c r="AB203">
        <f ca="1">Z203*LeagueInfo!$H$5</f>
        <v>-21.340673516912315</v>
      </c>
    </row>
    <row r="204" spans="1:28" ht="15.75" thickBot="1" x14ac:dyDescent="0.3">
      <c r="A204">
        <f>RANK(P204,P$3:P$213)</f>
        <v>202</v>
      </c>
      <c r="B204" t="str">
        <f>WR_Raw!A201</f>
        <v>Marquez Stevenson</v>
      </c>
      <c r="C204" t="s">
        <v>35</v>
      </c>
      <c r="D204" t="str">
        <f>_xlfn.IFNA(INDEX(BYEs!$E$2:$E$411,MATCH(B204,BYEs!$D$2:$D$411,0)),"N/A")</f>
        <v>N/A</v>
      </c>
      <c r="E204">
        <f>INDEX(BYEs!$B$2:$B$34,MATCH(F204,BYEs!$A$2:$A$34,0))</f>
        <v>7</v>
      </c>
      <c r="F204" t="str">
        <f>WR_Raw!B201</f>
        <v>BUF</v>
      </c>
      <c r="G204" s="206">
        <v>0</v>
      </c>
      <c r="H204" s="207">
        <v>0</v>
      </c>
      <c r="I204" s="204">
        <f>WR_Raw!F201</f>
        <v>0</v>
      </c>
      <c r="J204" s="204">
        <f>WR_Raw!G201</f>
        <v>0</v>
      </c>
      <c r="K204" s="204">
        <f>WR_Raw!H201</f>
        <v>0</v>
      </c>
      <c r="L204" s="206">
        <f>WR_Raw!C201</f>
        <v>3.5</v>
      </c>
      <c r="M204" s="204">
        <f>WR_Raw!D201</f>
        <v>41.1</v>
      </c>
      <c r="N204" s="207">
        <f>WR_Raw!E201</f>
        <v>0.3</v>
      </c>
      <c r="O204" s="204">
        <f>WR_Raw!I201</f>
        <v>0</v>
      </c>
      <c r="P204" s="208">
        <f>(J204*WRRushingYd)+(K204*WRRushingTD)+(L204*WRRec)+(M204*WRRecYd)+(N204*WRRecTD)+(O204*WRFuml)+(I204*WRRushAtt)</f>
        <v>7.66</v>
      </c>
      <c r="Q204" t="str">
        <f ca="1">IF(A204&lt;=WRStarters,"Starter",IF(A204&gt;WRStarters+WRBench,"Undrafted","Bench"))</f>
        <v>Undrafted</v>
      </c>
      <c r="R204">
        <f ca="1">IFERROR(MAX(P204-LARGE(WRSheetCount,WRStarters),0),0)</f>
        <v>0</v>
      </c>
      <c r="S204">
        <f ca="1">IFERROR(IF(AllowNegative="Yes",P204-LARGE(WRSheetCount,WRCount),MAX(P204-LARGE(WRSheetCount,WRCount),0)),0)</f>
        <v>-115.94999999999999</v>
      </c>
      <c r="T204" s="85">
        <f ca="1">(S204-R204)*BenchPF+R204*StarterPF</f>
        <v>-21.023694822460527</v>
      </c>
      <c r="U204" s="85">
        <f ca="1">T204*Auction!$A$2</f>
        <v>-21.023694822460527</v>
      </c>
      <c r="V204" s="6" t="str">
        <f>IF(OR(INDEX(Auction!$H$13:$H$656,MATCH(B204,Auction!$A$13:$A$656,0))&gt;0,IFERROR(INDEX(CheatSheet!$V$5:$V$64,MATCH(B204,CheatSheet!$S$5:$S$64,0)),"")&lt;&gt;""),"Yes","No")</f>
        <v>No</v>
      </c>
      <c r="W204" s="179"/>
      <c r="Y204" s="114">
        <f ca="1">IFERROR(SUMIFS($Z$3:$Z346,$Z$3:$Z$195,"&gt;0",$V$3:$V$195,"No")/SUMIF($Z$3:$Z$195,"&gt;0"),0)</f>
        <v>0</v>
      </c>
      <c r="Z204">
        <f t="shared" ca="1" si="8"/>
        <v>-57.974999999999994</v>
      </c>
      <c r="AA204" s="116" t="str">
        <f t="shared" ca="1" si="7"/>
        <v>WR12</v>
      </c>
      <c r="AB204">
        <f ca="1">Z204*LeagueInfo!$H$5</f>
        <v>-21.348038083737237</v>
      </c>
    </row>
    <row r="205" spans="1:28" ht="15.75" thickBot="1" x14ac:dyDescent="0.3">
      <c r="A205">
        <f>RANK(P205,P$3:P$213)</f>
        <v>203</v>
      </c>
      <c r="B205" t="str">
        <f>WR_Raw!A205</f>
        <v>N'Keal Harry</v>
      </c>
      <c r="C205" t="s">
        <v>35</v>
      </c>
      <c r="D205">
        <f>_xlfn.IFNA(INDEX(BYEs!$E$2:$E$411,MATCH(B205,BYEs!$D$2:$D$411,0)),"N/A")</f>
        <v>23</v>
      </c>
      <c r="E205">
        <f>INDEX(BYEs!$B$2:$B$34,MATCH(F205,BYEs!$A$2:$A$34,0))</f>
        <v>14</v>
      </c>
      <c r="F205" t="str">
        <f>WR_Raw!B205</f>
        <v>CHI</v>
      </c>
      <c r="G205" s="206">
        <v>0</v>
      </c>
      <c r="H205" s="207">
        <v>0</v>
      </c>
      <c r="I205" s="204">
        <f>WR_Raw!F205</f>
        <v>0</v>
      </c>
      <c r="J205" s="204">
        <f>WR_Raw!G205</f>
        <v>0</v>
      </c>
      <c r="K205" s="204">
        <f>WR_Raw!H205</f>
        <v>0</v>
      </c>
      <c r="L205" s="206">
        <f>WR_Raw!C205</f>
        <v>3.6</v>
      </c>
      <c r="M205" s="204">
        <f>WR_Raw!D205</f>
        <v>45.5</v>
      </c>
      <c r="N205" s="207">
        <f>WR_Raw!E205</f>
        <v>0.2</v>
      </c>
      <c r="O205" s="204">
        <f>WR_Raw!I205</f>
        <v>0</v>
      </c>
      <c r="P205" s="208">
        <f>(J205*WRRushingYd)+(K205*WRRushingTD)+(L205*WRRec)+(M205*WRRecYd)+(N205*WRRecTD)+(O205*WRFuml)+(I205*WRRushAtt)</f>
        <v>7.55</v>
      </c>
      <c r="Q205" t="str">
        <f ca="1">IF(A205&lt;=WRStarters,"Starter",IF(A205&gt;WRStarters+WRBench,"Undrafted","Bench"))</f>
        <v>Undrafted</v>
      </c>
      <c r="R205">
        <f ca="1">IFERROR(MAX(P205-LARGE(WRSheetCount,WRStarters),0),0)</f>
        <v>0</v>
      </c>
      <c r="S205">
        <f ca="1">IFERROR(IF(AllowNegative="Yes",P205-LARGE(WRSheetCount,WRCount),MAX(P205-LARGE(WRSheetCount,WRCount),0)),0)</f>
        <v>-116.05999999999999</v>
      </c>
      <c r="T205" s="85">
        <f ca="1">(S205-R205)*BenchPF+R205*StarterPF</f>
        <v>-21.043639681714264</v>
      </c>
      <c r="U205" s="85">
        <f ca="1">T205*Auction!$A$2</f>
        <v>-21.043639681714264</v>
      </c>
      <c r="V205" s="6" t="str">
        <f>IF(OR(INDEX(Auction!$H$13:$H$656,MATCH(B205,Auction!$A$13:$A$656,0))&gt;0,IFERROR(INDEX(CheatSheet!$V$5:$V$64,MATCH(B205,CheatSheet!$S$5:$S$64,0)),"")&lt;&gt;""),"Yes","No")</f>
        <v>No</v>
      </c>
      <c r="W205" s="179"/>
      <c r="Y205" s="114">
        <f ca="1">IFERROR(SUMIFS($Z$3:$Z347,$Z$3:$Z$195,"&gt;0",$V$3:$V$195,"No")/SUMIF($Z$3:$Z$195,"&gt;0"),0)</f>
        <v>0</v>
      </c>
      <c r="Z205">
        <f t="shared" ca="1" si="8"/>
        <v>-58.029999999999994</v>
      </c>
      <c r="AA205" s="116" t="str">
        <f t="shared" ca="1" si="7"/>
        <v>WR12</v>
      </c>
      <c r="AB205">
        <f ca="1">Z205*LeagueInfo!$H$5</f>
        <v>-21.368290642505766</v>
      </c>
    </row>
    <row r="206" spans="1:28" ht="15.75" thickBot="1" x14ac:dyDescent="0.3">
      <c r="A206">
        <f>RANK(P206,P$3:P$213)</f>
        <v>204</v>
      </c>
      <c r="B206" t="str">
        <f>WR_Raw!A202</f>
        <v>Trenton Irwin</v>
      </c>
      <c r="C206" t="s">
        <v>35</v>
      </c>
      <c r="D206" t="str">
        <f>_xlfn.IFNA(INDEX(BYEs!$E$2:$E$411,MATCH(B206,BYEs!$D$2:$D$411,0)),"N/A")</f>
        <v>N/A</v>
      </c>
      <c r="E206">
        <f>INDEX(BYEs!$B$2:$B$34,MATCH(F206,BYEs!$A$2:$A$34,0))</f>
        <v>10</v>
      </c>
      <c r="F206" t="str">
        <f>WR_Raw!B202</f>
        <v>CIN</v>
      </c>
      <c r="G206" s="206">
        <v>0</v>
      </c>
      <c r="H206" s="207">
        <v>0</v>
      </c>
      <c r="I206" s="204">
        <f>WR_Raw!F202</f>
        <v>0</v>
      </c>
      <c r="J206" s="204">
        <f>WR_Raw!G202</f>
        <v>0</v>
      </c>
      <c r="K206" s="204">
        <f>WR_Raw!H202</f>
        <v>0</v>
      </c>
      <c r="L206" s="206">
        <f>WR_Raw!C202</f>
        <v>3.5</v>
      </c>
      <c r="M206" s="204">
        <f>WR_Raw!D202</f>
        <v>39.6</v>
      </c>
      <c r="N206" s="207">
        <f>WR_Raw!E202</f>
        <v>0.3</v>
      </c>
      <c r="O206" s="204">
        <f>WR_Raw!I202</f>
        <v>0</v>
      </c>
      <c r="P206" s="208">
        <f>(J206*WRRushingYd)+(K206*WRRushingTD)+(L206*WRRec)+(M206*WRRecYd)+(N206*WRRecTD)+(O206*WRFuml)+(I206*WRRushAtt)</f>
        <v>7.5100000000000007</v>
      </c>
      <c r="Q206" t="str">
        <f ca="1">IF(A206&lt;=WRStarters,"Starter",IF(A206&gt;WRStarters+WRBench,"Undrafted","Bench"))</f>
        <v>Undrafted</v>
      </c>
      <c r="R206">
        <f ca="1">IFERROR(MAX(P206-LARGE(WRSheetCount,WRStarters),0),0)</f>
        <v>0</v>
      </c>
      <c r="S206">
        <f ca="1">IFERROR(IF(AllowNegative="Yes",P206-LARGE(WRSheetCount,WRCount),MAX(P206-LARGE(WRSheetCount,WRCount),0)),0)</f>
        <v>-116.09999999999998</v>
      </c>
      <c r="T206" s="85">
        <f ca="1">(S206-R206)*BenchPF+R206*StarterPF</f>
        <v>-21.050892357806529</v>
      </c>
      <c r="U206" s="85">
        <f ca="1">T206*Auction!$A$2</f>
        <v>-21.050892357806529</v>
      </c>
      <c r="V206" s="6" t="str">
        <f>IF(OR(INDEX(Auction!$H$13:$H$656,MATCH(B206,Auction!$A$13:$A$656,0))&gt;0,IFERROR(INDEX(CheatSheet!$V$5:$V$64,MATCH(B206,CheatSheet!$S$5:$S$64,0)),"")&lt;&gt;""),"Yes","No")</f>
        <v>No</v>
      </c>
      <c r="W206" s="179"/>
      <c r="Y206" s="114">
        <f ca="1">IFERROR(SUMIFS($Z$3:$Z348,$Z$3:$Z$195,"&gt;0",$V$3:$V$195,"No")/SUMIF($Z$3:$Z$195,"&gt;0"),0)</f>
        <v>0</v>
      </c>
      <c r="Z206">
        <f t="shared" ca="1" si="8"/>
        <v>-58.04999999999999</v>
      </c>
      <c r="AA206" s="116" t="str">
        <f t="shared" ca="1" si="7"/>
        <v>WR12</v>
      </c>
      <c r="AB206">
        <f ca="1">Z206*LeagueInfo!$H$5</f>
        <v>-21.375655209330684</v>
      </c>
    </row>
    <row r="207" spans="1:28" ht="15.75" thickBot="1" x14ac:dyDescent="0.3">
      <c r="A207">
        <f>RANK(P207,P$3:P$213)</f>
        <v>205</v>
      </c>
      <c r="B207" t="str">
        <f>WR_Raw!A206</f>
        <v>Willie Snead IV</v>
      </c>
      <c r="C207" t="s">
        <v>35</v>
      </c>
      <c r="D207" t="str">
        <f>_xlfn.IFNA(INDEX(BYEs!$E$2:$E$411,MATCH(B207,BYEs!$D$2:$D$411,0)),"N/A")</f>
        <v>N/A</v>
      </c>
      <c r="E207">
        <f>INDEX(BYEs!$B$2:$B$34,MATCH(F207,BYEs!$A$2:$A$34,0))</f>
        <v>9</v>
      </c>
      <c r="F207" t="str">
        <f>WR_Raw!B206</f>
        <v>SF</v>
      </c>
      <c r="G207" s="206">
        <v>0</v>
      </c>
      <c r="H207" s="207">
        <v>0</v>
      </c>
      <c r="I207" s="204">
        <f>WR_Raw!F206</f>
        <v>0</v>
      </c>
      <c r="J207" s="204">
        <f>WR_Raw!G206</f>
        <v>0</v>
      </c>
      <c r="K207" s="204">
        <f>WR_Raw!H206</f>
        <v>0</v>
      </c>
      <c r="L207" s="206">
        <f>WR_Raw!C206</f>
        <v>3.4</v>
      </c>
      <c r="M207" s="204">
        <f>WR_Raw!D206</f>
        <v>41.5</v>
      </c>
      <c r="N207" s="207">
        <f>WR_Raw!E206</f>
        <v>0.2</v>
      </c>
      <c r="O207" s="204">
        <f>WR_Raw!I206</f>
        <v>0</v>
      </c>
      <c r="P207" s="208">
        <f>(J207*WRRushingYd)+(K207*WRRushingTD)+(L207*WRRec)+(M207*WRRecYd)+(N207*WRRecTD)+(O207*WRFuml)+(I207*WRRushAtt)</f>
        <v>7.0500000000000007</v>
      </c>
      <c r="Q207" t="str">
        <f ca="1">IF(A207&lt;=WRStarters,"Starter",IF(A207&gt;WRStarters+WRBench,"Undrafted","Bench"))</f>
        <v>Undrafted</v>
      </c>
      <c r="R207">
        <f ca="1">IFERROR(MAX(P207-LARGE(WRSheetCount,WRStarters),0),0)</f>
        <v>0</v>
      </c>
      <c r="S207">
        <f ca="1">IFERROR(IF(AllowNegative="Yes",P207-LARGE(WRSheetCount,WRCount),MAX(P207-LARGE(WRSheetCount,WRCount),0)),0)</f>
        <v>-116.55999999999999</v>
      </c>
      <c r="T207" s="85">
        <f ca="1">(S207-R207)*BenchPF+R207*StarterPF</f>
        <v>-21.134298132867606</v>
      </c>
      <c r="U207" s="85">
        <f ca="1">T207*Auction!$A$2</f>
        <v>-21.134298132867606</v>
      </c>
      <c r="V207" s="6" t="str">
        <f>IF(OR(INDEX(Auction!$H$13:$H$656,MATCH(B207,Auction!$A$13:$A$656,0))&gt;0,IFERROR(INDEX(CheatSheet!$V$5:$V$64,MATCH(B207,CheatSheet!$S$5:$S$64,0)),"")&lt;&gt;""),"Yes","No")</f>
        <v>No</v>
      </c>
      <c r="W207" s="179"/>
      <c r="Y207" s="114">
        <f ca="1">IFERROR(SUMIFS($Z$3:$Z349,$Z$3:$Z$195,"&gt;0",$V$3:$V$195,"No")/SUMIF($Z$3:$Z$195,"&gt;0"),0)</f>
        <v>0</v>
      </c>
      <c r="Z207">
        <f t="shared" ca="1" si="8"/>
        <v>-58.279999999999994</v>
      </c>
      <c r="AA207" s="116" t="str">
        <f t="shared" ca="1" si="7"/>
        <v>WR12</v>
      </c>
      <c r="AB207">
        <f ca="1">Z207*LeagueInfo!$H$5</f>
        <v>-21.460347727817268</v>
      </c>
    </row>
    <row r="208" spans="1:28" ht="15.75" thickBot="1" x14ac:dyDescent="0.3">
      <c r="A208">
        <f>RANK(P208,P$3:P$213)</f>
        <v>206</v>
      </c>
      <c r="B208" t="str">
        <f>WR_Raw!A204</f>
        <v>Malik Turner</v>
      </c>
      <c r="C208" t="s">
        <v>35</v>
      </c>
      <c r="D208" t="str">
        <f>_xlfn.IFNA(INDEX(BYEs!$E$2:$E$411,MATCH(B208,BYEs!$D$2:$D$411,0)),"N/A")</f>
        <v>N/A</v>
      </c>
      <c r="E208">
        <f>INDEX(BYEs!$B$2:$B$34,MATCH(F208,BYEs!$A$2:$A$34,0))</f>
        <v>9</v>
      </c>
      <c r="F208" t="str">
        <f>WR_Raw!B204</f>
        <v>SF</v>
      </c>
      <c r="G208" s="206">
        <v>0</v>
      </c>
      <c r="H208" s="207">
        <v>0</v>
      </c>
      <c r="I208" s="204">
        <f>WR_Raw!F204</f>
        <v>0</v>
      </c>
      <c r="J208" s="204">
        <f>WR_Raw!G204</f>
        <v>0</v>
      </c>
      <c r="K208" s="204">
        <f>WR_Raw!H204</f>
        <v>0</v>
      </c>
      <c r="L208" s="206">
        <f>WR_Raw!C204</f>
        <v>3.2</v>
      </c>
      <c r="M208" s="204">
        <f>WR_Raw!D204</f>
        <v>35.299999999999997</v>
      </c>
      <c r="N208" s="207">
        <f>WR_Raw!E204</f>
        <v>0.3</v>
      </c>
      <c r="O208" s="204">
        <f>WR_Raw!I204</f>
        <v>0</v>
      </c>
      <c r="P208" s="208">
        <f>(J208*WRRushingYd)+(K208*WRRushingTD)+(L208*WRRec)+(M208*WRRecYd)+(N208*WRRecTD)+(O208*WRFuml)+(I208*WRRushAtt)</f>
        <v>6.93</v>
      </c>
      <c r="Q208" t="str">
        <f ca="1">IF(A208&lt;=WRStarters,"Starter",IF(A208&gt;WRStarters+WRBench,"Undrafted","Bench"))</f>
        <v>Undrafted</v>
      </c>
      <c r="R208">
        <f ca="1">IFERROR(MAX(P208-LARGE(WRSheetCount,WRStarters),0),0)</f>
        <v>0</v>
      </c>
      <c r="S208">
        <f ca="1">IFERROR(IF(AllowNegative="Yes",P208-LARGE(WRSheetCount,WRCount),MAX(P208-LARGE(WRSheetCount,WRCount),0)),0)</f>
        <v>-116.67999999999998</v>
      </c>
      <c r="T208" s="85">
        <f ca="1">(S208-R208)*BenchPF+R208*StarterPF</f>
        <v>-21.156056161144409</v>
      </c>
      <c r="U208" s="85">
        <f ca="1">T208*Auction!$A$2</f>
        <v>-21.156056161144409</v>
      </c>
      <c r="V208" s="6" t="str">
        <f>IF(OR(INDEX(Auction!$H$13:$H$656,MATCH(B208,Auction!$A$13:$A$656,0))&gt;0,IFERROR(INDEX(CheatSheet!$V$5:$V$64,MATCH(B208,CheatSheet!$S$5:$S$64,0)),"")&lt;&gt;""),"Yes","No")</f>
        <v>No</v>
      </c>
      <c r="W208" s="179"/>
      <c r="Y208" s="114">
        <f ca="1">IFERROR(SUMIFS($Z$3:$Z350,$Z$3:$Z$195,"&gt;0",$V$3:$V$195,"No")/SUMIF($Z$3:$Z$195,"&gt;0"),0)</f>
        <v>0</v>
      </c>
      <c r="Z208">
        <f t="shared" ca="1" si="8"/>
        <v>-58.339999999999989</v>
      </c>
      <c r="AA208" s="116" t="str">
        <f t="shared" ca="1" si="7"/>
        <v>WR12</v>
      </c>
      <c r="AB208">
        <f ca="1">Z208*LeagueInfo!$H$5</f>
        <v>-21.482441428292024</v>
      </c>
    </row>
    <row r="209" spans="1:28" ht="15.75" thickBot="1" x14ac:dyDescent="0.3">
      <c r="A209">
        <f>RANK(P209,P$3:P$213)</f>
        <v>207</v>
      </c>
      <c r="B209" t="str">
        <f>WR_Raw!A208</f>
        <v>River Cracraft</v>
      </c>
      <c r="C209" t="s">
        <v>35</v>
      </c>
      <c r="D209" t="str">
        <f>_xlfn.IFNA(INDEX(BYEs!$E$2:$E$411,MATCH(B209,BYEs!$D$2:$D$411,0)),"N/A")</f>
        <v>N/A</v>
      </c>
      <c r="E209">
        <f>INDEX(BYEs!$B$2:$B$34,MATCH(F209,BYEs!$A$2:$A$34,0))</f>
        <v>11</v>
      </c>
      <c r="F209" t="str">
        <f>WR_Raw!B208</f>
        <v>MIA</v>
      </c>
      <c r="G209" s="206">
        <v>0</v>
      </c>
      <c r="H209" s="207">
        <v>0</v>
      </c>
      <c r="I209" s="204">
        <f>WR_Raw!F208</f>
        <v>0</v>
      </c>
      <c r="J209" s="204">
        <f>WR_Raw!G208</f>
        <v>0</v>
      </c>
      <c r="K209" s="204">
        <f>WR_Raw!H208</f>
        <v>0</v>
      </c>
      <c r="L209" s="206">
        <f>WR_Raw!C208</f>
        <v>3.5</v>
      </c>
      <c r="M209" s="204">
        <f>WR_Raw!D208</f>
        <v>38.799999999999997</v>
      </c>
      <c r="N209" s="207">
        <f>WR_Raw!E208</f>
        <v>0.2</v>
      </c>
      <c r="O209" s="204">
        <f>WR_Raw!I208</f>
        <v>0</v>
      </c>
      <c r="P209" s="208">
        <f>(J209*WRRushingYd)+(K209*WRRushingTD)+(L209*WRRec)+(M209*WRRecYd)+(N209*WRRecTD)+(O209*WRFuml)+(I209*WRRushAtt)</f>
        <v>6.83</v>
      </c>
      <c r="Q209" t="str">
        <f ca="1">IF(A209&lt;=WRStarters,"Starter",IF(A209&gt;WRStarters+WRBench,"Undrafted","Bench"))</f>
        <v>Undrafted</v>
      </c>
      <c r="R209">
        <f ca="1">IFERROR(MAX(P209-LARGE(WRSheetCount,WRStarters),0),0)</f>
        <v>0</v>
      </c>
      <c r="S209">
        <f ca="1">IFERROR(IF(AllowNegative="Yes",P209-LARGE(WRSheetCount,WRCount),MAX(P209-LARGE(WRSheetCount,WRCount),0)),0)</f>
        <v>-116.77999999999999</v>
      </c>
      <c r="T209" s="85">
        <f ca="1">(S209-R209)*BenchPF+R209*StarterPF</f>
        <v>-21.174187851375077</v>
      </c>
      <c r="U209" s="85">
        <f ca="1">T209*Auction!$A$2</f>
        <v>-21.174187851375077</v>
      </c>
      <c r="V209" s="6" t="str">
        <f>IF(OR(INDEX(Auction!$H$13:$H$656,MATCH(B209,Auction!$A$13:$A$656,0))&gt;0,IFERROR(INDEX(CheatSheet!$V$5:$V$64,MATCH(B209,CheatSheet!$S$5:$S$64,0)),"")&lt;&gt;""),"Yes","No")</f>
        <v>No</v>
      </c>
      <c r="W209" s="179"/>
      <c r="Y209" s="114">
        <f ca="1">IFERROR(SUMIFS($Z$3:$Z351,$Z$3:$Z$195,"&gt;0",$V$3:$V$195,"No")/SUMIF($Z$3:$Z$195,"&gt;0"),0)</f>
        <v>0</v>
      </c>
      <c r="Z209">
        <f t="shared" ca="1" si="8"/>
        <v>-58.389999999999993</v>
      </c>
      <c r="AA209" s="116" t="str">
        <f t="shared" ca="1" si="7"/>
        <v>WR12</v>
      </c>
      <c r="AB209">
        <f ca="1">Z209*LeagueInfo!$H$5</f>
        <v>-21.500852845354327</v>
      </c>
    </row>
    <row r="210" spans="1:28" ht="15.75" thickBot="1" x14ac:dyDescent="0.3">
      <c r="A210">
        <f>RANK(P210,P$3:P$213)</f>
        <v>208</v>
      </c>
      <c r="B210" t="str">
        <f>WR_Raw!A211</f>
        <v>Isaiah Coulter</v>
      </c>
      <c r="C210" t="s">
        <v>35</v>
      </c>
      <c r="D210" t="str">
        <f>_xlfn.IFNA(INDEX(BYEs!$E$2:$E$411,MATCH(B210,BYEs!$D$2:$D$411,0)),"N/A")</f>
        <v>N/A</v>
      </c>
      <c r="E210">
        <f>INDEX(BYEs!$B$2:$B$34,MATCH(F210,BYEs!$A$2:$A$34,0))</f>
        <v>14</v>
      </c>
      <c r="F210" t="str">
        <f>WR_Raw!B211</f>
        <v>CHI</v>
      </c>
      <c r="G210" s="206">
        <v>0</v>
      </c>
      <c r="H210" s="207">
        <v>0</v>
      </c>
      <c r="I210" s="204">
        <f>WR_Raw!F211</f>
        <v>0</v>
      </c>
      <c r="J210" s="204">
        <f>WR_Raw!G211</f>
        <v>0</v>
      </c>
      <c r="K210" s="204">
        <f>WR_Raw!H211</f>
        <v>0</v>
      </c>
      <c r="L210" s="206">
        <f>WR_Raw!C211</f>
        <v>3</v>
      </c>
      <c r="M210" s="204">
        <f>WR_Raw!D211</f>
        <v>38.6</v>
      </c>
      <c r="N210" s="207">
        <f>WR_Raw!E211</f>
        <v>0.2</v>
      </c>
      <c r="O210" s="204">
        <f>WR_Raw!I211</f>
        <v>0</v>
      </c>
      <c r="P210" s="208">
        <f>(J210*WRRushingYd)+(K210*WRRushingTD)+(L210*WRRec)+(M210*WRRecYd)+(N210*WRRecTD)+(O210*WRFuml)+(I210*WRRushAtt)</f>
        <v>6.5600000000000005</v>
      </c>
      <c r="Q210" t="str">
        <f ca="1">IF(A210&lt;=WRStarters,"Starter",IF(A210&gt;WRStarters+WRBench,"Undrafted","Bench"))</f>
        <v>Undrafted</v>
      </c>
      <c r="R210">
        <f ca="1">IFERROR(MAX(P210-LARGE(WRSheetCount,WRStarters),0),0)</f>
        <v>0</v>
      </c>
      <c r="S210">
        <f ca="1">IFERROR(IF(AllowNegative="Yes",P210-LARGE(WRSheetCount,WRCount),MAX(P210-LARGE(WRSheetCount,WRCount),0)),0)</f>
        <v>-117.04999999999998</v>
      </c>
      <c r="T210" s="85">
        <f ca="1">(S210-R210)*BenchPF+R210*StarterPF</f>
        <v>-21.223143414997885</v>
      </c>
      <c r="U210" s="85">
        <f ca="1">T210*Auction!$A$2</f>
        <v>-21.223143414997885</v>
      </c>
      <c r="V210" s="6" t="str">
        <f>IF(OR(INDEX(Auction!$H$13:$H$656,MATCH(B210,Auction!$A$13:$A$656,0))&gt;0,IFERROR(INDEX(CheatSheet!$V$5:$V$64,MATCH(B210,CheatSheet!$S$5:$S$64,0)),"")&lt;&gt;""),"Yes","No")</f>
        <v>No</v>
      </c>
      <c r="W210" s="179"/>
      <c r="Y210" s="114">
        <f ca="1">IFERROR(SUMIFS($Z$3:$Z352,$Z$3:$Z$195,"&gt;0",$V$3:$V$195,"No")/SUMIF($Z$3:$Z$195,"&gt;0"),0)</f>
        <v>0</v>
      </c>
      <c r="Z210">
        <f t="shared" ca="1" si="8"/>
        <v>-58.524999999999991</v>
      </c>
      <c r="AA210" s="116" t="str">
        <f t="shared" ca="1" si="7"/>
        <v>WR12</v>
      </c>
      <c r="AB210">
        <f ca="1">Z210*LeagueInfo!$H$5</f>
        <v>-21.550563671422537</v>
      </c>
    </row>
    <row r="211" spans="1:28" ht="15.75" thickBot="1" x14ac:dyDescent="0.3">
      <c r="A211">
        <f>RANK(P211,P$3:P$213)</f>
        <v>209</v>
      </c>
      <c r="B211" t="str">
        <f>WR_Raw!A209</f>
        <v>Dante Pettis</v>
      </c>
      <c r="C211" t="s">
        <v>35</v>
      </c>
      <c r="D211">
        <f>_xlfn.IFNA(INDEX(BYEs!$E$2:$E$411,MATCH(B211,BYEs!$D$2:$D$411,0)),"N/A")</f>
        <v>25</v>
      </c>
      <c r="E211">
        <f>INDEX(BYEs!$B$2:$B$34,MATCH(F211,BYEs!$A$2:$A$34,0))</f>
        <v>14</v>
      </c>
      <c r="F211" t="str">
        <f>WR_Raw!B209</f>
        <v>CHI</v>
      </c>
      <c r="G211" s="206">
        <v>0</v>
      </c>
      <c r="H211" s="207">
        <v>0</v>
      </c>
      <c r="I211" s="204">
        <f>WR_Raw!F209</f>
        <v>0</v>
      </c>
      <c r="J211" s="204">
        <f>WR_Raw!G209</f>
        <v>0</v>
      </c>
      <c r="K211" s="204">
        <f>WR_Raw!H209</f>
        <v>0</v>
      </c>
      <c r="L211" s="206">
        <f>WR_Raw!C209</f>
        <v>2.9</v>
      </c>
      <c r="M211" s="204">
        <f>WR_Raw!D209</f>
        <v>38.799999999999997</v>
      </c>
      <c r="N211" s="207">
        <f>WR_Raw!E209</f>
        <v>0.2</v>
      </c>
      <c r="O211" s="204">
        <f>WR_Raw!I209</f>
        <v>0</v>
      </c>
      <c r="P211" s="208">
        <f>(J211*WRRushingYd)+(K211*WRRushingTD)+(L211*WRRec)+(M211*WRRecYd)+(N211*WRRecTD)+(O211*WRFuml)+(I211*WRRushAtt)</f>
        <v>6.53</v>
      </c>
      <c r="Q211" t="str">
        <f ca="1">IF(A211&lt;=WRStarters,"Starter",IF(A211&gt;WRStarters+WRBench,"Undrafted","Bench"))</f>
        <v>Undrafted</v>
      </c>
      <c r="R211">
        <f ca="1">IFERROR(MAX(P211-LARGE(WRSheetCount,WRStarters),0),0)</f>
        <v>0</v>
      </c>
      <c r="S211">
        <f ca="1">IFERROR(IF(AllowNegative="Yes",P211-LARGE(WRSheetCount,WRCount),MAX(P211-LARGE(WRSheetCount,WRCount),0)),0)</f>
        <v>-117.07999999999998</v>
      </c>
      <c r="T211" s="85">
        <f ca="1">(S211-R211)*BenchPF+R211*StarterPF</f>
        <v>-21.228582922067083</v>
      </c>
      <c r="U211" s="85">
        <f ca="1">T211*Auction!$A$2</f>
        <v>-21.228582922067083</v>
      </c>
      <c r="V211" s="6" t="str">
        <f>IF(OR(INDEX(Auction!$H$13:$H$656,MATCH(B211,Auction!$A$13:$A$656,0))&gt;0,IFERROR(INDEX(CheatSheet!$V$5:$V$64,MATCH(B211,CheatSheet!$S$5:$S$64,0)),"")&lt;&gt;""),"Yes","No")</f>
        <v>No</v>
      </c>
      <c r="W211" s="179"/>
      <c r="Y211" s="114">
        <f ca="1">IFERROR(SUMIFS($Z$3:$Z353,$Z$3:$Z$195,"&gt;0",$V$3:$V$195,"No")/SUMIF($Z$3:$Z$195,"&gt;0"),0)</f>
        <v>0</v>
      </c>
      <c r="Z211">
        <f t="shared" ca="1" si="8"/>
        <v>-58.539999999999992</v>
      </c>
      <c r="AA211" s="116" t="str">
        <f t="shared" ca="1" si="7"/>
        <v>WR12</v>
      </c>
      <c r="AB211">
        <f ca="1">Z211*LeagueInfo!$H$5</f>
        <v>-21.556087096541226</v>
      </c>
    </row>
    <row r="212" spans="1:28" ht="15.75" thickBot="1" x14ac:dyDescent="0.3">
      <c r="A212">
        <f>RANK(P212,P$3:P$213)</f>
        <v>210</v>
      </c>
      <c r="B212" t="str">
        <f>WR_Raw!A210</f>
        <v>Gunner Olszewski</v>
      </c>
      <c r="C212" t="s">
        <v>35</v>
      </c>
      <c r="D212" t="str">
        <f>_xlfn.IFNA(INDEX(BYEs!$E$2:$E$411,MATCH(B212,BYEs!$D$2:$D$411,0)),"N/A")</f>
        <v>N/A</v>
      </c>
      <c r="E212">
        <f>INDEX(BYEs!$B$2:$B$34,MATCH(F212,BYEs!$A$2:$A$34,0))</f>
        <v>9</v>
      </c>
      <c r="F212" t="str">
        <f>WR_Raw!B210</f>
        <v>PIT</v>
      </c>
      <c r="G212" s="206">
        <v>0</v>
      </c>
      <c r="H212" s="207">
        <v>0</v>
      </c>
      <c r="I212" s="204">
        <f>WR_Raw!F210</f>
        <v>0</v>
      </c>
      <c r="J212" s="204">
        <f>WR_Raw!G210</f>
        <v>0</v>
      </c>
      <c r="K212" s="204">
        <f>WR_Raw!H210</f>
        <v>0</v>
      </c>
      <c r="L212" s="206">
        <f>WR_Raw!C210</f>
        <v>2.9</v>
      </c>
      <c r="M212" s="204">
        <f>WR_Raw!D210</f>
        <v>36.299999999999997</v>
      </c>
      <c r="N212" s="207">
        <f>WR_Raw!E210</f>
        <v>0.2</v>
      </c>
      <c r="O212" s="204">
        <f>WR_Raw!I210</f>
        <v>0</v>
      </c>
      <c r="P212" s="208">
        <f>(J212*WRRushingYd)+(K212*WRRushingTD)+(L212*WRRec)+(M212*WRRecYd)+(N212*WRRecTD)+(O212*WRFuml)+(I212*WRRushAtt)</f>
        <v>6.28</v>
      </c>
      <c r="Q212" t="str">
        <f ca="1">IF(A212&lt;=WRStarters,"Starter",IF(A212&gt;WRStarters+WRBench,"Undrafted","Bench"))</f>
        <v>Undrafted</v>
      </c>
      <c r="R212">
        <f ca="1">IFERROR(MAX(P212-LARGE(WRSheetCount,WRStarters),0),0)</f>
        <v>0</v>
      </c>
      <c r="S212">
        <f ca="1">IFERROR(IF(AllowNegative="Yes",P212-LARGE(WRSheetCount,WRCount),MAX(P212-LARGE(WRSheetCount,WRCount),0)),0)</f>
        <v>-117.32999999999998</v>
      </c>
      <c r="T212" s="85">
        <f ca="1">(S212-R212)*BenchPF+R212*StarterPF</f>
        <v>-21.273912147643756</v>
      </c>
      <c r="U212" s="85">
        <f ca="1">T212*Auction!$A$2</f>
        <v>-21.273912147643756</v>
      </c>
      <c r="V212" s="6" t="str">
        <f>IF(OR(INDEX(Auction!$H$13:$H$656,MATCH(B212,Auction!$A$13:$A$656,0))&gt;0,IFERROR(INDEX(CheatSheet!$V$5:$V$64,MATCH(B212,CheatSheet!$S$5:$S$64,0)),"")&lt;&gt;""),"Yes","No")</f>
        <v>No</v>
      </c>
      <c r="W212" s="179"/>
      <c r="Y212" s="114">
        <f ca="1">IFERROR(SUMIFS($Z$3:$Z354,$Z$3:$Z$195,"&gt;0",$V$3:$V$195,"No")/SUMIF($Z$3:$Z$195,"&gt;0"),0)</f>
        <v>0</v>
      </c>
      <c r="Z212">
        <f t="shared" ca="1" si="8"/>
        <v>-58.664999999999992</v>
      </c>
      <c r="AA212" s="116" t="str">
        <f t="shared" ca="1" si="7"/>
        <v>WR12</v>
      </c>
      <c r="AB212">
        <f ca="1">Z212*LeagueInfo!$H$5</f>
        <v>-21.602115639196978</v>
      </c>
    </row>
    <row r="213" spans="1:28" x14ac:dyDescent="0.25">
      <c r="A213">
        <f>RANK(P213,P$3:P$213)</f>
        <v>211</v>
      </c>
      <c r="B213" t="str">
        <f>WR_Raw!A229</f>
        <v>Kirk Merritt</v>
      </c>
      <c r="C213" t="s">
        <v>35</v>
      </c>
      <c r="D213" t="str">
        <f>_xlfn.IFNA(INDEX(BYEs!$E$2:$E$411,MATCH(B213,BYEs!$D$2:$D$411,0)),"N/A")</f>
        <v>N/A</v>
      </c>
      <c r="E213">
        <f>INDEX(BYEs!$B$2:$B$34,MATCH(F213,BYEs!$A$2:$A$34,0))</f>
        <v>14</v>
      </c>
      <c r="F213" t="str">
        <f>WR_Raw!B229</f>
        <v>NO</v>
      </c>
      <c r="G213" s="206">
        <v>0</v>
      </c>
      <c r="H213" s="207">
        <v>0</v>
      </c>
      <c r="I213" s="204">
        <f>WR_Raw!F229</f>
        <v>0</v>
      </c>
      <c r="J213" s="204">
        <f>WR_Raw!G229</f>
        <v>0</v>
      </c>
      <c r="K213" s="204">
        <f>WR_Raw!H229</f>
        <v>0</v>
      </c>
      <c r="L213" s="206">
        <f>WR_Raw!C229</f>
        <v>0</v>
      </c>
      <c r="M213" s="204">
        <f>WR_Raw!D229</f>
        <v>0</v>
      </c>
      <c r="N213" s="207">
        <f>WR_Raw!E229</f>
        <v>0</v>
      </c>
      <c r="O213" s="204">
        <f>WR_Raw!I229</f>
        <v>0</v>
      </c>
      <c r="P213" s="208">
        <f>(J213*WRRushingYd)+(K213*WRRushingTD)+(L213*WRRec)+(M213*WRRecYd)+(N213*WRRecTD)+(O213*WRFuml)+(I213*WRRushAtt)</f>
        <v>0</v>
      </c>
      <c r="Q213" t="str">
        <f ca="1">IF(A213&lt;=WRStarters,"Starter",IF(A213&gt;WRStarters+WRBench,"Undrafted","Bench"))</f>
        <v>Undrafted</v>
      </c>
      <c r="R213">
        <f ca="1">IFERROR(MAX(P213-LARGE(WRSheetCount,WRStarters),0),0)</f>
        <v>0</v>
      </c>
      <c r="S213">
        <f ca="1">IFERROR(IF(AllowNegative="Yes",P213-LARGE(WRSheetCount,WRCount),MAX(P213-LARGE(WRSheetCount,WRCount),0)),0)</f>
        <v>-123.60999999999999</v>
      </c>
      <c r="T213" s="85">
        <f ca="1">(S213-R213)*BenchPF+R213*StarterPF</f>
        <v>-22.412582294129759</v>
      </c>
      <c r="U213" s="85">
        <f ca="1">T213*Auction!$A$2</f>
        <v>-22.412582294129759</v>
      </c>
      <c r="V213" s="6" t="str">
        <f>IF(OR(INDEX(Auction!$H$13:$H$656,MATCH(B213,Auction!$A$13:$A$656,0))&gt;0,IFERROR(INDEX(CheatSheet!$V$5:$V$64,MATCH(B213,CheatSheet!$S$5:$S$64,0)),"")&lt;&gt;""),"Yes","No")</f>
        <v>No</v>
      </c>
      <c r="W213" s="179"/>
      <c r="Y213" s="114">
        <f ca="1">IFERROR(SUMIFS($Z$3:$Z405,$Z$3:$Z$195,"&gt;0",$V$3:$V$195,"No")/SUMIF($Z$3:$Z$195,"&gt;0"),0)</f>
        <v>0</v>
      </c>
      <c r="Z213">
        <f t="shared" ref="Z213" ca="1" si="9">AVERAGE(R213:S213)</f>
        <v>-61.804999999999993</v>
      </c>
      <c r="AA213" s="116" t="str">
        <f t="shared" ref="AA213" ca="1" si="10">CONCATENATE("WR",ROUND((LARGE($Z$3:$Z$195,1)-$Z213)/(STDEVP($Z$3:$Z$195)/2)+1,0))</f>
        <v>WR12</v>
      </c>
      <c r="AB213">
        <f ca="1">Z213*LeagueInfo!$H$5</f>
        <v>-22.758352630709439</v>
      </c>
    </row>
  </sheetData>
  <sortState xmlns:xlrd2="http://schemas.microsoft.com/office/spreadsheetml/2017/richdata2" ref="A3:V213">
    <sortCondition ref="A2:A303"/>
  </sortState>
  <mergeCells count="3">
    <mergeCell ref="G1:H1"/>
    <mergeCell ref="I1:K1"/>
    <mergeCell ref="L1:N1"/>
  </mergeCells>
  <conditionalFormatting sqref="B3:V3 B4:Q212 T4:V212 R4:S213">
    <cfRule type="expression" dxfId="86" priority="24">
      <formula>$V3="Yes"</formula>
    </cfRule>
  </conditionalFormatting>
  <conditionalFormatting sqref="S2:T2 G2:H2 C2 E2">
    <cfRule type="expression" dxfId="85" priority="18">
      <formula>$V162="Yes"</formula>
    </cfRule>
  </conditionalFormatting>
  <conditionalFormatting sqref="O2:R2">
    <cfRule type="expression" dxfId="84" priority="11">
      <formula>$V162="Yes"</formula>
    </cfRule>
  </conditionalFormatting>
  <conditionalFormatting sqref="D2">
    <cfRule type="expression" dxfId="83" priority="5">
      <formula>#REF!="Yes"</formula>
    </cfRule>
  </conditionalFormatting>
  <conditionalFormatting sqref="A2">
    <cfRule type="expression" dxfId="82" priority="2">
      <formula>#REF!="Yes"</formula>
    </cfRule>
  </conditionalFormatting>
  <conditionalFormatting sqref="B213:Q213 T213:V213">
    <cfRule type="expression" dxfId="81" priority="1">
      <formula>$V213="Yes"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700-000000000000}">
          <x14:formula1>
            <xm:f>LeagueInfo!$H$97:$H$100</xm:f>
          </x14:formula1>
          <xm:sqref>W3:W213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J229"/>
  <sheetViews>
    <sheetView workbookViewId="0">
      <selection sqref="A1:J265"/>
    </sheetView>
  </sheetViews>
  <sheetFormatPr defaultColWidth="8.85546875" defaultRowHeight="15" x14ac:dyDescent="0.25"/>
  <cols>
    <col min="1" max="1" width="24.28515625" bestFit="1" customWidth="1"/>
    <col min="2" max="2" width="8.140625" bestFit="1" customWidth="1"/>
    <col min="3" max="3" width="16.7109375" bestFit="1" customWidth="1"/>
    <col min="4" max="4" width="16.85546875" bestFit="1" customWidth="1"/>
    <col min="5" max="5" width="16.7109375" bestFit="1" customWidth="1"/>
    <col min="6" max="6" width="15.42578125" bestFit="1" customWidth="1"/>
    <col min="7" max="7" width="15.5703125" bestFit="1" customWidth="1"/>
    <col min="8" max="8" width="15.42578125" bestFit="1" customWidth="1"/>
    <col min="9" max="9" width="10.140625" bestFit="1" customWidth="1"/>
    <col min="10" max="10" width="12.42578125" bestFit="1" customWidth="1"/>
  </cols>
  <sheetData>
    <row r="1" spans="1:10" x14ac:dyDescent="0.25">
      <c r="A1" t="s">
        <v>85</v>
      </c>
      <c r="B1" t="s">
        <v>452</v>
      </c>
      <c r="C1" t="s">
        <v>614</v>
      </c>
      <c r="D1" t="s">
        <v>615</v>
      </c>
      <c r="E1" t="s">
        <v>616</v>
      </c>
      <c r="F1" t="s">
        <v>609</v>
      </c>
      <c r="G1" t="s">
        <v>610</v>
      </c>
      <c r="H1" t="s">
        <v>611</v>
      </c>
      <c r="I1" t="s">
        <v>612</v>
      </c>
      <c r="J1" t="s">
        <v>613</v>
      </c>
    </row>
    <row r="2" spans="1:10" x14ac:dyDescent="0.25">
      <c r="A2" t="s">
        <v>375</v>
      </c>
      <c r="B2" t="s">
        <v>303</v>
      </c>
      <c r="C2">
        <v>123.1</v>
      </c>
      <c r="D2">
        <v>1598.5</v>
      </c>
      <c r="E2">
        <v>12.4</v>
      </c>
      <c r="F2">
        <v>4.0999999999999996</v>
      </c>
      <c r="G2">
        <v>23.9</v>
      </c>
      <c r="H2">
        <v>0.1</v>
      </c>
      <c r="I2">
        <v>0.6</v>
      </c>
      <c r="J2">
        <v>235.9</v>
      </c>
    </row>
    <row r="3" spans="1:10" x14ac:dyDescent="0.25">
      <c r="A3" t="s">
        <v>945</v>
      </c>
      <c r="B3" t="s">
        <v>290</v>
      </c>
      <c r="C3">
        <v>91.6</v>
      </c>
      <c r="D3">
        <v>1412.9</v>
      </c>
      <c r="E3">
        <v>10.5</v>
      </c>
      <c r="F3">
        <v>8.5</v>
      </c>
      <c r="G3">
        <v>50</v>
      </c>
      <c r="H3">
        <v>0.2</v>
      </c>
      <c r="I3">
        <v>0.6</v>
      </c>
      <c r="J3">
        <v>208.8</v>
      </c>
    </row>
    <row r="4" spans="1:10" x14ac:dyDescent="0.25">
      <c r="A4" t="s">
        <v>835</v>
      </c>
      <c r="B4" t="s">
        <v>297</v>
      </c>
      <c r="C4">
        <v>102.9</v>
      </c>
      <c r="D4">
        <v>1497.9</v>
      </c>
      <c r="E4">
        <v>9.5</v>
      </c>
      <c r="F4">
        <v>3.1</v>
      </c>
      <c r="G4">
        <v>16</v>
      </c>
      <c r="H4">
        <v>0</v>
      </c>
      <c r="I4">
        <v>0.6</v>
      </c>
      <c r="J4">
        <v>207.6</v>
      </c>
    </row>
    <row r="5" spans="1:10" x14ac:dyDescent="0.25">
      <c r="A5" t="s">
        <v>702</v>
      </c>
      <c r="B5" t="s">
        <v>301</v>
      </c>
      <c r="C5">
        <v>70.599999999999994</v>
      </c>
      <c r="D5">
        <v>1053.3</v>
      </c>
      <c r="E5">
        <v>6.1</v>
      </c>
      <c r="F5">
        <v>66.3</v>
      </c>
      <c r="G5">
        <v>376.8</v>
      </c>
      <c r="H5">
        <v>4.5</v>
      </c>
      <c r="I5">
        <v>0.7</v>
      </c>
      <c r="J5">
        <v>205.3</v>
      </c>
    </row>
    <row r="6" spans="1:10" x14ac:dyDescent="0.25">
      <c r="A6" t="s">
        <v>125</v>
      </c>
      <c r="B6" t="s">
        <v>814</v>
      </c>
      <c r="C6">
        <v>106.8</v>
      </c>
      <c r="D6">
        <v>1326.6</v>
      </c>
      <c r="E6">
        <v>9.3000000000000007</v>
      </c>
      <c r="F6">
        <v>0</v>
      </c>
      <c r="G6">
        <v>0</v>
      </c>
      <c r="H6">
        <v>0</v>
      </c>
      <c r="I6">
        <v>0.5</v>
      </c>
      <c r="J6">
        <v>187.5</v>
      </c>
    </row>
    <row r="7" spans="1:10" x14ac:dyDescent="0.25">
      <c r="A7" t="s">
        <v>169</v>
      </c>
      <c r="B7" t="s">
        <v>289</v>
      </c>
      <c r="C7">
        <v>101.6</v>
      </c>
      <c r="D7">
        <v>1254.2</v>
      </c>
      <c r="E7">
        <v>8.9</v>
      </c>
      <c r="F7">
        <v>0.2</v>
      </c>
      <c r="G7">
        <v>2</v>
      </c>
      <c r="H7">
        <v>0</v>
      </c>
      <c r="I7">
        <v>0.5</v>
      </c>
      <c r="J7">
        <v>177.8</v>
      </c>
    </row>
    <row r="8" spans="1:10" x14ac:dyDescent="0.25">
      <c r="A8" t="s">
        <v>97</v>
      </c>
      <c r="B8" t="s">
        <v>281</v>
      </c>
      <c r="C8">
        <v>82.1</v>
      </c>
      <c r="D8">
        <v>1131.8</v>
      </c>
      <c r="E8">
        <v>10.1</v>
      </c>
      <c r="F8">
        <v>0.2</v>
      </c>
      <c r="G8">
        <v>1.4</v>
      </c>
      <c r="H8">
        <v>0</v>
      </c>
      <c r="I8">
        <v>0.5</v>
      </c>
      <c r="J8">
        <v>173.2</v>
      </c>
    </row>
    <row r="9" spans="1:10" x14ac:dyDescent="0.25">
      <c r="A9" t="s">
        <v>832</v>
      </c>
      <c r="B9" t="s">
        <v>285</v>
      </c>
      <c r="C9">
        <v>91.2</v>
      </c>
      <c r="D9">
        <v>1236.4000000000001</v>
      </c>
      <c r="E9">
        <v>7.6</v>
      </c>
      <c r="F9">
        <v>6</v>
      </c>
      <c r="G9">
        <v>44.9</v>
      </c>
      <c r="H9">
        <v>0.1</v>
      </c>
      <c r="I9">
        <v>0.5</v>
      </c>
      <c r="J9">
        <v>173.2</v>
      </c>
    </row>
    <row r="10" spans="1:10" x14ac:dyDescent="0.25">
      <c r="A10" t="s">
        <v>132</v>
      </c>
      <c r="B10" t="s">
        <v>298</v>
      </c>
      <c r="C10">
        <v>93.1</v>
      </c>
      <c r="D10">
        <v>1164.0999999999999</v>
      </c>
      <c r="E10">
        <v>8.1</v>
      </c>
      <c r="F10">
        <v>8.8000000000000007</v>
      </c>
      <c r="G10">
        <v>62.1</v>
      </c>
      <c r="H10">
        <v>0.3</v>
      </c>
      <c r="I10">
        <v>0.5</v>
      </c>
      <c r="J10">
        <v>172.4</v>
      </c>
    </row>
    <row r="11" spans="1:10" x14ac:dyDescent="0.25">
      <c r="A11" t="s">
        <v>839</v>
      </c>
      <c r="B11" t="s">
        <v>290</v>
      </c>
      <c r="C11">
        <v>85</v>
      </c>
      <c r="D11">
        <v>1186.8</v>
      </c>
      <c r="E11">
        <v>7.8</v>
      </c>
      <c r="F11">
        <v>0.2</v>
      </c>
      <c r="G11">
        <v>0.8</v>
      </c>
      <c r="H11">
        <v>0</v>
      </c>
      <c r="I11">
        <v>0.5</v>
      </c>
      <c r="J11">
        <v>164.5</v>
      </c>
    </row>
    <row r="12" spans="1:10" x14ac:dyDescent="0.25">
      <c r="A12" t="s">
        <v>701</v>
      </c>
      <c r="B12" t="s">
        <v>293</v>
      </c>
      <c r="C12">
        <v>78.2</v>
      </c>
      <c r="D12">
        <v>1143.0999999999999</v>
      </c>
      <c r="E12">
        <v>8.1</v>
      </c>
      <c r="F12">
        <v>0.8</v>
      </c>
      <c r="G12">
        <v>7.6</v>
      </c>
      <c r="H12">
        <v>0</v>
      </c>
      <c r="I12">
        <v>0.5</v>
      </c>
      <c r="J12">
        <v>162.9</v>
      </c>
    </row>
    <row r="13" spans="1:10" x14ac:dyDescent="0.25">
      <c r="A13" t="s">
        <v>185</v>
      </c>
      <c r="B13" t="s">
        <v>286</v>
      </c>
      <c r="C13">
        <v>74.7</v>
      </c>
      <c r="D13">
        <v>1098</v>
      </c>
      <c r="E13">
        <v>8</v>
      </c>
      <c r="F13">
        <v>0</v>
      </c>
      <c r="G13">
        <v>0.2</v>
      </c>
      <c r="H13">
        <v>0</v>
      </c>
      <c r="I13">
        <v>0.4</v>
      </c>
      <c r="J13">
        <v>156.69999999999999</v>
      </c>
    </row>
    <row r="14" spans="1:10" x14ac:dyDescent="0.25">
      <c r="A14" t="s">
        <v>836</v>
      </c>
      <c r="B14" t="s">
        <v>280</v>
      </c>
      <c r="C14">
        <v>91.6</v>
      </c>
      <c r="D14">
        <v>1132.0999999999999</v>
      </c>
      <c r="E14">
        <v>6.7</v>
      </c>
      <c r="F14">
        <v>4.7</v>
      </c>
      <c r="G14">
        <v>34.799999999999997</v>
      </c>
      <c r="H14">
        <v>0.1</v>
      </c>
      <c r="I14">
        <v>0.6</v>
      </c>
      <c r="J14">
        <v>156.5</v>
      </c>
    </row>
    <row r="15" spans="1:10" x14ac:dyDescent="0.25">
      <c r="A15" t="s">
        <v>2409</v>
      </c>
      <c r="B15" t="s">
        <v>282</v>
      </c>
      <c r="C15">
        <v>86.4</v>
      </c>
      <c r="D15">
        <v>1138</v>
      </c>
      <c r="E15">
        <v>5.6</v>
      </c>
      <c r="F15">
        <v>5.6</v>
      </c>
      <c r="G15">
        <v>37.9</v>
      </c>
      <c r="H15">
        <v>0.1</v>
      </c>
      <c r="I15">
        <v>0.6</v>
      </c>
      <c r="J15">
        <v>150.9</v>
      </c>
    </row>
    <row r="16" spans="1:10" x14ac:dyDescent="0.25">
      <c r="A16" t="s">
        <v>129</v>
      </c>
      <c r="B16" t="s">
        <v>286</v>
      </c>
      <c r="C16">
        <v>99.9</v>
      </c>
      <c r="D16">
        <v>1089.5</v>
      </c>
      <c r="E16">
        <v>6.9</v>
      </c>
      <c r="F16">
        <v>0.4</v>
      </c>
      <c r="G16">
        <v>1.8</v>
      </c>
      <c r="H16">
        <v>0</v>
      </c>
      <c r="I16">
        <v>0.5</v>
      </c>
      <c r="J16">
        <v>149.6</v>
      </c>
    </row>
    <row r="17" spans="1:10" x14ac:dyDescent="0.25">
      <c r="A17" t="s">
        <v>854</v>
      </c>
      <c r="B17" t="s">
        <v>289</v>
      </c>
      <c r="C17">
        <v>61.8</v>
      </c>
      <c r="D17">
        <v>967.9</v>
      </c>
      <c r="E17">
        <v>8.8000000000000007</v>
      </c>
      <c r="F17">
        <v>0</v>
      </c>
      <c r="G17">
        <v>0</v>
      </c>
      <c r="H17">
        <v>0</v>
      </c>
      <c r="I17">
        <v>0.1</v>
      </c>
      <c r="J17">
        <v>149.6</v>
      </c>
    </row>
    <row r="18" spans="1:10" x14ac:dyDescent="0.25">
      <c r="A18" t="s">
        <v>113</v>
      </c>
      <c r="B18" t="s">
        <v>307</v>
      </c>
      <c r="C18">
        <v>92.4</v>
      </c>
      <c r="D18">
        <v>1105.9000000000001</v>
      </c>
      <c r="E18">
        <v>6.1</v>
      </c>
      <c r="F18">
        <v>2.6</v>
      </c>
      <c r="G18">
        <v>18.5</v>
      </c>
      <c r="H18">
        <v>0.1</v>
      </c>
      <c r="I18">
        <v>0.5</v>
      </c>
      <c r="J18">
        <v>148.6</v>
      </c>
    </row>
    <row r="19" spans="1:10" x14ac:dyDescent="0.25">
      <c r="A19" t="s">
        <v>2410</v>
      </c>
      <c r="B19" t="s">
        <v>279</v>
      </c>
      <c r="C19">
        <v>78.3</v>
      </c>
      <c r="D19">
        <v>1047.5999999999999</v>
      </c>
      <c r="E19">
        <v>6.8</v>
      </c>
      <c r="F19">
        <v>0.4</v>
      </c>
      <c r="G19">
        <v>2.2000000000000002</v>
      </c>
      <c r="H19">
        <v>0</v>
      </c>
      <c r="I19">
        <v>0.6</v>
      </c>
      <c r="J19">
        <v>144.80000000000001</v>
      </c>
    </row>
    <row r="20" spans="1:10" x14ac:dyDescent="0.25">
      <c r="A20" t="s">
        <v>718</v>
      </c>
      <c r="B20" t="s">
        <v>288</v>
      </c>
      <c r="C20">
        <v>95.3</v>
      </c>
      <c r="D20">
        <v>1050.8</v>
      </c>
      <c r="E20">
        <v>6.1</v>
      </c>
      <c r="F20">
        <v>4.2</v>
      </c>
      <c r="G20">
        <v>31.6</v>
      </c>
      <c r="H20">
        <v>0.1</v>
      </c>
      <c r="I20">
        <v>1</v>
      </c>
      <c r="J20">
        <v>143.1</v>
      </c>
    </row>
    <row r="21" spans="1:10" x14ac:dyDescent="0.25">
      <c r="A21" t="s">
        <v>708</v>
      </c>
      <c r="B21" t="s">
        <v>283</v>
      </c>
      <c r="C21">
        <v>78.5</v>
      </c>
      <c r="D21">
        <v>1068.9000000000001</v>
      </c>
      <c r="E21">
        <v>5.8</v>
      </c>
      <c r="F21">
        <v>0.4</v>
      </c>
      <c r="G21">
        <v>4.5999999999999996</v>
      </c>
      <c r="H21">
        <v>0</v>
      </c>
      <c r="I21">
        <v>0.4</v>
      </c>
      <c r="J21">
        <v>141.5</v>
      </c>
    </row>
    <row r="22" spans="1:10" x14ac:dyDescent="0.25">
      <c r="A22" t="s">
        <v>565</v>
      </c>
      <c r="B22" t="s">
        <v>306</v>
      </c>
      <c r="C22">
        <v>70.8</v>
      </c>
      <c r="D22">
        <v>1004.2</v>
      </c>
      <c r="E22">
        <v>6.8</v>
      </c>
      <c r="F22">
        <v>0.2</v>
      </c>
      <c r="G22">
        <v>0.6</v>
      </c>
      <c r="H22">
        <v>0</v>
      </c>
      <c r="I22">
        <v>0.5</v>
      </c>
      <c r="J22">
        <v>140.5</v>
      </c>
    </row>
    <row r="23" spans="1:10" x14ac:dyDescent="0.25">
      <c r="A23" t="s">
        <v>948</v>
      </c>
      <c r="B23" t="s">
        <v>298</v>
      </c>
      <c r="C23">
        <v>88.8</v>
      </c>
      <c r="D23">
        <v>993.3</v>
      </c>
      <c r="E23">
        <v>6.1</v>
      </c>
      <c r="F23">
        <v>3.3</v>
      </c>
      <c r="G23">
        <v>19.100000000000001</v>
      </c>
      <c r="H23">
        <v>0.3</v>
      </c>
      <c r="I23">
        <v>0.6</v>
      </c>
      <c r="J23">
        <v>138.80000000000001</v>
      </c>
    </row>
    <row r="24" spans="1:10" x14ac:dyDescent="0.25">
      <c r="A24" t="s">
        <v>953</v>
      </c>
      <c r="B24" t="s">
        <v>287</v>
      </c>
      <c r="C24">
        <v>87.6</v>
      </c>
      <c r="D24">
        <v>955.3</v>
      </c>
      <c r="E24">
        <v>6</v>
      </c>
      <c r="F24">
        <v>6.6</v>
      </c>
      <c r="G24">
        <v>46.6</v>
      </c>
      <c r="H24">
        <v>0.4</v>
      </c>
      <c r="I24">
        <v>0.5</v>
      </c>
      <c r="J24">
        <v>137.30000000000001</v>
      </c>
    </row>
    <row r="25" spans="1:10" x14ac:dyDescent="0.25">
      <c r="A25" t="s">
        <v>834</v>
      </c>
      <c r="B25" t="s">
        <v>306</v>
      </c>
      <c r="C25">
        <v>75.3</v>
      </c>
      <c r="D25">
        <v>1024.5999999999999</v>
      </c>
      <c r="E25">
        <v>5.8</v>
      </c>
      <c r="F25">
        <v>1.2</v>
      </c>
      <c r="G25">
        <v>5.5</v>
      </c>
      <c r="H25">
        <v>0</v>
      </c>
      <c r="I25">
        <v>0.6</v>
      </c>
      <c r="J25">
        <v>137.19999999999999</v>
      </c>
    </row>
    <row r="26" spans="1:10" x14ac:dyDescent="0.25">
      <c r="A26" t="s">
        <v>103</v>
      </c>
      <c r="B26" t="s">
        <v>277</v>
      </c>
      <c r="C26">
        <v>85.1</v>
      </c>
      <c r="D26">
        <v>988.1</v>
      </c>
      <c r="E26">
        <v>6.5</v>
      </c>
      <c r="F26">
        <v>0.2</v>
      </c>
      <c r="G26">
        <v>-0.8</v>
      </c>
      <c r="H26">
        <v>0</v>
      </c>
      <c r="I26">
        <v>0.5</v>
      </c>
      <c r="J26">
        <v>136.5</v>
      </c>
    </row>
    <row r="27" spans="1:10" x14ac:dyDescent="0.25">
      <c r="A27" t="s">
        <v>700</v>
      </c>
      <c r="B27" t="s">
        <v>294</v>
      </c>
      <c r="C27">
        <v>79.099999999999994</v>
      </c>
      <c r="D27">
        <v>998.5</v>
      </c>
      <c r="E27">
        <v>6</v>
      </c>
      <c r="F27">
        <v>2</v>
      </c>
      <c r="G27">
        <v>12.9</v>
      </c>
      <c r="H27">
        <v>0.1</v>
      </c>
      <c r="I27">
        <v>0.6</v>
      </c>
      <c r="J27">
        <v>136.1</v>
      </c>
    </row>
    <row r="28" spans="1:10" x14ac:dyDescent="0.25">
      <c r="A28" t="s">
        <v>859</v>
      </c>
      <c r="B28" t="s">
        <v>299</v>
      </c>
      <c r="C28">
        <v>78.400000000000006</v>
      </c>
      <c r="D28">
        <v>1035</v>
      </c>
      <c r="E28">
        <v>4.8</v>
      </c>
      <c r="F28">
        <v>5</v>
      </c>
      <c r="G28">
        <v>26.1</v>
      </c>
      <c r="H28">
        <v>0.2</v>
      </c>
      <c r="I28">
        <v>0.5</v>
      </c>
      <c r="J28">
        <v>135.69999999999999</v>
      </c>
    </row>
    <row r="29" spans="1:10" x14ac:dyDescent="0.25">
      <c r="A29" t="s">
        <v>950</v>
      </c>
      <c r="B29" t="s">
        <v>304</v>
      </c>
      <c r="C29">
        <v>70.2</v>
      </c>
      <c r="D29">
        <v>908.8</v>
      </c>
      <c r="E29">
        <v>6</v>
      </c>
      <c r="F29">
        <v>6.2</v>
      </c>
      <c r="G29">
        <v>50.8</v>
      </c>
      <c r="H29">
        <v>0.5</v>
      </c>
      <c r="I29">
        <v>0.5</v>
      </c>
      <c r="J29">
        <v>133.9</v>
      </c>
    </row>
    <row r="30" spans="1:10" x14ac:dyDescent="0.25">
      <c r="A30" t="s">
        <v>381</v>
      </c>
      <c r="B30" t="s">
        <v>281</v>
      </c>
      <c r="C30">
        <v>80.599999999999994</v>
      </c>
      <c r="D30">
        <v>935.3</v>
      </c>
      <c r="E30">
        <v>6.4</v>
      </c>
      <c r="F30">
        <v>2.2000000000000002</v>
      </c>
      <c r="G30">
        <v>12.1</v>
      </c>
      <c r="H30">
        <v>0.3</v>
      </c>
      <c r="I30">
        <v>0.9</v>
      </c>
      <c r="J30">
        <v>132.6</v>
      </c>
    </row>
    <row r="31" spans="1:10" x14ac:dyDescent="0.25">
      <c r="A31" t="s">
        <v>213</v>
      </c>
      <c r="B31" t="s">
        <v>279</v>
      </c>
      <c r="C31">
        <v>73.7</v>
      </c>
      <c r="D31">
        <v>982.3</v>
      </c>
      <c r="E31">
        <v>5.6</v>
      </c>
      <c r="F31">
        <v>2.1</v>
      </c>
      <c r="G31">
        <v>11.9</v>
      </c>
      <c r="H31">
        <v>0.1</v>
      </c>
      <c r="I31">
        <v>0.5</v>
      </c>
      <c r="J31">
        <v>132.19999999999999</v>
      </c>
    </row>
    <row r="32" spans="1:10" x14ac:dyDescent="0.25">
      <c r="A32" t="s">
        <v>210</v>
      </c>
      <c r="B32" t="s">
        <v>297</v>
      </c>
      <c r="C32">
        <v>73.599999999999994</v>
      </c>
      <c r="D32">
        <v>831.6</v>
      </c>
      <c r="E32">
        <v>7.8</v>
      </c>
      <c r="F32">
        <v>0.4</v>
      </c>
      <c r="G32">
        <v>1.2</v>
      </c>
      <c r="H32">
        <v>0</v>
      </c>
      <c r="I32">
        <v>0.5</v>
      </c>
      <c r="J32">
        <v>129</v>
      </c>
    </row>
    <row r="33" spans="1:10" x14ac:dyDescent="0.25">
      <c r="A33" t="s">
        <v>944</v>
      </c>
      <c r="B33" t="s">
        <v>303</v>
      </c>
      <c r="C33">
        <v>75.7</v>
      </c>
      <c r="D33">
        <v>924.7</v>
      </c>
      <c r="E33">
        <v>6.1</v>
      </c>
      <c r="F33">
        <v>0</v>
      </c>
      <c r="G33">
        <v>0</v>
      </c>
      <c r="H33">
        <v>0</v>
      </c>
      <c r="I33">
        <v>0.5</v>
      </c>
      <c r="J33">
        <v>128.1</v>
      </c>
    </row>
    <row r="34" spans="1:10" x14ac:dyDescent="0.25">
      <c r="A34" t="s">
        <v>105</v>
      </c>
      <c r="B34" t="s">
        <v>308</v>
      </c>
      <c r="C34">
        <v>75.2</v>
      </c>
      <c r="D34">
        <v>943.4</v>
      </c>
      <c r="E34">
        <v>5.7</v>
      </c>
      <c r="F34">
        <v>0.2</v>
      </c>
      <c r="G34">
        <v>0.6</v>
      </c>
      <c r="H34">
        <v>0</v>
      </c>
      <c r="I34">
        <v>0.5</v>
      </c>
      <c r="J34">
        <v>127.6</v>
      </c>
    </row>
    <row r="35" spans="1:10" x14ac:dyDescent="0.25">
      <c r="A35" t="s">
        <v>384</v>
      </c>
      <c r="B35" t="s">
        <v>296</v>
      </c>
      <c r="C35">
        <v>78.2</v>
      </c>
      <c r="D35">
        <v>849.3</v>
      </c>
      <c r="E35">
        <v>6.6</v>
      </c>
      <c r="F35">
        <v>2.2999999999999998</v>
      </c>
      <c r="G35">
        <v>11.5</v>
      </c>
      <c r="H35">
        <v>0.5</v>
      </c>
      <c r="I35">
        <v>0.5</v>
      </c>
      <c r="J35">
        <v>127</v>
      </c>
    </row>
    <row r="36" spans="1:10" x14ac:dyDescent="0.25">
      <c r="A36" t="s">
        <v>709</v>
      </c>
      <c r="B36" t="s">
        <v>814</v>
      </c>
      <c r="C36">
        <v>83.4</v>
      </c>
      <c r="D36">
        <v>891.3</v>
      </c>
      <c r="E36">
        <v>6.4</v>
      </c>
      <c r="F36">
        <v>1.2</v>
      </c>
      <c r="G36">
        <v>5</v>
      </c>
      <c r="H36">
        <v>0</v>
      </c>
      <c r="I36">
        <v>0.7</v>
      </c>
      <c r="J36">
        <v>126.9</v>
      </c>
    </row>
    <row r="37" spans="1:10" x14ac:dyDescent="0.25">
      <c r="A37" t="s">
        <v>364</v>
      </c>
      <c r="B37" t="s">
        <v>284</v>
      </c>
      <c r="C37">
        <v>73.7</v>
      </c>
      <c r="D37">
        <v>874.2</v>
      </c>
      <c r="E37">
        <v>5</v>
      </c>
      <c r="F37">
        <v>8.9</v>
      </c>
      <c r="G37">
        <v>61.2</v>
      </c>
      <c r="H37">
        <v>0.7</v>
      </c>
      <c r="I37">
        <v>0.5</v>
      </c>
      <c r="J37">
        <v>126.7</v>
      </c>
    </row>
    <row r="38" spans="1:10" x14ac:dyDescent="0.25">
      <c r="A38" t="s">
        <v>949</v>
      </c>
      <c r="B38" t="s">
        <v>295</v>
      </c>
      <c r="C38">
        <v>74.3</v>
      </c>
      <c r="D38">
        <v>940.2</v>
      </c>
      <c r="E38">
        <v>5.2</v>
      </c>
      <c r="F38">
        <v>0.2</v>
      </c>
      <c r="G38">
        <v>2.2000000000000002</v>
      </c>
      <c r="H38">
        <v>0</v>
      </c>
      <c r="I38">
        <v>0.5</v>
      </c>
      <c r="J38">
        <v>124.5</v>
      </c>
    </row>
    <row r="39" spans="1:10" x14ac:dyDescent="0.25">
      <c r="A39" t="s">
        <v>946</v>
      </c>
      <c r="B39" t="s">
        <v>293</v>
      </c>
      <c r="C39">
        <v>63.4</v>
      </c>
      <c r="D39">
        <v>871.3</v>
      </c>
      <c r="E39">
        <v>5.7</v>
      </c>
      <c r="F39">
        <v>0</v>
      </c>
      <c r="G39">
        <v>0</v>
      </c>
      <c r="H39">
        <v>0</v>
      </c>
      <c r="I39">
        <v>0.5</v>
      </c>
      <c r="J39">
        <v>120.3</v>
      </c>
    </row>
    <row r="40" spans="1:10" x14ac:dyDescent="0.25">
      <c r="A40" t="s">
        <v>570</v>
      </c>
      <c r="B40" t="s">
        <v>291</v>
      </c>
      <c r="C40">
        <v>74.599999999999994</v>
      </c>
      <c r="D40">
        <v>912.6</v>
      </c>
      <c r="E40">
        <v>4.8</v>
      </c>
      <c r="F40">
        <v>0.8</v>
      </c>
      <c r="G40">
        <v>5.8</v>
      </c>
      <c r="H40">
        <v>0</v>
      </c>
      <c r="I40">
        <v>0.5</v>
      </c>
      <c r="J40">
        <v>119.5</v>
      </c>
    </row>
    <row r="41" spans="1:10" x14ac:dyDescent="0.25">
      <c r="A41" t="s">
        <v>730</v>
      </c>
      <c r="B41" t="s">
        <v>275</v>
      </c>
      <c r="C41">
        <v>57.6</v>
      </c>
      <c r="D41">
        <v>777</v>
      </c>
      <c r="E41">
        <v>6.7</v>
      </c>
      <c r="F41">
        <v>1.4</v>
      </c>
      <c r="G41">
        <v>12.3</v>
      </c>
      <c r="H41">
        <v>0</v>
      </c>
      <c r="I41">
        <v>0.4</v>
      </c>
      <c r="J41">
        <v>118.6</v>
      </c>
    </row>
    <row r="42" spans="1:10" x14ac:dyDescent="0.25">
      <c r="A42" t="s">
        <v>840</v>
      </c>
      <c r="B42" t="s">
        <v>288</v>
      </c>
      <c r="C42">
        <v>63.9</v>
      </c>
      <c r="D42">
        <v>854.2</v>
      </c>
      <c r="E42">
        <v>4.5999999999999996</v>
      </c>
      <c r="F42">
        <v>8.6</v>
      </c>
      <c r="G42">
        <v>52.3</v>
      </c>
      <c r="H42">
        <v>0.2</v>
      </c>
      <c r="I42">
        <v>0.5</v>
      </c>
      <c r="J42">
        <v>118.4</v>
      </c>
    </row>
    <row r="43" spans="1:10" x14ac:dyDescent="0.25">
      <c r="A43" t="s">
        <v>837</v>
      </c>
      <c r="B43" t="s">
        <v>301</v>
      </c>
      <c r="C43">
        <v>62</v>
      </c>
      <c r="D43">
        <v>841.8</v>
      </c>
      <c r="E43">
        <v>5.5</v>
      </c>
      <c r="F43">
        <v>2.9</v>
      </c>
      <c r="G43">
        <v>17.5</v>
      </c>
      <c r="H43">
        <v>0</v>
      </c>
      <c r="I43">
        <v>0.5</v>
      </c>
      <c r="J43">
        <v>118</v>
      </c>
    </row>
    <row r="44" spans="1:10" x14ac:dyDescent="0.25">
      <c r="A44" t="s">
        <v>2412</v>
      </c>
      <c r="B44" t="s">
        <v>278</v>
      </c>
      <c r="C44">
        <v>66</v>
      </c>
      <c r="D44">
        <v>869.9</v>
      </c>
      <c r="E44">
        <v>4.8</v>
      </c>
      <c r="F44">
        <v>0.8</v>
      </c>
      <c r="G44">
        <v>4.2</v>
      </c>
      <c r="H44">
        <v>0</v>
      </c>
      <c r="I44">
        <v>0.8</v>
      </c>
      <c r="J44">
        <v>114.5</v>
      </c>
    </row>
    <row r="45" spans="1:10" x14ac:dyDescent="0.25">
      <c r="A45" t="s">
        <v>2411</v>
      </c>
      <c r="B45" t="s">
        <v>284</v>
      </c>
      <c r="C45">
        <v>56.9</v>
      </c>
      <c r="D45">
        <v>807.9</v>
      </c>
      <c r="E45">
        <v>4.9000000000000004</v>
      </c>
      <c r="F45">
        <v>4</v>
      </c>
      <c r="G45">
        <v>25.8</v>
      </c>
      <c r="H45">
        <v>0.3</v>
      </c>
      <c r="I45">
        <v>0.8</v>
      </c>
      <c r="J45">
        <v>112.6</v>
      </c>
    </row>
    <row r="46" spans="1:10" x14ac:dyDescent="0.25">
      <c r="A46" t="s">
        <v>109</v>
      </c>
      <c r="B46" t="s">
        <v>294</v>
      </c>
      <c r="C46">
        <v>61.9</v>
      </c>
      <c r="D46">
        <v>774.2</v>
      </c>
      <c r="E46">
        <v>5.7</v>
      </c>
      <c r="F46">
        <v>0</v>
      </c>
      <c r="G46">
        <v>0.4</v>
      </c>
      <c r="H46">
        <v>0</v>
      </c>
      <c r="I46">
        <v>0.7</v>
      </c>
      <c r="J46">
        <v>110</v>
      </c>
    </row>
    <row r="47" spans="1:10" x14ac:dyDescent="0.25">
      <c r="A47" t="s">
        <v>579</v>
      </c>
      <c r="B47" t="s">
        <v>296</v>
      </c>
      <c r="C47">
        <v>47.5</v>
      </c>
      <c r="D47">
        <v>774.9</v>
      </c>
      <c r="E47">
        <v>5.0999999999999996</v>
      </c>
      <c r="F47">
        <v>0.6</v>
      </c>
      <c r="G47">
        <v>3.2</v>
      </c>
      <c r="H47">
        <v>0</v>
      </c>
      <c r="I47">
        <v>0.1</v>
      </c>
      <c r="J47">
        <v>108.2</v>
      </c>
    </row>
    <row r="48" spans="1:10" x14ac:dyDescent="0.25">
      <c r="A48" t="s">
        <v>954</v>
      </c>
      <c r="B48" t="s">
        <v>292</v>
      </c>
      <c r="C48">
        <v>65.7</v>
      </c>
      <c r="D48">
        <v>766.5</v>
      </c>
      <c r="E48">
        <v>4.0999999999999996</v>
      </c>
      <c r="F48">
        <v>8.8000000000000007</v>
      </c>
      <c r="G48">
        <v>59.6</v>
      </c>
      <c r="H48">
        <v>0.1</v>
      </c>
      <c r="I48">
        <v>0.5</v>
      </c>
      <c r="J48">
        <v>107.1</v>
      </c>
    </row>
    <row r="49" spans="1:10" x14ac:dyDescent="0.25">
      <c r="A49" t="s">
        <v>705</v>
      </c>
      <c r="B49" t="s">
        <v>296</v>
      </c>
      <c r="C49">
        <v>57.7</v>
      </c>
      <c r="D49">
        <v>725.9</v>
      </c>
      <c r="E49">
        <v>4.5999999999999996</v>
      </c>
      <c r="F49">
        <v>8.4</v>
      </c>
      <c r="G49">
        <v>59</v>
      </c>
      <c r="H49">
        <v>0.4</v>
      </c>
      <c r="I49">
        <v>1</v>
      </c>
      <c r="J49">
        <v>106.6</v>
      </c>
    </row>
    <row r="50" spans="1:10" x14ac:dyDescent="0.25">
      <c r="A50" t="s">
        <v>796</v>
      </c>
      <c r="B50" t="s">
        <v>276</v>
      </c>
      <c r="C50">
        <v>73.7</v>
      </c>
      <c r="D50">
        <v>830.4</v>
      </c>
      <c r="E50">
        <v>3.8</v>
      </c>
      <c r="F50">
        <v>0.4</v>
      </c>
      <c r="G50">
        <v>2.8</v>
      </c>
      <c r="H50">
        <v>0</v>
      </c>
      <c r="I50">
        <v>0.5</v>
      </c>
      <c r="J50">
        <v>105.1</v>
      </c>
    </row>
    <row r="51" spans="1:10" x14ac:dyDescent="0.25">
      <c r="A51" t="s">
        <v>770</v>
      </c>
      <c r="B51" t="s">
        <v>276</v>
      </c>
      <c r="C51">
        <v>57.4</v>
      </c>
      <c r="D51">
        <v>765.8</v>
      </c>
      <c r="E51">
        <v>4.8</v>
      </c>
      <c r="F51">
        <v>0</v>
      </c>
      <c r="G51">
        <v>0</v>
      </c>
      <c r="H51">
        <v>0</v>
      </c>
      <c r="I51">
        <v>0.4</v>
      </c>
      <c r="J51">
        <v>104.4</v>
      </c>
    </row>
    <row r="52" spans="1:10" x14ac:dyDescent="0.25">
      <c r="A52" t="s">
        <v>583</v>
      </c>
      <c r="B52" t="s">
        <v>281</v>
      </c>
      <c r="C52">
        <v>65.099999999999994</v>
      </c>
      <c r="D52">
        <v>742.4</v>
      </c>
      <c r="E52">
        <v>5.3</v>
      </c>
      <c r="F52">
        <v>0.2</v>
      </c>
      <c r="G52">
        <v>0.8</v>
      </c>
      <c r="H52">
        <v>0</v>
      </c>
      <c r="I52">
        <v>0.9</v>
      </c>
      <c r="J52">
        <v>104.3</v>
      </c>
    </row>
    <row r="53" spans="1:10" x14ac:dyDescent="0.25">
      <c r="A53" t="s">
        <v>567</v>
      </c>
      <c r="B53" t="s">
        <v>285</v>
      </c>
      <c r="C53">
        <v>51.1</v>
      </c>
      <c r="D53">
        <v>720</v>
      </c>
      <c r="E53">
        <v>4.9000000000000004</v>
      </c>
      <c r="F53">
        <v>2</v>
      </c>
      <c r="G53">
        <v>14.2</v>
      </c>
      <c r="H53">
        <v>0</v>
      </c>
      <c r="I53">
        <v>0.4</v>
      </c>
      <c r="J53">
        <v>101.7</v>
      </c>
    </row>
    <row r="54" spans="1:10" x14ac:dyDescent="0.25">
      <c r="A54" t="s">
        <v>370</v>
      </c>
      <c r="B54" t="s">
        <v>292</v>
      </c>
      <c r="C54">
        <v>54.4</v>
      </c>
      <c r="D54">
        <v>770.4</v>
      </c>
      <c r="E54">
        <v>4.2</v>
      </c>
      <c r="F54">
        <v>0</v>
      </c>
      <c r="G54">
        <v>0</v>
      </c>
      <c r="H54">
        <v>0</v>
      </c>
      <c r="I54">
        <v>0.4</v>
      </c>
      <c r="J54">
        <v>101.4</v>
      </c>
    </row>
    <row r="55" spans="1:10" x14ac:dyDescent="0.25">
      <c r="A55" t="s">
        <v>372</v>
      </c>
      <c r="B55" t="s">
        <v>290</v>
      </c>
      <c r="C55">
        <v>63.4</v>
      </c>
      <c r="D55">
        <v>732.4</v>
      </c>
      <c r="E55">
        <v>4.2</v>
      </c>
      <c r="F55">
        <v>2.7</v>
      </c>
      <c r="G55">
        <v>19</v>
      </c>
      <c r="H55">
        <v>0</v>
      </c>
      <c r="I55">
        <v>0.5</v>
      </c>
      <c r="J55">
        <v>99.3</v>
      </c>
    </row>
    <row r="56" spans="1:10" x14ac:dyDescent="0.25">
      <c r="A56" t="s">
        <v>947</v>
      </c>
      <c r="B56" t="s">
        <v>291</v>
      </c>
      <c r="C56">
        <v>58.1</v>
      </c>
      <c r="D56">
        <v>704.5</v>
      </c>
      <c r="E56">
        <v>4.9000000000000004</v>
      </c>
      <c r="F56">
        <v>0</v>
      </c>
      <c r="G56">
        <v>0</v>
      </c>
      <c r="H56">
        <v>0</v>
      </c>
      <c r="I56">
        <v>0.4</v>
      </c>
      <c r="J56">
        <v>99.2</v>
      </c>
    </row>
    <row r="57" spans="1:10" x14ac:dyDescent="0.25">
      <c r="A57" t="s">
        <v>2414</v>
      </c>
      <c r="B57" t="s">
        <v>277</v>
      </c>
      <c r="C57">
        <v>50.2</v>
      </c>
      <c r="D57">
        <v>716.9</v>
      </c>
      <c r="E57">
        <v>4.5999999999999996</v>
      </c>
      <c r="F57">
        <v>0.4</v>
      </c>
      <c r="G57">
        <v>2.2000000000000002</v>
      </c>
      <c r="H57">
        <v>0</v>
      </c>
      <c r="I57">
        <v>0.5</v>
      </c>
      <c r="J57">
        <v>98.5</v>
      </c>
    </row>
    <row r="58" spans="1:10" x14ac:dyDescent="0.25">
      <c r="A58" t="s">
        <v>135</v>
      </c>
      <c r="B58" t="s">
        <v>277</v>
      </c>
      <c r="C58">
        <v>57.8</v>
      </c>
      <c r="D58">
        <v>694.5</v>
      </c>
      <c r="E58">
        <v>4.2</v>
      </c>
      <c r="F58">
        <v>3</v>
      </c>
      <c r="G58">
        <v>16.5</v>
      </c>
      <c r="H58">
        <v>0.3</v>
      </c>
      <c r="I58">
        <v>0.6</v>
      </c>
      <c r="J58">
        <v>96.6</v>
      </c>
    </row>
    <row r="59" spans="1:10" x14ac:dyDescent="0.25">
      <c r="A59" t="s">
        <v>2413</v>
      </c>
      <c r="B59" t="s">
        <v>282</v>
      </c>
      <c r="C59">
        <v>56.3</v>
      </c>
      <c r="D59">
        <v>661.4</v>
      </c>
      <c r="E59">
        <v>4.7</v>
      </c>
      <c r="F59">
        <v>3.7</v>
      </c>
      <c r="G59">
        <v>24.6</v>
      </c>
      <c r="H59">
        <v>0.1</v>
      </c>
      <c r="I59">
        <v>0.4</v>
      </c>
      <c r="J59">
        <v>96.3</v>
      </c>
    </row>
    <row r="60" spans="1:10" x14ac:dyDescent="0.25">
      <c r="A60" t="s">
        <v>2416</v>
      </c>
      <c r="B60" t="s">
        <v>287</v>
      </c>
      <c r="C60">
        <v>47.3</v>
      </c>
      <c r="D60">
        <v>673.3</v>
      </c>
      <c r="E60">
        <v>4.7</v>
      </c>
      <c r="F60">
        <v>0.2</v>
      </c>
      <c r="G60">
        <v>1.6</v>
      </c>
      <c r="H60">
        <v>0</v>
      </c>
      <c r="I60">
        <v>0.1</v>
      </c>
      <c r="J60">
        <v>95.2</v>
      </c>
    </row>
    <row r="61" spans="1:10" x14ac:dyDescent="0.25">
      <c r="A61" t="s">
        <v>2415</v>
      </c>
      <c r="B61" t="s">
        <v>304</v>
      </c>
      <c r="C61">
        <v>52.7</v>
      </c>
      <c r="D61">
        <v>719.9</v>
      </c>
      <c r="E61">
        <v>3.9</v>
      </c>
      <c r="F61">
        <v>1.8</v>
      </c>
      <c r="G61">
        <v>13.2</v>
      </c>
      <c r="H61">
        <v>0</v>
      </c>
      <c r="I61">
        <v>0.8</v>
      </c>
      <c r="J61">
        <v>95.1</v>
      </c>
    </row>
    <row r="62" spans="1:10" x14ac:dyDescent="0.25">
      <c r="A62" t="s">
        <v>170</v>
      </c>
      <c r="B62" t="s">
        <v>304</v>
      </c>
      <c r="C62">
        <v>48.7</v>
      </c>
      <c r="D62">
        <v>686.3</v>
      </c>
      <c r="E62">
        <v>4.2</v>
      </c>
      <c r="F62">
        <v>0</v>
      </c>
      <c r="G62">
        <v>0</v>
      </c>
      <c r="H62">
        <v>0</v>
      </c>
      <c r="I62">
        <v>0.5</v>
      </c>
      <c r="J62">
        <v>92.9</v>
      </c>
    </row>
    <row r="63" spans="1:10" x14ac:dyDescent="0.25">
      <c r="A63" t="s">
        <v>955</v>
      </c>
      <c r="B63" t="s">
        <v>307</v>
      </c>
      <c r="C63">
        <v>54.4</v>
      </c>
      <c r="D63">
        <v>710.6</v>
      </c>
      <c r="E63">
        <v>3.5</v>
      </c>
      <c r="F63">
        <v>0</v>
      </c>
      <c r="G63">
        <v>0</v>
      </c>
      <c r="H63">
        <v>0</v>
      </c>
      <c r="I63">
        <v>0.5</v>
      </c>
      <c r="J63">
        <v>91.3</v>
      </c>
    </row>
    <row r="64" spans="1:10" x14ac:dyDescent="0.25">
      <c r="A64" t="s">
        <v>2419</v>
      </c>
      <c r="B64" t="s">
        <v>283</v>
      </c>
      <c r="C64">
        <v>52.5</v>
      </c>
      <c r="D64">
        <v>693.4</v>
      </c>
      <c r="E64">
        <v>3.7</v>
      </c>
      <c r="F64">
        <v>0.4</v>
      </c>
      <c r="G64">
        <v>2.2000000000000002</v>
      </c>
      <c r="H64">
        <v>0</v>
      </c>
      <c r="I64">
        <v>0.8</v>
      </c>
      <c r="J64">
        <v>90.4</v>
      </c>
    </row>
    <row r="65" spans="1:10" x14ac:dyDescent="0.25">
      <c r="A65" t="s">
        <v>2422</v>
      </c>
      <c r="B65" t="s">
        <v>288</v>
      </c>
      <c r="C65">
        <v>55.5</v>
      </c>
      <c r="D65">
        <v>692.6</v>
      </c>
      <c r="E65">
        <v>3.7</v>
      </c>
      <c r="F65">
        <v>0.4</v>
      </c>
      <c r="G65">
        <v>1.8</v>
      </c>
      <c r="H65">
        <v>0</v>
      </c>
      <c r="I65">
        <v>0.8</v>
      </c>
      <c r="J65">
        <v>90.3</v>
      </c>
    </row>
    <row r="66" spans="1:10" x14ac:dyDescent="0.25">
      <c r="A66" t="s">
        <v>844</v>
      </c>
      <c r="B66" t="s">
        <v>303</v>
      </c>
      <c r="C66">
        <v>45.4</v>
      </c>
      <c r="D66">
        <v>622.9</v>
      </c>
      <c r="E66">
        <v>4</v>
      </c>
      <c r="F66">
        <v>1.8</v>
      </c>
      <c r="G66">
        <v>15</v>
      </c>
      <c r="H66">
        <v>0</v>
      </c>
      <c r="I66">
        <v>0.1</v>
      </c>
      <c r="J66">
        <v>88</v>
      </c>
    </row>
    <row r="67" spans="1:10" x14ac:dyDescent="0.25">
      <c r="A67" t="s">
        <v>2417</v>
      </c>
      <c r="B67" t="s">
        <v>285</v>
      </c>
      <c r="C67">
        <v>47.8</v>
      </c>
      <c r="D67">
        <v>629.70000000000005</v>
      </c>
      <c r="E67">
        <v>4.3</v>
      </c>
      <c r="F67">
        <v>0.4</v>
      </c>
      <c r="G67">
        <v>2.4</v>
      </c>
      <c r="H67">
        <v>0</v>
      </c>
      <c r="I67">
        <v>0.8</v>
      </c>
      <c r="J67">
        <v>87.5</v>
      </c>
    </row>
    <row r="68" spans="1:10" x14ac:dyDescent="0.25">
      <c r="A68" t="s">
        <v>857</v>
      </c>
      <c r="B68" t="s">
        <v>308</v>
      </c>
      <c r="C68">
        <v>44.5</v>
      </c>
      <c r="D68">
        <v>664.5</v>
      </c>
      <c r="E68">
        <v>3.5</v>
      </c>
      <c r="F68">
        <v>0</v>
      </c>
      <c r="G68">
        <v>0</v>
      </c>
      <c r="H68">
        <v>0</v>
      </c>
      <c r="I68">
        <v>0.5</v>
      </c>
      <c r="J68">
        <v>86.6</v>
      </c>
    </row>
    <row r="69" spans="1:10" x14ac:dyDescent="0.25">
      <c r="A69" t="s">
        <v>96</v>
      </c>
      <c r="B69" t="s">
        <v>281</v>
      </c>
      <c r="C69">
        <v>47.1</v>
      </c>
      <c r="D69">
        <v>632.6</v>
      </c>
      <c r="E69">
        <v>3.7</v>
      </c>
      <c r="F69">
        <v>0</v>
      </c>
      <c r="G69">
        <v>0</v>
      </c>
      <c r="H69">
        <v>0</v>
      </c>
      <c r="I69">
        <v>0.4</v>
      </c>
      <c r="J69">
        <v>84.8</v>
      </c>
    </row>
    <row r="70" spans="1:10" x14ac:dyDescent="0.25">
      <c r="A70" t="s">
        <v>2418</v>
      </c>
      <c r="B70" t="s">
        <v>296</v>
      </c>
      <c r="C70">
        <v>44.3</v>
      </c>
      <c r="D70">
        <v>596.6</v>
      </c>
      <c r="E70">
        <v>4.2</v>
      </c>
      <c r="F70">
        <v>1.2</v>
      </c>
      <c r="G70">
        <v>7.8</v>
      </c>
      <c r="H70">
        <v>0</v>
      </c>
      <c r="I70">
        <v>0.8</v>
      </c>
      <c r="J70">
        <v>84</v>
      </c>
    </row>
    <row r="71" spans="1:10" x14ac:dyDescent="0.25">
      <c r="A71" t="s">
        <v>368</v>
      </c>
      <c r="B71" t="s">
        <v>283</v>
      </c>
      <c r="C71">
        <v>44.1</v>
      </c>
      <c r="D71">
        <v>499.1</v>
      </c>
      <c r="E71">
        <v>3.4</v>
      </c>
      <c r="F71">
        <v>16.899999999999999</v>
      </c>
      <c r="G71">
        <v>93.9</v>
      </c>
      <c r="H71">
        <v>0.8</v>
      </c>
      <c r="I71">
        <v>0.5</v>
      </c>
      <c r="J71">
        <v>83.9</v>
      </c>
    </row>
    <row r="72" spans="1:10" x14ac:dyDescent="0.25">
      <c r="A72" t="s">
        <v>951</v>
      </c>
      <c r="B72" t="s">
        <v>294</v>
      </c>
      <c r="C72">
        <v>55.4</v>
      </c>
      <c r="D72">
        <v>537.4</v>
      </c>
      <c r="E72">
        <v>2.9</v>
      </c>
      <c r="F72">
        <v>17.2</v>
      </c>
      <c r="G72">
        <v>99.6</v>
      </c>
      <c r="H72">
        <v>0.6</v>
      </c>
      <c r="I72">
        <v>0.6</v>
      </c>
      <c r="J72">
        <v>83.4</v>
      </c>
    </row>
    <row r="73" spans="1:10" x14ac:dyDescent="0.25">
      <c r="A73" t="s">
        <v>699</v>
      </c>
      <c r="B73" t="s">
        <v>280</v>
      </c>
      <c r="C73">
        <v>49.1</v>
      </c>
      <c r="D73">
        <v>598.1</v>
      </c>
      <c r="E73">
        <v>3.7</v>
      </c>
      <c r="F73">
        <v>0.5</v>
      </c>
      <c r="G73">
        <v>3.3</v>
      </c>
      <c r="H73">
        <v>0</v>
      </c>
      <c r="I73">
        <v>0.1</v>
      </c>
      <c r="J73">
        <v>82.1</v>
      </c>
    </row>
    <row r="74" spans="1:10" x14ac:dyDescent="0.25">
      <c r="A74" t="s">
        <v>860</v>
      </c>
      <c r="B74" t="s">
        <v>297</v>
      </c>
      <c r="C74">
        <v>43.7</v>
      </c>
      <c r="D74">
        <v>556.1</v>
      </c>
      <c r="E74">
        <v>4.4000000000000004</v>
      </c>
      <c r="F74">
        <v>0.2</v>
      </c>
      <c r="G74">
        <v>2</v>
      </c>
      <c r="H74">
        <v>0</v>
      </c>
      <c r="I74">
        <v>0.4</v>
      </c>
      <c r="J74">
        <v>81.400000000000006</v>
      </c>
    </row>
    <row r="75" spans="1:10" x14ac:dyDescent="0.25">
      <c r="A75" t="s">
        <v>992</v>
      </c>
      <c r="B75" t="s">
        <v>286</v>
      </c>
      <c r="C75">
        <v>46.9</v>
      </c>
      <c r="D75">
        <v>550.70000000000005</v>
      </c>
      <c r="E75">
        <v>4.3</v>
      </c>
      <c r="F75">
        <v>0</v>
      </c>
      <c r="G75">
        <v>0</v>
      </c>
      <c r="H75">
        <v>0</v>
      </c>
      <c r="I75">
        <v>0.2</v>
      </c>
      <c r="J75">
        <v>80.2</v>
      </c>
    </row>
    <row r="76" spans="1:10" x14ac:dyDescent="0.25">
      <c r="A76" t="s">
        <v>215</v>
      </c>
      <c r="B76" t="s">
        <v>292</v>
      </c>
      <c r="C76">
        <v>58.9</v>
      </c>
      <c r="D76">
        <v>610.79999999999995</v>
      </c>
      <c r="E76">
        <v>3.1</v>
      </c>
      <c r="F76">
        <v>1</v>
      </c>
      <c r="G76">
        <v>4.2</v>
      </c>
      <c r="H76">
        <v>0</v>
      </c>
      <c r="I76">
        <v>0.5</v>
      </c>
      <c r="J76">
        <v>79</v>
      </c>
    </row>
    <row r="77" spans="1:10" x14ac:dyDescent="0.25">
      <c r="A77" t="s">
        <v>841</v>
      </c>
      <c r="B77" t="s">
        <v>306</v>
      </c>
      <c r="C77">
        <v>43.3</v>
      </c>
      <c r="D77">
        <v>564.29999999999995</v>
      </c>
      <c r="E77">
        <v>3.3</v>
      </c>
      <c r="F77">
        <v>3.1</v>
      </c>
      <c r="G77">
        <v>20.6</v>
      </c>
      <c r="H77">
        <v>0</v>
      </c>
      <c r="I77">
        <v>0.1</v>
      </c>
      <c r="J77">
        <v>78.2</v>
      </c>
    </row>
    <row r="78" spans="1:10" x14ac:dyDescent="0.25">
      <c r="A78" t="s">
        <v>2423</v>
      </c>
      <c r="B78" t="s">
        <v>280</v>
      </c>
      <c r="C78">
        <v>41.2</v>
      </c>
      <c r="D78">
        <v>559.5</v>
      </c>
      <c r="E78">
        <v>3.7</v>
      </c>
      <c r="F78">
        <v>0</v>
      </c>
      <c r="G78">
        <v>0</v>
      </c>
      <c r="H78">
        <v>0</v>
      </c>
      <c r="I78">
        <v>0.2</v>
      </c>
      <c r="J78">
        <v>77.900000000000006</v>
      </c>
    </row>
    <row r="79" spans="1:10" x14ac:dyDescent="0.25">
      <c r="A79" t="s">
        <v>188</v>
      </c>
      <c r="B79" t="s">
        <v>275</v>
      </c>
      <c r="C79">
        <v>41.6</v>
      </c>
      <c r="D79">
        <v>531.9</v>
      </c>
      <c r="E79">
        <v>4.0999999999999996</v>
      </c>
      <c r="F79">
        <v>0.8</v>
      </c>
      <c r="G79">
        <v>3.2</v>
      </c>
      <c r="H79">
        <v>0</v>
      </c>
      <c r="I79">
        <v>0.5</v>
      </c>
      <c r="J79">
        <v>77.599999999999994</v>
      </c>
    </row>
    <row r="80" spans="1:10" x14ac:dyDescent="0.25">
      <c r="A80" t="s">
        <v>578</v>
      </c>
      <c r="B80" t="s">
        <v>276</v>
      </c>
      <c r="C80">
        <v>40.5</v>
      </c>
      <c r="D80">
        <v>511.5</v>
      </c>
      <c r="E80">
        <v>3.6</v>
      </c>
      <c r="F80">
        <v>6.3</v>
      </c>
      <c r="G80">
        <v>48</v>
      </c>
      <c r="H80">
        <v>0.1</v>
      </c>
      <c r="I80">
        <v>0.5</v>
      </c>
      <c r="J80">
        <v>77.099999999999994</v>
      </c>
    </row>
    <row r="81" spans="1:10" x14ac:dyDescent="0.25">
      <c r="A81" t="s">
        <v>964</v>
      </c>
      <c r="B81" t="s">
        <v>284</v>
      </c>
      <c r="C81">
        <v>39.299999999999997</v>
      </c>
      <c r="D81">
        <v>491.9</v>
      </c>
      <c r="E81">
        <v>3.5</v>
      </c>
      <c r="F81">
        <v>0</v>
      </c>
      <c r="G81">
        <v>0</v>
      </c>
      <c r="H81">
        <v>0</v>
      </c>
      <c r="I81">
        <v>0.4</v>
      </c>
      <c r="J81">
        <v>69.599999999999994</v>
      </c>
    </row>
    <row r="82" spans="1:10" x14ac:dyDescent="0.25">
      <c r="A82" t="s">
        <v>2424</v>
      </c>
      <c r="B82" t="s">
        <v>298</v>
      </c>
      <c r="C82">
        <v>41.7</v>
      </c>
      <c r="D82">
        <v>502.9</v>
      </c>
      <c r="E82">
        <v>3.4</v>
      </c>
      <c r="F82">
        <v>0.6</v>
      </c>
      <c r="G82">
        <v>1.6</v>
      </c>
      <c r="H82">
        <v>0</v>
      </c>
      <c r="I82">
        <v>0.5</v>
      </c>
      <c r="J82">
        <v>69.5</v>
      </c>
    </row>
    <row r="83" spans="1:10" x14ac:dyDescent="0.25">
      <c r="A83" t="s">
        <v>218</v>
      </c>
      <c r="B83" t="s">
        <v>291</v>
      </c>
      <c r="C83">
        <v>44.4</v>
      </c>
      <c r="D83">
        <v>523</v>
      </c>
      <c r="E83">
        <v>2.9</v>
      </c>
      <c r="F83">
        <v>0.4</v>
      </c>
      <c r="G83">
        <v>0.6</v>
      </c>
      <c r="H83">
        <v>0</v>
      </c>
      <c r="I83">
        <v>0.4</v>
      </c>
      <c r="J83">
        <v>68.8</v>
      </c>
    </row>
    <row r="84" spans="1:10" x14ac:dyDescent="0.25">
      <c r="A84" t="s">
        <v>101</v>
      </c>
      <c r="B84" t="s">
        <v>294</v>
      </c>
      <c r="C84">
        <v>36.799999999999997</v>
      </c>
      <c r="D84">
        <v>528.79999999999995</v>
      </c>
      <c r="E84">
        <v>2.7</v>
      </c>
      <c r="F84">
        <v>0</v>
      </c>
      <c r="G84">
        <v>0</v>
      </c>
      <c r="H84">
        <v>0</v>
      </c>
      <c r="I84">
        <v>0.1</v>
      </c>
      <c r="J84">
        <v>68.7</v>
      </c>
    </row>
    <row r="85" spans="1:10" x14ac:dyDescent="0.25">
      <c r="A85" t="s">
        <v>849</v>
      </c>
      <c r="B85" t="s">
        <v>278</v>
      </c>
      <c r="C85">
        <v>36.1</v>
      </c>
      <c r="D85">
        <v>526.79999999999995</v>
      </c>
      <c r="E85">
        <v>2.6</v>
      </c>
      <c r="F85">
        <v>0.2</v>
      </c>
      <c r="G85">
        <v>1.4</v>
      </c>
      <c r="H85">
        <v>0</v>
      </c>
      <c r="I85">
        <v>0.1</v>
      </c>
      <c r="J85">
        <v>68.3</v>
      </c>
    </row>
    <row r="86" spans="1:10" x14ac:dyDescent="0.25">
      <c r="A86" t="s">
        <v>2427</v>
      </c>
      <c r="B86" t="s">
        <v>292</v>
      </c>
      <c r="C86">
        <v>40</v>
      </c>
      <c r="D86">
        <v>456.9</v>
      </c>
      <c r="E86">
        <v>2.5</v>
      </c>
      <c r="F86">
        <v>6.7</v>
      </c>
      <c r="G86">
        <v>39.299999999999997</v>
      </c>
      <c r="H86">
        <v>0.1</v>
      </c>
      <c r="I86">
        <v>0.2</v>
      </c>
      <c r="J86">
        <v>64.900000000000006</v>
      </c>
    </row>
    <row r="87" spans="1:10" x14ac:dyDescent="0.25">
      <c r="A87" t="s">
        <v>408</v>
      </c>
      <c r="B87" t="s">
        <v>289</v>
      </c>
      <c r="C87">
        <v>41.5</v>
      </c>
      <c r="D87">
        <v>417.3</v>
      </c>
      <c r="E87">
        <v>3</v>
      </c>
      <c r="F87">
        <v>6.8</v>
      </c>
      <c r="G87">
        <v>40.299999999999997</v>
      </c>
      <c r="H87">
        <v>0.3</v>
      </c>
      <c r="I87">
        <v>0.3</v>
      </c>
      <c r="J87">
        <v>64.8</v>
      </c>
    </row>
    <row r="88" spans="1:10" x14ac:dyDescent="0.25">
      <c r="A88" t="s">
        <v>2429</v>
      </c>
      <c r="B88" t="s">
        <v>275</v>
      </c>
      <c r="C88">
        <v>35.1</v>
      </c>
      <c r="D88">
        <v>464.5</v>
      </c>
      <c r="E88">
        <v>3.3</v>
      </c>
      <c r="F88">
        <v>0.4</v>
      </c>
      <c r="G88">
        <v>2.4</v>
      </c>
      <c r="H88">
        <v>0</v>
      </c>
      <c r="I88">
        <v>0.7</v>
      </c>
      <c r="J88">
        <v>64.8</v>
      </c>
    </row>
    <row r="89" spans="1:10" x14ac:dyDescent="0.25">
      <c r="A89" t="s">
        <v>2420</v>
      </c>
      <c r="B89" t="s">
        <v>275</v>
      </c>
      <c r="C89">
        <v>32.299999999999997</v>
      </c>
      <c r="D89">
        <v>433.6</v>
      </c>
      <c r="E89">
        <v>3.3</v>
      </c>
      <c r="F89">
        <v>1.5</v>
      </c>
      <c r="G89">
        <v>9.1</v>
      </c>
      <c r="H89">
        <v>0</v>
      </c>
      <c r="I89">
        <v>0.4</v>
      </c>
      <c r="J89">
        <v>63.3</v>
      </c>
    </row>
    <row r="90" spans="1:10" x14ac:dyDescent="0.25">
      <c r="A90" t="s">
        <v>2421</v>
      </c>
      <c r="B90" t="s">
        <v>287</v>
      </c>
      <c r="C90">
        <v>34</v>
      </c>
      <c r="D90">
        <v>470.2</v>
      </c>
      <c r="E90">
        <v>2.7</v>
      </c>
      <c r="F90">
        <v>0.4</v>
      </c>
      <c r="G90">
        <v>2.2000000000000002</v>
      </c>
      <c r="H90">
        <v>0</v>
      </c>
      <c r="I90">
        <v>0.6</v>
      </c>
      <c r="J90">
        <v>62.4</v>
      </c>
    </row>
    <row r="91" spans="1:10" x14ac:dyDescent="0.25">
      <c r="A91" t="s">
        <v>843</v>
      </c>
      <c r="B91" t="s">
        <v>295</v>
      </c>
      <c r="C91">
        <v>39.4</v>
      </c>
      <c r="D91">
        <v>446</v>
      </c>
      <c r="E91">
        <v>2.4</v>
      </c>
      <c r="F91">
        <v>4.9000000000000004</v>
      </c>
      <c r="G91">
        <v>33.799999999999997</v>
      </c>
      <c r="H91">
        <v>0.1</v>
      </c>
      <c r="I91">
        <v>0.2</v>
      </c>
      <c r="J91">
        <v>62.3</v>
      </c>
    </row>
    <row r="92" spans="1:10" x14ac:dyDescent="0.25">
      <c r="A92" t="s">
        <v>569</v>
      </c>
      <c r="B92" t="s">
        <v>285</v>
      </c>
      <c r="C92">
        <v>28.2</v>
      </c>
      <c r="D92">
        <v>416</v>
      </c>
      <c r="E92">
        <v>3.4</v>
      </c>
      <c r="F92">
        <v>0.5</v>
      </c>
      <c r="G92">
        <v>3</v>
      </c>
      <c r="H92">
        <v>0</v>
      </c>
      <c r="I92">
        <v>0</v>
      </c>
      <c r="J92">
        <v>62.3</v>
      </c>
    </row>
    <row r="93" spans="1:10" x14ac:dyDescent="0.25">
      <c r="A93" t="s">
        <v>120</v>
      </c>
      <c r="B93" t="s">
        <v>275</v>
      </c>
      <c r="C93">
        <v>34.5</v>
      </c>
      <c r="D93">
        <v>456</v>
      </c>
      <c r="E93">
        <v>2.7</v>
      </c>
      <c r="F93">
        <v>0.6</v>
      </c>
      <c r="G93">
        <v>3.5</v>
      </c>
      <c r="H93">
        <v>0</v>
      </c>
      <c r="I93">
        <v>0.4</v>
      </c>
      <c r="J93">
        <v>61.2</v>
      </c>
    </row>
    <row r="94" spans="1:10" x14ac:dyDescent="0.25">
      <c r="A94" t="s">
        <v>842</v>
      </c>
      <c r="B94" t="s">
        <v>282</v>
      </c>
      <c r="C94">
        <v>39.9</v>
      </c>
      <c r="D94">
        <v>415.7</v>
      </c>
      <c r="E94">
        <v>2.5</v>
      </c>
      <c r="F94">
        <v>7.9</v>
      </c>
      <c r="G94">
        <v>38.799999999999997</v>
      </c>
      <c r="H94">
        <v>0.1</v>
      </c>
      <c r="I94">
        <v>0.4</v>
      </c>
      <c r="J94">
        <v>59.8</v>
      </c>
    </row>
    <row r="95" spans="1:10" x14ac:dyDescent="0.25">
      <c r="A95" t="s">
        <v>726</v>
      </c>
      <c r="B95" t="s">
        <v>299</v>
      </c>
      <c r="C95">
        <v>34.799999999999997</v>
      </c>
      <c r="D95">
        <v>446.8</v>
      </c>
      <c r="E95">
        <v>2.5</v>
      </c>
      <c r="F95">
        <v>0</v>
      </c>
      <c r="G95">
        <v>0</v>
      </c>
      <c r="H95">
        <v>0</v>
      </c>
      <c r="I95">
        <v>0.2</v>
      </c>
      <c r="J95">
        <v>59.1</v>
      </c>
    </row>
    <row r="96" spans="1:10" x14ac:dyDescent="0.25">
      <c r="A96" t="s">
        <v>150</v>
      </c>
      <c r="B96" t="s">
        <v>289</v>
      </c>
      <c r="C96">
        <v>38.5</v>
      </c>
      <c r="D96">
        <v>402.2</v>
      </c>
      <c r="E96">
        <v>2.7</v>
      </c>
      <c r="F96">
        <v>2.2000000000000002</v>
      </c>
      <c r="G96">
        <v>14</v>
      </c>
      <c r="H96">
        <v>0.2</v>
      </c>
      <c r="I96">
        <v>0.4</v>
      </c>
      <c r="J96">
        <v>58.2</v>
      </c>
    </row>
    <row r="97" spans="1:10" x14ac:dyDescent="0.25">
      <c r="A97" t="s">
        <v>388</v>
      </c>
      <c r="B97" t="s">
        <v>276</v>
      </c>
      <c r="C97">
        <v>30.9</v>
      </c>
      <c r="D97">
        <v>424</v>
      </c>
      <c r="E97">
        <v>2.5</v>
      </c>
      <c r="F97">
        <v>1.5</v>
      </c>
      <c r="G97">
        <v>7.5</v>
      </c>
      <c r="H97">
        <v>0</v>
      </c>
      <c r="I97">
        <v>0.1</v>
      </c>
      <c r="J97">
        <v>58.1</v>
      </c>
    </row>
    <row r="98" spans="1:10" x14ac:dyDescent="0.25">
      <c r="A98" t="s">
        <v>2425</v>
      </c>
      <c r="B98" t="s">
        <v>308</v>
      </c>
      <c r="C98">
        <v>33.299999999999997</v>
      </c>
      <c r="D98">
        <v>412.6</v>
      </c>
      <c r="E98">
        <v>2.2999999999999998</v>
      </c>
      <c r="F98">
        <v>1.2</v>
      </c>
      <c r="G98">
        <v>8.8000000000000007</v>
      </c>
      <c r="H98">
        <v>0</v>
      </c>
      <c r="I98">
        <v>0.4</v>
      </c>
      <c r="J98">
        <v>54.9</v>
      </c>
    </row>
    <row r="99" spans="1:10" x14ac:dyDescent="0.25">
      <c r="A99" t="s">
        <v>725</v>
      </c>
      <c r="B99" t="s">
        <v>304</v>
      </c>
      <c r="C99">
        <v>35.200000000000003</v>
      </c>
      <c r="D99">
        <v>355.8</v>
      </c>
      <c r="E99">
        <v>1.9</v>
      </c>
      <c r="F99">
        <v>5.2</v>
      </c>
      <c r="G99">
        <v>31.6</v>
      </c>
      <c r="H99">
        <v>0.9</v>
      </c>
      <c r="I99">
        <v>0.5</v>
      </c>
      <c r="J99">
        <v>54.4</v>
      </c>
    </row>
    <row r="100" spans="1:10" x14ac:dyDescent="0.25">
      <c r="A100" t="s">
        <v>851</v>
      </c>
      <c r="B100" t="s">
        <v>278</v>
      </c>
      <c r="C100">
        <v>30.5</v>
      </c>
      <c r="D100">
        <v>392.9</v>
      </c>
      <c r="E100">
        <v>2.2000000000000002</v>
      </c>
      <c r="F100">
        <v>0.4</v>
      </c>
      <c r="G100">
        <v>1.8</v>
      </c>
      <c r="H100">
        <v>0</v>
      </c>
      <c r="I100">
        <v>0.1</v>
      </c>
      <c r="J100">
        <v>52.8</v>
      </c>
    </row>
    <row r="101" spans="1:10" x14ac:dyDescent="0.25">
      <c r="A101" t="s">
        <v>2426</v>
      </c>
      <c r="B101" t="s">
        <v>299</v>
      </c>
      <c r="C101">
        <v>29.9</v>
      </c>
      <c r="D101">
        <v>385.3</v>
      </c>
      <c r="E101">
        <v>2.2000000000000002</v>
      </c>
      <c r="F101">
        <v>1</v>
      </c>
      <c r="G101">
        <v>6.3</v>
      </c>
      <c r="H101">
        <v>0</v>
      </c>
      <c r="I101">
        <v>0.2</v>
      </c>
      <c r="J101">
        <v>52</v>
      </c>
    </row>
    <row r="102" spans="1:10" x14ac:dyDescent="0.25">
      <c r="A102" t="s">
        <v>2739</v>
      </c>
      <c r="B102" t="s">
        <v>298</v>
      </c>
      <c r="C102">
        <v>29.5</v>
      </c>
      <c r="D102">
        <v>374.3</v>
      </c>
      <c r="E102">
        <v>2.4</v>
      </c>
      <c r="F102">
        <v>0</v>
      </c>
      <c r="G102">
        <v>0</v>
      </c>
      <c r="H102">
        <v>0</v>
      </c>
      <c r="I102">
        <v>0</v>
      </c>
      <c r="J102">
        <v>51.7</v>
      </c>
    </row>
    <row r="103" spans="1:10" x14ac:dyDescent="0.25">
      <c r="A103" t="s">
        <v>862</v>
      </c>
      <c r="B103" t="s">
        <v>293</v>
      </c>
      <c r="C103">
        <v>28.4</v>
      </c>
      <c r="D103">
        <v>391.5</v>
      </c>
      <c r="E103">
        <v>2.1</v>
      </c>
      <c r="F103">
        <v>0</v>
      </c>
      <c r="G103">
        <v>0</v>
      </c>
      <c r="H103">
        <v>0</v>
      </c>
      <c r="I103">
        <v>0.1</v>
      </c>
      <c r="J103">
        <v>51.4</v>
      </c>
    </row>
    <row r="104" spans="1:10" x14ac:dyDescent="0.25">
      <c r="A104" t="s">
        <v>866</v>
      </c>
      <c r="B104" t="s">
        <v>301</v>
      </c>
      <c r="C104">
        <v>29</v>
      </c>
      <c r="D104">
        <v>329.5</v>
      </c>
      <c r="E104">
        <v>2.7</v>
      </c>
      <c r="F104">
        <v>0</v>
      </c>
      <c r="G104">
        <v>0</v>
      </c>
      <c r="H104">
        <v>0</v>
      </c>
      <c r="I104">
        <v>0.1</v>
      </c>
      <c r="J104">
        <v>48.8</v>
      </c>
    </row>
    <row r="105" spans="1:10" x14ac:dyDescent="0.25">
      <c r="A105" t="s">
        <v>2428</v>
      </c>
      <c r="B105" t="s">
        <v>279</v>
      </c>
      <c r="C105">
        <v>27</v>
      </c>
      <c r="D105">
        <v>346.7</v>
      </c>
      <c r="E105">
        <v>1.7</v>
      </c>
      <c r="F105">
        <v>4.4000000000000004</v>
      </c>
      <c r="G105">
        <v>28.8</v>
      </c>
      <c r="H105">
        <v>0.1</v>
      </c>
      <c r="I105">
        <v>0.1</v>
      </c>
      <c r="J105">
        <v>48.6</v>
      </c>
    </row>
    <row r="106" spans="1:10" x14ac:dyDescent="0.25">
      <c r="A106" t="s">
        <v>864</v>
      </c>
      <c r="B106" t="s">
        <v>286</v>
      </c>
      <c r="C106">
        <v>21.5</v>
      </c>
      <c r="D106">
        <v>312.3</v>
      </c>
      <c r="E106">
        <v>2</v>
      </c>
      <c r="F106">
        <v>4.4000000000000004</v>
      </c>
      <c r="G106">
        <v>25.9</v>
      </c>
      <c r="H106">
        <v>0.1</v>
      </c>
      <c r="I106">
        <v>0.1</v>
      </c>
      <c r="J106">
        <v>46.2</v>
      </c>
    </row>
    <row r="107" spans="1:10" x14ac:dyDescent="0.25">
      <c r="A107" t="s">
        <v>134</v>
      </c>
      <c r="B107" t="s">
        <v>276</v>
      </c>
      <c r="C107">
        <v>14.8</v>
      </c>
      <c r="D107">
        <v>133.1</v>
      </c>
      <c r="E107">
        <v>0.8</v>
      </c>
      <c r="F107">
        <v>29.1</v>
      </c>
      <c r="G107">
        <v>170.5</v>
      </c>
      <c r="H107">
        <v>1.4</v>
      </c>
      <c r="I107">
        <v>0</v>
      </c>
      <c r="J107">
        <v>43.4</v>
      </c>
    </row>
    <row r="108" spans="1:10" x14ac:dyDescent="0.25">
      <c r="A108" t="s">
        <v>366</v>
      </c>
      <c r="B108" t="s">
        <v>307</v>
      </c>
      <c r="C108">
        <v>24.5</v>
      </c>
      <c r="D108">
        <v>297.2</v>
      </c>
      <c r="E108">
        <v>2</v>
      </c>
      <c r="F108">
        <v>0</v>
      </c>
      <c r="G108">
        <v>0</v>
      </c>
      <c r="H108">
        <v>0</v>
      </c>
      <c r="I108">
        <v>0</v>
      </c>
      <c r="J108">
        <v>41.8</v>
      </c>
    </row>
    <row r="109" spans="1:10" x14ac:dyDescent="0.25">
      <c r="A109" t="s">
        <v>389</v>
      </c>
      <c r="B109" t="s">
        <v>287</v>
      </c>
      <c r="C109">
        <v>22.2</v>
      </c>
      <c r="D109">
        <v>300.7</v>
      </c>
      <c r="E109">
        <v>1.9</v>
      </c>
      <c r="F109">
        <v>0</v>
      </c>
      <c r="G109">
        <v>0</v>
      </c>
      <c r="H109">
        <v>0</v>
      </c>
      <c r="I109">
        <v>0.1</v>
      </c>
      <c r="J109">
        <v>41.3</v>
      </c>
    </row>
    <row r="110" spans="1:10" x14ac:dyDescent="0.25">
      <c r="A110" t="s">
        <v>377</v>
      </c>
      <c r="B110" t="s">
        <v>276</v>
      </c>
      <c r="C110">
        <v>21.5</v>
      </c>
      <c r="D110">
        <v>297.10000000000002</v>
      </c>
      <c r="E110">
        <v>1.7</v>
      </c>
      <c r="F110">
        <v>0</v>
      </c>
      <c r="G110">
        <v>0</v>
      </c>
      <c r="H110">
        <v>0</v>
      </c>
      <c r="I110">
        <v>0</v>
      </c>
      <c r="J110">
        <v>40.200000000000003</v>
      </c>
    </row>
    <row r="111" spans="1:10" x14ac:dyDescent="0.25">
      <c r="A111" t="s">
        <v>996</v>
      </c>
      <c r="B111" t="s">
        <v>295</v>
      </c>
      <c r="C111">
        <v>23.3</v>
      </c>
      <c r="D111">
        <v>284.60000000000002</v>
      </c>
      <c r="E111">
        <v>1.6</v>
      </c>
      <c r="F111">
        <v>0</v>
      </c>
      <c r="G111">
        <v>0</v>
      </c>
      <c r="H111">
        <v>0</v>
      </c>
      <c r="I111">
        <v>0.1</v>
      </c>
      <c r="J111">
        <v>38</v>
      </c>
    </row>
    <row r="112" spans="1:10" x14ac:dyDescent="0.25">
      <c r="A112" t="s">
        <v>409</v>
      </c>
      <c r="B112" t="s">
        <v>814</v>
      </c>
      <c r="C112">
        <v>19.8</v>
      </c>
      <c r="D112">
        <v>258</v>
      </c>
      <c r="E112">
        <v>2</v>
      </c>
      <c r="F112">
        <v>0.2</v>
      </c>
      <c r="G112">
        <v>0</v>
      </c>
      <c r="H112">
        <v>0</v>
      </c>
      <c r="I112">
        <v>0.1</v>
      </c>
      <c r="J112">
        <v>37.700000000000003</v>
      </c>
    </row>
    <row r="113" spans="1:10" x14ac:dyDescent="0.25">
      <c r="A113" t="s">
        <v>959</v>
      </c>
      <c r="B113" t="s">
        <v>275</v>
      </c>
      <c r="C113">
        <v>21.4</v>
      </c>
      <c r="D113">
        <v>279.60000000000002</v>
      </c>
      <c r="E113">
        <v>1.6</v>
      </c>
      <c r="F113">
        <v>1.5</v>
      </c>
      <c r="G113">
        <v>9.4</v>
      </c>
      <c r="H113">
        <v>0</v>
      </c>
      <c r="I113">
        <v>0.4</v>
      </c>
      <c r="J113">
        <v>37.5</v>
      </c>
    </row>
    <row r="114" spans="1:10" x14ac:dyDescent="0.25">
      <c r="A114" t="s">
        <v>901</v>
      </c>
      <c r="B114" t="s">
        <v>307</v>
      </c>
      <c r="C114">
        <v>22.7</v>
      </c>
      <c r="D114">
        <v>285.3</v>
      </c>
      <c r="E114">
        <v>1.5</v>
      </c>
      <c r="F114">
        <v>0</v>
      </c>
      <c r="G114">
        <v>0</v>
      </c>
      <c r="H114">
        <v>0</v>
      </c>
      <c r="I114">
        <v>0.1</v>
      </c>
      <c r="J114">
        <v>37.200000000000003</v>
      </c>
    </row>
    <row r="115" spans="1:10" x14ac:dyDescent="0.25">
      <c r="A115" t="s">
        <v>952</v>
      </c>
      <c r="B115" t="s">
        <v>282</v>
      </c>
      <c r="C115">
        <v>20.5</v>
      </c>
      <c r="D115">
        <v>259.60000000000002</v>
      </c>
      <c r="E115">
        <v>1.8</v>
      </c>
      <c r="F115">
        <v>0</v>
      </c>
      <c r="G115">
        <v>0</v>
      </c>
      <c r="H115">
        <v>0</v>
      </c>
      <c r="I115">
        <v>0.1</v>
      </c>
      <c r="J115">
        <v>36.6</v>
      </c>
    </row>
    <row r="116" spans="1:10" x14ac:dyDescent="0.25">
      <c r="A116" t="s">
        <v>867</v>
      </c>
      <c r="B116" t="s">
        <v>277</v>
      </c>
      <c r="C116">
        <v>17.3</v>
      </c>
      <c r="D116">
        <v>255.2</v>
      </c>
      <c r="E116">
        <v>1.7</v>
      </c>
      <c r="F116">
        <v>0</v>
      </c>
      <c r="G116">
        <v>0</v>
      </c>
      <c r="H116">
        <v>0</v>
      </c>
      <c r="I116">
        <v>0</v>
      </c>
      <c r="J116">
        <v>35.700000000000003</v>
      </c>
    </row>
    <row r="117" spans="1:10" x14ac:dyDescent="0.25">
      <c r="A117" t="s">
        <v>850</v>
      </c>
      <c r="B117" t="s">
        <v>291</v>
      </c>
      <c r="C117">
        <v>16.3</v>
      </c>
      <c r="D117">
        <v>188.1</v>
      </c>
      <c r="E117">
        <v>0.9</v>
      </c>
      <c r="F117">
        <v>8.3000000000000007</v>
      </c>
      <c r="G117">
        <v>57.7</v>
      </c>
      <c r="H117">
        <v>0.4</v>
      </c>
      <c r="I117">
        <v>0.1</v>
      </c>
      <c r="J117">
        <v>32.200000000000003</v>
      </c>
    </row>
    <row r="118" spans="1:10" x14ac:dyDescent="0.25">
      <c r="A118" t="s">
        <v>847</v>
      </c>
      <c r="B118" t="s">
        <v>287</v>
      </c>
      <c r="C118">
        <v>14.6</v>
      </c>
      <c r="D118">
        <v>201.4</v>
      </c>
      <c r="E118">
        <v>1.7</v>
      </c>
      <c r="F118">
        <v>0</v>
      </c>
      <c r="G118">
        <v>0</v>
      </c>
      <c r="H118">
        <v>0</v>
      </c>
      <c r="I118">
        <v>0</v>
      </c>
      <c r="J118">
        <v>30.1</v>
      </c>
    </row>
    <row r="119" spans="1:10" x14ac:dyDescent="0.25">
      <c r="A119" t="s">
        <v>406</v>
      </c>
      <c r="B119" t="s">
        <v>285</v>
      </c>
      <c r="C119">
        <v>17.399999999999999</v>
      </c>
      <c r="D119">
        <v>213.6</v>
      </c>
      <c r="E119">
        <v>1.5</v>
      </c>
      <c r="F119">
        <v>0</v>
      </c>
      <c r="G119">
        <v>0</v>
      </c>
      <c r="H119">
        <v>0</v>
      </c>
      <c r="I119">
        <v>0.1</v>
      </c>
      <c r="J119">
        <v>30</v>
      </c>
    </row>
    <row r="120" spans="1:10" x14ac:dyDescent="0.25">
      <c r="A120" t="s">
        <v>720</v>
      </c>
      <c r="B120" t="s">
        <v>292</v>
      </c>
      <c r="C120">
        <v>16.899999999999999</v>
      </c>
      <c r="D120">
        <v>229.2</v>
      </c>
      <c r="E120">
        <v>1.3</v>
      </c>
      <c r="F120">
        <v>0.3</v>
      </c>
      <c r="G120">
        <v>-2.5</v>
      </c>
      <c r="H120">
        <v>0</v>
      </c>
      <c r="I120">
        <v>0.5</v>
      </c>
      <c r="J120">
        <v>29.9</v>
      </c>
    </row>
    <row r="121" spans="1:10" x14ac:dyDescent="0.25">
      <c r="A121" t="s">
        <v>398</v>
      </c>
      <c r="B121" t="s">
        <v>282</v>
      </c>
      <c r="C121">
        <v>17.2</v>
      </c>
      <c r="D121">
        <v>223</v>
      </c>
      <c r="E121">
        <v>1.2</v>
      </c>
      <c r="F121">
        <v>0.3</v>
      </c>
      <c r="G121">
        <v>2.7</v>
      </c>
      <c r="H121">
        <v>0</v>
      </c>
      <c r="I121">
        <v>0.2</v>
      </c>
      <c r="J121">
        <v>29.4</v>
      </c>
    </row>
    <row r="122" spans="1:10" x14ac:dyDescent="0.25">
      <c r="A122" t="s">
        <v>846</v>
      </c>
      <c r="B122" t="s">
        <v>307</v>
      </c>
      <c r="C122">
        <v>19.899999999999999</v>
      </c>
      <c r="D122">
        <v>216.5</v>
      </c>
      <c r="E122">
        <v>1.2</v>
      </c>
      <c r="F122">
        <v>0</v>
      </c>
      <c r="G122">
        <v>0</v>
      </c>
      <c r="H122">
        <v>0</v>
      </c>
      <c r="I122">
        <v>0.1</v>
      </c>
      <c r="J122">
        <v>28.8</v>
      </c>
    </row>
    <row r="123" spans="1:10" x14ac:dyDescent="0.25">
      <c r="A123" t="s">
        <v>2660</v>
      </c>
      <c r="B123" t="s">
        <v>291</v>
      </c>
      <c r="C123">
        <v>16.8</v>
      </c>
      <c r="D123">
        <v>202.8</v>
      </c>
      <c r="E123">
        <v>1.3</v>
      </c>
      <c r="F123">
        <v>0</v>
      </c>
      <c r="G123">
        <v>0</v>
      </c>
      <c r="H123">
        <v>0</v>
      </c>
      <c r="I123">
        <v>0</v>
      </c>
      <c r="J123">
        <v>28.2</v>
      </c>
    </row>
    <row r="124" spans="1:10" x14ac:dyDescent="0.25">
      <c r="A124" t="s">
        <v>1002</v>
      </c>
      <c r="B124" t="s">
        <v>303</v>
      </c>
      <c r="C124">
        <v>16</v>
      </c>
      <c r="D124">
        <v>195.2</v>
      </c>
      <c r="E124">
        <v>1.4</v>
      </c>
      <c r="F124">
        <v>0</v>
      </c>
      <c r="G124">
        <v>0</v>
      </c>
      <c r="H124">
        <v>0</v>
      </c>
      <c r="I124">
        <v>0</v>
      </c>
      <c r="J124">
        <v>28</v>
      </c>
    </row>
    <row r="125" spans="1:10" x14ac:dyDescent="0.25">
      <c r="A125" t="s">
        <v>395</v>
      </c>
      <c r="B125" t="s">
        <v>307</v>
      </c>
      <c r="C125">
        <v>19.8</v>
      </c>
      <c r="D125">
        <v>216.3</v>
      </c>
      <c r="E125">
        <v>1.1000000000000001</v>
      </c>
      <c r="F125">
        <v>0</v>
      </c>
      <c r="G125">
        <v>0</v>
      </c>
      <c r="H125">
        <v>0</v>
      </c>
      <c r="I125">
        <v>0.1</v>
      </c>
      <c r="J125">
        <v>27.7</v>
      </c>
    </row>
    <row r="126" spans="1:10" x14ac:dyDescent="0.25">
      <c r="A126" t="s">
        <v>394</v>
      </c>
      <c r="B126" t="s">
        <v>295</v>
      </c>
      <c r="C126">
        <v>16.3</v>
      </c>
      <c r="D126">
        <v>198.1</v>
      </c>
      <c r="E126">
        <v>1.2</v>
      </c>
      <c r="F126">
        <v>0</v>
      </c>
      <c r="G126">
        <v>0</v>
      </c>
      <c r="H126">
        <v>0</v>
      </c>
      <c r="I126">
        <v>0</v>
      </c>
      <c r="J126">
        <v>27.2</v>
      </c>
    </row>
    <row r="127" spans="1:10" x14ac:dyDescent="0.25">
      <c r="A127" t="s">
        <v>960</v>
      </c>
      <c r="B127" t="s">
        <v>284</v>
      </c>
      <c r="C127">
        <v>13.9</v>
      </c>
      <c r="D127">
        <v>207.3</v>
      </c>
      <c r="E127">
        <v>0.9</v>
      </c>
      <c r="F127">
        <v>0</v>
      </c>
      <c r="G127">
        <v>0</v>
      </c>
      <c r="H127">
        <v>0</v>
      </c>
      <c r="I127">
        <v>0</v>
      </c>
      <c r="J127">
        <v>26.2</v>
      </c>
    </row>
    <row r="128" spans="1:10" x14ac:dyDescent="0.25">
      <c r="A128" t="s">
        <v>371</v>
      </c>
      <c r="B128" t="s">
        <v>279</v>
      </c>
      <c r="C128">
        <v>15</v>
      </c>
      <c r="D128">
        <v>189.1</v>
      </c>
      <c r="E128">
        <v>1</v>
      </c>
      <c r="F128">
        <v>0.7</v>
      </c>
      <c r="G128">
        <v>3.8</v>
      </c>
      <c r="H128">
        <v>0</v>
      </c>
      <c r="I128">
        <v>0.1</v>
      </c>
      <c r="J128">
        <v>25.3</v>
      </c>
    </row>
    <row r="129" spans="1:10" x14ac:dyDescent="0.25">
      <c r="A129" t="s">
        <v>580</v>
      </c>
      <c r="B129" t="s">
        <v>299</v>
      </c>
      <c r="C129">
        <v>13.5</v>
      </c>
      <c r="D129">
        <v>197.1</v>
      </c>
      <c r="E129">
        <v>0.9</v>
      </c>
      <c r="F129">
        <v>0</v>
      </c>
      <c r="G129">
        <v>0</v>
      </c>
      <c r="H129">
        <v>0</v>
      </c>
      <c r="I129">
        <v>0.1</v>
      </c>
      <c r="J129">
        <v>25.3</v>
      </c>
    </row>
    <row r="130" spans="1:10" x14ac:dyDescent="0.25">
      <c r="A130" t="s">
        <v>574</v>
      </c>
      <c r="B130" t="s">
        <v>280</v>
      </c>
      <c r="C130">
        <v>12.3</v>
      </c>
      <c r="D130">
        <v>184.3</v>
      </c>
      <c r="E130">
        <v>1.1000000000000001</v>
      </c>
      <c r="F130">
        <v>0</v>
      </c>
      <c r="G130">
        <v>0</v>
      </c>
      <c r="H130">
        <v>0</v>
      </c>
      <c r="I130">
        <v>0</v>
      </c>
      <c r="J130">
        <v>24.9</v>
      </c>
    </row>
    <row r="131" spans="1:10" x14ac:dyDescent="0.25">
      <c r="A131" t="s">
        <v>2560</v>
      </c>
      <c r="B131" t="s">
        <v>306</v>
      </c>
      <c r="C131">
        <v>13.5</v>
      </c>
      <c r="D131">
        <v>177.3</v>
      </c>
      <c r="E131">
        <v>1.2</v>
      </c>
      <c r="F131">
        <v>0</v>
      </c>
      <c r="G131">
        <v>0</v>
      </c>
      <c r="H131">
        <v>0</v>
      </c>
      <c r="I131">
        <v>0</v>
      </c>
      <c r="J131">
        <v>24.7</v>
      </c>
    </row>
    <row r="132" spans="1:10" x14ac:dyDescent="0.25">
      <c r="A132" t="s">
        <v>2437</v>
      </c>
      <c r="B132" t="s">
        <v>284</v>
      </c>
      <c r="C132">
        <v>15.3</v>
      </c>
      <c r="D132">
        <v>188.3</v>
      </c>
      <c r="E132">
        <v>1</v>
      </c>
      <c r="F132">
        <v>0</v>
      </c>
      <c r="G132">
        <v>0</v>
      </c>
      <c r="H132">
        <v>0</v>
      </c>
      <c r="I132">
        <v>0.1</v>
      </c>
      <c r="J132">
        <v>24.6</v>
      </c>
    </row>
    <row r="133" spans="1:10" x14ac:dyDescent="0.25">
      <c r="A133" t="s">
        <v>855</v>
      </c>
      <c r="B133" t="s">
        <v>284</v>
      </c>
      <c r="C133">
        <v>14.5</v>
      </c>
      <c r="D133">
        <v>171.3</v>
      </c>
      <c r="E133">
        <v>1.2</v>
      </c>
      <c r="F133">
        <v>0</v>
      </c>
      <c r="G133">
        <v>0</v>
      </c>
      <c r="H133">
        <v>0</v>
      </c>
      <c r="I133">
        <v>0</v>
      </c>
      <c r="J133">
        <v>24.2</v>
      </c>
    </row>
    <row r="134" spans="1:10" x14ac:dyDescent="0.25">
      <c r="A134" t="s">
        <v>961</v>
      </c>
      <c r="B134" t="s">
        <v>308</v>
      </c>
      <c r="C134">
        <v>12.6</v>
      </c>
      <c r="D134">
        <v>166.5</v>
      </c>
      <c r="E134">
        <v>1</v>
      </c>
      <c r="F134">
        <v>1.1000000000000001</v>
      </c>
      <c r="G134">
        <v>6.8</v>
      </c>
      <c r="H134">
        <v>0</v>
      </c>
      <c r="I134">
        <v>0.1</v>
      </c>
      <c r="J134">
        <v>23.6</v>
      </c>
    </row>
    <row r="135" spans="1:10" x14ac:dyDescent="0.25">
      <c r="A135" t="s">
        <v>645</v>
      </c>
      <c r="B135" t="s">
        <v>293</v>
      </c>
      <c r="C135">
        <v>12.8</v>
      </c>
      <c r="D135">
        <v>161.6</v>
      </c>
      <c r="E135">
        <v>1.2</v>
      </c>
      <c r="F135">
        <v>0.3</v>
      </c>
      <c r="G135">
        <v>1.8</v>
      </c>
      <c r="H135">
        <v>0</v>
      </c>
      <c r="I135">
        <v>0</v>
      </c>
      <c r="J135">
        <v>23.5</v>
      </c>
    </row>
    <row r="136" spans="1:10" x14ac:dyDescent="0.25">
      <c r="A136" t="s">
        <v>958</v>
      </c>
      <c r="B136" t="s">
        <v>303</v>
      </c>
      <c r="C136">
        <v>13.4</v>
      </c>
      <c r="D136">
        <v>167.4</v>
      </c>
      <c r="E136">
        <v>1.2</v>
      </c>
      <c r="F136">
        <v>0</v>
      </c>
      <c r="G136">
        <v>0</v>
      </c>
      <c r="H136">
        <v>0</v>
      </c>
      <c r="I136">
        <v>0.2</v>
      </c>
      <c r="J136">
        <v>23.3</v>
      </c>
    </row>
    <row r="137" spans="1:10" x14ac:dyDescent="0.25">
      <c r="A137" t="s">
        <v>404</v>
      </c>
      <c r="B137" t="s">
        <v>278</v>
      </c>
      <c r="C137">
        <v>14.9</v>
      </c>
      <c r="D137">
        <v>177</v>
      </c>
      <c r="E137">
        <v>0.9</v>
      </c>
      <c r="F137">
        <v>0</v>
      </c>
      <c r="G137">
        <v>0</v>
      </c>
      <c r="H137">
        <v>0</v>
      </c>
      <c r="I137">
        <v>0</v>
      </c>
      <c r="J137">
        <v>23.2</v>
      </c>
    </row>
    <row r="138" spans="1:10" x14ac:dyDescent="0.25">
      <c r="A138" t="s">
        <v>732</v>
      </c>
      <c r="B138" t="s">
        <v>298</v>
      </c>
      <c r="C138">
        <v>14.2</v>
      </c>
      <c r="D138">
        <v>169.4</v>
      </c>
      <c r="E138">
        <v>1.1000000000000001</v>
      </c>
      <c r="F138">
        <v>0</v>
      </c>
      <c r="G138">
        <v>0</v>
      </c>
      <c r="H138">
        <v>0</v>
      </c>
      <c r="I138">
        <v>0.1</v>
      </c>
      <c r="J138">
        <v>23.1</v>
      </c>
    </row>
    <row r="139" spans="1:10" x14ac:dyDescent="0.25">
      <c r="A139" t="s">
        <v>728</v>
      </c>
      <c r="B139" t="s">
        <v>287</v>
      </c>
      <c r="C139">
        <v>12.9</v>
      </c>
      <c r="D139">
        <v>156.19999999999999</v>
      </c>
      <c r="E139">
        <v>1</v>
      </c>
      <c r="F139">
        <v>0.9</v>
      </c>
      <c r="G139">
        <v>5.2</v>
      </c>
      <c r="H139">
        <v>0</v>
      </c>
      <c r="I139">
        <v>0.1</v>
      </c>
      <c r="J139">
        <v>22.4</v>
      </c>
    </row>
    <row r="140" spans="1:10" x14ac:dyDescent="0.25">
      <c r="A140" t="s">
        <v>957</v>
      </c>
      <c r="B140" t="s">
        <v>283</v>
      </c>
      <c r="C140">
        <v>11.2</v>
      </c>
      <c r="D140">
        <v>174.6</v>
      </c>
      <c r="E140">
        <v>0.8</v>
      </c>
      <c r="F140">
        <v>0</v>
      </c>
      <c r="G140">
        <v>0</v>
      </c>
      <c r="H140">
        <v>0</v>
      </c>
      <c r="I140">
        <v>0</v>
      </c>
      <c r="J140">
        <v>22.3</v>
      </c>
    </row>
    <row r="141" spans="1:10" x14ac:dyDescent="0.25">
      <c r="A141" t="s">
        <v>833</v>
      </c>
      <c r="B141" t="s">
        <v>297</v>
      </c>
      <c r="C141">
        <v>12.9</v>
      </c>
      <c r="D141">
        <v>141.5</v>
      </c>
      <c r="E141">
        <v>0.9</v>
      </c>
      <c r="F141">
        <v>1</v>
      </c>
      <c r="G141">
        <v>5.7</v>
      </c>
      <c r="H141">
        <v>0</v>
      </c>
      <c r="I141">
        <v>0.1</v>
      </c>
      <c r="J141">
        <v>20.399999999999999</v>
      </c>
    </row>
    <row r="142" spans="1:10" x14ac:dyDescent="0.25">
      <c r="A142" t="s">
        <v>2674</v>
      </c>
      <c r="B142" t="s">
        <v>814</v>
      </c>
      <c r="C142">
        <v>12.1</v>
      </c>
      <c r="D142">
        <v>145</v>
      </c>
      <c r="E142">
        <v>1</v>
      </c>
      <c r="F142">
        <v>0</v>
      </c>
      <c r="G142">
        <v>0</v>
      </c>
      <c r="H142">
        <v>0</v>
      </c>
      <c r="I142">
        <v>0</v>
      </c>
      <c r="J142">
        <v>20.2</v>
      </c>
    </row>
    <row r="143" spans="1:10" x14ac:dyDescent="0.25">
      <c r="A143" t="s">
        <v>2430</v>
      </c>
      <c r="B143" t="s">
        <v>288</v>
      </c>
      <c r="C143">
        <v>13.9</v>
      </c>
      <c r="D143">
        <v>162.6</v>
      </c>
      <c r="E143">
        <v>0.7</v>
      </c>
      <c r="F143">
        <v>0</v>
      </c>
      <c r="G143">
        <v>0</v>
      </c>
      <c r="H143">
        <v>0</v>
      </c>
      <c r="I143">
        <v>0.1</v>
      </c>
      <c r="J143">
        <v>20.100000000000001</v>
      </c>
    </row>
    <row r="144" spans="1:10" x14ac:dyDescent="0.25">
      <c r="A144" t="s">
        <v>856</v>
      </c>
      <c r="B144" t="s">
        <v>276</v>
      </c>
      <c r="C144">
        <v>14.3</v>
      </c>
      <c r="D144">
        <v>151.1</v>
      </c>
      <c r="E144">
        <v>0.7</v>
      </c>
      <c r="F144">
        <v>0</v>
      </c>
      <c r="G144">
        <v>0</v>
      </c>
      <c r="H144">
        <v>0</v>
      </c>
      <c r="I144">
        <v>0</v>
      </c>
      <c r="J144">
        <v>19.5</v>
      </c>
    </row>
    <row r="145" spans="1:10" x14ac:dyDescent="0.25">
      <c r="A145" t="s">
        <v>2436</v>
      </c>
      <c r="B145" t="s">
        <v>277</v>
      </c>
      <c r="C145">
        <v>8.1</v>
      </c>
      <c r="D145">
        <v>112.3</v>
      </c>
      <c r="E145">
        <v>0.8</v>
      </c>
      <c r="F145">
        <v>4.3</v>
      </c>
      <c r="G145">
        <v>30</v>
      </c>
      <c r="H145">
        <v>0.1</v>
      </c>
      <c r="I145">
        <v>0.1</v>
      </c>
      <c r="J145">
        <v>19.2</v>
      </c>
    </row>
    <row r="146" spans="1:10" x14ac:dyDescent="0.25">
      <c r="A146" t="s">
        <v>733</v>
      </c>
      <c r="B146" t="s">
        <v>294</v>
      </c>
      <c r="C146">
        <v>11.1</v>
      </c>
      <c r="D146">
        <v>137.4</v>
      </c>
      <c r="E146">
        <v>0.9</v>
      </c>
      <c r="F146">
        <v>0</v>
      </c>
      <c r="G146">
        <v>0</v>
      </c>
      <c r="H146">
        <v>0</v>
      </c>
      <c r="I146">
        <v>0</v>
      </c>
      <c r="J146">
        <v>19.100000000000001</v>
      </c>
    </row>
    <row r="147" spans="1:10" x14ac:dyDescent="0.25">
      <c r="A147" t="s">
        <v>912</v>
      </c>
      <c r="B147" t="s">
        <v>301</v>
      </c>
      <c r="C147">
        <v>12.3</v>
      </c>
      <c r="D147">
        <v>141.30000000000001</v>
      </c>
      <c r="E147">
        <v>0.8</v>
      </c>
      <c r="F147">
        <v>0</v>
      </c>
      <c r="G147">
        <v>0</v>
      </c>
      <c r="H147">
        <v>0</v>
      </c>
      <c r="I147">
        <v>0</v>
      </c>
      <c r="J147">
        <v>18.899999999999999</v>
      </c>
    </row>
    <row r="148" spans="1:10" x14ac:dyDescent="0.25">
      <c r="A148" t="s">
        <v>1028</v>
      </c>
      <c r="B148" t="s">
        <v>292</v>
      </c>
      <c r="C148">
        <v>8.6999999999999993</v>
      </c>
      <c r="D148">
        <v>138.4</v>
      </c>
      <c r="E148">
        <v>0.7</v>
      </c>
      <c r="F148">
        <v>0</v>
      </c>
      <c r="G148">
        <v>0</v>
      </c>
      <c r="H148">
        <v>0</v>
      </c>
      <c r="I148">
        <v>0</v>
      </c>
      <c r="J148">
        <v>18.2</v>
      </c>
    </row>
    <row r="149" spans="1:10" x14ac:dyDescent="0.25">
      <c r="A149" t="s">
        <v>2431</v>
      </c>
      <c r="B149" t="s">
        <v>298</v>
      </c>
      <c r="C149">
        <v>9.6999999999999993</v>
      </c>
      <c r="D149">
        <v>132.6</v>
      </c>
      <c r="E149">
        <v>0.8</v>
      </c>
      <c r="F149">
        <v>0</v>
      </c>
      <c r="G149">
        <v>0</v>
      </c>
      <c r="H149">
        <v>0</v>
      </c>
      <c r="I149">
        <v>0</v>
      </c>
      <c r="J149">
        <v>18.100000000000001</v>
      </c>
    </row>
    <row r="150" spans="1:10" x14ac:dyDescent="0.25">
      <c r="A150" t="s">
        <v>869</v>
      </c>
      <c r="B150" t="s">
        <v>306</v>
      </c>
      <c r="C150">
        <v>10.3</v>
      </c>
      <c r="D150">
        <v>125.6</v>
      </c>
      <c r="E150">
        <v>0.9</v>
      </c>
      <c r="F150">
        <v>0</v>
      </c>
      <c r="G150">
        <v>0</v>
      </c>
      <c r="H150">
        <v>0</v>
      </c>
      <c r="I150">
        <v>0.1</v>
      </c>
      <c r="J150">
        <v>18</v>
      </c>
    </row>
    <row r="151" spans="1:10" x14ac:dyDescent="0.25">
      <c r="A151" t="s">
        <v>2458</v>
      </c>
      <c r="B151" t="s">
        <v>308</v>
      </c>
      <c r="C151">
        <v>10.3</v>
      </c>
      <c r="D151">
        <v>109.1</v>
      </c>
      <c r="E151">
        <v>0.6</v>
      </c>
      <c r="F151">
        <v>4.4000000000000004</v>
      </c>
      <c r="G151">
        <v>24.5</v>
      </c>
      <c r="H151">
        <v>0.1</v>
      </c>
      <c r="I151">
        <v>0.1</v>
      </c>
      <c r="J151">
        <v>17.7</v>
      </c>
    </row>
    <row r="152" spans="1:10" x14ac:dyDescent="0.25">
      <c r="A152" t="s">
        <v>735</v>
      </c>
      <c r="B152" t="s">
        <v>283</v>
      </c>
      <c r="C152">
        <v>9.5</v>
      </c>
      <c r="D152">
        <v>131.30000000000001</v>
      </c>
      <c r="E152">
        <v>0.8</v>
      </c>
      <c r="F152">
        <v>0</v>
      </c>
      <c r="G152">
        <v>0</v>
      </c>
      <c r="H152">
        <v>0</v>
      </c>
      <c r="I152">
        <v>0</v>
      </c>
      <c r="J152">
        <v>17.600000000000001</v>
      </c>
    </row>
    <row r="153" spans="1:10" x14ac:dyDescent="0.25">
      <c r="A153" t="s">
        <v>2675</v>
      </c>
      <c r="B153" t="s">
        <v>279</v>
      </c>
      <c r="C153">
        <v>11.1</v>
      </c>
      <c r="D153">
        <v>132.6</v>
      </c>
      <c r="E153">
        <v>0.7</v>
      </c>
      <c r="F153">
        <v>0</v>
      </c>
      <c r="G153">
        <v>0</v>
      </c>
      <c r="H153">
        <v>0</v>
      </c>
      <c r="I153">
        <v>0</v>
      </c>
      <c r="J153">
        <v>17.600000000000001</v>
      </c>
    </row>
    <row r="154" spans="1:10" x14ac:dyDescent="0.25">
      <c r="A154" t="s">
        <v>966</v>
      </c>
      <c r="B154" t="s">
        <v>295</v>
      </c>
      <c r="C154">
        <v>9.9</v>
      </c>
      <c r="D154">
        <v>129.30000000000001</v>
      </c>
      <c r="E154">
        <v>0.8</v>
      </c>
      <c r="F154">
        <v>0</v>
      </c>
      <c r="G154">
        <v>0</v>
      </c>
      <c r="H154">
        <v>0</v>
      </c>
      <c r="I154">
        <v>0</v>
      </c>
      <c r="J154">
        <v>17.600000000000001</v>
      </c>
    </row>
    <row r="155" spans="1:10" x14ac:dyDescent="0.25">
      <c r="A155" t="s">
        <v>968</v>
      </c>
      <c r="B155" t="s">
        <v>285</v>
      </c>
      <c r="C155">
        <v>9.6999999999999993</v>
      </c>
      <c r="D155">
        <v>120.2</v>
      </c>
      <c r="E155">
        <v>0.8</v>
      </c>
      <c r="F155">
        <v>0</v>
      </c>
      <c r="G155">
        <v>0</v>
      </c>
      <c r="H155">
        <v>0</v>
      </c>
      <c r="I155">
        <v>0.1</v>
      </c>
      <c r="J155">
        <v>16.899999999999999</v>
      </c>
    </row>
    <row r="156" spans="1:10" x14ac:dyDescent="0.25">
      <c r="A156" t="s">
        <v>737</v>
      </c>
      <c r="B156" t="s">
        <v>280</v>
      </c>
      <c r="C156">
        <v>8.9</v>
      </c>
      <c r="D156">
        <v>117.3</v>
      </c>
      <c r="E156">
        <v>0.7</v>
      </c>
      <c r="F156">
        <v>1.1000000000000001</v>
      </c>
      <c r="G156">
        <v>7.2</v>
      </c>
      <c r="H156">
        <v>0</v>
      </c>
      <c r="I156">
        <v>0.1</v>
      </c>
      <c r="J156">
        <v>16.899999999999999</v>
      </c>
    </row>
    <row r="157" spans="1:10" x14ac:dyDescent="0.25">
      <c r="A157" t="s">
        <v>2433</v>
      </c>
      <c r="B157" t="s">
        <v>289</v>
      </c>
      <c r="C157">
        <v>9.4</v>
      </c>
      <c r="D157">
        <v>114</v>
      </c>
      <c r="E157">
        <v>0.8</v>
      </c>
      <c r="F157">
        <v>0.7</v>
      </c>
      <c r="G157">
        <v>4</v>
      </c>
      <c r="H157">
        <v>0</v>
      </c>
      <c r="I157">
        <v>0</v>
      </c>
      <c r="J157">
        <v>16.600000000000001</v>
      </c>
    </row>
    <row r="158" spans="1:10" x14ac:dyDescent="0.25">
      <c r="A158" t="s">
        <v>703</v>
      </c>
      <c r="B158" t="s">
        <v>281</v>
      </c>
      <c r="C158">
        <v>8</v>
      </c>
      <c r="D158">
        <v>115.9</v>
      </c>
      <c r="E158">
        <v>0.8</v>
      </c>
      <c r="F158">
        <v>0</v>
      </c>
      <c r="G158">
        <v>0</v>
      </c>
      <c r="H158">
        <v>0</v>
      </c>
      <c r="I158">
        <v>0</v>
      </c>
      <c r="J158">
        <v>16.5</v>
      </c>
    </row>
    <row r="159" spans="1:10" x14ac:dyDescent="0.25">
      <c r="A159" t="s">
        <v>998</v>
      </c>
      <c r="B159" t="s">
        <v>276</v>
      </c>
      <c r="C159">
        <v>10.199999999999999</v>
      </c>
      <c r="D159">
        <v>117.2</v>
      </c>
      <c r="E159">
        <v>0.8</v>
      </c>
      <c r="F159">
        <v>0</v>
      </c>
      <c r="G159">
        <v>0</v>
      </c>
      <c r="H159">
        <v>0</v>
      </c>
      <c r="I159">
        <v>0</v>
      </c>
      <c r="J159">
        <v>16.3</v>
      </c>
    </row>
    <row r="160" spans="1:10" x14ac:dyDescent="0.25">
      <c r="A160" t="s">
        <v>2438</v>
      </c>
      <c r="B160" t="s">
        <v>297</v>
      </c>
      <c r="C160">
        <v>9.6999999999999993</v>
      </c>
      <c r="D160">
        <v>114.4</v>
      </c>
      <c r="E160">
        <v>0.8</v>
      </c>
      <c r="F160">
        <v>0</v>
      </c>
      <c r="G160">
        <v>0</v>
      </c>
      <c r="H160">
        <v>0</v>
      </c>
      <c r="I160">
        <v>0</v>
      </c>
      <c r="J160">
        <v>16.2</v>
      </c>
    </row>
    <row r="161" spans="1:10" x14ac:dyDescent="0.25">
      <c r="A161" t="s">
        <v>803</v>
      </c>
      <c r="B161" t="s">
        <v>278</v>
      </c>
      <c r="C161">
        <v>8.1</v>
      </c>
      <c r="D161">
        <v>113</v>
      </c>
      <c r="E161">
        <v>0.6</v>
      </c>
      <c r="F161">
        <v>0</v>
      </c>
      <c r="G161">
        <v>0</v>
      </c>
      <c r="H161">
        <v>0</v>
      </c>
      <c r="I161">
        <v>0</v>
      </c>
      <c r="J161">
        <v>15</v>
      </c>
    </row>
    <row r="162" spans="1:10" x14ac:dyDescent="0.25">
      <c r="A162" t="s">
        <v>969</v>
      </c>
      <c r="B162" t="s">
        <v>282</v>
      </c>
      <c r="C162">
        <v>9.1</v>
      </c>
      <c r="D162">
        <v>113.6</v>
      </c>
      <c r="E162">
        <v>0.6</v>
      </c>
      <c r="F162">
        <v>0</v>
      </c>
      <c r="G162">
        <v>0</v>
      </c>
      <c r="H162">
        <v>0</v>
      </c>
      <c r="I162">
        <v>0.1</v>
      </c>
      <c r="J162">
        <v>14.7</v>
      </c>
    </row>
    <row r="163" spans="1:10" x14ac:dyDescent="0.25">
      <c r="A163" t="s">
        <v>2432</v>
      </c>
      <c r="B163" t="s">
        <v>276</v>
      </c>
      <c r="C163">
        <v>8.8000000000000007</v>
      </c>
      <c r="D163">
        <v>102.1</v>
      </c>
      <c r="E163">
        <v>0.7</v>
      </c>
      <c r="F163">
        <v>0</v>
      </c>
      <c r="G163">
        <v>0</v>
      </c>
      <c r="H163">
        <v>0</v>
      </c>
      <c r="I163">
        <v>0.1</v>
      </c>
      <c r="J163">
        <v>14.1</v>
      </c>
    </row>
    <row r="164" spans="1:10" x14ac:dyDescent="0.25">
      <c r="A164" t="s">
        <v>967</v>
      </c>
      <c r="B164" t="s">
        <v>299</v>
      </c>
      <c r="C164">
        <v>8.3000000000000007</v>
      </c>
      <c r="D164">
        <v>115.1</v>
      </c>
      <c r="E164">
        <v>0.4</v>
      </c>
      <c r="F164">
        <v>0</v>
      </c>
      <c r="G164">
        <v>0</v>
      </c>
      <c r="H164">
        <v>0</v>
      </c>
      <c r="I164">
        <v>0</v>
      </c>
      <c r="J164">
        <v>14.1</v>
      </c>
    </row>
    <row r="165" spans="1:10" x14ac:dyDescent="0.25">
      <c r="A165" t="s">
        <v>2435</v>
      </c>
      <c r="B165" t="s">
        <v>301</v>
      </c>
      <c r="C165">
        <v>8.6999999999999993</v>
      </c>
      <c r="D165">
        <v>107.3</v>
      </c>
      <c r="E165">
        <v>0.6</v>
      </c>
      <c r="F165">
        <v>0</v>
      </c>
      <c r="G165">
        <v>0</v>
      </c>
      <c r="H165">
        <v>0</v>
      </c>
      <c r="I165">
        <v>0</v>
      </c>
      <c r="J165">
        <v>14</v>
      </c>
    </row>
    <row r="166" spans="1:10" x14ac:dyDescent="0.25">
      <c r="A166" t="s">
        <v>736</v>
      </c>
      <c r="B166" t="s">
        <v>279</v>
      </c>
      <c r="C166">
        <v>9.6</v>
      </c>
      <c r="D166">
        <v>103.8</v>
      </c>
      <c r="E166">
        <v>0.6</v>
      </c>
      <c r="F166">
        <v>0</v>
      </c>
      <c r="G166">
        <v>0</v>
      </c>
      <c r="H166">
        <v>0</v>
      </c>
      <c r="I166">
        <v>0</v>
      </c>
      <c r="J166">
        <v>13.7</v>
      </c>
    </row>
    <row r="167" spans="1:10" x14ac:dyDescent="0.25">
      <c r="A167" t="s">
        <v>962</v>
      </c>
      <c r="B167" t="s">
        <v>277</v>
      </c>
      <c r="C167">
        <v>9.6999999999999993</v>
      </c>
      <c r="D167">
        <v>95.6</v>
      </c>
      <c r="E167">
        <v>0.7</v>
      </c>
      <c r="F167">
        <v>0</v>
      </c>
      <c r="G167">
        <v>0</v>
      </c>
      <c r="H167">
        <v>0</v>
      </c>
      <c r="I167">
        <v>0</v>
      </c>
      <c r="J167">
        <v>13.6</v>
      </c>
    </row>
    <row r="168" spans="1:10" x14ac:dyDescent="0.25">
      <c r="A168" t="s">
        <v>1029</v>
      </c>
      <c r="B168" t="s">
        <v>286</v>
      </c>
      <c r="C168">
        <v>7.7</v>
      </c>
      <c r="D168">
        <v>95.2</v>
      </c>
      <c r="E168">
        <v>0.6</v>
      </c>
      <c r="F168">
        <v>0</v>
      </c>
      <c r="G168">
        <v>0</v>
      </c>
      <c r="H168">
        <v>0</v>
      </c>
      <c r="I168">
        <v>0</v>
      </c>
      <c r="J168">
        <v>13.4</v>
      </c>
    </row>
    <row r="169" spans="1:10" x14ac:dyDescent="0.25">
      <c r="A169" t="s">
        <v>2441</v>
      </c>
      <c r="B169" t="s">
        <v>279</v>
      </c>
      <c r="C169">
        <v>8.1</v>
      </c>
      <c r="D169">
        <v>100.8</v>
      </c>
      <c r="E169">
        <v>0.5</v>
      </c>
      <c r="F169">
        <v>0</v>
      </c>
      <c r="G169">
        <v>0</v>
      </c>
      <c r="H169">
        <v>0</v>
      </c>
      <c r="I169">
        <v>0</v>
      </c>
      <c r="J169">
        <v>12.8</v>
      </c>
    </row>
    <row r="170" spans="1:10" x14ac:dyDescent="0.25">
      <c r="A170" t="s">
        <v>2740</v>
      </c>
      <c r="B170" t="s">
        <v>291</v>
      </c>
      <c r="C170">
        <v>7.4</v>
      </c>
      <c r="D170">
        <v>88</v>
      </c>
      <c r="E170">
        <v>0.6</v>
      </c>
      <c r="F170">
        <v>0</v>
      </c>
      <c r="G170">
        <v>0</v>
      </c>
      <c r="H170">
        <v>0</v>
      </c>
      <c r="I170">
        <v>0</v>
      </c>
      <c r="J170">
        <v>12.5</v>
      </c>
    </row>
    <row r="171" spans="1:10" x14ac:dyDescent="0.25">
      <c r="A171" t="s">
        <v>2434</v>
      </c>
      <c r="B171" t="s">
        <v>275</v>
      </c>
      <c r="C171">
        <v>6.8</v>
      </c>
      <c r="D171">
        <v>80.900000000000006</v>
      </c>
      <c r="E171">
        <v>0.7</v>
      </c>
      <c r="F171">
        <v>0</v>
      </c>
      <c r="G171">
        <v>0</v>
      </c>
      <c r="H171">
        <v>0</v>
      </c>
      <c r="I171">
        <v>0</v>
      </c>
      <c r="J171">
        <v>12.4</v>
      </c>
    </row>
    <row r="172" spans="1:10" x14ac:dyDescent="0.25">
      <c r="A172" t="s">
        <v>2676</v>
      </c>
      <c r="B172" t="s">
        <v>291</v>
      </c>
      <c r="C172">
        <v>7.5</v>
      </c>
      <c r="D172">
        <v>91.6</v>
      </c>
      <c r="E172">
        <v>0.5</v>
      </c>
      <c r="F172">
        <v>0</v>
      </c>
      <c r="G172">
        <v>0</v>
      </c>
      <c r="H172">
        <v>0</v>
      </c>
      <c r="I172">
        <v>0</v>
      </c>
      <c r="J172">
        <v>12.3</v>
      </c>
    </row>
    <row r="173" spans="1:10" x14ac:dyDescent="0.25">
      <c r="A173" t="s">
        <v>392</v>
      </c>
      <c r="B173" t="s">
        <v>299</v>
      </c>
      <c r="C173">
        <v>7.7</v>
      </c>
      <c r="D173">
        <v>91.7</v>
      </c>
      <c r="E173">
        <v>0.5</v>
      </c>
      <c r="F173">
        <v>0</v>
      </c>
      <c r="G173">
        <v>0</v>
      </c>
      <c r="H173">
        <v>0</v>
      </c>
      <c r="I173">
        <v>0.1</v>
      </c>
      <c r="J173">
        <v>12.2</v>
      </c>
    </row>
    <row r="174" spans="1:10" x14ac:dyDescent="0.25">
      <c r="A174" t="s">
        <v>845</v>
      </c>
      <c r="B174" t="s">
        <v>293</v>
      </c>
      <c r="C174">
        <v>7.6</v>
      </c>
      <c r="D174">
        <v>87.7</v>
      </c>
      <c r="E174">
        <v>0.6</v>
      </c>
      <c r="F174">
        <v>0</v>
      </c>
      <c r="G174">
        <v>0</v>
      </c>
      <c r="H174">
        <v>0</v>
      </c>
      <c r="I174">
        <v>0</v>
      </c>
      <c r="J174">
        <v>12.1</v>
      </c>
    </row>
    <row r="175" spans="1:10" x14ac:dyDescent="0.25">
      <c r="A175" t="s">
        <v>2678</v>
      </c>
      <c r="B175" t="s">
        <v>285</v>
      </c>
      <c r="C175">
        <v>4.5999999999999996</v>
      </c>
      <c r="D175">
        <v>59.2</v>
      </c>
      <c r="E175">
        <v>0.4</v>
      </c>
      <c r="F175">
        <v>4.4000000000000004</v>
      </c>
      <c r="G175">
        <v>26.6</v>
      </c>
      <c r="H175">
        <v>0.2</v>
      </c>
      <c r="I175">
        <v>0</v>
      </c>
      <c r="J175">
        <v>11.9</v>
      </c>
    </row>
    <row r="176" spans="1:10" x14ac:dyDescent="0.25">
      <c r="A176" t="s">
        <v>804</v>
      </c>
      <c r="B176" t="s">
        <v>281</v>
      </c>
      <c r="C176">
        <v>6.5</v>
      </c>
      <c r="D176">
        <v>82.1</v>
      </c>
      <c r="E176">
        <v>0.6</v>
      </c>
      <c r="F176">
        <v>0</v>
      </c>
      <c r="G176">
        <v>0</v>
      </c>
      <c r="H176">
        <v>0</v>
      </c>
      <c r="I176">
        <v>0</v>
      </c>
      <c r="J176">
        <v>11.8</v>
      </c>
    </row>
    <row r="177" spans="1:10" x14ac:dyDescent="0.25">
      <c r="A177" t="s">
        <v>994</v>
      </c>
      <c r="B177" t="s">
        <v>280</v>
      </c>
      <c r="C177">
        <v>6.7</v>
      </c>
      <c r="D177">
        <v>79</v>
      </c>
      <c r="E177">
        <v>0.5</v>
      </c>
      <c r="F177">
        <v>0</v>
      </c>
      <c r="G177">
        <v>0</v>
      </c>
      <c r="H177">
        <v>0</v>
      </c>
      <c r="I177">
        <v>0</v>
      </c>
      <c r="J177">
        <v>11.1</v>
      </c>
    </row>
    <row r="178" spans="1:10" x14ac:dyDescent="0.25">
      <c r="A178" t="s">
        <v>853</v>
      </c>
      <c r="B178" t="s">
        <v>280</v>
      </c>
      <c r="C178">
        <v>6</v>
      </c>
      <c r="D178">
        <v>74.099999999999994</v>
      </c>
      <c r="E178">
        <v>0.6</v>
      </c>
      <c r="F178">
        <v>0</v>
      </c>
      <c r="G178">
        <v>0</v>
      </c>
      <c r="H178">
        <v>0</v>
      </c>
      <c r="I178">
        <v>0</v>
      </c>
      <c r="J178">
        <v>11</v>
      </c>
    </row>
    <row r="179" spans="1:10" x14ac:dyDescent="0.25">
      <c r="A179" t="s">
        <v>858</v>
      </c>
      <c r="B179" t="s">
        <v>304</v>
      </c>
      <c r="C179">
        <v>6.1</v>
      </c>
      <c r="D179">
        <v>84.4</v>
      </c>
      <c r="E179">
        <v>0.4</v>
      </c>
      <c r="F179">
        <v>0</v>
      </c>
      <c r="G179">
        <v>0</v>
      </c>
      <c r="H179">
        <v>0</v>
      </c>
      <c r="I179">
        <v>0</v>
      </c>
      <c r="J179">
        <v>10.9</v>
      </c>
    </row>
    <row r="180" spans="1:10" x14ac:dyDescent="0.25">
      <c r="A180" t="s">
        <v>2741</v>
      </c>
      <c r="B180" t="s">
        <v>284</v>
      </c>
      <c r="C180">
        <v>6.4</v>
      </c>
      <c r="D180">
        <v>77.2</v>
      </c>
      <c r="E180">
        <v>0.5</v>
      </c>
      <c r="F180">
        <v>0</v>
      </c>
      <c r="G180">
        <v>0</v>
      </c>
      <c r="H180">
        <v>0</v>
      </c>
      <c r="I180">
        <v>0</v>
      </c>
      <c r="J180">
        <v>10.8</v>
      </c>
    </row>
    <row r="181" spans="1:10" x14ac:dyDescent="0.25">
      <c r="A181" t="s">
        <v>403</v>
      </c>
      <c r="B181" t="s">
        <v>290</v>
      </c>
      <c r="C181">
        <v>6.9</v>
      </c>
      <c r="D181">
        <v>73.099999999999994</v>
      </c>
      <c r="E181">
        <v>0.6</v>
      </c>
      <c r="F181">
        <v>0</v>
      </c>
      <c r="G181">
        <v>0</v>
      </c>
      <c r="H181">
        <v>0</v>
      </c>
      <c r="I181">
        <v>0</v>
      </c>
      <c r="J181">
        <v>10.7</v>
      </c>
    </row>
    <row r="182" spans="1:10" x14ac:dyDescent="0.25">
      <c r="A182" t="s">
        <v>999</v>
      </c>
      <c r="B182" t="s">
        <v>276</v>
      </c>
      <c r="C182">
        <v>6.2</v>
      </c>
      <c r="D182">
        <v>80.099999999999994</v>
      </c>
      <c r="E182">
        <v>0.5</v>
      </c>
      <c r="F182">
        <v>0</v>
      </c>
      <c r="G182">
        <v>0</v>
      </c>
      <c r="H182">
        <v>0</v>
      </c>
      <c r="I182">
        <v>0</v>
      </c>
      <c r="J182">
        <v>10.7</v>
      </c>
    </row>
    <row r="183" spans="1:10" x14ac:dyDescent="0.25">
      <c r="A183" t="s">
        <v>838</v>
      </c>
      <c r="B183" t="s">
        <v>304</v>
      </c>
      <c r="C183">
        <v>6.1</v>
      </c>
      <c r="D183">
        <v>82.8</v>
      </c>
      <c r="E183">
        <v>0.4</v>
      </c>
      <c r="F183">
        <v>0</v>
      </c>
      <c r="G183">
        <v>0</v>
      </c>
      <c r="H183">
        <v>0</v>
      </c>
      <c r="I183">
        <v>0</v>
      </c>
      <c r="J183">
        <v>10.7</v>
      </c>
    </row>
    <row r="184" spans="1:10" x14ac:dyDescent="0.25">
      <c r="A184" t="s">
        <v>970</v>
      </c>
      <c r="B184" t="s">
        <v>306</v>
      </c>
      <c r="C184">
        <v>5.4</v>
      </c>
      <c r="D184">
        <v>77.400000000000006</v>
      </c>
      <c r="E184">
        <v>0.5</v>
      </c>
      <c r="F184">
        <v>0</v>
      </c>
      <c r="G184">
        <v>0</v>
      </c>
      <c r="H184">
        <v>0</v>
      </c>
      <c r="I184">
        <v>0</v>
      </c>
      <c r="J184">
        <v>10.6</v>
      </c>
    </row>
    <row r="185" spans="1:10" x14ac:dyDescent="0.25">
      <c r="A185" t="s">
        <v>995</v>
      </c>
      <c r="B185" t="s">
        <v>284</v>
      </c>
      <c r="C185">
        <v>6.4</v>
      </c>
      <c r="D185">
        <v>76.400000000000006</v>
      </c>
      <c r="E185">
        <v>0.5</v>
      </c>
      <c r="F185">
        <v>0</v>
      </c>
      <c r="G185">
        <v>0</v>
      </c>
      <c r="H185">
        <v>0</v>
      </c>
      <c r="I185">
        <v>0.1</v>
      </c>
      <c r="J185">
        <v>10.5</v>
      </c>
    </row>
    <row r="186" spans="1:10" x14ac:dyDescent="0.25">
      <c r="A186" t="s">
        <v>582</v>
      </c>
      <c r="B186" t="s">
        <v>296</v>
      </c>
      <c r="C186">
        <v>6.1</v>
      </c>
      <c r="D186">
        <v>68.099999999999994</v>
      </c>
      <c r="E186">
        <v>0.6</v>
      </c>
      <c r="F186">
        <v>0</v>
      </c>
      <c r="G186">
        <v>0</v>
      </c>
      <c r="H186">
        <v>0</v>
      </c>
      <c r="I186">
        <v>0.1</v>
      </c>
      <c r="J186">
        <v>10.5</v>
      </c>
    </row>
    <row r="187" spans="1:10" x14ac:dyDescent="0.25">
      <c r="A187" t="s">
        <v>956</v>
      </c>
      <c r="B187" t="s">
        <v>814</v>
      </c>
      <c r="C187">
        <v>6</v>
      </c>
      <c r="D187">
        <v>77.099999999999994</v>
      </c>
      <c r="E187">
        <v>0.5</v>
      </c>
      <c r="F187">
        <v>0</v>
      </c>
      <c r="G187">
        <v>0</v>
      </c>
      <c r="H187">
        <v>0</v>
      </c>
      <c r="I187">
        <v>0.1</v>
      </c>
      <c r="J187">
        <v>10.5</v>
      </c>
    </row>
    <row r="188" spans="1:10" x14ac:dyDescent="0.25">
      <c r="A188" t="s">
        <v>861</v>
      </c>
      <c r="B188" t="s">
        <v>299</v>
      </c>
      <c r="C188">
        <v>5.9</v>
      </c>
      <c r="D188">
        <v>76.7</v>
      </c>
      <c r="E188">
        <v>0.4</v>
      </c>
      <c r="F188">
        <v>0</v>
      </c>
      <c r="G188">
        <v>0</v>
      </c>
      <c r="H188">
        <v>0</v>
      </c>
      <c r="I188">
        <v>0</v>
      </c>
      <c r="J188">
        <v>10.3</v>
      </c>
    </row>
    <row r="189" spans="1:10" x14ac:dyDescent="0.25">
      <c r="A189" t="s">
        <v>710</v>
      </c>
      <c r="B189" t="s">
        <v>288</v>
      </c>
      <c r="C189">
        <v>6.1</v>
      </c>
      <c r="D189">
        <v>75.900000000000006</v>
      </c>
      <c r="E189">
        <v>0.4</v>
      </c>
      <c r="F189">
        <v>0</v>
      </c>
      <c r="G189">
        <v>0</v>
      </c>
      <c r="H189">
        <v>0</v>
      </c>
      <c r="I189">
        <v>0</v>
      </c>
      <c r="J189">
        <v>10.1</v>
      </c>
    </row>
    <row r="190" spans="1:10" x14ac:dyDescent="0.25">
      <c r="A190" t="s">
        <v>644</v>
      </c>
      <c r="B190" t="s">
        <v>286</v>
      </c>
      <c r="C190">
        <v>5.9</v>
      </c>
      <c r="D190">
        <v>69.900000000000006</v>
      </c>
      <c r="E190">
        <v>0.5</v>
      </c>
      <c r="F190">
        <v>0</v>
      </c>
      <c r="G190">
        <v>0</v>
      </c>
      <c r="H190">
        <v>0</v>
      </c>
      <c r="I190">
        <v>0.1</v>
      </c>
      <c r="J190">
        <v>9.6</v>
      </c>
    </row>
    <row r="191" spans="1:10" x14ac:dyDescent="0.25">
      <c r="A191" t="s">
        <v>2677</v>
      </c>
      <c r="B191" t="s">
        <v>306</v>
      </c>
      <c r="C191">
        <v>5.3</v>
      </c>
      <c r="D191">
        <v>60.8</v>
      </c>
      <c r="E191">
        <v>0.5</v>
      </c>
      <c r="F191">
        <v>0</v>
      </c>
      <c r="G191">
        <v>0</v>
      </c>
      <c r="H191">
        <v>0</v>
      </c>
      <c r="I191">
        <v>0</v>
      </c>
      <c r="J191">
        <v>9.1999999999999993</v>
      </c>
    </row>
    <row r="192" spans="1:10" x14ac:dyDescent="0.25">
      <c r="A192" t="s">
        <v>571</v>
      </c>
      <c r="B192" t="s">
        <v>277</v>
      </c>
      <c r="C192">
        <v>5.9</v>
      </c>
      <c r="D192">
        <v>60.8</v>
      </c>
      <c r="E192">
        <v>0.5</v>
      </c>
      <c r="F192">
        <v>0</v>
      </c>
      <c r="G192">
        <v>0</v>
      </c>
      <c r="H192">
        <v>0</v>
      </c>
      <c r="I192">
        <v>0</v>
      </c>
      <c r="J192">
        <v>8.8000000000000007</v>
      </c>
    </row>
    <row r="193" spans="1:10" x14ac:dyDescent="0.25">
      <c r="A193" t="s">
        <v>2439</v>
      </c>
      <c r="B193" t="s">
        <v>292</v>
      </c>
      <c r="C193">
        <v>5.8</v>
      </c>
      <c r="D193">
        <v>67.8</v>
      </c>
      <c r="E193">
        <v>0.3</v>
      </c>
      <c r="F193">
        <v>0</v>
      </c>
      <c r="G193">
        <v>0</v>
      </c>
      <c r="H193">
        <v>0</v>
      </c>
      <c r="I193">
        <v>0.1</v>
      </c>
      <c r="J193">
        <v>8.5</v>
      </c>
    </row>
    <row r="194" spans="1:10" x14ac:dyDescent="0.25">
      <c r="A194" t="s">
        <v>393</v>
      </c>
      <c r="B194" t="s">
        <v>282</v>
      </c>
      <c r="C194">
        <v>3.9</v>
      </c>
      <c r="D194">
        <v>65.5</v>
      </c>
      <c r="E194">
        <v>0.3</v>
      </c>
      <c r="F194">
        <v>0</v>
      </c>
      <c r="G194">
        <v>0</v>
      </c>
      <c r="H194">
        <v>0</v>
      </c>
      <c r="I194">
        <v>0</v>
      </c>
      <c r="J194">
        <v>8.3000000000000007</v>
      </c>
    </row>
    <row r="195" spans="1:10" x14ac:dyDescent="0.25">
      <c r="A195" t="s">
        <v>738</v>
      </c>
      <c r="B195" t="s">
        <v>294</v>
      </c>
      <c r="C195">
        <v>4.5999999999999996</v>
      </c>
      <c r="D195">
        <v>54.6</v>
      </c>
      <c r="E195">
        <v>0.3</v>
      </c>
      <c r="F195">
        <v>0</v>
      </c>
      <c r="G195">
        <v>0</v>
      </c>
      <c r="H195">
        <v>0</v>
      </c>
      <c r="I195">
        <v>0</v>
      </c>
      <c r="J195">
        <v>7.5</v>
      </c>
    </row>
    <row r="196" spans="1:10" x14ac:dyDescent="0.25">
      <c r="A196" t="s">
        <v>865</v>
      </c>
      <c r="B196" t="s">
        <v>290</v>
      </c>
      <c r="C196">
        <v>5.0999999999999996</v>
      </c>
      <c r="D196">
        <v>56.9</v>
      </c>
      <c r="E196">
        <v>0.3</v>
      </c>
      <c r="F196">
        <v>0</v>
      </c>
      <c r="G196">
        <v>0</v>
      </c>
      <c r="H196">
        <v>0</v>
      </c>
      <c r="I196">
        <v>0</v>
      </c>
      <c r="J196">
        <v>7.3</v>
      </c>
    </row>
    <row r="197" spans="1:10" x14ac:dyDescent="0.25">
      <c r="A197" t="s">
        <v>800</v>
      </c>
      <c r="B197" t="s">
        <v>278</v>
      </c>
      <c r="C197">
        <v>4.8</v>
      </c>
      <c r="D197">
        <v>52.6</v>
      </c>
      <c r="E197">
        <v>0.3</v>
      </c>
      <c r="F197">
        <v>0</v>
      </c>
      <c r="G197">
        <v>0</v>
      </c>
      <c r="H197">
        <v>0</v>
      </c>
      <c r="I197">
        <v>0</v>
      </c>
      <c r="J197">
        <v>7.2</v>
      </c>
    </row>
    <row r="198" spans="1:10" x14ac:dyDescent="0.25">
      <c r="A198" t="s">
        <v>2440</v>
      </c>
      <c r="B198" t="s">
        <v>279</v>
      </c>
      <c r="C198">
        <v>4.8</v>
      </c>
      <c r="D198">
        <v>52.3</v>
      </c>
      <c r="E198">
        <v>0.3</v>
      </c>
      <c r="F198">
        <v>0</v>
      </c>
      <c r="G198">
        <v>0</v>
      </c>
      <c r="H198">
        <v>0</v>
      </c>
      <c r="I198">
        <v>0</v>
      </c>
      <c r="J198">
        <v>7.1</v>
      </c>
    </row>
    <row r="199" spans="1:10" x14ac:dyDescent="0.25">
      <c r="A199" t="s">
        <v>631</v>
      </c>
      <c r="B199" t="s">
        <v>290</v>
      </c>
      <c r="C199">
        <v>5</v>
      </c>
      <c r="D199">
        <v>54.1</v>
      </c>
      <c r="E199">
        <v>0.3</v>
      </c>
      <c r="F199">
        <v>0</v>
      </c>
      <c r="G199">
        <v>0</v>
      </c>
      <c r="H199">
        <v>0</v>
      </c>
      <c r="I199">
        <v>0</v>
      </c>
      <c r="J199">
        <v>7</v>
      </c>
    </row>
    <row r="200" spans="1:10" x14ac:dyDescent="0.25">
      <c r="A200" t="s">
        <v>2630</v>
      </c>
      <c r="B200" t="s">
        <v>275</v>
      </c>
      <c r="C200">
        <v>3.5</v>
      </c>
      <c r="D200">
        <v>44.1</v>
      </c>
      <c r="E200">
        <v>0.3</v>
      </c>
      <c r="F200">
        <v>0</v>
      </c>
      <c r="G200">
        <v>0</v>
      </c>
      <c r="H200">
        <v>0</v>
      </c>
      <c r="I200">
        <v>0</v>
      </c>
      <c r="J200">
        <v>6.4</v>
      </c>
    </row>
    <row r="201" spans="1:10" x14ac:dyDescent="0.25">
      <c r="A201" t="s">
        <v>1000</v>
      </c>
      <c r="B201" t="s">
        <v>289</v>
      </c>
      <c r="C201">
        <v>3.5</v>
      </c>
      <c r="D201">
        <v>41.1</v>
      </c>
      <c r="E201">
        <v>0.3</v>
      </c>
      <c r="F201">
        <v>0</v>
      </c>
      <c r="G201">
        <v>0</v>
      </c>
      <c r="H201">
        <v>0</v>
      </c>
      <c r="I201">
        <v>0</v>
      </c>
      <c r="J201">
        <v>6.1</v>
      </c>
    </row>
    <row r="202" spans="1:10" x14ac:dyDescent="0.25">
      <c r="A202" t="s">
        <v>868</v>
      </c>
      <c r="B202" t="s">
        <v>290</v>
      </c>
      <c r="C202">
        <v>3.5</v>
      </c>
      <c r="D202">
        <v>39.6</v>
      </c>
      <c r="E202">
        <v>0.3</v>
      </c>
      <c r="F202">
        <v>0</v>
      </c>
      <c r="G202">
        <v>0</v>
      </c>
      <c r="H202">
        <v>0</v>
      </c>
      <c r="I202">
        <v>0</v>
      </c>
      <c r="J202">
        <v>5.8</v>
      </c>
    </row>
    <row r="203" spans="1:10" x14ac:dyDescent="0.25">
      <c r="A203" t="s">
        <v>704</v>
      </c>
      <c r="B203" t="s">
        <v>294</v>
      </c>
      <c r="C203">
        <v>3.4</v>
      </c>
      <c r="D203">
        <v>42.4</v>
      </c>
      <c r="E203">
        <v>0.3</v>
      </c>
      <c r="F203">
        <v>0</v>
      </c>
      <c r="G203">
        <v>0</v>
      </c>
      <c r="H203">
        <v>0</v>
      </c>
      <c r="I203">
        <v>0</v>
      </c>
      <c r="J203">
        <v>5.8</v>
      </c>
    </row>
    <row r="204" spans="1:10" x14ac:dyDescent="0.25">
      <c r="A204" t="s">
        <v>729</v>
      </c>
      <c r="B204" t="s">
        <v>301</v>
      </c>
      <c r="C204">
        <v>3.2</v>
      </c>
      <c r="D204">
        <v>35.299999999999997</v>
      </c>
      <c r="E204">
        <v>0.3</v>
      </c>
      <c r="F204">
        <v>0</v>
      </c>
      <c r="G204">
        <v>0</v>
      </c>
      <c r="H204">
        <v>0</v>
      </c>
      <c r="I204">
        <v>0</v>
      </c>
      <c r="J204">
        <v>5.5</v>
      </c>
    </row>
    <row r="205" spans="1:10" x14ac:dyDescent="0.25">
      <c r="A205" t="s">
        <v>697</v>
      </c>
      <c r="B205" t="s">
        <v>299</v>
      </c>
      <c r="C205">
        <v>3.6</v>
      </c>
      <c r="D205">
        <v>45.5</v>
      </c>
      <c r="E205">
        <v>0.2</v>
      </c>
      <c r="F205">
        <v>0</v>
      </c>
      <c r="G205">
        <v>0</v>
      </c>
      <c r="H205">
        <v>0</v>
      </c>
      <c r="I205">
        <v>0</v>
      </c>
      <c r="J205">
        <v>5.4</v>
      </c>
    </row>
    <row r="206" spans="1:10" x14ac:dyDescent="0.25">
      <c r="A206" t="s">
        <v>2621</v>
      </c>
      <c r="B206" t="s">
        <v>301</v>
      </c>
      <c r="C206">
        <v>3.4</v>
      </c>
      <c r="D206">
        <v>41.5</v>
      </c>
      <c r="E206">
        <v>0.2</v>
      </c>
      <c r="F206">
        <v>0</v>
      </c>
      <c r="G206">
        <v>0</v>
      </c>
      <c r="H206">
        <v>0</v>
      </c>
      <c r="I206">
        <v>0</v>
      </c>
      <c r="J206">
        <v>5.2</v>
      </c>
    </row>
    <row r="207" spans="1:10" x14ac:dyDescent="0.25">
      <c r="A207" t="s">
        <v>2620</v>
      </c>
      <c r="B207" t="s">
        <v>285</v>
      </c>
      <c r="C207">
        <v>5</v>
      </c>
      <c r="D207">
        <v>52</v>
      </c>
      <c r="E207">
        <v>0</v>
      </c>
      <c r="F207">
        <v>0</v>
      </c>
      <c r="G207">
        <v>0</v>
      </c>
      <c r="H207">
        <v>0</v>
      </c>
      <c r="I207">
        <v>0</v>
      </c>
      <c r="J207">
        <v>5.2</v>
      </c>
    </row>
    <row r="208" spans="1:10" x14ac:dyDescent="0.25">
      <c r="A208" t="s">
        <v>727</v>
      </c>
      <c r="B208" t="s">
        <v>298</v>
      </c>
      <c r="C208">
        <v>3.5</v>
      </c>
      <c r="D208">
        <v>38.799999999999997</v>
      </c>
      <c r="E208">
        <v>0.2</v>
      </c>
      <c r="F208">
        <v>0</v>
      </c>
      <c r="G208">
        <v>0</v>
      </c>
      <c r="H208">
        <v>0</v>
      </c>
      <c r="I208">
        <v>0</v>
      </c>
      <c r="J208">
        <v>5.0999999999999996</v>
      </c>
    </row>
    <row r="209" spans="1:10" x14ac:dyDescent="0.25">
      <c r="A209" t="s">
        <v>573</v>
      </c>
      <c r="B209" t="s">
        <v>299</v>
      </c>
      <c r="C209">
        <v>2.9</v>
      </c>
      <c r="D209">
        <v>38.799999999999997</v>
      </c>
      <c r="E209">
        <v>0.2</v>
      </c>
      <c r="F209">
        <v>0</v>
      </c>
      <c r="G209">
        <v>0</v>
      </c>
      <c r="H209">
        <v>0</v>
      </c>
      <c r="I209">
        <v>0</v>
      </c>
      <c r="J209">
        <v>4.9000000000000004</v>
      </c>
    </row>
    <row r="210" spans="1:10" x14ac:dyDescent="0.25">
      <c r="A210" t="s">
        <v>852</v>
      </c>
      <c r="B210" t="s">
        <v>288</v>
      </c>
      <c r="C210">
        <v>2.9</v>
      </c>
      <c r="D210">
        <v>36.299999999999997</v>
      </c>
      <c r="E210">
        <v>0.2</v>
      </c>
      <c r="F210">
        <v>0</v>
      </c>
      <c r="G210">
        <v>0</v>
      </c>
      <c r="H210">
        <v>0</v>
      </c>
      <c r="I210">
        <v>0</v>
      </c>
      <c r="J210">
        <v>4.9000000000000004</v>
      </c>
    </row>
    <row r="211" spans="1:10" x14ac:dyDescent="0.25">
      <c r="A211" t="s">
        <v>863</v>
      </c>
      <c r="B211" t="s">
        <v>299</v>
      </c>
      <c r="C211">
        <v>3</v>
      </c>
      <c r="D211">
        <v>38.6</v>
      </c>
      <c r="E211">
        <v>0.2</v>
      </c>
      <c r="F211">
        <v>0</v>
      </c>
      <c r="G211">
        <v>0</v>
      </c>
      <c r="H211">
        <v>0</v>
      </c>
      <c r="I211">
        <v>0</v>
      </c>
      <c r="J211">
        <v>4.9000000000000004</v>
      </c>
    </row>
    <row r="212" spans="1:10" x14ac:dyDescent="0.25">
      <c r="A212" t="s">
        <v>965</v>
      </c>
      <c r="B212" t="s">
        <v>281</v>
      </c>
      <c r="C212">
        <v>2.9</v>
      </c>
      <c r="D212">
        <v>32.799999999999997</v>
      </c>
      <c r="E212">
        <v>0.3</v>
      </c>
      <c r="F212">
        <v>0</v>
      </c>
      <c r="G212">
        <v>0</v>
      </c>
      <c r="H212">
        <v>0</v>
      </c>
      <c r="I212">
        <v>0</v>
      </c>
      <c r="J212">
        <v>4.8</v>
      </c>
    </row>
    <row r="213" spans="1:10" x14ac:dyDescent="0.25">
      <c r="A213" t="s">
        <v>640</v>
      </c>
      <c r="B213" t="s">
        <v>289</v>
      </c>
      <c r="C213">
        <v>2.6</v>
      </c>
      <c r="D213">
        <v>32.9</v>
      </c>
      <c r="E213">
        <v>0.3</v>
      </c>
      <c r="F213">
        <v>0</v>
      </c>
      <c r="G213">
        <v>0</v>
      </c>
      <c r="H213">
        <v>0</v>
      </c>
      <c r="I213">
        <v>0</v>
      </c>
      <c r="J213">
        <v>4.8</v>
      </c>
    </row>
    <row r="214" spans="1:10" x14ac:dyDescent="0.25">
      <c r="A214" t="s">
        <v>2667</v>
      </c>
      <c r="B214" t="s">
        <v>278</v>
      </c>
      <c r="C214">
        <v>3.2</v>
      </c>
      <c r="D214">
        <v>35.5</v>
      </c>
      <c r="E214">
        <v>0.2</v>
      </c>
      <c r="F214">
        <v>0</v>
      </c>
      <c r="G214">
        <v>0</v>
      </c>
      <c r="H214">
        <v>0</v>
      </c>
      <c r="I214">
        <v>0</v>
      </c>
      <c r="J214">
        <v>4.5999999999999996</v>
      </c>
    </row>
    <row r="215" spans="1:10" x14ac:dyDescent="0.25">
      <c r="A215" t="s">
        <v>1001</v>
      </c>
      <c r="B215" t="s">
        <v>283</v>
      </c>
      <c r="C215">
        <v>2.5</v>
      </c>
      <c r="D215">
        <v>28.7</v>
      </c>
      <c r="E215">
        <v>0.2</v>
      </c>
      <c r="F215">
        <v>0</v>
      </c>
      <c r="G215">
        <v>0</v>
      </c>
      <c r="H215">
        <v>0</v>
      </c>
      <c r="I215">
        <v>0</v>
      </c>
      <c r="J215">
        <v>3.9</v>
      </c>
    </row>
    <row r="216" spans="1:10" x14ac:dyDescent="0.25">
      <c r="A216" t="s">
        <v>899</v>
      </c>
      <c r="B216" t="s">
        <v>288</v>
      </c>
      <c r="C216">
        <v>2.7</v>
      </c>
      <c r="D216">
        <v>27.7</v>
      </c>
      <c r="E216">
        <v>0.2</v>
      </c>
      <c r="F216">
        <v>0</v>
      </c>
      <c r="G216">
        <v>0</v>
      </c>
      <c r="H216">
        <v>0</v>
      </c>
      <c r="I216">
        <v>0</v>
      </c>
      <c r="J216">
        <v>3.7</v>
      </c>
    </row>
    <row r="217" spans="1:10" x14ac:dyDescent="0.25">
      <c r="A217" t="s">
        <v>963</v>
      </c>
      <c r="B217" t="s">
        <v>278</v>
      </c>
      <c r="C217">
        <v>2.4</v>
      </c>
      <c r="D217">
        <v>26.9</v>
      </c>
      <c r="E217">
        <v>0.2</v>
      </c>
      <c r="F217">
        <v>0</v>
      </c>
      <c r="G217">
        <v>0</v>
      </c>
      <c r="H217">
        <v>0</v>
      </c>
      <c r="I217">
        <v>0</v>
      </c>
      <c r="J217">
        <v>3.7</v>
      </c>
    </row>
    <row r="218" spans="1:10" x14ac:dyDescent="0.25">
      <c r="A218" t="s">
        <v>2679</v>
      </c>
      <c r="B218" t="s">
        <v>303</v>
      </c>
      <c r="C218">
        <v>1.8</v>
      </c>
      <c r="D218">
        <v>20.8</v>
      </c>
      <c r="E218">
        <v>0.2</v>
      </c>
      <c r="F218">
        <v>0</v>
      </c>
      <c r="G218">
        <v>0</v>
      </c>
      <c r="H218">
        <v>0</v>
      </c>
      <c r="I218">
        <v>0</v>
      </c>
      <c r="J218">
        <v>3.1</v>
      </c>
    </row>
    <row r="219" spans="1:10" x14ac:dyDescent="0.25">
      <c r="A219" t="s">
        <v>724</v>
      </c>
      <c r="B219" t="s">
        <v>303</v>
      </c>
      <c r="C219">
        <v>1.8</v>
      </c>
      <c r="D219">
        <v>20.399999999999999</v>
      </c>
      <c r="E219">
        <v>0.2</v>
      </c>
      <c r="F219">
        <v>0</v>
      </c>
      <c r="G219">
        <v>0</v>
      </c>
      <c r="H219">
        <v>0</v>
      </c>
      <c r="I219">
        <v>0</v>
      </c>
      <c r="J219">
        <v>3</v>
      </c>
    </row>
    <row r="220" spans="1:10" x14ac:dyDescent="0.25">
      <c r="A220" t="s">
        <v>2742</v>
      </c>
      <c r="B220" t="s">
        <v>306</v>
      </c>
      <c r="C220">
        <v>0</v>
      </c>
      <c r="D220">
        <v>0</v>
      </c>
      <c r="E220">
        <v>0</v>
      </c>
      <c r="F220">
        <v>0</v>
      </c>
      <c r="G220">
        <v>0</v>
      </c>
      <c r="H220">
        <v>0</v>
      </c>
      <c r="I220">
        <v>0</v>
      </c>
      <c r="J220">
        <v>0</v>
      </c>
    </row>
    <row r="221" spans="1:10" x14ac:dyDescent="0.25">
      <c r="A221" t="s">
        <v>2743</v>
      </c>
      <c r="B221" t="s">
        <v>277</v>
      </c>
      <c r="C221">
        <v>0</v>
      </c>
      <c r="D221">
        <v>0</v>
      </c>
      <c r="E221">
        <v>0</v>
      </c>
      <c r="F221">
        <v>0</v>
      </c>
      <c r="G221">
        <v>0</v>
      </c>
      <c r="H221">
        <v>0</v>
      </c>
      <c r="I221">
        <v>0</v>
      </c>
      <c r="J221">
        <v>0</v>
      </c>
    </row>
    <row r="222" spans="1:10" x14ac:dyDescent="0.25">
      <c r="A222" t="s">
        <v>516</v>
      </c>
      <c r="B222" t="s">
        <v>284</v>
      </c>
      <c r="C222">
        <v>0</v>
      </c>
      <c r="D222">
        <v>0</v>
      </c>
      <c r="E222">
        <v>0</v>
      </c>
      <c r="F222">
        <v>0</v>
      </c>
      <c r="G222">
        <v>0</v>
      </c>
      <c r="H222">
        <v>0</v>
      </c>
      <c r="I222">
        <v>0</v>
      </c>
      <c r="J222">
        <v>0</v>
      </c>
    </row>
    <row r="223" spans="1:10" x14ac:dyDescent="0.25">
      <c r="A223" t="s">
        <v>971</v>
      </c>
      <c r="B223" t="s">
        <v>304</v>
      </c>
      <c r="C223">
        <v>0</v>
      </c>
      <c r="D223">
        <v>0</v>
      </c>
      <c r="E223">
        <v>0</v>
      </c>
      <c r="F223">
        <v>0</v>
      </c>
      <c r="G223">
        <v>0</v>
      </c>
      <c r="H223">
        <v>0</v>
      </c>
      <c r="I223">
        <v>0</v>
      </c>
      <c r="J223">
        <v>0</v>
      </c>
    </row>
    <row r="224" spans="1:10" x14ac:dyDescent="0.25">
      <c r="A224" t="s">
        <v>2744</v>
      </c>
      <c r="B224" t="s">
        <v>282</v>
      </c>
      <c r="C224">
        <v>0</v>
      </c>
      <c r="D224">
        <v>0</v>
      </c>
      <c r="E224">
        <v>0</v>
      </c>
      <c r="F224">
        <v>0</v>
      </c>
      <c r="G224">
        <v>0</v>
      </c>
      <c r="H224">
        <v>0</v>
      </c>
      <c r="I224">
        <v>0</v>
      </c>
      <c r="J224">
        <v>0</v>
      </c>
    </row>
    <row r="225" spans="1:10" x14ac:dyDescent="0.25">
      <c r="A225" t="s">
        <v>2442</v>
      </c>
      <c r="B225" t="s">
        <v>295</v>
      </c>
      <c r="C225">
        <v>0</v>
      </c>
      <c r="D225">
        <v>0</v>
      </c>
      <c r="E225">
        <v>0</v>
      </c>
      <c r="F225">
        <v>0</v>
      </c>
      <c r="G225">
        <v>0</v>
      </c>
      <c r="H225">
        <v>0</v>
      </c>
      <c r="I225">
        <v>0</v>
      </c>
      <c r="J225">
        <v>0</v>
      </c>
    </row>
    <row r="226" spans="1:10" x14ac:dyDescent="0.25">
      <c r="A226" t="s">
        <v>401</v>
      </c>
      <c r="B226" t="s">
        <v>283</v>
      </c>
      <c r="C226">
        <v>0</v>
      </c>
      <c r="D226">
        <v>0</v>
      </c>
      <c r="E226">
        <v>0</v>
      </c>
      <c r="F226">
        <v>0</v>
      </c>
      <c r="G226">
        <v>0</v>
      </c>
      <c r="H226">
        <v>0</v>
      </c>
      <c r="I226">
        <v>0</v>
      </c>
      <c r="J226">
        <v>0</v>
      </c>
    </row>
    <row r="227" spans="1:10" x14ac:dyDescent="0.25">
      <c r="A227" t="s">
        <v>972</v>
      </c>
      <c r="B227" t="s">
        <v>297</v>
      </c>
      <c r="C227">
        <v>0</v>
      </c>
      <c r="D227">
        <v>0</v>
      </c>
      <c r="E227">
        <v>0</v>
      </c>
      <c r="F227">
        <v>0</v>
      </c>
      <c r="G227">
        <v>0</v>
      </c>
      <c r="H227">
        <v>0</v>
      </c>
      <c r="I227">
        <v>0</v>
      </c>
      <c r="J227">
        <v>0</v>
      </c>
    </row>
    <row r="228" spans="1:10" x14ac:dyDescent="0.25">
      <c r="A228" t="s">
        <v>731</v>
      </c>
      <c r="B228" t="s">
        <v>296</v>
      </c>
      <c r="C228">
        <v>0</v>
      </c>
      <c r="D228">
        <v>0</v>
      </c>
      <c r="E228">
        <v>0</v>
      </c>
      <c r="F228">
        <v>0</v>
      </c>
      <c r="G228">
        <v>0</v>
      </c>
      <c r="H228">
        <v>0</v>
      </c>
      <c r="I228">
        <v>0</v>
      </c>
      <c r="J228">
        <v>0</v>
      </c>
    </row>
    <row r="229" spans="1:10" x14ac:dyDescent="0.25">
      <c r="A229" t="s">
        <v>2745</v>
      </c>
      <c r="B229" t="s">
        <v>277</v>
      </c>
      <c r="C229">
        <v>0</v>
      </c>
      <c r="D229">
        <v>0</v>
      </c>
      <c r="E229">
        <v>0</v>
      </c>
      <c r="F229">
        <v>0</v>
      </c>
      <c r="G229">
        <v>0</v>
      </c>
      <c r="H229">
        <v>0</v>
      </c>
      <c r="I229">
        <v>0</v>
      </c>
      <c r="J229">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J541"/>
  <sheetViews>
    <sheetView zoomScaleNormal="100" workbookViewId="0">
      <selection activeCell="A2" sqref="A2:J541"/>
    </sheetView>
  </sheetViews>
  <sheetFormatPr defaultColWidth="8.85546875" defaultRowHeight="15" x14ac:dyDescent="0.25"/>
  <cols>
    <col min="2" max="2" width="23.42578125" bestFit="1" customWidth="1"/>
    <col min="3" max="3" width="4.42578125" bestFit="1" customWidth="1"/>
    <col min="9" max="9" width="12" customWidth="1"/>
  </cols>
  <sheetData>
    <row r="1" spans="1:10" ht="24" thickBot="1" x14ac:dyDescent="0.3">
      <c r="A1" s="213" t="s">
        <v>253</v>
      </c>
      <c r="B1" s="213" t="s">
        <v>410</v>
      </c>
      <c r="C1" s="213" t="s">
        <v>20</v>
      </c>
      <c r="D1" s="2" t="s">
        <v>263</v>
      </c>
      <c r="E1" s="3" t="s">
        <v>14</v>
      </c>
      <c r="F1" s="3" t="s">
        <v>411</v>
      </c>
      <c r="G1" s="3" t="s">
        <v>412</v>
      </c>
      <c r="H1" s="3" t="s">
        <v>413</v>
      </c>
      <c r="I1" s="3" t="s">
        <v>414</v>
      </c>
      <c r="J1" s="3"/>
    </row>
    <row r="2" spans="1:10" x14ac:dyDescent="0.25">
      <c r="A2">
        <f ca="1">RANK(E2,E$2:E$541)</f>
        <v>1</v>
      </c>
      <c r="B2" t="s">
        <v>531</v>
      </c>
      <c r="C2" t="s">
        <v>29</v>
      </c>
      <c r="D2">
        <f ca="1">INDEX(INDIRECT($C2&amp;"!P:P"),MATCH($B2,INDIRECT($C2&amp;"!B:B"),0))</f>
        <v>400.89</v>
      </c>
      <c r="E2" s="210">
        <f ca="1">D2-LARGE(D$2:D$486,RBCount+WRCount+TECount+QBCount)</f>
        <v>289.69</v>
      </c>
      <c r="F2" t="str">
        <f ca="1">IF(H2&lt;=I2,"Starter",IF(G2&gt;=LARGE(G:G,FlexOn*LeagueInfo!$F$2),"Starter","Bench"))</f>
        <v>Starter</v>
      </c>
      <c r="G2">
        <f ca="1">IF(H2&gt;I2,D2,0)</f>
        <v>0</v>
      </c>
      <c r="H2">
        <f ca="1">INDEX(INDIRECT(""&amp;C2&amp;"!A2:A489"),MATCH(B2,INDIRECT(""&amp;C2&amp;"!B2:B489"),0))</f>
        <v>1</v>
      </c>
      <c r="I2">
        <f>IF(C2="RB",LeagueInfo!$D$4*LeagueInfo!$F$2,IF(C2="WR",LeagueInfo!$D$5*LeagueInfo!$F$2,IF(C2="TE",LeagueInfo!$D$6*LeagueInfo!$F$2,LeagueInfo!$D$3*LeagueInfo!$F$2)))</f>
        <v>12</v>
      </c>
    </row>
    <row r="3" spans="1:10" x14ac:dyDescent="0.25">
      <c r="A3">
        <f ca="1">RANK(E3,E$2:E$541)</f>
        <v>2</v>
      </c>
      <c r="B3" t="s">
        <v>914</v>
      </c>
      <c r="C3" t="s">
        <v>29</v>
      </c>
      <c r="D3">
        <f ca="1">INDEX(INDIRECT($C3&amp;"!P:P"),MATCH($B3,INDIRECT($C3&amp;"!B:B"),0))</f>
        <v>372.84799999999996</v>
      </c>
      <c r="E3" s="210">
        <f ca="1">D3-LARGE(D$2:D$486,RBCount+WRCount+TECount+QBCount)</f>
        <v>261.64799999999997</v>
      </c>
      <c r="F3" t="str">
        <f ca="1">IF(H3&lt;=I3,"Starter",IF(G3&gt;=LARGE(G:G,FlexOn*LeagueInfo!$F$2),"Starter","Bench"))</f>
        <v>Starter</v>
      </c>
      <c r="G3">
        <f ca="1">IF(H3&gt;I3,D3,0)</f>
        <v>0</v>
      </c>
      <c r="H3">
        <f ca="1">INDEX(INDIRECT(""&amp;C3&amp;"!A2:A489"),MATCH(B3,INDIRECT(""&amp;C3&amp;"!B2:B489"),0))</f>
        <v>2</v>
      </c>
      <c r="I3">
        <f>IF(C3="RB",LeagueInfo!$D$4*LeagueInfo!$F$2,IF(C3="WR",LeagueInfo!$D$5*LeagueInfo!$F$2,IF(C3="TE",LeagueInfo!$D$6*LeagueInfo!$F$2,LeagueInfo!$D$3*LeagueInfo!$F$2)))</f>
        <v>12</v>
      </c>
    </row>
    <row r="4" spans="1:10" x14ac:dyDescent="0.25">
      <c r="A4">
        <f ca="1">RANK(E4,E$2:E$541)</f>
        <v>3</v>
      </c>
      <c r="B4" t="s">
        <v>873</v>
      </c>
      <c r="C4" t="s">
        <v>29</v>
      </c>
      <c r="D4">
        <f ca="1">INDEX(INDIRECT($C4&amp;"!P:P"),MATCH($B4,INDIRECT($C4&amp;"!B:B"),0))</f>
        <v>355.84799999999996</v>
      </c>
      <c r="E4" s="210">
        <f ca="1">D4-LARGE(D$2:D$486,RBCount+WRCount+TECount+QBCount)</f>
        <v>244.64799999999997</v>
      </c>
      <c r="F4" t="str">
        <f ca="1">IF(H4&lt;=I4,"Starter",IF(G4&gt;=LARGE(G:G,FlexOn*LeagueInfo!$F$2),"Starter","Bench"))</f>
        <v>Starter</v>
      </c>
      <c r="G4">
        <f ca="1">IF(H4&gt;I4,D4,0)</f>
        <v>0</v>
      </c>
      <c r="H4">
        <f ca="1">INDEX(INDIRECT(""&amp;C4&amp;"!A2:A489"),MATCH(B4,INDIRECT(""&amp;C4&amp;"!B2:B489"),0))</f>
        <v>3</v>
      </c>
      <c r="I4">
        <f>IF(C4="RB",LeagueInfo!$D$4*LeagueInfo!$F$2,IF(C4="WR",LeagueInfo!$D$5*LeagueInfo!$F$2,IF(C4="TE",LeagueInfo!$D$6*LeagueInfo!$F$2,LeagueInfo!$D$3*LeagueInfo!$F$2)))</f>
        <v>12</v>
      </c>
    </row>
    <row r="5" spans="1:10" x14ac:dyDescent="0.25">
      <c r="A5">
        <f ca="1">RANK(E5,E$2:E$541)</f>
        <v>4</v>
      </c>
      <c r="B5" t="s">
        <v>534</v>
      </c>
      <c r="C5" t="s">
        <v>29</v>
      </c>
      <c r="D5">
        <f ca="1">INDEX(INDIRECT($C5&amp;"!P:P"),MATCH($B5,INDIRECT($C5&amp;"!B:B"),0))</f>
        <v>352.12799999999999</v>
      </c>
      <c r="E5" s="210">
        <f ca="1">D5-LARGE(D$2:D$486,RBCount+WRCount+TECount+QBCount)</f>
        <v>240.928</v>
      </c>
      <c r="F5" t="str">
        <f ca="1">IF(H5&lt;=I5,"Starter",IF(G5&gt;=LARGE(G:G,FlexOn*LeagueInfo!$F$2),"Starter","Bench"))</f>
        <v>Starter</v>
      </c>
      <c r="G5">
        <f ca="1">IF(H5&gt;I5,D5,0)</f>
        <v>0</v>
      </c>
      <c r="H5">
        <f ca="1">INDEX(INDIRECT(""&amp;C5&amp;"!A2:A489"),MATCH(B5,INDIRECT(""&amp;C5&amp;"!B2:B489"),0))</f>
        <v>4</v>
      </c>
      <c r="I5">
        <f>IF(C5="RB",LeagueInfo!$D$4*LeagueInfo!$F$2,IF(C5="WR",LeagueInfo!$D$5*LeagueInfo!$F$2,IF(C5="TE",LeagueInfo!$D$6*LeagueInfo!$F$2,LeagueInfo!$D$3*LeagueInfo!$F$2)))</f>
        <v>12</v>
      </c>
    </row>
    <row r="6" spans="1:10" x14ac:dyDescent="0.25">
      <c r="A6">
        <f ca="1">RANK(E6,E$2:E$541)</f>
        <v>5</v>
      </c>
      <c r="B6" t="s">
        <v>646</v>
      </c>
      <c r="C6" t="s">
        <v>29</v>
      </c>
      <c r="D6">
        <f ca="1">INDEX(INDIRECT($C6&amp;"!P:P"),MATCH($B6,INDIRECT($C6&amp;"!B:B"),0))</f>
        <v>350.68600000000004</v>
      </c>
      <c r="E6" s="210">
        <f ca="1">D6-LARGE(D$2:D$486,RBCount+WRCount+TECount+QBCount)</f>
        <v>239.48600000000005</v>
      </c>
      <c r="F6" t="str">
        <f ca="1">IF(H6&lt;=I6,"Starter",IF(G6&gt;=LARGE(G:G,FlexOn*LeagueInfo!$F$2),"Starter","Bench"))</f>
        <v>Starter</v>
      </c>
      <c r="G6">
        <f ca="1">IF(H6&gt;I6,D6,0)</f>
        <v>0</v>
      </c>
      <c r="H6">
        <f ca="1">INDEX(INDIRECT(""&amp;C6&amp;"!A2:A489"),MATCH(B6,INDIRECT(""&amp;C6&amp;"!B2:B489"),0))</f>
        <v>5</v>
      </c>
      <c r="I6">
        <f>IF(C6="RB",LeagueInfo!$D$4*LeagueInfo!$F$2,IF(C6="WR",LeagueInfo!$D$5*LeagueInfo!$F$2,IF(C6="TE",LeagueInfo!$D$6*LeagueInfo!$F$2,LeagueInfo!$D$3*LeagueInfo!$F$2)))</f>
        <v>12</v>
      </c>
    </row>
    <row r="7" spans="1:10" x14ac:dyDescent="0.25">
      <c r="A7">
        <f ca="1">RANK(E7,E$2:E$541)</f>
        <v>6</v>
      </c>
      <c r="B7" t="s">
        <v>874</v>
      </c>
      <c r="C7" t="s">
        <v>29</v>
      </c>
      <c r="D7">
        <f ca="1">INDEX(INDIRECT($C7&amp;"!P:P"),MATCH($B7,INDIRECT($C7&amp;"!B:B"),0))</f>
        <v>349.68599999999998</v>
      </c>
      <c r="E7" s="210">
        <f ca="1">D7-LARGE(D$2:D$486,RBCount+WRCount+TECount+QBCount)</f>
        <v>238.48599999999999</v>
      </c>
      <c r="F7" t="str">
        <f ca="1">IF(H7&lt;=I7,"Starter",IF(G7&gt;=LARGE(G:G,FlexOn*LeagueInfo!$F$2),"Starter","Bench"))</f>
        <v>Starter</v>
      </c>
      <c r="G7">
        <f ca="1">IF(H7&gt;I7,D7,0)</f>
        <v>0</v>
      </c>
      <c r="H7">
        <f ca="1">INDEX(INDIRECT(""&amp;C7&amp;"!A2:A489"),MATCH(B7,INDIRECT(""&amp;C7&amp;"!B2:B489"),0))</f>
        <v>6</v>
      </c>
      <c r="I7">
        <f>IF(C7="RB",LeagueInfo!$D$4*LeagueInfo!$F$2,IF(C7="WR",LeagueInfo!$D$5*LeagueInfo!$F$2,IF(C7="TE",LeagueInfo!$D$6*LeagueInfo!$F$2,LeagueInfo!$D$3*LeagueInfo!$F$2)))</f>
        <v>12</v>
      </c>
    </row>
    <row r="8" spans="1:10" x14ac:dyDescent="0.25">
      <c r="A8">
        <f ca="1">RANK(E8,E$2:E$541)</f>
        <v>7</v>
      </c>
      <c r="B8" t="s">
        <v>115</v>
      </c>
      <c r="C8" t="s">
        <v>29</v>
      </c>
      <c r="D8">
        <f ca="1">INDEX(INDIRECT($C8&amp;"!P:P"),MATCH($B8,INDIRECT($C8&amp;"!B:B"),0))</f>
        <v>336.91799999999995</v>
      </c>
      <c r="E8" s="210">
        <f ca="1">D8-LARGE(D$2:D$486,RBCount+WRCount+TECount+QBCount)</f>
        <v>225.71799999999996</v>
      </c>
      <c r="F8" t="str">
        <f ca="1">IF(H8&lt;=I8,"Starter",IF(G8&gt;=LARGE(G:G,FlexOn*LeagueInfo!$F$2),"Starter","Bench"))</f>
        <v>Starter</v>
      </c>
      <c r="G8">
        <f ca="1">IF(H8&gt;I8,D8,0)</f>
        <v>0</v>
      </c>
      <c r="H8">
        <f ca="1">INDEX(INDIRECT(""&amp;C8&amp;"!A2:A489"),MATCH(B8,INDIRECT(""&amp;C8&amp;"!B2:B489"),0))</f>
        <v>7</v>
      </c>
      <c r="I8">
        <f>IF(C8="RB",LeagueInfo!$D$4*LeagueInfo!$F$2,IF(C8="WR",LeagueInfo!$D$5*LeagueInfo!$F$2,IF(C8="TE",LeagueInfo!$D$6*LeagueInfo!$F$2,LeagueInfo!$D$3*LeagueInfo!$F$2)))</f>
        <v>12</v>
      </c>
    </row>
    <row r="9" spans="1:10" x14ac:dyDescent="0.25">
      <c r="A9">
        <f ca="1">RANK(E9,E$2:E$541)</f>
        <v>8</v>
      </c>
      <c r="B9" t="s">
        <v>164</v>
      </c>
      <c r="C9" t="s">
        <v>29</v>
      </c>
      <c r="D9">
        <f ca="1">INDEX(INDIRECT($C9&amp;"!P:P"),MATCH($B9,INDIRECT($C9&amp;"!B:B"),0))</f>
        <v>333.358</v>
      </c>
      <c r="E9" s="210">
        <f ca="1">D9-LARGE(D$2:D$486,RBCount+WRCount+TECount+QBCount)</f>
        <v>222.15800000000002</v>
      </c>
      <c r="F9" t="str">
        <f ca="1">IF(H9&lt;=I9,"Starter",IF(G9&gt;=LARGE(G:G,FlexOn*LeagueInfo!$F$2),"Starter","Bench"))</f>
        <v>Starter</v>
      </c>
      <c r="G9">
        <f ca="1">IF(H9&gt;I9,D9,0)</f>
        <v>0</v>
      </c>
      <c r="H9">
        <f ca="1">INDEX(INDIRECT(""&amp;C9&amp;"!A2:A489"),MATCH(B9,INDIRECT(""&amp;C9&amp;"!B2:B489"),0))</f>
        <v>8</v>
      </c>
      <c r="I9">
        <f>IF(C9="RB",LeagueInfo!$D$4*LeagueInfo!$F$2,IF(C9="WR",LeagueInfo!$D$5*LeagueInfo!$F$2,IF(C9="TE",LeagueInfo!$D$6*LeagueInfo!$F$2,LeagueInfo!$D$3*LeagueInfo!$F$2)))</f>
        <v>12</v>
      </c>
    </row>
    <row r="10" spans="1:10" x14ac:dyDescent="0.25">
      <c r="A10">
        <f ca="1">RANK(E10,E$2:E$541)</f>
        <v>9</v>
      </c>
      <c r="B10" t="s">
        <v>871</v>
      </c>
      <c r="C10" t="s">
        <v>29</v>
      </c>
      <c r="D10">
        <f ca="1">INDEX(INDIRECT($C10&amp;"!P:P"),MATCH($B10,INDIRECT($C10&amp;"!B:B"),0))</f>
        <v>323.73999999999995</v>
      </c>
      <c r="E10" s="210">
        <f ca="1">D10-LARGE(D$2:D$486,RBCount+WRCount+TECount+QBCount)</f>
        <v>212.53999999999996</v>
      </c>
      <c r="F10" t="str">
        <f ca="1">IF(H10&lt;=I10,"Starter",IF(G10&gt;=LARGE(G:G,FlexOn*LeagueInfo!$F$2),"Starter","Bench"))</f>
        <v>Starter</v>
      </c>
      <c r="G10">
        <f ca="1">IF(H10&gt;I10,D10,0)</f>
        <v>0</v>
      </c>
      <c r="H10">
        <f ca="1">INDEX(INDIRECT(""&amp;C10&amp;"!A2:A489"),MATCH(B10,INDIRECT(""&amp;C10&amp;"!B2:B489"),0))</f>
        <v>9</v>
      </c>
      <c r="I10">
        <f>IF(C10="RB",LeagueInfo!$D$4*LeagueInfo!$F$2,IF(C10="WR",LeagueInfo!$D$5*LeagueInfo!$F$2,IF(C10="TE",LeagueInfo!$D$6*LeagueInfo!$F$2,LeagueInfo!$D$3*LeagueInfo!$F$2)))</f>
        <v>12</v>
      </c>
    </row>
    <row r="11" spans="1:10" x14ac:dyDescent="0.25">
      <c r="A11">
        <f ca="1">RANK(E11,E$2:E$541)</f>
        <v>10</v>
      </c>
      <c r="B11" t="s">
        <v>112</v>
      </c>
      <c r="C11" t="s">
        <v>29</v>
      </c>
      <c r="D11">
        <f ca="1">INDEX(INDIRECT($C11&amp;"!P:P"),MATCH($B11,INDIRECT($C11&amp;"!B:B"),0))</f>
        <v>318.32400000000001</v>
      </c>
      <c r="E11" s="210">
        <f ca="1">D11-LARGE(D$2:D$486,RBCount+WRCount+TECount+QBCount)</f>
        <v>207.12400000000002</v>
      </c>
      <c r="F11" t="str">
        <f ca="1">IF(H11&lt;=I11,"Starter",IF(G11&gt;=LARGE(G:G,FlexOn*LeagueInfo!$F$2),"Starter","Bench"))</f>
        <v>Starter</v>
      </c>
      <c r="G11">
        <f ca="1">IF(H11&gt;I11,D11,0)</f>
        <v>0</v>
      </c>
      <c r="H11">
        <f ca="1">INDEX(INDIRECT(""&amp;C11&amp;"!A2:A489"),MATCH(B11,INDIRECT(""&amp;C11&amp;"!B2:B489"),0))</f>
        <v>10</v>
      </c>
      <c r="I11">
        <f>IF(C11="RB",LeagueInfo!$D$4*LeagueInfo!$F$2,IF(C11="WR",LeagueInfo!$D$5*LeagueInfo!$F$2,IF(C11="TE",LeagueInfo!$D$6*LeagueInfo!$F$2,LeagueInfo!$D$3*LeagueInfo!$F$2)))</f>
        <v>12</v>
      </c>
    </row>
    <row r="12" spans="1:10" x14ac:dyDescent="0.25">
      <c r="A12">
        <f ca="1">RANK(E12,E$2:E$541)</f>
        <v>11</v>
      </c>
      <c r="B12" t="s">
        <v>879</v>
      </c>
      <c r="C12" t="s">
        <v>28</v>
      </c>
      <c r="D12">
        <f ca="1">INDEX(INDIRECT($C12&amp;"!P:P"),MATCH($B12,INDIRECT($C12&amp;"!B:B"),0))</f>
        <v>317.48</v>
      </c>
      <c r="E12" s="210">
        <f ca="1">D12-LARGE(D$2:D$486,RBCount+WRCount+TECount+QBCount)</f>
        <v>206.28000000000003</v>
      </c>
      <c r="F12" t="str">
        <f ca="1">IF(H12&lt;=I12,"Starter",IF(G12&gt;=LARGE(G:G,FlexOn*LeagueInfo!$F$2),"Starter","Bench"))</f>
        <v>Starter</v>
      </c>
      <c r="G12">
        <f ca="1">IF(H12&gt;I12,D12,0)</f>
        <v>0</v>
      </c>
      <c r="H12">
        <f ca="1">INDEX(INDIRECT(""&amp;C12&amp;"!A2:A489"),MATCH(B12,INDIRECT(""&amp;C12&amp;"!B2:B489"),0))</f>
        <v>1</v>
      </c>
      <c r="I12">
        <f>IF(C12="RB",LeagueInfo!$D$4*LeagueInfo!$F$2,IF(C12="WR",LeagueInfo!$D$5*LeagueInfo!$F$2,IF(C12="TE",LeagueInfo!$D$6*LeagueInfo!$F$2,LeagueInfo!$D$3*LeagueInfo!$F$2)))</f>
        <v>24</v>
      </c>
    </row>
    <row r="13" spans="1:10" x14ac:dyDescent="0.25">
      <c r="A13">
        <f ca="1">RANK(E13,E$2:E$541)</f>
        <v>12</v>
      </c>
      <c r="B13" t="s">
        <v>187</v>
      </c>
      <c r="C13" t="s">
        <v>29</v>
      </c>
      <c r="D13">
        <f ca="1">INDEX(INDIRECT($C13&amp;"!P:P"),MATCH($B13,INDIRECT($C13&amp;"!B:B"),0))</f>
        <v>316.33600000000001</v>
      </c>
      <c r="E13" s="210">
        <f ca="1">D13-LARGE(D$2:D$486,RBCount+WRCount+TECount+QBCount)</f>
        <v>205.13600000000002</v>
      </c>
      <c r="F13" t="str">
        <f ca="1">IF(H13&lt;=I13,"Starter",IF(G13&gt;=LARGE(G:G,FlexOn*LeagueInfo!$F$2),"Starter","Bench"))</f>
        <v>Starter</v>
      </c>
      <c r="G13">
        <f ca="1">IF(H13&gt;I13,D13,0)</f>
        <v>0</v>
      </c>
      <c r="H13">
        <f ca="1">INDEX(INDIRECT(""&amp;C13&amp;"!A2:A489"),MATCH(B13,INDIRECT(""&amp;C13&amp;"!B2:B489"),0))</f>
        <v>11</v>
      </c>
      <c r="I13">
        <f>IF(C13="RB",LeagueInfo!$D$4*LeagueInfo!$F$2,IF(C13="WR",LeagueInfo!$D$5*LeagueInfo!$F$2,IF(C13="TE",LeagueInfo!$D$6*LeagueInfo!$F$2,LeagueInfo!$D$3*LeagueInfo!$F$2)))</f>
        <v>12</v>
      </c>
    </row>
    <row r="14" spans="1:10" x14ac:dyDescent="0.25">
      <c r="A14">
        <f ca="1">RANK(E14,E$2:E$541)</f>
        <v>13</v>
      </c>
      <c r="B14" t="s">
        <v>918</v>
      </c>
      <c r="C14" t="s">
        <v>29</v>
      </c>
      <c r="D14">
        <f ca="1">INDEX(INDIRECT($C14&amp;"!P:P"),MATCH($B14,INDIRECT($C14&amp;"!B:B"),0))</f>
        <v>315.34000000000003</v>
      </c>
      <c r="E14" s="210">
        <f ca="1">D14-LARGE(D$2:D$486,RBCount+WRCount+TECount+QBCount)</f>
        <v>204.14000000000004</v>
      </c>
      <c r="F14" t="str">
        <f ca="1">IF(H14&lt;=I14,"Starter",IF(G14&gt;=LARGE(G:G,FlexOn*LeagueInfo!$F$2),"Starter","Bench"))</f>
        <v>Starter</v>
      </c>
      <c r="G14">
        <f ca="1">IF(H14&gt;I14,D14,0)</f>
        <v>0</v>
      </c>
      <c r="H14">
        <f ca="1">INDEX(INDIRECT(""&amp;C14&amp;"!A2:A489"),MATCH(B14,INDIRECT(""&amp;C14&amp;"!B2:B489"),0))</f>
        <v>12</v>
      </c>
      <c r="I14">
        <f>IF(C14="RB",LeagueInfo!$D$4*LeagueInfo!$F$2,IF(C14="WR",LeagueInfo!$D$5*LeagueInfo!$F$2,IF(C14="TE",LeagueInfo!$D$6*LeagueInfo!$F$2,LeagueInfo!$D$3*LeagueInfo!$F$2)))</f>
        <v>12</v>
      </c>
    </row>
    <row r="15" spans="1:10" x14ac:dyDescent="0.25">
      <c r="A15">
        <f ca="1">RANK(E15,E$2:E$541)</f>
        <v>14</v>
      </c>
      <c r="B15" t="s">
        <v>145</v>
      </c>
      <c r="C15" t="s">
        <v>29</v>
      </c>
      <c r="D15">
        <f ca="1">INDEX(INDIRECT($C15&amp;"!P:P"),MATCH($B15,INDIRECT($C15&amp;"!B:B"),0))</f>
        <v>306.63799999999992</v>
      </c>
      <c r="E15" s="210">
        <f ca="1">D15-LARGE(D$2:D$486,RBCount+WRCount+TECount+QBCount)</f>
        <v>195.43799999999993</v>
      </c>
      <c r="F15" t="str">
        <f ca="1">IF(H15&lt;=I15,"Starter",IF(G15&gt;=LARGE(G:G,FlexOn*LeagueInfo!$F$2),"Starter","Bench"))</f>
        <v>Starter</v>
      </c>
      <c r="G15">
        <f ca="1">IF(H15&gt;I15,D15,0)</f>
        <v>306.63799999999992</v>
      </c>
      <c r="H15">
        <f ca="1">INDEX(INDIRECT(""&amp;C15&amp;"!A2:A489"),MATCH(B15,INDIRECT(""&amp;C15&amp;"!B2:B489"),0))</f>
        <v>13</v>
      </c>
      <c r="I15">
        <f>IF(C15="RB",LeagueInfo!$D$4*LeagueInfo!$F$2,IF(C15="WR",LeagueInfo!$D$5*LeagueInfo!$F$2,IF(C15="TE",LeagueInfo!$D$6*LeagueInfo!$F$2,LeagueInfo!$D$3*LeagueInfo!$F$2)))</f>
        <v>12</v>
      </c>
    </row>
    <row r="16" spans="1:10" x14ac:dyDescent="0.25">
      <c r="A16">
        <f ca="1">RANK(E16,E$2:E$541)</f>
        <v>15</v>
      </c>
      <c r="B16" t="s">
        <v>168</v>
      </c>
      <c r="C16" t="s">
        <v>29</v>
      </c>
      <c r="D16">
        <f ca="1">INDEX(INDIRECT($C16&amp;"!P:P"),MATCH($B16,INDIRECT($C16&amp;"!B:B"),0))</f>
        <v>298.19400000000002</v>
      </c>
      <c r="E16" s="210">
        <f ca="1">D16-LARGE(D$2:D$486,RBCount+WRCount+TECount+QBCount)</f>
        <v>186.99400000000003</v>
      </c>
      <c r="F16" t="str">
        <f ca="1">IF(H16&lt;=I16,"Starter",IF(G16&gt;=LARGE(G:G,FlexOn*LeagueInfo!$F$2),"Starter","Bench"))</f>
        <v>Starter</v>
      </c>
      <c r="G16">
        <f ca="1">IF(H16&gt;I16,D16,0)</f>
        <v>298.19400000000002</v>
      </c>
      <c r="H16">
        <f ca="1">INDEX(INDIRECT(""&amp;C16&amp;"!A2:A489"),MATCH(B16,INDIRECT(""&amp;C16&amp;"!B2:B489"),0))</f>
        <v>14</v>
      </c>
      <c r="I16">
        <f>IF(C16="RB",LeagueInfo!$D$4*LeagueInfo!$F$2,IF(C16="WR",LeagueInfo!$D$5*LeagueInfo!$F$2,IF(C16="TE",LeagueInfo!$D$6*LeagueInfo!$F$2,LeagueInfo!$D$3*LeagueInfo!$F$2)))</f>
        <v>12</v>
      </c>
    </row>
    <row r="17" spans="1:9" x14ac:dyDescent="0.25">
      <c r="A17">
        <f ca="1">RANK(E17,E$2:E$541)</f>
        <v>16</v>
      </c>
      <c r="B17" t="s">
        <v>375</v>
      </c>
      <c r="C17" t="s">
        <v>35</v>
      </c>
      <c r="D17">
        <f ca="1">INDEX(INDIRECT($C17&amp;"!P:P"),MATCH($B17,INDIRECT($C17&amp;"!B:B"),0))</f>
        <v>297.59000000000003</v>
      </c>
      <c r="E17" s="210">
        <f ca="1">D17-LARGE(D$2:D$486,RBCount+WRCount+TECount+QBCount)</f>
        <v>186.39000000000004</v>
      </c>
      <c r="F17" t="str">
        <f ca="1">IF(H17&lt;=I17,"Starter",IF(G17&gt;=LARGE(G:G,FlexOn*LeagueInfo!$F$2),"Starter","Bench"))</f>
        <v>Starter</v>
      </c>
      <c r="G17">
        <f ca="1">IF(H17&gt;I17,D17,0)</f>
        <v>0</v>
      </c>
      <c r="H17">
        <f ca="1">INDEX(INDIRECT(""&amp;C17&amp;"!A2:A489"),MATCH(B17,INDIRECT(""&amp;C17&amp;"!B2:B489"),0))</f>
        <v>1</v>
      </c>
      <c r="I17">
        <f>IF(C17="RB",LeagueInfo!$D$4*LeagueInfo!$F$2,IF(C17="WR",LeagueInfo!$D$5*LeagueInfo!$F$2,IF(C17="TE",LeagueInfo!$D$6*LeagueInfo!$F$2,LeagueInfo!$D$3*LeagueInfo!$F$2)))</f>
        <v>24</v>
      </c>
    </row>
    <row r="18" spans="1:9" x14ac:dyDescent="0.25">
      <c r="A18">
        <f ca="1">RANK(E18,E$2:E$541)</f>
        <v>17</v>
      </c>
      <c r="B18" t="s">
        <v>166</v>
      </c>
      <c r="C18" t="s">
        <v>29</v>
      </c>
      <c r="D18">
        <f ca="1">INDEX(INDIRECT($C18&amp;"!P:P"),MATCH($B18,INDIRECT($C18&amp;"!B:B"),0))</f>
        <v>296.28800000000001</v>
      </c>
      <c r="E18" s="210">
        <f ca="1">D18-LARGE(D$2:D$486,RBCount+WRCount+TECount+QBCount)</f>
        <v>185.08800000000002</v>
      </c>
      <c r="F18" t="str">
        <f ca="1">IF(H18&lt;=I18,"Starter",IF(G18&gt;=LARGE(G:G,FlexOn*LeagueInfo!$F$2),"Starter","Bench"))</f>
        <v>Starter</v>
      </c>
      <c r="G18">
        <f ca="1">IF(H18&gt;I18,D18,0)</f>
        <v>296.28800000000001</v>
      </c>
      <c r="H18">
        <f ca="1">INDEX(INDIRECT(""&amp;C18&amp;"!A2:A489"),MATCH(B18,INDIRECT(""&amp;C18&amp;"!B2:B489"),0))</f>
        <v>15</v>
      </c>
      <c r="I18">
        <f>IF(C18="RB",LeagueInfo!$D$4*LeagueInfo!$F$2,IF(C18="WR",LeagueInfo!$D$5*LeagueInfo!$F$2,IF(C18="TE",LeagueInfo!$D$6*LeagueInfo!$F$2,LeagueInfo!$D$3*LeagueInfo!$F$2)))</f>
        <v>12</v>
      </c>
    </row>
    <row r="19" spans="1:9" x14ac:dyDescent="0.25">
      <c r="A19">
        <f ca="1">RANK(E19,E$2:E$541)</f>
        <v>18</v>
      </c>
      <c r="B19" t="s">
        <v>116</v>
      </c>
      <c r="C19" t="s">
        <v>28</v>
      </c>
      <c r="D19">
        <f ca="1">INDEX(INDIRECT($C19&amp;"!P:P"),MATCH($B19,INDIRECT($C19&amp;"!B:B"),0))</f>
        <v>293.45000000000005</v>
      </c>
      <c r="E19" s="210">
        <f ca="1">D19-LARGE(D$2:D$486,RBCount+WRCount+TECount+QBCount)</f>
        <v>182.25000000000006</v>
      </c>
      <c r="F19" t="str">
        <f ca="1">IF(H19&lt;=I19,"Starter",IF(G19&gt;=LARGE(G:G,FlexOn*LeagueInfo!$F$2),"Starter","Bench"))</f>
        <v>Starter</v>
      </c>
      <c r="G19">
        <f ca="1">IF(H19&gt;I19,D19,0)</f>
        <v>0</v>
      </c>
      <c r="H19">
        <f ca="1">INDEX(INDIRECT(""&amp;C19&amp;"!A2:A489"),MATCH(B19,INDIRECT(""&amp;C19&amp;"!B2:B489"),0))</f>
        <v>2</v>
      </c>
      <c r="I19">
        <f>IF(C19="RB",LeagueInfo!$D$4*LeagueInfo!$F$2,IF(C19="WR",LeagueInfo!$D$5*LeagueInfo!$F$2,IF(C19="TE",LeagueInfo!$D$6*LeagueInfo!$F$2,LeagueInfo!$D$3*LeagueInfo!$F$2)))</f>
        <v>24</v>
      </c>
    </row>
    <row r="20" spans="1:9" x14ac:dyDescent="0.25">
      <c r="A20">
        <f ca="1">RANK(E20,E$2:E$541)</f>
        <v>19</v>
      </c>
      <c r="B20" t="s">
        <v>872</v>
      </c>
      <c r="C20" t="s">
        <v>29</v>
      </c>
      <c r="D20">
        <f ca="1">INDEX(INDIRECT($C20&amp;"!P:P"),MATCH($B20,INDIRECT($C20&amp;"!B:B"),0))</f>
        <v>284.56200000000001</v>
      </c>
      <c r="E20" s="210">
        <f ca="1">D20-LARGE(D$2:D$486,RBCount+WRCount+TECount+QBCount)</f>
        <v>173.36200000000002</v>
      </c>
      <c r="F20" t="str">
        <f ca="1">IF(H20&lt;=I20,"Starter",IF(G20&gt;=LARGE(G:G,FlexOn*LeagueInfo!$F$2),"Starter","Bench"))</f>
        <v>Starter</v>
      </c>
      <c r="G20">
        <f ca="1">IF(H20&gt;I20,D20,0)</f>
        <v>284.56200000000001</v>
      </c>
      <c r="H20">
        <f ca="1">INDEX(INDIRECT(""&amp;C20&amp;"!A2:A489"),MATCH(B20,INDIRECT(""&amp;C20&amp;"!B2:B489"),0))</f>
        <v>16</v>
      </c>
      <c r="I20">
        <f>IF(C20="RB",LeagueInfo!$D$4*LeagueInfo!$F$2,IF(C20="WR",LeagueInfo!$D$5*LeagueInfo!$F$2,IF(C20="TE",LeagueInfo!$D$6*LeagueInfo!$F$2,LeagueInfo!$D$3*LeagueInfo!$F$2)))</f>
        <v>12</v>
      </c>
    </row>
    <row r="21" spans="1:9" x14ac:dyDescent="0.25">
      <c r="A21">
        <f ca="1">RANK(E21,E$2:E$541)</f>
        <v>20</v>
      </c>
      <c r="B21" t="s">
        <v>549</v>
      </c>
      <c r="C21" t="s">
        <v>28</v>
      </c>
      <c r="D21">
        <f ca="1">INDEX(INDIRECT($C21&amp;"!P:P"),MATCH($B21,INDIRECT($C21&amp;"!B:B"),0))</f>
        <v>282.33</v>
      </c>
      <c r="E21" s="210">
        <f ca="1">D21-LARGE(D$2:D$486,RBCount+WRCount+TECount+QBCount)</f>
        <v>171.13</v>
      </c>
      <c r="F21" t="str">
        <f ca="1">IF(H21&lt;=I21,"Starter",IF(G21&gt;=LARGE(G:G,FlexOn*LeagueInfo!$F$2),"Starter","Bench"))</f>
        <v>Starter</v>
      </c>
      <c r="G21">
        <f ca="1">IF(H21&gt;I21,D21,0)</f>
        <v>0</v>
      </c>
      <c r="H21">
        <f ca="1">INDEX(INDIRECT(""&amp;C21&amp;"!A2:A489"),MATCH(B21,INDIRECT(""&amp;C21&amp;"!B2:B489"),0))</f>
        <v>3</v>
      </c>
      <c r="I21">
        <f>IF(C21="RB",LeagueInfo!$D$4*LeagueInfo!$F$2,IF(C21="WR",LeagueInfo!$D$5*LeagueInfo!$F$2,IF(C21="TE",LeagueInfo!$D$6*LeagueInfo!$F$2,LeagueInfo!$D$3*LeagueInfo!$F$2)))</f>
        <v>24</v>
      </c>
    </row>
    <row r="22" spans="1:9" x14ac:dyDescent="0.25">
      <c r="A22">
        <f ca="1">RANK(E22,E$2:E$541)</f>
        <v>21</v>
      </c>
      <c r="B22" t="s">
        <v>148</v>
      </c>
      <c r="C22" t="s">
        <v>28</v>
      </c>
      <c r="D22">
        <f ca="1">INDEX(INDIRECT($C22&amp;"!P:P"),MATCH($B22,INDIRECT($C22&amp;"!B:B"),0))</f>
        <v>278.63</v>
      </c>
      <c r="E22" s="210">
        <f ca="1">D22-LARGE(D$2:D$486,RBCount+WRCount+TECount+QBCount)</f>
        <v>167.43</v>
      </c>
      <c r="F22" t="str">
        <f ca="1">IF(H22&lt;=I22,"Starter",IF(G22&gt;=LARGE(G:G,FlexOn*LeagueInfo!$F$2),"Starter","Bench"))</f>
        <v>Starter</v>
      </c>
      <c r="G22">
        <f ca="1">IF(H22&gt;I22,D22,0)</f>
        <v>0</v>
      </c>
      <c r="H22">
        <f ca="1">INDEX(INDIRECT(""&amp;C22&amp;"!A2:A489"),MATCH(B22,INDIRECT(""&amp;C22&amp;"!B2:B489"),0))</f>
        <v>4</v>
      </c>
      <c r="I22">
        <f>IF(C22="RB",LeagueInfo!$D$4*LeagueInfo!$F$2,IF(C22="WR",LeagueInfo!$D$5*LeagueInfo!$F$2,IF(C22="TE",LeagueInfo!$D$6*LeagueInfo!$F$2,LeagueInfo!$D$3*LeagueInfo!$F$2)))</f>
        <v>24</v>
      </c>
    </row>
    <row r="23" spans="1:9" x14ac:dyDescent="0.25">
      <c r="A23">
        <f ca="1">RANK(E23,E$2:E$541)</f>
        <v>22</v>
      </c>
      <c r="B23" t="s">
        <v>214</v>
      </c>
      <c r="C23" t="s">
        <v>29</v>
      </c>
      <c r="D23">
        <f ca="1">INDEX(INDIRECT($C23&amp;"!P:P"),MATCH($B23,INDIRECT($C23&amp;"!B:B"),0))</f>
        <v>277.32600000000002</v>
      </c>
      <c r="E23" s="210">
        <f ca="1">D23-LARGE(D$2:D$486,RBCount+WRCount+TECount+QBCount)</f>
        <v>166.12600000000003</v>
      </c>
      <c r="F23" t="str">
        <f ca="1">IF(H23&lt;=I23,"Starter",IF(G23&gt;=LARGE(G:G,FlexOn*LeagueInfo!$F$2),"Starter","Bench"))</f>
        <v>Starter</v>
      </c>
      <c r="G23">
        <f ca="1">IF(H23&gt;I23,D23,0)</f>
        <v>277.32600000000002</v>
      </c>
      <c r="H23">
        <f ca="1">INDEX(INDIRECT(""&amp;C23&amp;"!A2:A489"),MATCH(B23,INDIRECT(""&amp;C23&amp;"!B2:B489"),0))</f>
        <v>17</v>
      </c>
      <c r="I23">
        <f>IF(C23="RB",LeagueInfo!$D$4*LeagueInfo!$F$2,IF(C23="WR",LeagueInfo!$D$5*LeagueInfo!$F$2,IF(C23="TE",LeagueInfo!$D$6*LeagueInfo!$F$2,LeagueInfo!$D$3*LeagueInfo!$F$2)))</f>
        <v>12</v>
      </c>
    </row>
    <row r="24" spans="1:9" x14ac:dyDescent="0.25">
      <c r="A24">
        <f ca="1">RANK(E24,E$2:E$541)</f>
        <v>23</v>
      </c>
      <c r="B24" t="s">
        <v>915</v>
      </c>
      <c r="C24" t="s">
        <v>29</v>
      </c>
      <c r="D24">
        <f ca="1">INDEX(INDIRECT($C24&amp;"!P:P"),MATCH($B24,INDIRECT($C24&amp;"!B:B"),0))</f>
        <v>275.10999999999996</v>
      </c>
      <c r="E24" s="210">
        <f ca="1">D24-LARGE(D$2:D$486,RBCount+WRCount+TECount+QBCount)</f>
        <v>163.90999999999997</v>
      </c>
      <c r="F24" t="str">
        <f ca="1">IF(H24&lt;=I24,"Starter",IF(G24&gt;=LARGE(G:G,FlexOn*LeagueInfo!$F$2),"Starter","Bench"))</f>
        <v>Starter</v>
      </c>
      <c r="G24">
        <f ca="1">IF(H24&gt;I24,D24,0)</f>
        <v>275.10999999999996</v>
      </c>
      <c r="H24">
        <f ca="1">INDEX(INDIRECT(""&amp;C24&amp;"!A2:A489"),MATCH(B24,INDIRECT(""&amp;C24&amp;"!B2:B489"),0))</f>
        <v>18</v>
      </c>
      <c r="I24">
        <f>IF(C24="RB",LeagueInfo!$D$4*LeagueInfo!$F$2,IF(C24="WR",LeagueInfo!$D$5*LeagueInfo!$F$2,IF(C24="TE",LeagueInfo!$D$6*LeagueInfo!$F$2,LeagueInfo!$D$3*LeagueInfo!$F$2)))</f>
        <v>12</v>
      </c>
    </row>
    <row r="25" spans="1:9" x14ac:dyDescent="0.25">
      <c r="A25">
        <f ca="1">RANK(E25,E$2:E$541)</f>
        <v>24</v>
      </c>
      <c r="B25" t="s">
        <v>917</v>
      </c>
      <c r="C25" t="s">
        <v>29</v>
      </c>
      <c r="D25">
        <f ca="1">INDEX(INDIRECT($C25&amp;"!P:P"),MATCH($B25,INDIRECT($C25&amp;"!B:B"),0))</f>
        <v>270.22399999999999</v>
      </c>
      <c r="E25" s="210">
        <f ca="1">D25-LARGE(D$2:D$486,RBCount+WRCount+TECount+QBCount)</f>
        <v>159.024</v>
      </c>
      <c r="F25" t="str">
        <f ca="1">IF(H25&lt;=I25,"Starter",IF(G25&gt;=LARGE(G:G,FlexOn*LeagueInfo!$F$2),"Starter","Bench"))</f>
        <v>Starter</v>
      </c>
      <c r="G25">
        <f ca="1">IF(H25&gt;I25,D25,0)</f>
        <v>270.22399999999999</v>
      </c>
      <c r="H25">
        <f ca="1">INDEX(INDIRECT(""&amp;C25&amp;"!A2:A489"),MATCH(B25,INDIRECT(""&amp;C25&amp;"!B2:B489"),0))</f>
        <v>19</v>
      </c>
      <c r="I25">
        <f>IF(C25="RB",LeagueInfo!$D$4*LeagueInfo!$F$2,IF(C25="WR",LeagueInfo!$D$5*LeagueInfo!$F$2,IF(C25="TE",LeagueInfo!$D$6*LeagueInfo!$F$2,LeagueInfo!$D$3*LeagueInfo!$F$2)))</f>
        <v>12</v>
      </c>
    </row>
    <row r="26" spans="1:9" x14ac:dyDescent="0.25">
      <c r="A26">
        <f ca="1">RANK(E26,E$2:E$541)</f>
        <v>25</v>
      </c>
      <c r="B26" t="s">
        <v>649</v>
      </c>
      <c r="C26" t="s">
        <v>29</v>
      </c>
      <c r="D26">
        <f ca="1">INDEX(INDIRECT($C26&amp;"!P:P"),MATCH($B26,INDIRECT($C26&amp;"!B:B"),0))</f>
        <v>263.73</v>
      </c>
      <c r="E26" s="210">
        <f ca="1">D26-LARGE(D$2:D$486,RBCount+WRCount+TECount+QBCount)</f>
        <v>152.53000000000003</v>
      </c>
      <c r="F26" t="str">
        <f ca="1">IF(H26&lt;=I26,"Starter",IF(G26&gt;=LARGE(G:G,FlexOn*LeagueInfo!$F$2),"Starter","Bench"))</f>
        <v>Starter</v>
      </c>
      <c r="G26">
        <f ca="1">IF(H26&gt;I26,D26,0)</f>
        <v>263.73</v>
      </c>
      <c r="H26">
        <f ca="1">INDEX(INDIRECT(""&amp;C26&amp;"!A2:A489"),MATCH(B26,INDIRECT(""&amp;C26&amp;"!B2:B489"),0))</f>
        <v>20</v>
      </c>
      <c r="I26">
        <f>IF(C26="RB",LeagueInfo!$D$4*LeagueInfo!$F$2,IF(C26="WR",LeagueInfo!$D$5*LeagueInfo!$F$2,IF(C26="TE",LeagueInfo!$D$6*LeagueInfo!$F$2,LeagueInfo!$D$3*LeagueInfo!$F$2)))</f>
        <v>12</v>
      </c>
    </row>
    <row r="27" spans="1:9" x14ac:dyDescent="0.25">
      <c r="A27">
        <f ca="1">RANK(E27,E$2:E$541)</f>
        <v>26</v>
      </c>
      <c r="B27" t="s">
        <v>136</v>
      </c>
      <c r="C27" t="s">
        <v>29</v>
      </c>
      <c r="D27">
        <f ca="1">INDEX(INDIRECT($C27&amp;"!P:P"),MATCH($B27,INDIRECT($C27&amp;"!B:B"),0))</f>
        <v>263.46999999999997</v>
      </c>
      <c r="E27" s="210">
        <f ca="1">D27-LARGE(D$2:D$486,RBCount+WRCount+TECount+QBCount)</f>
        <v>152.26999999999998</v>
      </c>
      <c r="F27" t="str">
        <f ca="1">IF(H27&lt;=I27,"Starter",IF(G27&gt;=LARGE(G:G,FlexOn*LeagueInfo!$F$2),"Starter","Bench"))</f>
        <v>Starter</v>
      </c>
      <c r="G27">
        <f ca="1">IF(H27&gt;I27,D27,0)</f>
        <v>263.46999999999997</v>
      </c>
      <c r="H27">
        <f ca="1">INDEX(INDIRECT(""&amp;C27&amp;"!A2:A489"),MATCH(B27,INDIRECT(""&amp;C27&amp;"!B2:B489"),0))</f>
        <v>21</v>
      </c>
      <c r="I27">
        <f>IF(C27="RB",LeagueInfo!$D$4*LeagueInfo!$F$2,IF(C27="WR",LeagueInfo!$D$5*LeagueInfo!$F$2,IF(C27="TE",LeagueInfo!$D$6*LeagueInfo!$F$2,LeagueInfo!$D$3*LeagueInfo!$F$2)))</f>
        <v>12</v>
      </c>
    </row>
    <row r="28" spans="1:9" x14ac:dyDescent="0.25">
      <c r="A28">
        <f ca="1">RANK(E28,E$2:E$541)</f>
        <v>27</v>
      </c>
      <c r="B28" t="s">
        <v>162</v>
      </c>
      <c r="C28" t="s">
        <v>29</v>
      </c>
      <c r="D28">
        <f ca="1">INDEX(INDIRECT($C28&amp;"!P:P"),MATCH($B28,INDIRECT($C28&amp;"!B:B"),0))</f>
        <v>259.13600000000002</v>
      </c>
      <c r="E28" s="210">
        <f ca="1">D28-LARGE(D$2:D$486,RBCount+WRCount+TECount+QBCount)</f>
        <v>147.93600000000004</v>
      </c>
      <c r="F28" t="str">
        <f ca="1">IF(H28&lt;=I28,"Starter",IF(G28&gt;=LARGE(G:G,FlexOn*LeagueInfo!$F$2),"Starter","Bench"))</f>
        <v>Starter</v>
      </c>
      <c r="G28">
        <f ca="1">IF(H28&gt;I28,D28,0)</f>
        <v>259.13600000000002</v>
      </c>
      <c r="H28">
        <f ca="1">INDEX(INDIRECT(""&amp;C28&amp;"!A2:A489"),MATCH(B28,INDIRECT(""&amp;C28&amp;"!B2:B489"),0))</f>
        <v>22</v>
      </c>
      <c r="I28">
        <f>IF(C28="RB",LeagueInfo!$D$4*LeagueInfo!$F$2,IF(C28="WR",LeagueInfo!$D$5*LeagueInfo!$F$2,IF(C28="TE",LeagueInfo!$D$6*LeagueInfo!$F$2,LeagueInfo!$D$3*LeagueInfo!$F$2)))</f>
        <v>12</v>
      </c>
    </row>
    <row r="29" spans="1:9" x14ac:dyDescent="0.25">
      <c r="A29">
        <f ca="1">RANK(E29,E$2:E$541)</f>
        <v>28</v>
      </c>
      <c r="B29" t="s">
        <v>919</v>
      </c>
      <c r="C29" t="s">
        <v>29</v>
      </c>
      <c r="D29">
        <f ca="1">INDEX(INDIRECT($C29&amp;"!P:P"),MATCH($B29,INDIRECT($C29&amp;"!B:B"),0))</f>
        <v>258.97799999999995</v>
      </c>
      <c r="E29" s="210">
        <f ca="1">D29-LARGE(D$2:D$486,RBCount+WRCount+TECount+QBCount)</f>
        <v>147.77799999999996</v>
      </c>
      <c r="F29" t="str">
        <f ca="1">IF(H29&lt;=I29,"Starter",IF(G29&gt;=LARGE(G:G,FlexOn*LeagueInfo!$F$2),"Starter","Bench"))</f>
        <v>Starter</v>
      </c>
      <c r="G29">
        <f ca="1">IF(H29&gt;I29,D29,0)</f>
        <v>258.97799999999995</v>
      </c>
      <c r="H29">
        <f ca="1">INDEX(INDIRECT(""&amp;C29&amp;"!A2:A489"),MATCH(B29,INDIRECT(""&amp;C29&amp;"!B2:B489"),0))</f>
        <v>23</v>
      </c>
      <c r="I29">
        <f>IF(C29="RB",LeagueInfo!$D$4*LeagueInfo!$F$2,IF(C29="WR",LeagueInfo!$D$5*LeagueInfo!$F$2,IF(C29="TE",LeagueInfo!$D$6*LeagueInfo!$F$2,LeagueInfo!$D$3*LeagueInfo!$F$2)))</f>
        <v>12</v>
      </c>
    </row>
    <row r="30" spans="1:9" x14ac:dyDescent="0.25">
      <c r="A30">
        <f ca="1">RANK(E30,E$2:E$541)</f>
        <v>29</v>
      </c>
      <c r="B30" t="s">
        <v>835</v>
      </c>
      <c r="C30" t="s">
        <v>35</v>
      </c>
      <c r="D30">
        <f ca="1">INDEX(INDIRECT($C30&amp;"!P:P"),MATCH($B30,INDIRECT($C30&amp;"!B:B"),0))</f>
        <v>258.64000000000004</v>
      </c>
      <c r="E30" s="210">
        <f ca="1">D30-LARGE(D$2:D$486,RBCount+WRCount+TECount+QBCount)</f>
        <v>147.44000000000005</v>
      </c>
      <c r="F30" t="str">
        <f ca="1">IF(H30&lt;=I30,"Starter",IF(G30&gt;=LARGE(G:G,FlexOn*LeagueInfo!$F$2),"Starter","Bench"))</f>
        <v>Starter</v>
      </c>
      <c r="G30">
        <f ca="1">IF(H30&gt;I30,D30,0)</f>
        <v>0</v>
      </c>
      <c r="H30">
        <f ca="1">INDEX(INDIRECT(""&amp;C30&amp;"!A2:A489"),MATCH(B30,INDIRECT(""&amp;C30&amp;"!B2:B489"),0))</f>
        <v>2</v>
      </c>
      <c r="I30">
        <f>IF(C30="RB",LeagueInfo!$D$4*LeagueInfo!$F$2,IF(C30="WR",LeagueInfo!$D$5*LeagueInfo!$F$2,IF(C30="TE",LeagueInfo!$D$6*LeagueInfo!$F$2,LeagueInfo!$D$3*LeagueInfo!$F$2)))</f>
        <v>24</v>
      </c>
    </row>
    <row r="31" spans="1:9" x14ac:dyDescent="0.25">
      <c r="A31">
        <f ca="1">RANK(E31,E$2:E$541)</f>
        <v>30</v>
      </c>
      <c r="B31" t="s">
        <v>945</v>
      </c>
      <c r="C31" t="s">
        <v>35</v>
      </c>
      <c r="D31">
        <f ca="1">INDEX(INDIRECT($C31&amp;"!P:P"),MATCH($B31,INDIRECT($C31&amp;"!B:B"),0))</f>
        <v>255.09000000000003</v>
      </c>
      <c r="E31" s="210">
        <f ca="1">D31-LARGE(D$2:D$486,RBCount+WRCount+TECount+QBCount)</f>
        <v>143.89000000000004</v>
      </c>
      <c r="F31" t="str">
        <f ca="1">IF(H31&lt;=I31,"Starter",IF(G31&gt;=LARGE(G:G,FlexOn*LeagueInfo!$F$2),"Starter","Bench"))</f>
        <v>Starter</v>
      </c>
      <c r="G31">
        <f ca="1">IF(H31&gt;I31,D31,0)</f>
        <v>0</v>
      </c>
      <c r="H31">
        <f ca="1">INDEX(INDIRECT(""&amp;C31&amp;"!A2:A489"),MATCH(B31,INDIRECT(""&amp;C31&amp;"!B2:B489"),0))</f>
        <v>3</v>
      </c>
      <c r="I31">
        <f>IF(C31="RB",LeagueInfo!$D$4*LeagueInfo!$F$2,IF(C31="WR",LeagueInfo!$D$5*LeagueInfo!$F$2,IF(C31="TE",LeagueInfo!$D$6*LeagueInfo!$F$2,LeagueInfo!$D$3*LeagueInfo!$F$2)))</f>
        <v>24</v>
      </c>
    </row>
    <row r="32" spans="1:9" x14ac:dyDescent="0.25">
      <c r="A32">
        <f ca="1">RANK(E32,E$2:E$541)</f>
        <v>31</v>
      </c>
      <c r="B32" t="s">
        <v>203</v>
      </c>
      <c r="C32" t="s">
        <v>29</v>
      </c>
      <c r="D32">
        <f ca="1">INDEX(INDIRECT($C32&amp;"!P:P"),MATCH($B32,INDIRECT($C32&amp;"!B:B"),0))</f>
        <v>253.51</v>
      </c>
      <c r="E32" s="210">
        <f ca="1">D32-LARGE(D$2:D$486,RBCount+WRCount+TECount+QBCount)</f>
        <v>142.31</v>
      </c>
      <c r="F32" t="str">
        <f ca="1">IF(H32&lt;=I32,"Starter",IF(G32&gt;=LARGE(G:G,FlexOn*LeagueInfo!$F$2),"Starter","Bench"))</f>
        <v>Starter</v>
      </c>
      <c r="G32">
        <f ca="1">IF(H32&gt;I32,D32,0)</f>
        <v>253.51</v>
      </c>
      <c r="H32">
        <f ca="1">INDEX(INDIRECT(""&amp;C32&amp;"!A2:A489"),MATCH(B32,INDIRECT(""&amp;C32&amp;"!B2:B489"),0))</f>
        <v>24</v>
      </c>
      <c r="I32">
        <f>IF(C32="RB",LeagueInfo!$D$4*LeagueInfo!$F$2,IF(C32="WR",LeagueInfo!$D$5*LeagueInfo!$F$2,IF(C32="TE",LeagueInfo!$D$6*LeagueInfo!$F$2,LeagueInfo!$D$3*LeagueInfo!$F$2)))</f>
        <v>12</v>
      </c>
    </row>
    <row r="33" spans="1:9" x14ac:dyDescent="0.25">
      <c r="A33">
        <f ca="1">RANK(E33,E$2:E$541)</f>
        <v>32</v>
      </c>
      <c r="B33" t="s">
        <v>302</v>
      </c>
      <c r="C33" t="s">
        <v>29</v>
      </c>
      <c r="D33">
        <f ca="1">INDEX(INDIRECT($C33&amp;"!P:P"),MATCH($B33,INDIRECT($C33&amp;"!B:B"),0))</f>
        <v>250.434</v>
      </c>
      <c r="E33" s="210">
        <f ca="1">D33-LARGE(D$2:D$486,RBCount+WRCount+TECount+QBCount)</f>
        <v>139.23399999999998</v>
      </c>
      <c r="F33" t="str">
        <f ca="1">IF(H33&lt;=I33,"Starter",IF(G33&gt;=LARGE(G:G,FlexOn*LeagueInfo!$F$2),"Starter","Bench"))</f>
        <v>Bench</v>
      </c>
      <c r="G33">
        <f ca="1">IF(H33&gt;I33,D33,0)</f>
        <v>250.434</v>
      </c>
      <c r="H33">
        <f ca="1">INDEX(INDIRECT(""&amp;C33&amp;"!A2:A489"),MATCH(B33,INDIRECT(""&amp;C33&amp;"!B2:B489"),0))</f>
        <v>25</v>
      </c>
      <c r="I33">
        <f>IF(C33="RB",LeagueInfo!$D$4*LeagueInfo!$F$2,IF(C33="WR",LeagueInfo!$D$5*LeagueInfo!$F$2,IF(C33="TE",LeagueInfo!$D$6*LeagueInfo!$F$2,LeagueInfo!$D$3*LeagueInfo!$F$2)))</f>
        <v>12</v>
      </c>
    </row>
    <row r="34" spans="1:9" x14ac:dyDescent="0.25">
      <c r="A34">
        <f ca="1">RANK(E34,E$2:E$541)</f>
        <v>33</v>
      </c>
      <c r="B34" t="s">
        <v>335</v>
      </c>
      <c r="C34" t="s">
        <v>28</v>
      </c>
      <c r="D34">
        <f ca="1">INDEX(INDIRECT($C34&amp;"!P:P"),MATCH($B34,INDIRECT($C34&amp;"!B:B"),0))</f>
        <v>249.96</v>
      </c>
      <c r="E34" s="210">
        <f ca="1">D34-LARGE(D$2:D$486,RBCount+WRCount+TECount+QBCount)</f>
        <v>138.76</v>
      </c>
      <c r="F34" t="str">
        <f ca="1">IF(H34&lt;=I34,"Starter",IF(G34&gt;=LARGE(G:G,FlexOn*LeagueInfo!$F$2),"Starter","Bench"))</f>
        <v>Starter</v>
      </c>
      <c r="G34">
        <f ca="1">IF(H34&gt;I34,D34,0)</f>
        <v>0</v>
      </c>
      <c r="H34">
        <f ca="1">INDEX(INDIRECT(""&amp;C34&amp;"!A2:A489"),MATCH(B34,INDIRECT(""&amp;C34&amp;"!B2:B489"),0))</f>
        <v>5</v>
      </c>
      <c r="I34">
        <f>IF(C34="RB",LeagueInfo!$D$4*LeagueInfo!$F$2,IF(C34="WR",LeagueInfo!$D$5*LeagueInfo!$F$2,IF(C34="TE",LeagueInfo!$D$6*LeagueInfo!$F$2,LeagueInfo!$D$3*LeagueInfo!$F$2)))</f>
        <v>24</v>
      </c>
    </row>
    <row r="35" spans="1:9" x14ac:dyDescent="0.25">
      <c r="A35">
        <f ca="1">RANK(E35,E$2:E$541)</f>
        <v>34</v>
      </c>
      <c r="B35" t="s">
        <v>118</v>
      </c>
      <c r="C35" t="s">
        <v>28</v>
      </c>
      <c r="D35">
        <f ca="1">INDEX(INDIRECT($C35&amp;"!P:P"),MATCH($B35,INDIRECT($C35&amp;"!B:B"),0))</f>
        <v>246.72</v>
      </c>
      <c r="E35" s="210">
        <f ca="1">D35-LARGE(D$2:D$486,RBCount+WRCount+TECount+QBCount)</f>
        <v>135.51999999999998</v>
      </c>
      <c r="F35" t="str">
        <f ca="1">IF(H35&lt;=I35,"Starter",IF(G35&gt;=LARGE(G:G,FlexOn*LeagueInfo!$F$2),"Starter","Bench"))</f>
        <v>Starter</v>
      </c>
      <c r="G35">
        <f ca="1">IF(H35&gt;I35,D35,0)</f>
        <v>0</v>
      </c>
      <c r="H35">
        <f ca="1">INDEX(INDIRECT(""&amp;C35&amp;"!A2:A489"),MATCH(B35,INDIRECT(""&amp;C35&amp;"!B2:B489"),0))</f>
        <v>6</v>
      </c>
      <c r="I35">
        <f>IF(C35="RB",LeagueInfo!$D$4*LeagueInfo!$F$2,IF(C35="WR",LeagueInfo!$D$5*LeagueInfo!$F$2,IF(C35="TE",LeagueInfo!$D$6*LeagueInfo!$F$2,LeagueInfo!$D$3*LeagueInfo!$F$2)))</f>
        <v>24</v>
      </c>
    </row>
    <row r="36" spans="1:9" x14ac:dyDescent="0.25">
      <c r="A36">
        <f ca="1">RANK(E36,E$2:E$541)</f>
        <v>35</v>
      </c>
      <c r="B36" t="s">
        <v>926</v>
      </c>
      <c r="C36" t="s">
        <v>28</v>
      </c>
      <c r="D36">
        <f ca="1">INDEX(INDIRECT($C36&amp;"!P:P"),MATCH($B36,INDIRECT($C36&amp;"!B:B"),0))</f>
        <v>244.26000000000002</v>
      </c>
      <c r="E36" s="210">
        <f ca="1">D36-LARGE(D$2:D$486,RBCount+WRCount+TECount+QBCount)</f>
        <v>133.06</v>
      </c>
      <c r="F36" t="str">
        <f ca="1">IF(H36&lt;=I36,"Starter",IF(G36&gt;=LARGE(G:G,FlexOn*LeagueInfo!$F$2),"Starter","Bench"))</f>
        <v>Starter</v>
      </c>
      <c r="G36">
        <f ca="1">IF(H36&gt;I36,D36,0)</f>
        <v>0</v>
      </c>
      <c r="H36">
        <f ca="1">INDEX(INDIRECT(""&amp;C36&amp;"!A2:A489"),MATCH(B36,INDIRECT(""&amp;C36&amp;"!B2:B489"),0))</f>
        <v>7</v>
      </c>
      <c r="I36">
        <f>IF(C36="RB",LeagueInfo!$D$4*LeagueInfo!$F$2,IF(C36="WR",LeagueInfo!$D$5*LeagueInfo!$F$2,IF(C36="TE",LeagueInfo!$D$6*LeagueInfo!$F$2,LeagueInfo!$D$3*LeagueInfo!$F$2)))</f>
        <v>24</v>
      </c>
    </row>
    <row r="37" spans="1:9" x14ac:dyDescent="0.25">
      <c r="A37">
        <f ca="1">RANK(E37,E$2:E$541)</f>
        <v>36</v>
      </c>
      <c r="B37" t="s">
        <v>139</v>
      </c>
      <c r="C37" t="s">
        <v>28</v>
      </c>
      <c r="D37">
        <f ca="1">INDEX(INDIRECT($C37&amp;"!P:P"),MATCH($B37,INDIRECT($C37&amp;"!B:B"),0))</f>
        <v>242.92</v>
      </c>
      <c r="E37" s="210">
        <f ca="1">D37-LARGE(D$2:D$486,RBCount+WRCount+TECount+QBCount)</f>
        <v>131.71999999999997</v>
      </c>
      <c r="F37" t="str">
        <f ca="1">IF(H37&lt;=I37,"Starter",IF(G37&gt;=LARGE(G:G,FlexOn*LeagueInfo!$F$2),"Starter","Bench"))</f>
        <v>Starter</v>
      </c>
      <c r="G37">
        <f ca="1">IF(H37&gt;I37,D37,0)</f>
        <v>0</v>
      </c>
      <c r="H37">
        <f ca="1">INDEX(INDIRECT(""&amp;C37&amp;"!A2:A489"),MATCH(B37,INDIRECT(""&amp;C37&amp;"!B2:B489"),0))</f>
        <v>8</v>
      </c>
      <c r="I37">
        <f>IF(C37="RB",LeagueInfo!$D$4*LeagueInfo!$F$2,IF(C37="WR",LeagueInfo!$D$5*LeagueInfo!$F$2,IF(C37="TE",LeagueInfo!$D$6*LeagueInfo!$F$2,LeagueInfo!$D$3*LeagueInfo!$F$2)))</f>
        <v>24</v>
      </c>
    </row>
    <row r="38" spans="1:9" x14ac:dyDescent="0.25">
      <c r="A38">
        <f ca="1">RANK(E38,E$2:E$541)</f>
        <v>37</v>
      </c>
      <c r="B38" t="s">
        <v>533</v>
      </c>
      <c r="C38" t="s">
        <v>29</v>
      </c>
      <c r="D38">
        <f ca="1">INDEX(INDIRECT($C38&amp;"!P:P"),MATCH($B38,INDIRECT($C38&amp;"!B:B"),0))</f>
        <v>241.32399999999998</v>
      </c>
      <c r="E38" s="210">
        <f ca="1">D38-LARGE(D$2:D$486,RBCount+WRCount+TECount+QBCount)</f>
        <v>130.12399999999997</v>
      </c>
      <c r="F38" t="str">
        <f ca="1">IF(H38&lt;=I38,"Starter",IF(G38&gt;=LARGE(G:G,FlexOn*LeagueInfo!$F$2),"Starter","Bench"))</f>
        <v>Bench</v>
      </c>
      <c r="G38">
        <f ca="1">IF(H38&gt;I38,D38,0)</f>
        <v>241.32399999999998</v>
      </c>
      <c r="H38">
        <f ca="1">INDEX(INDIRECT(""&amp;C38&amp;"!A2:A489"),MATCH(B38,INDIRECT(""&amp;C38&amp;"!B2:B489"),0))</f>
        <v>26</v>
      </c>
      <c r="I38">
        <f>IF(C38="RB",LeagueInfo!$D$4*LeagueInfo!$F$2,IF(C38="WR",LeagueInfo!$D$5*LeagueInfo!$F$2,IF(C38="TE",LeagueInfo!$D$6*LeagueInfo!$F$2,LeagueInfo!$D$3*LeagueInfo!$F$2)))</f>
        <v>12</v>
      </c>
    </row>
    <row r="39" spans="1:9" x14ac:dyDescent="0.25">
      <c r="A39">
        <f ca="1">RANK(E39,E$2:E$541)</f>
        <v>38</v>
      </c>
      <c r="B39" t="s">
        <v>125</v>
      </c>
      <c r="C39" t="s">
        <v>35</v>
      </c>
      <c r="D39">
        <f ca="1">INDEX(INDIRECT($C39&amp;"!P:P"),MATCH($B39,INDIRECT($C39&amp;"!B:B"),0))</f>
        <v>240.86</v>
      </c>
      <c r="E39" s="210">
        <f ca="1">D39-LARGE(D$2:D$486,RBCount+WRCount+TECount+QBCount)</f>
        <v>129.66000000000003</v>
      </c>
      <c r="F39" t="str">
        <f ca="1">IF(H39&lt;=I39,"Starter",IF(G39&gt;=LARGE(G:G,FlexOn*LeagueInfo!$F$2),"Starter","Bench"))</f>
        <v>Starter</v>
      </c>
      <c r="G39">
        <f ca="1">IF(H39&gt;I39,D39,0)</f>
        <v>0</v>
      </c>
      <c r="H39">
        <f ca="1">INDEX(INDIRECT(""&amp;C39&amp;"!A2:A489"),MATCH(B39,INDIRECT(""&amp;C39&amp;"!B2:B489"),0))</f>
        <v>4</v>
      </c>
      <c r="I39">
        <f>IF(C39="RB",LeagueInfo!$D$4*LeagueInfo!$F$2,IF(C39="WR",LeagueInfo!$D$5*LeagueInfo!$F$2,IF(C39="TE",LeagueInfo!$D$6*LeagueInfo!$F$2,LeagueInfo!$D$3*LeagueInfo!$F$2)))</f>
        <v>24</v>
      </c>
    </row>
    <row r="40" spans="1:9" x14ac:dyDescent="0.25">
      <c r="A40">
        <f ca="1">RANK(E40,E$2:E$541)</f>
        <v>39</v>
      </c>
      <c r="B40" t="s">
        <v>702</v>
      </c>
      <c r="C40" t="s">
        <v>35</v>
      </c>
      <c r="D40">
        <f ca="1">INDEX(INDIRECT($C40&amp;"!P:P"),MATCH($B40,INDIRECT($C40&amp;"!B:B"),0))</f>
        <v>240.51</v>
      </c>
      <c r="E40" s="210">
        <f ca="1">D40-LARGE(D$2:D$486,RBCount+WRCount+TECount+QBCount)</f>
        <v>129.31</v>
      </c>
      <c r="F40" t="str">
        <f ca="1">IF(H40&lt;=I40,"Starter",IF(G40&gt;=LARGE(G:G,FlexOn*LeagueInfo!$F$2),"Starter","Bench"))</f>
        <v>Starter</v>
      </c>
      <c r="G40">
        <f ca="1">IF(H40&gt;I40,D40,0)</f>
        <v>0</v>
      </c>
      <c r="H40">
        <f ca="1">INDEX(INDIRECT(""&amp;C40&amp;"!A2:A489"),MATCH(B40,INDIRECT(""&amp;C40&amp;"!B2:B489"),0))</f>
        <v>5</v>
      </c>
      <c r="I40">
        <f>IF(C40="RB",LeagueInfo!$D$4*LeagueInfo!$F$2,IF(C40="WR",LeagueInfo!$D$5*LeagueInfo!$F$2,IF(C40="TE",LeagueInfo!$D$6*LeagueInfo!$F$2,LeagueInfo!$D$3*LeagueInfo!$F$2)))</f>
        <v>24</v>
      </c>
    </row>
    <row r="41" spans="1:9" x14ac:dyDescent="0.25">
      <c r="A41">
        <f ca="1">RANK(E41,E$2:E$541)</f>
        <v>40</v>
      </c>
      <c r="B41" t="s">
        <v>346</v>
      </c>
      <c r="C41" t="s">
        <v>28</v>
      </c>
      <c r="D41">
        <f ca="1">INDEX(INDIRECT($C41&amp;"!P:P"),MATCH($B41,INDIRECT($C41&amp;"!B:B"),0))</f>
        <v>232.56000000000003</v>
      </c>
      <c r="E41" s="210">
        <f ca="1">D41-LARGE(D$2:D$486,RBCount+WRCount+TECount+QBCount)</f>
        <v>121.36000000000003</v>
      </c>
      <c r="F41" t="str">
        <f ca="1">IF(H41&lt;=I41,"Starter",IF(G41&gt;=LARGE(G:G,FlexOn*LeagueInfo!$F$2),"Starter","Bench"))</f>
        <v>Starter</v>
      </c>
      <c r="G41">
        <f ca="1">IF(H41&gt;I41,D41,0)</f>
        <v>0</v>
      </c>
      <c r="H41">
        <f ca="1">INDEX(INDIRECT(""&amp;C41&amp;"!A2:A489"),MATCH(B41,INDIRECT(""&amp;C41&amp;"!B2:B489"),0))</f>
        <v>9</v>
      </c>
      <c r="I41">
        <f>IF(C41="RB",LeagueInfo!$D$4*LeagueInfo!$F$2,IF(C41="WR",LeagueInfo!$D$5*LeagueInfo!$F$2,IF(C41="TE",LeagueInfo!$D$6*LeagueInfo!$F$2,LeagueInfo!$D$3*LeagueInfo!$F$2)))</f>
        <v>24</v>
      </c>
    </row>
    <row r="42" spans="1:9" x14ac:dyDescent="0.25">
      <c r="A42">
        <f ca="1">RANK(E42,E$2:E$541)</f>
        <v>41</v>
      </c>
      <c r="B42" t="s">
        <v>920</v>
      </c>
      <c r="C42" t="s">
        <v>29</v>
      </c>
      <c r="D42">
        <f ca="1">INDEX(INDIRECT($C42&amp;"!P:P"),MATCH($B42,INDIRECT($C42&amp;"!B:B"),0))</f>
        <v>231.346</v>
      </c>
      <c r="E42" s="210">
        <f ca="1">D42-LARGE(D$2:D$486,RBCount+WRCount+TECount+QBCount)</f>
        <v>120.146</v>
      </c>
      <c r="F42" t="str">
        <f ca="1">IF(H42&lt;=I42,"Starter",IF(G42&gt;=LARGE(G:G,FlexOn*LeagueInfo!$F$2),"Starter","Bench"))</f>
        <v>Bench</v>
      </c>
      <c r="G42">
        <f ca="1">IF(H42&gt;I42,D42,0)</f>
        <v>231.346</v>
      </c>
      <c r="H42">
        <f ca="1">INDEX(INDIRECT(""&amp;C42&amp;"!A2:A489"),MATCH(B42,INDIRECT(""&amp;C42&amp;"!B2:B489"),0))</f>
        <v>27</v>
      </c>
      <c r="I42">
        <f>IF(C42="RB",LeagueInfo!$D$4*LeagueInfo!$F$2,IF(C42="WR",LeagueInfo!$D$5*LeagueInfo!$F$2,IF(C42="TE",LeagueInfo!$D$6*LeagueInfo!$F$2,LeagueInfo!$D$3*LeagueInfo!$F$2)))</f>
        <v>12</v>
      </c>
    </row>
    <row r="43" spans="1:9" x14ac:dyDescent="0.25">
      <c r="A43">
        <f ca="1">RANK(E43,E$2:E$541)</f>
        <v>42</v>
      </c>
      <c r="B43" t="s">
        <v>111</v>
      </c>
      <c r="C43" t="s">
        <v>28</v>
      </c>
      <c r="D43">
        <f ca="1">INDEX(INDIRECT($C43&amp;"!P:P"),MATCH($B43,INDIRECT($C43&amp;"!B:B"),0))</f>
        <v>230.97</v>
      </c>
      <c r="E43" s="210">
        <f ca="1">D43-LARGE(D$2:D$486,RBCount+WRCount+TECount+QBCount)</f>
        <v>119.77</v>
      </c>
      <c r="F43" t="str">
        <f ca="1">IF(H43&lt;=I43,"Starter",IF(G43&gt;=LARGE(G:G,FlexOn*LeagueInfo!$F$2),"Starter","Bench"))</f>
        <v>Starter</v>
      </c>
      <c r="G43">
        <f ca="1">IF(H43&gt;I43,D43,0)</f>
        <v>0</v>
      </c>
      <c r="H43">
        <f ca="1">INDEX(INDIRECT(""&amp;C43&amp;"!A2:A489"),MATCH(B43,INDIRECT(""&amp;C43&amp;"!B2:B489"),0))</f>
        <v>10</v>
      </c>
      <c r="I43">
        <f>IF(C43="RB",LeagueInfo!$D$4*LeagueInfo!$F$2,IF(C43="WR",LeagueInfo!$D$5*LeagueInfo!$F$2,IF(C43="TE",LeagueInfo!$D$6*LeagueInfo!$F$2,LeagueInfo!$D$3*LeagueInfo!$F$2)))</f>
        <v>24</v>
      </c>
    </row>
    <row r="44" spans="1:9" x14ac:dyDescent="0.25">
      <c r="A44">
        <f ca="1">RANK(E44,E$2:E$541)</f>
        <v>43</v>
      </c>
      <c r="B44" t="s">
        <v>169</v>
      </c>
      <c r="C44" t="s">
        <v>35</v>
      </c>
      <c r="D44">
        <f ca="1">INDEX(INDIRECT($C44&amp;"!P:P"),MATCH($B44,INDIRECT($C44&amp;"!B:B"),0))</f>
        <v>228.82000000000002</v>
      </c>
      <c r="E44" s="210">
        <f ca="1">D44-LARGE(D$2:D$486,RBCount+WRCount+TECount+QBCount)</f>
        <v>117.62000000000002</v>
      </c>
      <c r="F44" t="str">
        <f ca="1">IF(H44&lt;=I44,"Starter",IF(G44&gt;=LARGE(G:G,FlexOn*LeagueInfo!$F$2),"Starter","Bench"))</f>
        <v>Starter</v>
      </c>
      <c r="G44">
        <f ca="1">IF(H44&gt;I44,D44,0)</f>
        <v>0</v>
      </c>
      <c r="H44">
        <f ca="1">INDEX(INDIRECT(""&amp;C44&amp;"!A2:A489"),MATCH(B44,INDIRECT(""&amp;C44&amp;"!B2:B489"),0))</f>
        <v>6</v>
      </c>
      <c r="I44">
        <f>IF(C44="RB",LeagueInfo!$D$4*LeagueInfo!$F$2,IF(C44="WR",LeagueInfo!$D$5*LeagueInfo!$F$2,IF(C44="TE",LeagueInfo!$D$6*LeagueInfo!$F$2,LeagueInfo!$D$3*LeagueInfo!$F$2)))</f>
        <v>24</v>
      </c>
    </row>
    <row r="45" spans="1:9" x14ac:dyDescent="0.25">
      <c r="A45">
        <f ca="1">RANK(E45,E$2:E$541)</f>
        <v>44</v>
      </c>
      <c r="B45" t="s">
        <v>880</v>
      </c>
      <c r="C45" t="s">
        <v>28</v>
      </c>
      <c r="D45">
        <f ca="1">INDEX(INDIRECT($C45&amp;"!P:P"),MATCH($B45,INDIRECT($C45&amp;"!B:B"),0))</f>
        <v>224.06999999999996</v>
      </c>
      <c r="E45" s="210">
        <f ca="1">D45-LARGE(D$2:D$486,RBCount+WRCount+TECount+QBCount)</f>
        <v>112.86999999999996</v>
      </c>
      <c r="F45" t="str">
        <f ca="1">IF(H45&lt;=I45,"Starter",IF(G45&gt;=LARGE(G:G,FlexOn*LeagueInfo!$F$2),"Starter","Bench"))</f>
        <v>Starter</v>
      </c>
      <c r="G45">
        <f ca="1">IF(H45&gt;I45,D45,0)</f>
        <v>0</v>
      </c>
      <c r="H45">
        <f ca="1">INDEX(INDIRECT(""&amp;C45&amp;"!A2:A489"),MATCH(B45,INDIRECT(""&amp;C45&amp;"!B2:B489"),0))</f>
        <v>11</v>
      </c>
      <c r="I45">
        <f>IF(C45="RB",LeagueInfo!$D$4*LeagueInfo!$F$2,IF(C45="WR",LeagueInfo!$D$5*LeagueInfo!$F$2,IF(C45="TE",LeagueInfo!$D$6*LeagueInfo!$F$2,LeagueInfo!$D$3*LeagueInfo!$F$2)))</f>
        <v>24</v>
      </c>
    </row>
    <row r="46" spans="1:9" x14ac:dyDescent="0.25">
      <c r="A46">
        <f ca="1">RANK(E46,E$2:E$541)</f>
        <v>45</v>
      </c>
      <c r="B46" t="s">
        <v>121</v>
      </c>
      <c r="C46" t="s">
        <v>43</v>
      </c>
      <c r="D46">
        <f ca="1">INDEX(INDIRECT($C46&amp;"!P:P"),MATCH($B46,INDIRECT($C46&amp;"!B:B"),0))</f>
        <v>223.08</v>
      </c>
      <c r="E46" s="210">
        <f ca="1">D46-LARGE(D$2:D$486,RBCount+WRCount+TECount+QBCount)</f>
        <v>111.88000000000001</v>
      </c>
      <c r="F46" t="str">
        <f ca="1">IF(H46&lt;=I46,"Starter",IF(G46&gt;=LARGE(G:G,FlexOn*LeagueInfo!$F$2),"Starter","Bench"))</f>
        <v>Starter</v>
      </c>
      <c r="G46">
        <f ca="1">IF(H46&gt;I46,D46,0)</f>
        <v>0</v>
      </c>
      <c r="H46">
        <f ca="1">INDEX(INDIRECT(""&amp;C46&amp;"!A2:A489"),MATCH(B46,INDIRECT(""&amp;C46&amp;"!B2:B489"),0))</f>
        <v>1</v>
      </c>
      <c r="I46">
        <f>IF(C46="RB",LeagueInfo!$D$4*LeagueInfo!$F$2,IF(C46="WR",LeagueInfo!$D$5*LeagueInfo!$F$2,IF(C46="TE",LeagueInfo!$D$6*LeagueInfo!$F$2,LeagueInfo!$D$3*LeagueInfo!$F$2)))</f>
        <v>12</v>
      </c>
    </row>
    <row r="47" spans="1:9" x14ac:dyDescent="0.25">
      <c r="A47">
        <f ca="1">RANK(E47,E$2:E$541)</f>
        <v>46</v>
      </c>
      <c r="B47" t="s">
        <v>541</v>
      </c>
      <c r="C47" t="s">
        <v>28</v>
      </c>
      <c r="D47">
        <f ca="1">INDEX(INDIRECT($C47&amp;"!P:P"),MATCH($B47,INDIRECT($C47&amp;"!B:B"),0))</f>
        <v>222.48</v>
      </c>
      <c r="E47" s="210">
        <f ca="1">D47-LARGE(D$2:D$486,RBCount+WRCount+TECount+QBCount)</f>
        <v>111.27999999999999</v>
      </c>
      <c r="F47" t="str">
        <f ca="1">IF(H47&lt;=I47,"Starter",IF(G47&gt;=LARGE(G:G,FlexOn*LeagueInfo!$F$2),"Starter","Bench"))</f>
        <v>Starter</v>
      </c>
      <c r="G47">
        <f ca="1">IF(H47&gt;I47,D47,0)</f>
        <v>0</v>
      </c>
      <c r="H47">
        <f ca="1">INDEX(INDIRECT(""&amp;C47&amp;"!A2:A489"),MATCH(B47,INDIRECT(""&amp;C47&amp;"!B2:B489"),0))</f>
        <v>12</v>
      </c>
      <c r="I47">
        <f>IF(C47="RB",LeagueInfo!$D$4*LeagueInfo!$F$2,IF(C47="WR",LeagueInfo!$D$5*LeagueInfo!$F$2,IF(C47="TE",LeagueInfo!$D$6*LeagueInfo!$F$2,LeagueInfo!$D$3*LeagueInfo!$F$2)))</f>
        <v>24</v>
      </c>
    </row>
    <row r="48" spans="1:9" x14ac:dyDescent="0.25">
      <c r="A48">
        <f ca="1">RANK(E48,E$2:E$541)</f>
        <v>47</v>
      </c>
      <c r="B48" t="s">
        <v>916</v>
      </c>
      <c r="C48" t="s">
        <v>29</v>
      </c>
      <c r="D48">
        <f ca="1">INDEX(INDIRECT($C48&amp;"!P:P"),MATCH($B48,INDIRECT($C48&amp;"!B:B"),0))</f>
        <v>221.798</v>
      </c>
      <c r="E48" s="210">
        <f ca="1">D48-LARGE(D$2:D$486,RBCount+WRCount+TECount+QBCount)</f>
        <v>110.598</v>
      </c>
      <c r="F48" t="str">
        <f ca="1">IF(H48&lt;=I48,"Starter",IF(G48&gt;=LARGE(G:G,FlexOn*LeagueInfo!$F$2),"Starter","Bench"))</f>
        <v>Bench</v>
      </c>
      <c r="G48">
        <f ca="1">IF(H48&gt;I48,D48,0)</f>
        <v>221.798</v>
      </c>
      <c r="H48">
        <f ca="1">INDEX(INDIRECT(""&amp;C48&amp;"!A2:A489"),MATCH(B48,INDIRECT(""&amp;C48&amp;"!B2:B489"),0))</f>
        <v>28</v>
      </c>
      <c r="I48">
        <f>IF(C48="RB",LeagueInfo!$D$4*LeagueInfo!$F$2,IF(C48="WR",LeagueInfo!$D$5*LeagueInfo!$F$2,IF(C48="TE",LeagueInfo!$D$6*LeagueInfo!$F$2,LeagueInfo!$D$3*LeagueInfo!$F$2)))</f>
        <v>12</v>
      </c>
    </row>
    <row r="49" spans="1:9" x14ac:dyDescent="0.25">
      <c r="A49">
        <f ca="1">RANK(E49,E$2:E$541)</f>
        <v>48</v>
      </c>
      <c r="B49" t="s">
        <v>339</v>
      </c>
      <c r="C49" t="s">
        <v>28</v>
      </c>
      <c r="D49">
        <f ca="1">INDEX(INDIRECT($C49&amp;"!P:P"),MATCH($B49,INDIRECT($C49&amp;"!B:B"),0))</f>
        <v>220.68</v>
      </c>
      <c r="E49" s="210">
        <f ca="1">D49-LARGE(D$2:D$486,RBCount+WRCount+TECount+QBCount)</f>
        <v>109.48</v>
      </c>
      <c r="F49" t="str">
        <f ca="1">IF(H49&lt;=I49,"Starter",IF(G49&gt;=LARGE(G:G,FlexOn*LeagueInfo!$F$2),"Starter","Bench"))</f>
        <v>Starter</v>
      </c>
      <c r="G49">
        <f ca="1">IF(H49&gt;I49,D49,0)</f>
        <v>0</v>
      </c>
      <c r="H49">
        <f ca="1">INDEX(INDIRECT(""&amp;C49&amp;"!A2:A489"),MATCH(B49,INDIRECT(""&amp;C49&amp;"!B2:B489"),0))</f>
        <v>13</v>
      </c>
      <c r="I49">
        <f>IF(C49="RB",LeagueInfo!$D$4*LeagueInfo!$F$2,IF(C49="WR",LeagueInfo!$D$5*LeagueInfo!$F$2,IF(C49="TE",LeagueInfo!$D$6*LeagueInfo!$F$2,LeagueInfo!$D$3*LeagueInfo!$F$2)))</f>
        <v>24</v>
      </c>
    </row>
    <row r="50" spans="1:9" x14ac:dyDescent="0.25">
      <c r="A50">
        <f ca="1">RANK(E50,E$2:E$541)</f>
        <v>49</v>
      </c>
      <c r="B50" t="s">
        <v>591</v>
      </c>
      <c r="C50" t="s">
        <v>43</v>
      </c>
      <c r="D50">
        <f ca="1">INDEX(INDIRECT($C50&amp;"!P:P"),MATCH($B50,INDIRECT($C50&amp;"!B:B"),0))</f>
        <v>219.95000000000002</v>
      </c>
      <c r="E50" s="210">
        <f ca="1">D50-LARGE(D$2:D$486,RBCount+WRCount+TECount+QBCount)</f>
        <v>108.75000000000001</v>
      </c>
      <c r="F50" t="str">
        <f ca="1">IF(H50&lt;=I50,"Starter",IF(G50&gt;=LARGE(G:G,FlexOn*LeagueInfo!$F$2),"Starter","Bench"))</f>
        <v>Starter</v>
      </c>
      <c r="G50">
        <f ca="1">IF(H50&gt;I50,D50,0)</f>
        <v>0</v>
      </c>
      <c r="H50">
        <f ca="1">INDEX(INDIRECT(""&amp;C50&amp;"!A2:A489"),MATCH(B50,INDIRECT(""&amp;C50&amp;"!B2:B489"),0))</f>
        <v>2</v>
      </c>
      <c r="I50">
        <f>IF(C50="RB",LeagueInfo!$D$4*LeagueInfo!$F$2,IF(C50="WR",LeagueInfo!$D$5*LeagueInfo!$F$2,IF(C50="TE",LeagueInfo!$D$6*LeagueInfo!$F$2,LeagueInfo!$D$3*LeagueInfo!$F$2)))</f>
        <v>12</v>
      </c>
    </row>
    <row r="51" spans="1:9" x14ac:dyDescent="0.25">
      <c r="A51">
        <f ca="1">RANK(E51,E$2:E$541)</f>
        <v>50</v>
      </c>
      <c r="B51" t="s">
        <v>927</v>
      </c>
      <c r="C51" t="s">
        <v>28</v>
      </c>
      <c r="D51">
        <f ca="1">INDEX(INDIRECT($C51&amp;"!P:P"),MATCH($B51,INDIRECT($C51&amp;"!B:B"),0))</f>
        <v>219.67</v>
      </c>
      <c r="E51" s="210">
        <f ca="1">D51-LARGE(D$2:D$486,RBCount+WRCount+TECount+QBCount)</f>
        <v>108.46999999999998</v>
      </c>
      <c r="F51" t="str">
        <f ca="1">IF(H51&lt;=I51,"Starter",IF(G51&gt;=LARGE(G:G,FlexOn*LeagueInfo!$F$2),"Starter","Bench"))</f>
        <v>Starter</v>
      </c>
      <c r="G51">
        <f ca="1">IF(H51&gt;I51,D51,0)</f>
        <v>0</v>
      </c>
      <c r="H51">
        <f ca="1">INDEX(INDIRECT(""&amp;C51&amp;"!A2:A489"),MATCH(B51,INDIRECT(""&amp;C51&amp;"!B2:B489"),0))</f>
        <v>14</v>
      </c>
      <c r="I51">
        <f>IF(C51="RB",LeagueInfo!$D$4*LeagueInfo!$F$2,IF(C51="WR",LeagueInfo!$D$5*LeagueInfo!$F$2,IF(C51="TE",LeagueInfo!$D$6*LeagueInfo!$F$2,LeagueInfo!$D$3*LeagueInfo!$F$2)))</f>
        <v>24</v>
      </c>
    </row>
    <row r="52" spans="1:9" x14ac:dyDescent="0.25">
      <c r="A52">
        <f ca="1">RANK(E52,E$2:E$541)</f>
        <v>51</v>
      </c>
      <c r="B52" t="s">
        <v>832</v>
      </c>
      <c r="C52" t="s">
        <v>35</v>
      </c>
      <c r="D52">
        <f ca="1">INDEX(INDIRECT($C52&amp;"!P:P"),MATCH($B52,INDIRECT($C52&amp;"!B:B"),0))</f>
        <v>218.93</v>
      </c>
      <c r="E52" s="210">
        <f ca="1">D52-LARGE(D$2:D$486,RBCount+WRCount+TECount+QBCount)</f>
        <v>107.73</v>
      </c>
      <c r="F52" t="str">
        <f ca="1">IF(H52&lt;=I52,"Starter",IF(G52&gt;=LARGE(G:G,FlexOn*LeagueInfo!$F$2),"Starter","Bench"))</f>
        <v>Starter</v>
      </c>
      <c r="G52">
        <f ca="1">IF(H52&gt;I52,D52,0)</f>
        <v>0</v>
      </c>
      <c r="H52">
        <f ca="1">INDEX(INDIRECT(""&amp;C52&amp;"!A2:A489"),MATCH(B52,INDIRECT(""&amp;C52&amp;"!B2:B489"),0))</f>
        <v>7</v>
      </c>
      <c r="I52">
        <f>IF(C52="RB",LeagueInfo!$D$4*LeagueInfo!$F$2,IF(C52="WR",LeagueInfo!$D$5*LeagueInfo!$F$2,IF(C52="TE",LeagueInfo!$D$6*LeagueInfo!$F$2,LeagueInfo!$D$3*LeagueInfo!$F$2)))</f>
        <v>24</v>
      </c>
    </row>
    <row r="53" spans="1:9" x14ac:dyDescent="0.25">
      <c r="A53">
        <f ca="1">RANK(E53,E$2:E$541)</f>
        <v>52</v>
      </c>
      <c r="B53" t="s">
        <v>132</v>
      </c>
      <c r="C53" t="s">
        <v>35</v>
      </c>
      <c r="D53">
        <f ca="1">INDEX(INDIRECT($C53&amp;"!P:P"),MATCH($B53,INDIRECT($C53&amp;"!B:B"),0))</f>
        <v>218.57</v>
      </c>
      <c r="E53" s="210">
        <f ca="1">D53-LARGE(D$2:D$486,RBCount+WRCount+TECount+QBCount)</f>
        <v>107.36999999999999</v>
      </c>
      <c r="F53" t="str">
        <f ca="1">IF(H53&lt;=I53,"Starter",IF(G53&gt;=LARGE(G:G,FlexOn*LeagueInfo!$F$2),"Starter","Bench"))</f>
        <v>Starter</v>
      </c>
      <c r="G53">
        <f ca="1">IF(H53&gt;I53,D53,0)</f>
        <v>0</v>
      </c>
      <c r="H53">
        <f ca="1">INDEX(INDIRECT(""&amp;C53&amp;"!A2:A489"),MATCH(B53,INDIRECT(""&amp;C53&amp;"!B2:B489"),0))</f>
        <v>8</v>
      </c>
      <c r="I53">
        <f>IF(C53="RB",LeagueInfo!$D$4*LeagueInfo!$F$2,IF(C53="WR",LeagueInfo!$D$5*LeagueInfo!$F$2,IF(C53="TE",LeagueInfo!$D$6*LeagueInfo!$F$2,LeagueInfo!$D$3*LeagueInfo!$F$2)))</f>
        <v>24</v>
      </c>
    </row>
    <row r="54" spans="1:9" x14ac:dyDescent="0.25">
      <c r="A54">
        <f ca="1">RANK(E54,E$2:E$541)</f>
        <v>53</v>
      </c>
      <c r="B54" t="s">
        <v>97</v>
      </c>
      <c r="C54" t="s">
        <v>35</v>
      </c>
      <c r="D54">
        <f ca="1">INDEX(INDIRECT($C54&amp;"!P:P"),MATCH($B54,INDIRECT($C54&amp;"!B:B"),0))</f>
        <v>213.97</v>
      </c>
      <c r="E54" s="210">
        <f ca="1">D54-LARGE(D$2:D$486,RBCount+WRCount+TECount+QBCount)</f>
        <v>102.77</v>
      </c>
      <c r="F54" t="str">
        <f ca="1">IF(H54&lt;=I54,"Starter",IF(G54&gt;=LARGE(G:G,FlexOn*LeagueInfo!$F$2),"Starter","Bench"))</f>
        <v>Starter</v>
      </c>
      <c r="G54">
        <f ca="1">IF(H54&gt;I54,D54,0)</f>
        <v>0</v>
      </c>
      <c r="H54">
        <f ca="1">INDEX(INDIRECT(""&amp;C54&amp;"!A2:A489"),MATCH(B54,INDIRECT(""&amp;C54&amp;"!B2:B489"),0))</f>
        <v>9</v>
      </c>
      <c r="I54">
        <f>IF(C54="RB",LeagueInfo!$D$4*LeagueInfo!$F$2,IF(C54="WR",LeagueInfo!$D$5*LeagueInfo!$F$2,IF(C54="TE",LeagueInfo!$D$6*LeagueInfo!$F$2,LeagueInfo!$D$3*LeagueInfo!$F$2)))</f>
        <v>24</v>
      </c>
    </row>
    <row r="55" spans="1:9" x14ac:dyDescent="0.25">
      <c r="A55">
        <f ca="1">RANK(E55,E$2:E$541)</f>
        <v>54</v>
      </c>
      <c r="B55" t="s">
        <v>144</v>
      </c>
      <c r="C55" t="s">
        <v>29</v>
      </c>
      <c r="D55">
        <f ca="1">INDEX(INDIRECT($C55&amp;"!P:P"),MATCH($B55,INDIRECT($C55&amp;"!B:B"),0))</f>
        <v>212.72200000000001</v>
      </c>
      <c r="E55" s="210">
        <f ca="1">D55-LARGE(D$2:D$486,RBCount+WRCount+TECount+QBCount)</f>
        <v>101.52200000000001</v>
      </c>
      <c r="F55" t="str">
        <f ca="1">IF(H55&lt;=I55,"Starter",IF(G55&gt;=LARGE(G:G,FlexOn*LeagueInfo!$F$2),"Starter","Bench"))</f>
        <v>Bench</v>
      </c>
      <c r="G55">
        <f ca="1">IF(H55&gt;I55,D55,0)</f>
        <v>212.72200000000001</v>
      </c>
      <c r="H55">
        <f ca="1">INDEX(INDIRECT(""&amp;C55&amp;"!A2:A489"),MATCH(B55,INDIRECT(""&amp;C55&amp;"!B2:B489"),0))</f>
        <v>29</v>
      </c>
      <c r="I55">
        <f>IF(C55="RB",LeagueInfo!$D$4*LeagueInfo!$F$2,IF(C55="WR",LeagueInfo!$D$5*LeagueInfo!$F$2,IF(C55="TE",LeagueInfo!$D$6*LeagueInfo!$F$2,LeagueInfo!$D$3*LeagueInfo!$F$2)))</f>
        <v>12</v>
      </c>
    </row>
    <row r="56" spans="1:9" x14ac:dyDescent="0.25">
      <c r="A56">
        <f ca="1">RANK(E56,E$2:E$541)</f>
        <v>55</v>
      </c>
      <c r="B56" t="s">
        <v>548</v>
      </c>
      <c r="C56" t="s">
        <v>28</v>
      </c>
      <c r="D56">
        <f ca="1">INDEX(INDIRECT($C56&amp;"!P:P"),MATCH($B56,INDIRECT($C56&amp;"!B:B"),0))</f>
        <v>209.68</v>
      </c>
      <c r="E56" s="210">
        <f ca="1">D56-LARGE(D$2:D$486,RBCount+WRCount+TECount+QBCount)</f>
        <v>98.48</v>
      </c>
      <c r="F56" t="str">
        <f ca="1">IF(H56&lt;=I56,"Starter",IF(G56&gt;=LARGE(G:G,FlexOn*LeagueInfo!$F$2),"Starter","Bench"))</f>
        <v>Starter</v>
      </c>
      <c r="G56">
        <f ca="1">IF(H56&gt;I56,D56,0)</f>
        <v>0</v>
      </c>
      <c r="H56">
        <f ca="1">INDEX(INDIRECT(""&amp;C56&amp;"!A2:A489"),MATCH(B56,INDIRECT(""&amp;C56&amp;"!B2:B489"),0))</f>
        <v>15</v>
      </c>
      <c r="I56">
        <f>IF(C56="RB",LeagueInfo!$D$4*LeagueInfo!$F$2,IF(C56="WR",LeagueInfo!$D$5*LeagueInfo!$F$2,IF(C56="TE",LeagueInfo!$D$6*LeagueInfo!$F$2,LeagueInfo!$D$3*LeagueInfo!$F$2)))</f>
        <v>24</v>
      </c>
    </row>
    <row r="57" spans="1:9" x14ac:dyDescent="0.25">
      <c r="A57">
        <f ca="1">RANK(E57,E$2:E$541)</f>
        <v>56</v>
      </c>
      <c r="B57" t="s">
        <v>839</v>
      </c>
      <c r="C57" t="s">
        <v>35</v>
      </c>
      <c r="D57">
        <f ca="1">INDEX(INDIRECT($C57&amp;"!P:P"),MATCH($B57,INDIRECT($C57&amp;"!B:B"),0))</f>
        <v>207.06</v>
      </c>
      <c r="E57" s="210">
        <f ca="1">D57-LARGE(D$2:D$486,RBCount+WRCount+TECount+QBCount)</f>
        <v>95.86</v>
      </c>
      <c r="F57" t="str">
        <f ca="1">IF(H57&lt;=I57,"Starter",IF(G57&gt;=LARGE(G:G,FlexOn*LeagueInfo!$F$2),"Starter","Bench"))</f>
        <v>Starter</v>
      </c>
      <c r="G57">
        <f ca="1">IF(H57&gt;I57,D57,0)</f>
        <v>0</v>
      </c>
      <c r="H57">
        <f ca="1">INDEX(INDIRECT(""&amp;C57&amp;"!A2:A489"),MATCH(B57,INDIRECT(""&amp;C57&amp;"!B2:B489"),0))</f>
        <v>10</v>
      </c>
      <c r="I57">
        <f>IF(C57="RB",LeagueInfo!$D$4*LeagueInfo!$F$2,IF(C57="WR",LeagueInfo!$D$5*LeagueInfo!$F$2,IF(C57="TE",LeagueInfo!$D$6*LeagueInfo!$F$2,LeagueInfo!$D$3*LeagueInfo!$F$2)))</f>
        <v>24</v>
      </c>
    </row>
    <row r="58" spans="1:9" x14ac:dyDescent="0.25">
      <c r="A58">
        <f ca="1">RANK(E58,E$2:E$541)</f>
        <v>57</v>
      </c>
      <c r="B58" t="s">
        <v>661</v>
      </c>
      <c r="C58" t="s">
        <v>28</v>
      </c>
      <c r="D58">
        <f ca="1">INDEX(INDIRECT($C58&amp;"!P:P"),MATCH($B58,INDIRECT($C58&amp;"!B:B"),0))</f>
        <v>205.10999999999999</v>
      </c>
      <c r="E58" s="210">
        <f ca="1">D58-LARGE(D$2:D$486,RBCount+WRCount+TECount+QBCount)</f>
        <v>93.909999999999982</v>
      </c>
      <c r="F58" t="str">
        <f ca="1">IF(H58&lt;=I58,"Starter",IF(G58&gt;=LARGE(G:G,FlexOn*LeagueInfo!$F$2),"Starter","Bench"))</f>
        <v>Starter</v>
      </c>
      <c r="G58">
        <f ca="1">IF(H58&gt;I58,D58,0)</f>
        <v>0</v>
      </c>
      <c r="H58">
        <f ca="1">INDEX(INDIRECT(""&amp;C58&amp;"!A2:A489"),MATCH(B58,INDIRECT(""&amp;C58&amp;"!B2:B489"),0))</f>
        <v>16</v>
      </c>
      <c r="I58">
        <f>IF(C58="RB",LeagueInfo!$D$4*LeagueInfo!$F$2,IF(C58="WR",LeagueInfo!$D$5*LeagueInfo!$F$2,IF(C58="TE",LeagueInfo!$D$6*LeagueInfo!$F$2,LeagueInfo!$D$3*LeagueInfo!$F$2)))</f>
        <v>24</v>
      </c>
    </row>
    <row r="59" spans="1:9" x14ac:dyDescent="0.25">
      <c r="A59">
        <f ca="1">RANK(E59,E$2:E$541)</f>
        <v>58</v>
      </c>
      <c r="B59" t="s">
        <v>836</v>
      </c>
      <c r="C59" t="s">
        <v>35</v>
      </c>
      <c r="D59">
        <f ca="1">INDEX(INDIRECT($C59&amp;"!P:P"),MATCH($B59,INDIRECT($C59&amp;"!B:B"),0))</f>
        <v>202.08999999999997</v>
      </c>
      <c r="E59" s="210">
        <f ca="1">D59-LARGE(D$2:D$486,RBCount+WRCount+TECount+QBCount)</f>
        <v>90.889999999999972</v>
      </c>
      <c r="F59" t="str">
        <f ca="1">IF(H59&lt;=I59,"Starter",IF(G59&gt;=LARGE(G:G,FlexOn*LeagueInfo!$F$2),"Starter","Bench"))</f>
        <v>Starter</v>
      </c>
      <c r="G59">
        <f ca="1">IF(H59&gt;I59,D59,0)</f>
        <v>0</v>
      </c>
      <c r="H59">
        <f ca="1">INDEX(INDIRECT(""&amp;C59&amp;"!A2:A489"),MATCH(B59,INDIRECT(""&amp;C59&amp;"!B2:B489"),0))</f>
        <v>11</v>
      </c>
      <c r="I59">
        <f>IF(C59="RB",LeagueInfo!$D$4*LeagueInfo!$F$2,IF(C59="WR",LeagueInfo!$D$5*LeagueInfo!$F$2,IF(C59="TE",LeagueInfo!$D$6*LeagueInfo!$F$2,LeagueInfo!$D$3*LeagueInfo!$F$2)))</f>
        <v>24</v>
      </c>
    </row>
    <row r="60" spans="1:9" x14ac:dyDescent="0.25">
      <c r="A60">
        <f ca="1">RANK(E60,E$2:E$541)</f>
        <v>59</v>
      </c>
      <c r="B60" t="s">
        <v>701</v>
      </c>
      <c r="C60" t="s">
        <v>35</v>
      </c>
      <c r="D60">
        <f ca="1">INDEX(INDIRECT($C60&amp;"!P:P"),MATCH($B60,INDIRECT($C60&amp;"!B:B"),0))</f>
        <v>201.77</v>
      </c>
      <c r="E60" s="210">
        <f ca="1">D60-LARGE(D$2:D$486,RBCount+WRCount+TECount+QBCount)</f>
        <v>90.570000000000007</v>
      </c>
      <c r="F60" t="str">
        <f ca="1">IF(H60&lt;=I60,"Starter",IF(G60&gt;=LARGE(G:G,FlexOn*LeagueInfo!$F$2),"Starter","Bench"))</f>
        <v>Starter</v>
      </c>
      <c r="G60">
        <f ca="1">IF(H60&gt;I60,D60,0)</f>
        <v>0</v>
      </c>
      <c r="H60">
        <f ca="1">INDEX(INDIRECT(""&amp;C60&amp;"!A2:A489"),MATCH(B60,INDIRECT(""&amp;C60&amp;"!B2:B489"),0))</f>
        <v>12</v>
      </c>
      <c r="I60">
        <f>IF(C60="RB",LeagueInfo!$D$4*LeagueInfo!$F$2,IF(C60="WR",LeagueInfo!$D$5*LeagueInfo!$F$2,IF(C60="TE",LeagueInfo!$D$6*LeagueInfo!$F$2,LeagueInfo!$D$3*LeagueInfo!$F$2)))</f>
        <v>24</v>
      </c>
    </row>
    <row r="61" spans="1:9" x14ac:dyDescent="0.25">
      <c r="A61">
        <f ca="1">RANK(E61,E$2:E$541)</f>
        <v>60</v>
      </c>
      <c r="B61" t="s">
        <v>129</v>
      </c>
      <c r="C61" t="s">
        <v>35</v>
      </c>
      <c r="D61">
        <f ca="1">INDEX(INDIRECT($C61&amp;"!P:P"),MATCH($B61,INDIRECT($C61&amp;"!B:B"),0))</f>
        <v>199.48000000000002</v>
      </c>
      <c r="E61" s="210">
        <f ca="1">D61-LARGE(D$2:D$486,RBCount+WRCount+TECount+QBCount)</f>
        <v>88.280000000000015</v>
      </c>
      <c r="F61" t="str">
        <f ca="1">IF(H61&lt;=I61,"Starter",IF(G61&gt;=LARGE(G:G,FlexOn*LeagueInfo!$F$2),"Starter","Bench"))</f>
        <v>Starter</v>
      </c>
      <c r="G61">
        <f ca="1">IF(H61&gt;I61,D61,0)</f>
        <v>0</v>
      </c>
      <c r="H61">
        <f ca="1">INDEX(INDIRECT(""&amp;C61&amp;"!A2:A489"),MATCH(B61,INDIRECT(""&amp;C61&amp;"!B2:B489"),0))</f>
        <v>13</v>
      </c>
      <c r="I61">
        <f>IF(C61="RB",LeagueInfo!$D$4*LeagueInfo!$F$2,IF(C61="WR",LeagueInfo!$D$5*LeagueInfo!$F$2,IF(C61="TE",LeagueInfo!$D$6*LeagueInfo!$F$2,LeagueInfo!$D$3*LeagueInfo!$F$2)))</f>
        <v>24</v>
      </c>
    </row>
    <row r="62" spans="1:9" x14ac:dyDescent="0.25">
      <c r="A62">
        <f ca="1">RANK(E62,E$2:E$541)</f>
        <v>61</v>
      </c>
      <c r="B62" t="s">
        <v>93</v>
      </c>
      <c r="C62" t="s">
        <v>28</v>
      </c>
      <c r="D62">
        <f ca="1">INDEX(INDIRECT($C62&amp;"!P:P"),MATCH($B62,INDIRECT($C62&amp;"!B:B"),0))</f>
        <v>197.60000000000002</v>
      </c>
      <c r="E62" s="210">
        <f ca="1">D62-LARGE(D$2:D$486,RBCount+WRCount+TECount+QBCount)</f>
        <v>86.40000000000002</v>
      </c>
      <c r="F62" t="str">
        <f ca="1">IF(H62&lt;=I62,"Starter",IF(G62&gt;=LARGE(G:G,FlexOn*LeagueInfo!$F$2),"Starter","Bench"))</f>
        <v>Starter</v>
      </c>
      <c r="G62">
        <f ca="1">IF(H62&gt;I62,D62,0)</f>
        <v>0</v>
      </c>
      <c r="H62">
        <f ca="1">INDEX(INDIRECT(""&amp;C62&amp;"!A2:A489"),MATCH(B62,INDIRECT(""&amp;C62&amp;"!B2:B489"),0))</f>
        <v>17</v>
      </c>
      <c r="I62">
        <f>IF(C62="RB",LeagueInfo!$D$4*LeagueInfo!$F$2,IF(C62="WR",LeagueInfo!$D$5*LeagueInfo!$F$2,IF(C62="TE",LeagueInfo!$D$6*LeagueInfo!$F$2,LeagueInfo!$D$3*LeagueInfo!$F$2)))</f>
        <v>24</v>
      </c>
    </row>
    <row r="63" spans="1:9" x14ac:dyDescent="0.25">
      <c r="A63">
        <f ca="1">RANK(E63,E$2:E$541)</f>
        <v>62</v>
      </c>
      <c r="B63" t="s">
        <v>113</v>
      </c>
      <c r="C63" t="s">
        <v>35</v>
      </c>
      <c r="D63">
        <f ca="1">INDEX(INDIRECT($C63&amp;"!P:P"),MATCH($B63,INDIRECT($C63&amp;"!B:B"),0))</f>
        <v>194.84</v>
      </c>
      <c r="E63" s="210">
        <f ca="1">D63-LARGE(D$2:D$486,RBCount+WRCount+TECount+QBCount)</f>
        <v>83.64</v>
      </c>
      <c r="F63" t="str">
        <f ca="1">IF(H63&lt;=I63,"Starter",IF(G63&gt;=LARGE(G:G,FlexOn*LeagueInfo!$F$2),"Starter","Bench"))</f>
        <v>Starter</v>
      </c>
      <c r="G63">
        <f ca="1">IF(H63&gt;I63,D63,0)</f>
        <v>0</v>
      </c>
      <c r="H63">
        <f ca="1">INDEX(INDIRECT(""&amp;C63&amp;"!A2:A489"),MATCH(B63,INDIRECT(""&amp;C63&amp;"!B2:B489"),0))</f>
        <v>14</v>
      </c>
      <c r="I63">
        <f>IF(C63="RB",LeagueInfo!$D$4*LeagueInfo!$F$2,IF(C63="WR",LeagueInfo!$D$5*LeagueInfo!$F$2,IF(C63="TE",LeagueInfo!$D$6*LeagueInfo!$F$2,LeagueInfo!$D$3*LeagueInfo!$F$2)))</f>
        <v>24</v>
      </c>
    </row>
    <row r="64" spans="1:9" x14ac:dyDescent="0.25">
      <c r="A64">
        <f ca="1">RANK(E64,E$2:E$541)</f>
        <v>63</v>
      </c>
      <c r="B64" t="s">
        <v>185</v>
      </c>
      <c r="C64" t="s">
        <v>35</v>
      </c>
      <c r="D64">
        <f ca="1">INDEX(INDIRECT($C64&amp;"!P:P"),MATCH($B64,INDIRECT($C64&amp;"!B:B"),0))</f>
        <v>194.37</v>
      </c>
      <c r="E64" s="210">
        <f ca="1">D64-LARGE(D$2:D$486,RBCount+WRCount+TECount+QBCount)</f>
        <v>83.17</v>
      </c>
      <c r="F64" t="str">
        <f ca="1">IF(H64&lt;=I64,"Starter",IF(G64&gt;=LARGE(G:G,FlexOn*LeagueInfo!$F$2),"Starter","Bench"))</f>
        <v>Starter</v>
      </c>
      <c r="G64">
        <f ca="1">IF(H64&gt;I64,D64,0)</f>
        <v>0</v>
      </c>
      <c r="H64">
        <f ca="1">INDEX(INDIRECT(""&amp;C64&amp;"!A2:A489"),MATCH(B64,INDIRECT(""&amp;C64&amp;"!B2:B489"),0))</f>
        <v>15</v>
      </c>
      <c r="I64">
        <f>IF(C64="RB",LeagueInfo!$D$4*LeagueInfo!$F$2,IF(C64="WR",LeagueInfo!$D$5*LeagueInfo!$F$2,IF(C64="TE",LeagueInfo!$D$6*LeagueInfo!$F$2,LeagueInfo!$D$3*LeagueInfo!$F$2)))</f>
        <v>24</v>
      </c>
    </row>
    <row r="65" spans="1:9" x14ac:dyDescent="0.25">
      <c r="A65">
        <f ca="1">RANK(E65,E$2:E$541)</f>
        <v>64</v>
      </c>
      <c r="B65" t="s">
        <v>2409</v>
      </c>
      <c r="C65" t="s">
        <v>35</v>
      </c>
      <c r="D65">
        <f ca="1">INDEX(INDIRECT($C65&amp;"!P:P"),MATCH($B65,INDIRECT($C65&amp;"!B:B"),0))</f>
        <v>193.79000000000002</v>
      </c>
      <c r="E65" s="210">
        <f ca="1">D65-LARGE(D$2:D$486,RBCount+WRCount+TECount+QBCount)</f>
        <v>82.590000000000018</v>
      </c>
      <c r="F65" t="str">
        <f ca="1">IF(H65&lt;=I65,"Starter",IF(G65&gt;=LARGE(G:G,FlexOn*LeagueInfo!$F$2),"Starter","Bench"))</f>
        <v>Starter</v>
      </c>
      <c r="G65">
        <f ca="1">IF(H65&gt;I65,D65,0)</f>
        <v>0</v>
      </c>
      <c r="H65">
        <f ca="1">INDEX(INDIRECT(""&amp;C65&amp;"!A2:A489"),MATCH(B65,INDIRECT(""&amp;C65&amp;"!B2:B489"),0))</f>
        <v>16</v>
      </c>
      <c r="I65">
        <f>IF(C65="RB",LeagueInfo!$D$4*LeagueInfo!$F$2,IF(C65="WR",LeagueInfo!$D$5*LeagueInfo!$F$2,IF(C65="TE",LeagueInfo!$D$6*LeagueInfo!$F$2,LeagueInfo!$D$3*LeagueInfo!$F$2)))</f>
        <v>24</v>
      </c>
    </row>
    <row r="66" spans="1:9" x14ac:dyDescent="0.25">
      <c r="A66">
        <f ca="1">RANK(E66,E$2:E$541)</f>
        <v>65</v>
      </c>
      <c r="B66" t="s">
        <v>718</v>
      </c>
      <c r="C66" t="s">
        <v>35</v>
      </c>
      <c r="D66">
        <f ca="1">INDEX(INDIRECT($C66&amp;"!P:P"),MATCH($B66,INDIRECT($C66&amp;"!B:B"),0))</f>
        <v>191.09</v>
      </c>
      <c r="E66" s="210">
        <f ca="1">D66-LARGE(D$2:D$486,RBCount+WRCount+TECount+QBCount)</f>
        <v>79.89</v>
      </c>
      <c r="F66" t="str">
        <f ca="1">IF(H66&lt;=I66,"Starter",IF(G66&gt;=LARGE(G:G,FlexOn*LeagueInfo!$F$2),"Starter","Bench"))</f>
        <v>Starter</v>
      </c>
      <c r="G66">
        <f ca="1">IF(H66&gt;I66,D66,0)</f>
        <v>0</v>
      </c>
      <c r="H66">
        <f ca="1">INDEX(INDIRECT(""&amp;C66&amp;"!A2:A489"),MATCH(B66,INDIRECT(""&amp;C66&amp;"!B2:B489"),0))</f>
        <v>17</v>
      </c>
      <c r="I66">
        <f>IF(C66="RB",LeagueInfo!$D$4*LeagueInfo!$F$2,IF(C66="WR",LeagueInfo!$D$5*LeagueInfo!$F$2,IF(C66="TE",LeagueInfo!$D$6*LeagueInfo!$F$2,LeagueInfo!$D$3*LeagueInfo!$F$2)))</f>
        <v>24</v>
      </c>
    </row>
    <row r="67" spans="1:9" x14ac:dyDescent="0.25">
      <c r="A67">
        <f ca="1">RANK(E67,E$2:E$541)</f>
        <v>66</v>
      </c>
      <c r="B67" t="s">
        <v>2444</v>
      </c>
      <c r="C67" t="s">
        <v>28</v>
      </c>
      <c r="D67">
        <f ca="1">INDEX(INDIRECT($C67&amp;"!P:P"),MATCH($B67,INDIRECT($C67&amp;"!B:B"),0))</f>
        <v>189.84</v>
      </c>
      <c r="E67" s="210">
        <f ca="1">D67-LARGE(D$2:D$486,RBCount+WRCount+TECount+QBCount)</f>
        <v>78.64</v>
      </c>
      <c r="F67" t="str">
        <f ca="1">IF(H67&lt;=I67,"Starter",IF(G67&gt;=LARGE(G:G,FlexOn*LeagueInfo!$F$2),"Starter","Bench"))</f>
        <v>Starter</v>
      </c>
      <c r="G67">
        <f ca="1">IF(H67&gt;I67,D67,0)</f>
        <v>0</v>
      </c>
      <c r="H67">
        <f ca="1">INDEX(INDIRECT(""&amp;C67&amp;"!A2:A489"),MATCH(B67,INDIRECT(""&amp;C67&amp;"!B2:B489"),0))</f>
        <v>18</v>
      </c>
      <c r="I67">
        <f>IF(C67="RB",LeagueInfo!$D$4*LeagueInfo!$F$2,IF(C67="WR",LeagueInfo!$D$5*LeagueInfo!$F$2,IF(C67="TE",LeagueInfo!$D$6*LeagueInfo!$F$2,LeagueInfo!$D$3*LeagueInfo!$F$2)))</f>
        <v>24</v>
      </c>
    </row>
    <row r="68" spans="1:9" x14ac:dyDescent="0.25">
      <c r="A68">
        <f ca="1">RANK(E68,E$2:E$541)</f>
        <v>67</v>
      </c>
      <c r="B68" t="s">
        <v>309</v>
      </c>
      <c r="C68" t="s">
        <v>29</v>
      </c>
      <c r="D68">
        <f ca="1">INDEX(INDIRECT($C68&amp;"!P:P"),MATCH($B68,INDIRECT($C68&amp;"!B:B"),0))</f>
        <v>189.458</v>
      </c>
      <c r="E68" s="210">
        <f ca="1">D68-LARGE(D$2:D$486,RBCount+WRCount+TECount+QBCount)</f>
        <v>78.257999999999996</v>
      </c>
      <c r="F68" t="str">
        <f ca="1">IF(H68&lt;=I68,"Starter",IF(G68&gt;=LARGE(G:G,FlexOn*LeagueInfo!$F$2),"Starter","Bench"))</f>
        <v>Bench</v>
      </c>
      <c r="G68">
        <f ca="1">IF(H68&gt;I68,D68,0)</f>
        <v>189.458</v>
      </c>
      <c r="H68">
        <f ca="1">INDEX(INDIRECT(""&amp;C68&amp;"!A2:A489"),MATCH(B68,INDIRECT(""&amp;C68&amp;"!B2:B489"),0))</f>
        <v>30</v>
      </c>
      <c r="I68">
        <f>IF(C68="RB",LeagueInfo!$D$4*LeagueInfo!$F$2,IF(C68="WR",LeagueInfo!$D$5*LeagueInfo!$F$2,IF(C68="TE",LeagueInfo!$D$6*LeagueInfo!$F$2,LeagueInfo!$D$3*LeagueInfo!$F$2)))</f>
        <v>12</v>
      </c>
    </row>
    <row r="69" spans="1:9" x14ac:dyDescent="0.25">
      <c r="A69">
        <f ca="1">RANK(E69,E$2:E$541)</f>
        <v>68</v>
      </c>
      <c r="B69" t="s">
        <v>882</v>
      </c>
      <c r="C69" t="s">
        <v>28</v>
      </c>
      <c r="D69">
        <f ca="1">INDEX(INDIRECT($C69&amp;"!P:P"),MATCH($B69,INDIRECT($C69&amp;"!B:B"),0))</f>
        <v>189.15</v>
      </c>
      <c r="E69" s="210">
        <f ca="1">D69-LARGE(D$2:D$486,RBCount+WRCount+TECount+QBCount)</f>
        <v>77.95</v>
      </c>
      <c r="F69" t="str">
        <f ca="1">IF(H69&lt;=I69,"Starter",IF(G69&gt;=LARGE(G:G,FlexOn*LeagueInfo!$F$2),"Starter","Bench"))</f>
        <v>Starter</v>
      </c>
      <c r="G69">
        <f ca="1">IF(H69&gt;I69,D69,0)</f>
        <v>0</v>
      </c>
      <c r="H69">
        <f ca="1">INDEX(INDIRECT(""&amp;C69&amp;"!A2:A489"),MATCH(B69,INDIRECT(""&amp;C69&amp;"!B2:B489"),0))</f>
        <v>19</v>
      </c>
      <c r="I69">
        <f>IF(C69="RB",LeagueInfo!$D$4*LeagueInfo!$F$2,IF(C69="WR",LeagueInfo!$D$5*LeagueInfo!$F$2,IF(C69="TE",LeagueInfo!$D$6*LeagueInfo!$F$2,LeagueInfo!$D$3*LeagueInfo!$F$2)))</f>
        <v>24</v>
      </c>
    </row>
    <row r="70" spans="1:9" x14ac:dyDescent="0.25">
      <c r="A70">
        <f ca="1">RANK(E70,E$2:E$541)</f>
        <v>69</v>
      </c>
      <c r="B70" t="s">
        <v>881</v>
      </c>
      <c r="C70" t="s">
        <v>28</v>
      </c>
      <c r="D70">
        <f ca="1">INDEX(INDIRECT($C70&amp;"!P:P"),MATCH($B70,INDIRECT($C70&amp;"!B:B"),0))</f>
        <v>188.92000000000002</v>
      </c>
      <c r="E70" s="210">
        <f ca="1">D70-LARGE(D$2:D$486,RBCount+WRCount+TECount+QBCount)</f>
        <v>77.720000000000013</v>
      </c>
      <c r="F70" t="str">
        <f ca="1">IF(H70&lt;=I70,"Starter",IF(G70&gt;=LARGE(G:G,FlexOn*LeagueInfo!$F$2),"Starter","Bench"))</f>
        <v>Starter</v>
      </c>
      <c r="G70">
        <f ca="1">IF(H70&gt;I70,D70,0)</f>
        <v>0</v>
      </c>
      <c r="H70">
        <f ca="1">INDEX(INDIRECT(""&amp;C70&amp;"!A2:A489"),MATCH(B70,INDIRECT(""&amp;C70&amp;"!B2:B489"),0))</f>
        <v>20</v>
      </c>
      <c r="I70">
        <f>IF(C70="RB",LeagueInfo!$D$4*LeagueInfo!$F$2,IF(C70="WR",LeagueInfo!$D$5*LeagueInfo!$F$2,IF(C70="TE",LeagueInfo!$D$6*LeagueInfo!$F$2,LeagueInfo!$D$3*LeagueInfo!$F$2)))</f>
        <v>24</v>
      </c>
    </row>
    <row r="71" spans="1:9" x14ac:dyDescent="0.25">
      <c r="A71">
        <f ca="1">RANK(E71,E$2:E$541)</f>
        <v>70</v>
      </c>
      <c r="B71" t="s">
        <v>660</v>
      </c>
      <c r="C71" t="s">
        <v>28</v>
      </c>
      <c r="D71">
        <f ca="1">INDEX(INDIRECT($C71&amp;"!P:P"),MATCH($B71,INDIRECT($C71&amp;"!B:B"),0))</f>
        <v>187.86</v>
      </c>
      <c r="E71" s="210">
        <f ca="1">D71-LARGE(D$2:D$486,RBCount+WRCount+TECount+QBCount)</f>
        <v>76.660000000000011</v>
      </c>
      <c r="F71" t="str">
        <f ca="1">IF(H71&lt;=I71,"Starter",IF(G71&gt;=LARGE(G:G,FlexOn*LeagueInfo!$F$2),"Starter","Bench"))</f>
        <v>Starter</v>
      </c>
      <c r="G71">
        <f ca="1">IF(H71&gt;I71,D71,0)</f>
        <v>0</v>
      </c>
      <c r="H71">
        <f ca="1">INDEX(INDIRECT(""&amp;C71&amp;"!A2:A489"),MATCH(B71,INDIRECT(""&amp;C71&amp;"!B2:B489"),0))</f>
        <v>21</v>
      </c>
      <c r="I71">
        <f>IF(C71="RB",LeagueInfo!$D$4*LeagueInfo!$F$2,IF(C71="WR",LeagueInfo!$D$5*LeagueInfo!$F$2,IF(C71="TE",LeagueInfo!$D$6*LeagueInfo!$F$2,LeagueInfo!$D$3*LeagueInfo!$F$2)))</f>
        <v>24</v>
      </c>
    </row>
    <row r="72" spans="1:9" x14ac:dyDescent="0.25">
      <c r="A72">
        <f ca="1">RANK(E72,E$2:E$541)</f>
        <v>71</v>
      </c>
      <c r="B72" t="s">
        <v>935</v>
      </c>
      <c r="C72" t="s">
        <v>28</v>
      </c>
      <c r="D72">
        <f ca="1">INDEX(INDIRECT($C72&amp;"!P:P"),MATCH($B72,INDIRECT($C72&amp;"!B:B"),0))</f>
        <v>184.47</v>
      </c>
      <c r="E72" s="210">
        <f ca="1">D72-LARGE(D$2:D$486,RBCount+WRCount+TECount+QBCount)</f>
        <v>73.27</v>
      </c>
      <c r="F72" t="str">
        <f ca="1">IF(H72&lt;=I72,"Starter",IF(G72&gt;=LARGE(G:G,FlexOn*LeagueInfo!$F$2),"Starter","Bench"))</f>
        <v>Starter</v>
      </c>
      <c r="G72">
        <f ca="1">IF(H72&gt;I72,D72,0)</f>
        <v>0</v>
      </c>
      <c r="H72">
        <f ca="1">INDEX(INDIRECT(""&amp;C72&amp;"!A2:A489"),MATCH(B72,INDIRECT(""&amp;C72&amp;"!B2:B489"),0))</f>
        <v>22</v>
      </c>
      <c r="I72">
        <f>IF(C72="RB",LeagueInfo!$D$4*LeagueInfo!$F$2,IF(C72="WR",LeagueInfo!$D$5*LeagueInfo!$F$2,IF(C72="TE",LeagueInfo!$D$6*LeagueInfo!$F$2,LeagueInfo!$D$3*LeagueInfo!$F$2)))</f>
        <v>24</v>
      </c>
    </row>
    <row r="73" spans="1:9" x14ac:dyDescent="0.25">
      <c r="A73">
        <f ca="1">RANK(E73,E$2:E$541)</f>
        <v>72</v>
      </c>
      <c r="B73" t="s">
        <v>2410</v>
      </c>
      <c r="C73" t="s">
        <v>35</v>
      </c>
      <c r="D73">
        <f ca="1">INDEX(INDIRECT($C73&amp;"!P:P"),MATCH($B73,INDIRECT($C73&amp;"!B:B"),0))</f>
        <v>183.73000000000002</v>
      </c>
      <c r="E73" s="210">
        <f ca="1">D73-LARGE(D$2:D$486,RBCount+WRCount+TECount+QBCount)</f>
        <v>72.530000000000015</v>
      </c>
      <c r="F73" t="str">
        <f ca="1">IF(H73&lt;=I73,"Starter",IF(G73&gt;=LARGE(G:G,FlexOn*LeagueInfo!$F$2),"Starter","Bench"))</f>
        <v>Starter</v>
      </c>
      <c r="G73">
        <f ca="1">IF(H73&gt;I73,D73,0)</f>
        <v>0</v>
      </c>
      <c r="H73">
        <f ca="1">INDEX(INDIRECT(""&amp;C73&amp;"!A2:A489"),MATCH(B73,INDIRECT(""&amp;C73&amp;"!B2:B489"),0))</f>
        <v>18</v>
      </c>
      <c r="I73">
        <f>IF(C73="RB",LeagueInfo!$D$4*LeagueInfo!$F$2,IF(C73="WR",LeagueInfo!$D$5*LeagueInfo!$F$2,IF(C73="TE",LeagueInfo!$D$6*LeagueInfo!$F$2,LeagueInfo!$D$3*LeagueInfo!$F$2)))</f>
        <v>24</v>
      </c>
    </row>
    <row r="74" spans="1:9" x14ac:dyDescent="0.25">
      <c r="A74">
        <f ca="1">RANK(E74,E$2:E$541)</f>
        <v>73</v>
      </c>
      <c r="B74" t="s">
        <v>665</v>
      </c>
      <c r="C74" t="s">
        <v>28</v>
      </c>
      <c r="D74">
        <f ca="1">INDEX(INDIRECT($C74&amp;"!P:P"),MATCH($B74,INDIRECT($C74&amp;"!B:B"),0))</f>
        <v>182.84999999999997</v>
      </c>
      <c r="E74" s="210">
        <f ca="1">D74-LARGE(D$2:D$486,RBCount+WRCount+TECount+QBCount)</f>
        <v>71.649999999999963</v>
      </c>
      <c r="F74" t="str">
        <f ca="1">IF(H74&lt;=I74,"Starter",IF(G74&gt;=LARGE(G:G,FlexOn*LeagueInfo!$F$2),"Starter","Bench"))</f>
        <v>Starter</v>
      </c>
      <c r="G74">
        <f ca="1">IF(H74&gt;I74,D74,0)</f>
        <v>0</v>
      </c>
      <c r="H74">
        <f ca="1">INDEX(INDIRECT(""&amp;C74&amp;"!A2:A489"),MATCH(B74,INDIRECT(""&amp;C74&amp;"!B2:B489"),0))</f>
        <v>23</v>
      </c>
      <c r="I74">
        <f>IF(C74="RB",LeagueInfo!$D$4*LeagueInfo!$F$2,IF(C74="WR",LeagueInfo!$D$5*LeagueInfo!$F$2,IF(C74="TE",LeagueInfo!$D$6*LeagueInfo!$F$2,LeagueInfo!$D$3*LeagueInfo!$F$2)))</f>
        <v>24</v>
      </c>
    </row>
    <row r="75" spans="1:9" x14ac:dyDescent="0.25">
      <c r="A75">
        <f ca="1">RANK(E75,E$2:E$541)</f>
        <v>74</v>
      </c>
      <c r="B75" t="s">
        <v>948</v>
      </c>
      <c r="C75" t="s">
        <v>35</v>
      </c>
      <c r="D75">
        <f ca="1">INDEX(INDIRECT($C75&amp;"!P:P"),MATCH($B75,INDIRECT($C75&amp;"!B:B"),0))</f>
        <v>182.84</v>
      </c>
      <c r="E75" s="210">
        <f ca="1">D75-LARGE(D$2:D$486,RBCount+WRCount+TECount+QBCount)</f>
        <v>71.64</v>
      </c>
      <c r="F75" t="str">
        <f ca="1">IF(H75&lt;=I75,"Starter",IF(G75&gt;=LARGE(G:G,FlexOn*LeagueInfo!$F$2),"Starter","Bench"))</f>
        <v>Starter</v>
      </c>
      <c r="G75">
        <f ca="1">IF(H75&gt;I75,D75,0)</f>
        <v>0</v>
      </c>
      <c r="H75">
        <f ca="1">INDEX(INDIRECT(""&amp;C75&amp;"!A2:A489"),MATCH(B75,INDIRECT(""&amp;C75&amp;"!B2:B489"),0))</f>
        <v>19</v>
      </c>
      <c r="I75">
        <f>IF(C75="RB",LeagueInfo!$D$4*LeagueInfo!$F$2,IF(C75="WR",LeagueInfo!$D$5*LeagueInfo!$F$2,IF(C75="TE",LeagueInfo!$D$6*LeagueInfo!$F$2,LeagueInfo!$D$3*LeagueInfo!$F$2)))</f>
        <v>24</v>
      </c>
    </row>
    <row r="76" spans="1:9" x14ac:dyDescent="0.25">
      <c r="A76">
        <f ca="1">RANK(E76,E$2:E$541)</f>
        <v>75</v>
      </c>
      <c r="B76" t="s">
        <v>953</v>
      </c>
      <c r="C76" t="s">
        <v>35</v>
      </c>
      <c r="D76">
        <f ca="1">INDEX(INDIRECT($C76&amp;"!P:P"),MATCH($B76,INDIRECT($C76&amp;"!B:B"),0))</f>
        <v>181.39</v>
      </c>
      <c r="E76" s="210">
        <f ca="1">D76-LARGE(D$2:D$486,RBCount+WRCount+TECount+QBCount)</f>
        <v>70.189999999999984</v>
      </c>
      <c r="F76" t="str">
        <f ca="1">IF(H76&lt;=I76,"Starter",IF(G76&gt;=LARGE(G:G,FlexOn*LeagueInfo!$F$2),"Starter","Bench"))</f>
        <v>Starter</v>
      </c>
      <c r="G76">
        <f ca="1">IF(H76&gt;I76,D76,0)</f>
        <v>0</v>
      </c>
      <c r="H76">
        <f ca="1">INDEX(INDIRECT(""&amp;C76&amp;"!A2:A489"),MATCH(B76,INDIRECT(""&amp;C76&amp;"!B2:B489"),0))</f>
        <v>20</v>
      </c>
      <c r="I76">
        <f>IF(C76="RB",LeagueInfo!$D$4*LeagueInfo!$F$2,IF(C76="WR",LeagueInfo!$D$5*LeagueInfo!$F$2,IF(C76="TE",LeagueInfo!$D$6*LeagueInfo!$F$2,LeagueInfo!$D$3*LeagueInfo!$F$2)))</f>
        <v>24</v>
      </c>
    </row>
    <row r="77" spans="1:9" x14ac:dyDescent="0.25">
      <c r="A77">
        <f ca="1">RANK(E77,E$2:E$541)</f>
        <v>76</v>
      </c>
      <c r="B77" t="s">
        <v>708</v>
      </c>
      <c r="C77" t="s">
        <v>35</v>
      </c>
      <c r="D77">
        <f ca="1">INDEX(INDIRECT($C77&amp;"!P:P"),MATCH($B77,INDIRECT($C77&amp;"!B:B"),0))</f>
        <v>180.60000000000002</v>
      </c>
      <c r="E77" s="210">
        <f ca="1">D77-LARGE(D$2:D$486,RBCount+WRCount+TECount+QBCount)</f>
        <v>69.40000000000002</v>
      </c>
      <c r="F77" t="str">
        <f ca="1">IF(H77&lt;=I77,"Starter",IF(G77&gt;=LARGE(G:G,FlexOn*LeagueInfo!$F$2),"Starter","Bench"))</f>
        <v>Starter</v>
      </c>
      <c r="G77">
        <f ca="1">IF(H77&gt;I77,D77,0)</f>
        <v>0</v>
      </c>
      <c r="H77">
        <f ca="1">INDEX(INDIRECT(""&amp;C77&amp;"!A2:A489"),MATCH(B77,INDIRECT(""&amp;C77&amp;"!B2:B489"),0))</f>
        <v>21</v>
      </c>
      <c r="I77">
        <f>IF(C77="RB",LeagueInfo!$D$4*LeagueInfo!$F$2,IF(C77="WR",LeagueInfo!$D$5*LeagueInfo!$F$2,IF(C77="TE",LeagueInfo!$D$6*LeagueInfo!$F$2,LeagueInfo!$D$3*LeagueInfo!$F$2)))</f>
        <v>24</v>
      </c>
    </row>
    <row r="78" spans="1:9" x14ac:dyDescent="0.25">
      <c r="A78">
        <f ca="1">RANK(E78,E$2:E$541)</f>
        <v>77</v>
      </c>
      <c r="B78" t="s">
        <v>854</v>
      </c>
      <c r="C78" t="s">
        <v>35</v>
      </c>
      <c r="D78">
        <f ca="1">INDEX(INDIRECT($C78&amp;"!P:P"),MATCH($B78,INDIRECT($C78&amp;"!B:B"),0))</f>
        <v>180.29000000000002</v>
      </c>
      <c r="E78" s="210">
        <f ca="1">D78-LARGE(D$2:D$486,RBCount+WRCount+TECount+QBCount)</f>
        <v>69.090000000000018</v>
      </c>
      <c r="F78" t="str">
        <f ca="1">IF(H78&lt;=I78,"Starter",IF(G78&gt;=LARGE(G:G,FlexOn*LeagueInfo!$F$2),"Starter","Bench"))</f>
        <v>Starter</v>
      </c>
      <c r="G78">
        <f ca="1">IF(H78&gt;I78,D78,0)</f>
        <v>0</v>
      </c>
      <c r="H78">
        <f ca="1">INDEX(INDIRECT(""&amp;C78&amp;"!A2:A489"),MATCH(B78,INDIRECT(""&amp;C78&amp;"!B2:B489"),0))</f>
        <v>22</v>
      </c>
      <c r="I78">
        <f>IF(C78="RB",LeagueInfo!$D$4*LeagueInfo!$F$2,IF(C78="WR",LeagueInfo!$D$5*LeagueInfo!$F$2,IF(C78="TE",LeagueInfo!$D$6*LeagueInfo!$F$2,LeagueInfo!$D$3*LeagueInfo!$F$2)))</f>
        <v>24</v>
      </c>
    </row>
    <row r="79" spans="1:9" x14ac:dyDescent="0.25">
      <c r="A79">
        <f ca="1">RANK(E79,E$2:E$541)</f>
        <v>78</v>
      </c>
      <c r="B79" t="s">
        <v>535</v>
      </c>
      <c r="C79" t="s">
        <v>29</v>
      </c>
      <c r="D79">
        <f ca="1">INDEX(INDIRECT($C79&amp;"!P:P"),MATCH($B79,INDIRECT($C79&amp;"!B:B"),0))</f>
        <v>179.90600000000001</v>
      </c>
      <c r="E79" s="210">
        <f ca="1">D79-LARGE(D$2:D$486,RBCount+WRCount+TECount+QBCount)</f>
        <v>68.706000000000003</v>
      </c>
      <c r="F79" t="str">
        <f ca="1">IF(H79&lt;=I79,"Starter",IF(G79&gt;=LARGE(G:G,FlexOn*LeagueInfo!$F$2),"Starter","Bench"))</f>
        <v>Bench</v>
      </c>
      <c r="G79">
        <f ca="1">IF(H79&gt;I79,D79,0)</f>
        <v>179.90600000000001</v>
      </c>
      <c r="H79">
        <f ca="1">INDEX(INDIRECT(""&amp;C79&amp;"!A2:A489"),MATCH(B79,INDIRECT(""&amp;C79&amp;"!B2:B489"),0))</f>
        <v>31</v>
      </c>
      <c r="I79">
        <f>IF(C79="RB",LeagueInfo!$D$4*LeagueInfo!$F$2,IF(C79="WR",LeagueInfo!$D$5*LeagueInfo!$F$2,IF(C79="TE",LeagueInfo!$D$6*LeagueInfo!$F$2,LeagueInfo!$D$3*LeagueInfo!$F$2)))</f>
        <v>12</v>
      </c>
    </row>
    <row r="80" spans="1:9" x14ac:dyDescent="0.25">
      <c r="A80">
        <f ca="1">RANK(E80,E$2:E$541)</f>
        <v>79</v>
      </c>
      <c r="B80" t="s">
        <v>103</v>
      </c>
      <c r="C80" t="s">
        <v>35</v>
      </c>
      <c r="D80">
        <f ca="1">INDEX(INDIRECT($C80&amp;"!P:P"),MATCH($B80,INDIRECT($C80&amp;"!B:B"),0))</f>
        <v>179.28</v>
      </c>
      <c r="E80" s="210">
        <f ca="1">D80-LARGE(D$2:D$486,RBCount+WRCount+TECount+QBCount)</f>
        <v>68.08</v>
      </c>
      <c r="F80" t="str">
        <f ca="1">IF(H80&lt;=I80,"Starter",IF(G80&gt;=LARGE(G:G,FlexOn*LeagueInfo!$F$2),"Starter","Bench"))</f>
        <v>Starter</v>
      </c>
      <c r="G80">
        <f ca="1">IF(H80&gt;I80,D80,0)</f>
        <v>0</v>
      </c>
      <c r="H80">
        <f ca="1">INDEX(INDIRECT(""&amp;C80&amp;"!A2:A489"),MATCH(B80,INDIRECT(""&amp;C80&amp;"!B2:B489"),0))</f>
        <v>23</v>
      </c>
      <c r="I80">
        <f>IF(C80="RB",LeagueInfo!$D$4*LeagueInfo!$F$2,IF(C80="WR",LeagueInfo!$D$5*LeagueInfo!$F$2,IF(C80="TE",LeagueInfo!$D$6*LeagueInfo!$F$2,LeagueInfo!$D$3*LeagueInfo!$F$2)))</f>
        <v>24</v>
      </c>
    </row>
    <row r="81" spans="1:9" x14ac:dyDescent="0.25">
      <c r="A81">
        <f ca="1">RANK(E81,E$2:E$541)</f>
        <v>80</v>
      </c>
      <c r="B81" t="s">
        <v>663</v>
      </c>
      <c r="C81" t="s">
        <v>28</v>
      </c>
      <c r="D81">
        <f ca="1">INDEX(INDIRECT($C81&amp;"!P:P"),MATCH($B81,INDIRECT($C81&amp;"!B:B"),0))</f>
        <v>177.47</v>
      </c>
      <c r="E81" s="210">
        <f ca="1">D81-LARGE(D$2:D$486,RBCount+WRCount+TECount+QBCount)</f>
        <v>66.27</v>
      </c>
      <c r="F81" t="str">
        <f ca="1">IF(H81&lt;=I81,"Starter",IF(G81&gt;=LARGE(G:G,FlexOn*LeagueInfo!$F$2),"Starter","Bench"))</f>
        <v>Starter</v>
      </c>
      <c r="G81">
        <f ca="1">IF(H81&gt;I81,D81,0)</f>
        <v>0</v>
      </c>
      <c r="H81">
        <f ca="1">INDEX(INDIRECT(""&amp;C81&amp;"!A2:A489"),MATCH(B81,INDIRECT(""&amp;C81&amp;"!B2:B489"),0))</f>
        <v>24</v>
      </c>
      <c r="I81">
        <f>IF(C81="RB",LeagueInfo!$D$4*LeagueInfo!$F$2,IF(C81="WR",LeagueInfo!$D$5*LeagueInfo!$F$2,IF(C81="TE",LeagueInfo!$D$6*LeagueInfo!$F$2,LeagueInfo!$D$3*LeagueInfo!$F$2)))</f>
        <v>24</v>
      </c>
    </row>
    <row r="82" spans="1:9" x14ac:dyDescent="0.25">
      <c r="A82">
        <f ca="1">RANK(E82,E$2:E$541)</f>
        <v>81</v>
      </c>
      <c r="B82" t="s">
        <v>700</v>
      </c>
      <c r="C82" t="s">
        <v>35</v>
      </c>
      <c r="D82">
        <f ca="1">INDEX(INDIRECT($C82&amp;"!P:P"),MATCH($B82,INDIRECT($C82&amp;"!B:B"),0))</f>
        <v>176.09000000000003</v>
      </c>
      <c r="E82" s="210">
        <f ca="1">D82-LARGE(D$2:D$486,RBCount+WRCount+TECount+QBCount)</f>
        <v>64.890000000000029</v>
      </c>
      <c r="F82" t="str">
        <f ca="1">IF(H82&lt;=I82,"Starter",IF(G82&gt;=LARGE(G:G,FlexOn*LeagueInfo!$F$2),"Starter","Bench"))</f>
        <v>Starter</v>
      </c>
      <c r="G82">
        <f ca="1">IF(H82&gt;I82,D82,0)</f>
        <v>0</v>
      </c>
      <c r="H82">
        <f ca="1">INDEX(INDIRECT(""&amp;C82&amp;"!A2:A489"),MATCH(B82,INDIRECT(""&amp;C82&amp;"!B2:B489"),0))</f>
        <v>24</v>
      </c>
      <c r="I82">
        <f>IF(C82="RB",LeagueInfo!$D$4*LeagueInfo!$F$2,IF(C82="WR",LeagueInfo!$D$5*LeagueInfo!$F$2,IF(C82="TE",LeagueInfo!$D$6*LeagueInfo!$F$2,LeagueInfo!$D$3*LeagueInfo!$F$2)))</f>
        <v>24</v>
      </c>
    </row>
    <row r="83" spans="1:9" x14ac:dyDescent="0.25">
      <c r="A83">
        <f ca="1">RANK(E83,E$2:E$541)</f>
        <v>82</v>
      </c>
      <c r="B83" t="s">
        <v>565</v>
      </c>
      <c r="C83" t="s">
        <v>35</v>
      </c>
      <c r="D83">
        <f ca="1">INDEX(INDIRECT($C83&amp;"!P:P"),MATCH($B83,INDIRECT($C83&amp;"!B:B"),0))</f>
        <v>175.68</v>
      </c>
      <c r="E83" s="210">
        <f ca="1">D83-LARGE(D$2:D$486,RBCount+WRCount+TECount+QBCount)</f>
        <v>64.48</v>
      </c>
      <c r="F83" t="str">
        <f ca="1">IF(H83&lt;=I83,"Starter",IF(G83&gt;=LARGE(G:G,FlexOn*LeagueInfo!$F$2),"Starter","Bench"))</f>
        <v>Bench</v>
      </c>
      <c r="G83">
        <f ca="1">IF(H83&gt;I83,D83,0)</f>
        <v>175.68</v>
      </c>
      <c r="H83">
        <f ca="1">INDEX(INDIRECT(""&amp;C83&amp;"!A2:A489"),MATCH(B83,INDIRECT(""&amp;C83&amp;"!B2:B489"),0))</f>
        <v>25</v>
      </c>
      <c r="I83">
        <f>IF(C83="RB",LeagueInfo!$D$4*LeagueInfo!$F$2,IF(C83="WR",LeagueInfo!$D$5*LeagueInfo!$F$2,IF(C83="TE",LeagueInfo!$D$6*LeagueInfo!$F$2,LeagueInfo!$D$3*LeagueInfo!$F$2)))</f>
        <v>24</v>
      </c>
    </row>
    <row r="84" spans="1:9" x14ac:dyDescent="0.25">
      <c r="A84">
        <f ca="1">RANK(E84,E$2:E$541)</f>
        <v>83</v>
      </c>
      <c r="B84" t="s">
        <v>848</v>
      </c>
      <c r="C84" t="s">
        <v>28</v>
      </c>
      <c r="D84">
        <f ca="1">INDEX(INDIRECT($C84&amp;"!P:P"),MATCH($B84,INDIRECT($C84&amp;"!B:B"),0))</f>
        <v>174.80000000000004</v>
      </c>
      <c r="E84" s="210">
        <f ca="1">D84-LARGE(D$2:D$486,RBCount+WRCount+TECount+QBCount)</f>
        <v>63.600000000000037</v>
      </c>
      <c r="F84" t="str">
        <f ca="1">IF(H84&lt;=I84,"Starter",IF(G84&gt;=LARGE(G:G,FlexOn*LeagueInfo!$F$2),"Starter","Bench"))</f>
        <v>Bench</v>
      </c>
      <c r="G84">
        <f ca="1">IF(H84&gt;I84,D84,0)</f>
        <v>174.80000000000004</v>
      </c>
      <c r="H84">
        <f ca="1">INDEX(INDIRECT(""&amp;C84&amp;"!A2:A489"),MATCH(B84,INDIRECT(""&amp;C84&amp;"!B2:B489"),0))</f>
        <v>25</v>
      </c>
      <c r="I84">
        <f>IF(C84="RB",LeagueInfo!$D$4*LeagueInfo!$F$2,IF(C84="WR",LeagueInfo!$D$5*LeagueInfo!$F$2,IF(C84="TE",LeagueInfo!$D$6*LeagueInfo!$F$2,LeagueInfo!$D$3*LeagueInfo!$F$2)))</f>
        <v>24</v>
      </c>
    </row>
    <row r="85" spans="1:9" x14ac:dyDescent="0.25">
      <c r="A85">
        <f ca="1">RANK(E85,E$2:E$541)</f>
        <v>84</v>
      </c>
      <c r="B85" t="s">
        <v>317</v>
      </c>
      <c r="C85" t="s">
        <v>29</v>
      </c>
      <c r="D85">
        <f ca="1">INDEX(INDIRECT($C85&amp;"!P:P"),MATCH($B85,INDIRECT($C85&amp;"!B:B"),0))</f>
        <v>174.74199999999996</v>
      </c>
      <c r="E85" s="210">
        <f ca="1">D85-LARGE(D$2:D$486,RBCount+WRCount+TECount+QBCount)</f>
        <v>63.541999999999959</v>
      </c>
      <c r="F85" t="str">
        <f ca="1">IF(H85&lt;=I85,"Starter",IF(G85&gt;=LARGE(G:G,FlexOn*LeagueInfo!$F$2),"Starter","Bench"))</f>
        <v>Bench</v>
      </c>
      <c r="G85">
        <f ca="1">IF(H85&gt;I85,D85,0)</f>
        <v>174.74199999999996</v>
      </c>
      <c r="H85">
        <f ca="1">INDEX(INDIRECT(""&amp;C85&amp;"!A2:A489"),MATCH(B85,INDIRECT(""&amp;C85&amp;"!B2:B489"),0))</f>
        <v>32</v>
      </c>
      <c r="I85">
        <f>IF(C85="RB",LeagueInfo!$D$4*LeagueInfo!$F$2,IF(C85="WR",LeagueInfo!$D$5*LeagueInfo!$F$2,IF(C85="TE",LeagueInfo!$D$6*LeagueInfo!$F$2,LeagueInfo!$D$3*LeagueInfo!$F$2)))</f>
        <v>12</v>
      </c>
    </row>
    <row r="86" spans="1:9" x14ac:dyDescent="0.25">
      <c r="A86">
        <f ca="1">RANK(E86,E$2:E$541)</f>
        <v>85</v>
      </c>
      <c r="B86" t="s">
        <v>859</v>
      </c>
      <c r="C86" t="s">
        <v>35</v>
      </c>
      <c r="D86">
        <f ca="1">INDEX(INDIRECT($C86&amp;"!P:P"),MATCH($B86,INDIRECT($C86&amp;"!B:B"),0))</f>
        <v>174.31</v>
      </c>
      <c r="E86" s="210">
        <f ca="1">D86-LARGE(D$2:D$486,RBCount+WRCount+TECount+QBCount)</f>
        <v>63.11</v>
      </c>
      <c r="F86" t="str">
        <f ca="1">IF(H86&lt;=I86,"Starter",IF(G86&gt;=LARGE(G:G,FlexOn*LeagueInfo!$F$2),"Starter","Bench"))</f>
        <v>Bench</v>
      </c>
      <c r="G86">
        <f ca="1">IF(H86&gt;I86,D86,0)</f>
        <v>174.31</v>
      </c>
      <c r="H86">
        <f ca="1">INDEX(INDIRECT(""&amp;C86&amp;"!A2:A489"),MATCH(B86,INDIRECT(""&amp;C86&amp;"!B2:B489"),0))</f>
        <v>26</v>
      </c>
      <c r="I86">
        <f>IF(C86="RB",LeagueInfo!$D$4*LeagueInfo!$F$2,IF(C86="WR",LeagueInfo!$D$5*LeagueInfo!$F$2,IF(C86="TE",LeagueInfo!$D$6*LeagueInfo!$F$2,LeagueInfo!$D$3*LeagueInfo!$F$2)))</f>
        <v>24</v>
      </c>
    </row>
    <row r="87" spans="1:9" x14ac:dyDescent="0.25">
      <c r="A87">
        <f ca="1">RANK(E87,E$2:E$541)</f>
        <v>86</v>
      </c>
      <c r="B87" t="s">
        <v>834</v>
      </c>
      <c r="C87" t="s">
        <v>35</v>
      </c>
      <c r="D87">
        <f ca="1">INDEX(INDIRECT($C87&amp;"!P:P"),MATCH($B87,INDIRECT($C87&amp;"!B:B"),0))</f>
        <v>174.26</v>
      </c>
      <c r="E87" s="210">
        <f ca="1">D87-LARGE(D$2:D$486,RBCount+WRCount+TECount+QBCount)</f>
        <v>63.059999999999988</v>
      </c>
      <c r="F87" t="str">
        <f ca="1">IF(H87&lt;=I87,"Starter",IF(G87&gt;=LARGE(G:G,FlexOn*LeagueInfo!$F$2),"Starter","Bench"))</f>
        <v>Bench</v>
      </c>
      <c r="G87">
        <f ca="1">IF(H87&gt;I87,D87,0)</f>
        <v>174.26</v>
      </c>
      <c r="H87">
        <f ca="1">INDEX(INDIRECT(""&amp;C87&amp;"!A2:A489"),MATCH(B87,INDIRECT(""&amp;C87&amp;"!B2:B489"),0))</f>
        <v>27</v>
      </c>
      <c r="I87">
        <f>IF(C87="RB",LeagueInfo!$D$4*LeagueInfo!$F$2,IF(C87="WR",LeagueInfo!$D$5*LeagueInfo!$F$2,IF(C87="TE",LeagueInfo!$D$6*LeagueInfo!$F$2,LeagueInfo!$D$3*LeagueInfo!$F$2)))</f>
        <v>24</v>
      </c>
    </row>
    <row r="88" spans="1:9" x14ac:dyDescent="0.25">
      <c r="A88">
        <f ca="1">RANK(E88,E$2:E$541)</f>
        <v>87</v>
      </c>
      <c r="B88" t="s">
        <v>381</v>
      </c>
      <c r="C88" t="s">
        <v>35</v>
      </c>
      <c r="D88">
        <f ca="1">INDEX(INDIRECT($C88&amp;"!P:P"),MATCH($B88,INDIRECT($C88&amp;"!B:B"),0))</f>
        <v>173.44</v>
      </c>
      <c r="E88" s="210">
        <f ca="1">D88-LARGE(D$2:D$486,RBCount+WRCount+TECount+QBCount)</f>
        <v>62.239999999999995</v>
      </c>
      <c r="F88" t="str">
        <f ca="1">IF(H88&lt;=I88,"Starter",IF(G88&gt;=LARGE(G:G,FlexOn*LeagueInfo!$F$2),"Starter","Bench"))</f>
        <v>Bench</v>
      </c>
      <c r="G88">
        <f ca="1">IF(H88&gt;I88,D88,0)</f>
        <v>173.44</v>
      </c>
      <c r="H88">
        <f ca="1">INDEX(INDIRECT(""&amp;C88&amp;"!A2:A489"),MATCH(B88,INDIRECT(""&amp;C88&amp;"!B2:B489"),0))</f>
        <v>28</v>
      </c>
      <c r="I88">
        <f>IF(C88="RB",LeagueInfo!$D$4*LeagueInfo!$F$2,IF(C88="WR",LeagueInfo!$D$5*LeagueInfo!$F$2,IF(C88="TE",LeagueInfo!$D$6*LeagueInfo!$F$2,LeagueInfo!$D$3*LeagueInfo!$F$2)))</f>
        <v>24</v>
      </c>
    </row>
    <row r="89" spans="1:9" x14ac:dyDescent="0.25">
      <c r="A89">
        <f ca="1">RANK(E89,E$2:E$541)</f>
        <v>88</v>
      </c>
      <c r="B89" t="s">
        <v>898</v>
      </c>
      <c r="C89" t="s">
        <v>28</v>
      </c>
      <c r="D89">
        <f ca="1">INDEX(INDIRECT($C89&amp;"!P:P"),MATCH($B89,INDIRECT($C89&amp;"!B:B"),0))</f>
        <v>170.67000000000002</v>
      </c>
      <c r="E89" s="210">
        <f ca="1">D89-LARGE(D$2:D$486,RBCount+WRCount+TECount+QBCount)</f>
        <v>59.470000000000013</v>
      </c>
      <c r="F89" t="str">
        <f ca="1">IF(H89&lt;=I89,"Starter",IF(G89&gt;=LARGE(G:G,FlexOn*LeagueInfo!$F$2),"Starter","Bench"))</f>
        <v>Bench</v>
      </c>
      <c r="G89">
        <f ca="1">IF(H89&gt;I89,D89,0)</f>
        <v>170.67000000000002</v>
      </c>
      <c r="H89">
        <f ca="1">INDEX(INDIRECT(""&amp;C89&amp;"!A2:A489"),MATCH(B89,INDIRECT(""&amp;C89&amp;"!B2:B489"),0))</f>
        <v>26</v>
      </c>
      <c r="I89">
        <f>IF(C89="RB",LeagueInfo!$D$4*LeagueInfo!$F$2,IF(C89="WR",LeagueInfo!$D$5*LeagueInfo!$F$2,IF(C89="TE",LeagueInfo!$D$6*LeagueInfo!$F$2,LeagueInfo!$D$3*LeagueInfo!$F$2)))</f>
        <v>24</v>
      </c>
    </row>
    <row r="90" spans="1:9" x14ac:dyDescent="0.25">
      <c r="A90">
        <f ca="1">RANK(E90,E$2:E$541)</f>
        <v>89</v>
      </c>
      <c r="B90" t="s">
        <v>670</v>
      </c>
      <c r="C90" t="s">
        <v>28</v>
      </c>
      <c r="D90">
        <f ca="1">INDEX(INDIRECT($C90&amp;"!P:P"),MATCH($B90,INDIRECT($C90&amp;"!B:B"),0))</f>
        <v>169.71</v>
      </c>
      <c r="E90" s="210">
        <f ca="1">D90-LARGE(D$2:D$486,RBCount+WRCount+TECount+QBCount)</f>
        <v>58.510000000000005</v>
      </c>
      <c r="F90" t="str">
        <f ca="1">IF(H90&lt;=I90,"Starter",IF(G90&gt;=LARGE(G:G,FlexOn*LeagueInfo!$F$2),"Starter","Bench"))</f>
        <v>Bench</v>
      </c>
      <c r="G90">
        <f ca="1">IF(H90&gt;I90,D90,0)</f>
        <v>169.71</v>
      </c>
      <c r="H90">
        <f ca="1">INDEX(INDIRECT(""&amp;C90&amp;"!A2:A489"),MATCH(B90,INDIRECT(""&amp;C90&amp;"!B2:B489"),0))</f>
        <v>27</v>
      </c>
      <c r="I90">
        <f>IF(C90="RB",LeagueInfo!$D$4*LeagueInfo!$F$2,IF(C90="WR",LeagueInfo!$D$5*LeagueInfo!$F$2,IF(C90="TE",LeagueInfo!$D$6*LeagueInfo!$F$2,LeagueInfo!$D$3*LeagueInfo!$F$2)))</f>
        <v>24</v>
      </c>
    </row>
    <row r="91" spans="1:9" x14ac:dyDescent="0.25">
      <c r="A91">
        <f ca="1">RANK(E91,E$2:E$541)</f>
        <v>90</v>
      </c>
      <c r="B91" t="s">
        <v>213</v>
      </c>
      <c r="C91" t="s">
        <v>35</v>
      </c>
      <c r="D91">
        <f ca="1">INDEX(INDIRECT($C91&amp;"!P:P"),MATCH($B91,INDIRECT($C91&amp;"!B:B"),0))</f>
        <v>169.47</v>
      </c>
      <c r="E91" s="210">
        <f ca="1">D91-LARGE(D$2:D$486,RBCount+WRCount+TECount+QBCount)</f>
        <v>58.269999999999996</v>
      </c>
      <c r="F91" t="str">
        <f ca="1">IF(H91&lt;=I91,"Starter",IF(G91&gt;=LARGE(G:G,FlexOn*LeagueInfo!$F$2),"Starter","Bench"))</f>
        <v>Bench</v>
      </c>
      <c r="G91">
        <f ca="1">IF(H91&gt;I91,D91,0)</f>
        <v>169.47</v>
      </c>
      <c r="H91">
        <f ca="1">INDEX(INDIRECT(""&amp;C91&amp;"!A2:A489"),MATCH(B91,INDIRECT(""&amp;C91&amp;"!B2:B489"),0))</f>
        <v>29</v>
      </c>
      <c r="I91">
        <f>IF(C91="RB",LeagueInfo!$D$4*LeagueInfo!$F$2,IF(C91="WR",LeagueInfo!$D$5*LeagueInfo!$F$2,IF(C91="TE",LeagueInfo!$D$6*LeagueInfo!$F$2,LeagueInfo!$D$3*LeagueInfo!$F$2)))</f>
        <v>24</v>
      </c>
    </row>
    <row r="92" spans="1:9" x14ac:dyDescent="0.25">
      <c r="A92">
        <f ca="1">RANK(E92,E$2:E$541)</f>
        <v>91</v>
      </c>
      <c r="B92" t="s">
        <v>2447</v>
      </c>
      <c r="C92" t="s">
        <v>28</v>
      </c>
      <c r="D92">
        <f ca="1">INDEX(INDIRECT($C92&amp;"!P:P"),MATCH($B92,INDIRECT($C92&amp;"!B:B"),0))</f>
        <v>169.18000000000004</v>
      </c>
      <c r="E92" s="210">
        <f ca="1">D92-LARGE(D$2:D$486,RBCount+WRCount+TECount+QBCount)</f>
        <v>57.980000000000032</v>
      </c>
      <c r="F92" t="str">
        <f ca="1">IF(H92&lt;=I92,"Starter",IF(G92&gt;=LARGE(G:G,FlexOn*LeagueInfo!$F$2),"Starter","Bench"))</f>
        <v>Bench</v>
      </c>
      <c r="G92">
        <f ca="1">IF(H92&gt;I92,D92,0)</f>
        <v>169.18000000000004</v>
      </c>
      <c r="H92">
        <f ca="1">INDEX(INDIRECT(""&amp;C92&amp;"!A2:A489"),MATCH(B92,INDIRECT(""&amp;C92&amp;"!B2:B489"),0))</f>
        <v>28</v>
      </c>
      <c r="I92">
        <f>IF(C92="RB",LeagueInfo!$D$4*LeagueInfo!$F$2,IF(C92="WR",LeagueInfo!$D$5*LeagueInfo!$F$2,IF(C92="TE",LeagueInfo!$D$6*LeagueInfo!$F$2,LeagueInfo!$D$3*LeagueInfo!$F$2)))</f>
        <v>24</v>
      </c>
    </row>
    <row r="93" spans="1:9" x14ac:dyDescent="0.25">
      <c r="A93">
        <f ca="1">RANK(E93,E$2:E$541)</f>
        <v>92</v>
      </c>
      <c r="B93" t="s">
        <v>950</v>
      </c>
      <c r="C93" t="s">
        <v>35</v>
      </c>
      <c r="D93">
        <f ca="1">INDEX(INDIRECT($C93&amp;"!P:P"),MATCH($B93,INDIRECT($C93&amp;"!B:B"),0))</f>
        <v>169.06</v>
      </c>
      <c r="E93" s="210">
        <f ca="1">D93-LARGE(D$2:D$486,RBCount+WRCount+TECount+QBCount)</f>
        <v>57.86</v>
      </c>
      <c r="F93" t="str">
        <f ca="1">IF(H93&lt;=I93,"Starter",IF(G93&gt;=LARGE(G:G,FlexOn*LeagueInfo!$F$2),"Starter","Bench"))</f>
        <v>Bench</v>
      </c>
      <c r="G93">
        <f ca="1">IF(H93&gt;I93,D93,0)</f>
        <v>169.06</v>
      </c>
      <c r="H93">
        <f ca="1">INDEX(INDIRECT(""&amp;C93&amp;"!A2:A489"),MATCH(B93,INDIRECT(""&amp;C93&amp;"!B2:B489"),0))</f>
        <v>30</v>
      </c>
      <c r="I93">
        <f>IF(C93="RB",LeagueInfo!$D$4*LeagueInfo!$F$2,IF(C93="WR",LeagueInfo!$D$5*LeagueInfo!$F$2,IF(C93="TE",LeagueInfo!$D$6*LeagueInfo!$F$2,LeagueInfo!$D$3*LeagueInfo!$F$2)))</f>
        <v>24</v>
      </c>
    </row>
    <row r="94" spans="1:9" x14ac:dyDescent="0.25">
      <c r="A94">
        <f ca="1">RANK(E94,E$2:E$541)</f>
        <v>93</v>
      </c>
      <c r="B94" t="s">
        <v>878</v>
      </c>
      <c r="C94" t="s">
        <v>28</v>
      </c>
      <c r="D94">
        <f ca="1">INDEX(INDIRECT($C94&amp;"!P:P"),MATCH($B94,INDIRECT($C94&amp;"!B:B"),0))</f>
        <v>168.38</v>
      </c>
      <c r="E94" s="210">
        <f ca="1">D94-LARGE(D$2:D$486,RBCount+WRCount+TECount+QBCount)</f>
        <v>57.179999999999993</v>
      </c>
      <c r="F94" t="str">
        <f ca="1">IF(H94&lt;=I94,"Starter",IF(G94&gt;=LARGE(G:G,FlexOn*LeagueInfo!$F$2),"Starter","Bench"))</f>
        <v>Bench</v>
      </c>
      <c r="G94">
        <f ca="1">IF(H94&gt;I94,D94,0)</f>
        <v>168.38</v>
      </c>
      <c r="H94">
        <f ca="1">INDEX(INDIRECT(""&amp;C94&amp;"!A2:A489"),MATCH(B94,INDIRECT(""&amp;C94&amp;"!B2:B489"),0))</f>
        <v>29</v>
      </c>
      <c r="I94">
        <f>IF(C94="RB",LeagueInfo!$D$4*LeagueInfo!$F$2,IF(C94="WR",LeagueInfo!$D$5*LeagueInfo!$F$2,IF(C94="TE",LeagueInfo!$D$6*LeagueInfo!$F$2,LeagueInfo!$D$3*LeagueInfo!$F$2)))</f>
        <v>24</v>
      </c>
    </row>
    <row r="95" spans="1:9" x14ac:dyDescent="0.25">
      <c r="A95">
        <f ca="1">RANK(E95,E$2:E$541)</f>
        <v>94</v>
      </c>
      <c r="B95" t="s">
        <v>709</v>
      </c>
      <c r="C95" t="s">
        <v>35</v>
      </c>
      <c r="D95">
        <f ca="1">INDEX(INDIRECT($C95&amp;"!P:P"),MATCH($B95,INDIRECT($C95&amp;"!B:B"),0))</f>
        <v>168.32999999999998</v>
      </c>
      <c r="E95" s="210">
        <f ca="1">D95-LARGE(D$2:D$486,RBCount+WRCount+TECount+QBCount)</f>
        <v>57.129999999999981</v>
      </c>
      <c r="F95" t="str">
        <f ca="1">IF(H95&lt;=I95,"Starter",IF(G95&gt;=LARGE(G:G,FlexOn*LeagueInfo!$F$2),"Starter","Bench"))</f>
        <v>Bench</v>
      </c>
      <c r="G95">
        <f ca="1">IF(H95&gt;I95,D95,0)</f>
        <v>168.32999999999998</v>
      </c>
      <c r="H95">
        <f ca="1">INDEX(INDIRECT(""&amp;C95&amp;"!A2:A489"),MATCH(B95,INDIRECT(""&amp;C95&amp;"!B2:B489"),0))</f>
        <v>31</v>
      </c>
      <c r="I95">
        <f>IF(C95="RB",LeagueInfo!$D$4*LeagueInfo!$F$2,IF(C95="WR",LeagueInfo!$D$5*LeagueInfo!$F$2,IF(C95="TE",LeagueInfo!$D$6*LeagueInfo!$F$2,LeagueInfo!$D$3*LeagueInfo!$F$2)))</f>
        <v>24</v>
      </c>
    </row>
    <row r="96" spans="1:9" x14ac:dyDescent="0.25">
      <c r="A96">
        <f ca="1">RANK(E96,E$2:E$541)</f>
        <v>95</v>
      </c>
      <c r="B96" t="s">
        <v>2443</v>
      </c>
      <c r="C96" t="s">
        <v>28</v>
      </c>
      <c r="D96">
        <f ca="1">INDEX(INDIRECT($C96&amp;"!P:P"),MATCH($B96,INDIRECT($C96&amp;"!B:B"),0))</f>
        <v>167.59</v>
      </c>
      <c r="E96" s="210">
        <f ca="1">D96-LARGE(D$2:D$486,RBCount+WRCount+TECount+QBCount)</f>
        <v>56.39</v>
      </c>
      <c r="F96" t="str">
        <f ca="1">IF(H96&lt;=I96,"Starter",IF(G96&gt;=LARGE(G:G,FlexOn*LeagueInfo!$F$2),"Starter","Bench"))</f>
        <v>Bench</v>
      </c>
      <c r="G96">
        <f ca="1">IF(H96&gt;I96,D96,0)</f>
        <v>167.59</v>
      </c>
      <c r="H96">
        <f ca="1">INDEX(INDIRECT(""&amp;C96&amp;"!A2:A489"),MATCH(B96,INDIRECT(""&amp;C96&amp;"!B2:B489"),0))</f>
        <v>30</v>
      </c>
      <c r="I96">
        <f>IF(C96="RB",LeagueInfo!$D$4*LeagueInfo!$F$2,IF(C96="WR",LeagueInfo!$D$5*LeagueInfo!$F$2,IF(C96="TE",LeagueInfo!$D$6*LeagueInfo!$F$2,LeagueInfo!$D$3*LeagueInfo!$F$2)))</f>
        <v>24</v>
      </c>
    </row>
    <row r="97" spans="1:9" x14ac:dyDescent="0.25">
      <c r="A97">
        <f ca="1">RANK(E97,E$2:E$541)</f>
        <v>96</v>
      </c>
      <c r="B97" t="s">
        <v>384</v>
      </c>
      <c r="C97" t="s">
        <v>35</v>
      </c>
      <c r="D97">
        <f ca="1">INDEX(INDIRECT($C97&amp;"!P:P"),MATCH($B97,INDIRECT($C97&amp;"!B:B"),0))</f>
        <v>166.78</v>
      </c>
      <c r="E97" s="210">
        <f ca="1">D97-LARGE(D$2:D$486,RBCount+WRCount+TECount+QBCount)</f>
        <v>55.58</v>
      </c>
      <c r="F97" t="str">
        <f ca="1">IF(H97&lt;=I97,"Starter",IF(G97&gt;=LARGE(G:G,FlexOn*LeagueInfo!$F$2),"Starter","Bench"))</f>
        <v>Bench</v>
      </c>
      <c r="G97">
        <f ca="1">IF(H97&gt;I97,D97,0)</f>
        <v>166.78</v>
      </c>
      <c r="H97">
        <f ca="1">INDEX(INDIRECT(""&amp;C97&amp;"!A2:A489"),MATCH(B97,INDIRECT(""&amp;C97&amp;"!B2:B489"),0))</f>
        <v>32</v>
      </c>
      <c r="I97">
        <f>IF(C97="RB",LeagueInfo!$D$4*LeagueInfo!$F$2,IF(C97="WR",LeagueInfo!$D$5*LeagueInfo!$F$2,IF(C97="TE",LeagueInfo!$D$6*LeagueInfo!$F$2,LeagueInfo!$D$3*LeagueInfo!$F$2)))</f>
        <v>24</v>
      </c>
    </row>
    <row r="98" spans="1:9" x14ac:dyDescent="0.25">
      <c r="A98">
        <f ca="1">RANK(E98,E$2:E$541)</f>
        <v>97</v>
      </c>
      <c r="B98" t="s">
        <v>944</v>
      </c>
      <c r="C98" t="s">
        <v>35</v>
      </c>
      <c r="D98">
        <f ca="1">INDEX(INDIRECT($C98&amp;"!P:P"),MATCH($B98,INDIRECT($C98&amp;"!B:B"),0))</f>
        <v>165.92000000000002</v>
      </c>
      <c r="E98" s="210">
        <f ca="1">D98-LARGE(D$2:D$486,RBCount+WRCount+TECount+QBCount)</f>
        <v>54.720000000000013</v>
      </c>
      <c r="F98" t="str">
        <f ca="1">IF(H98&lt;=I98,"Starter",IF(G98&gt;=LARGE(G:G,FlexOn*LeagueInfo!$F$2),"Starter","Bench"))</f>
        <v>Bench</v>
      </c>
      <c r="G98">
        <f ca="1">IF(H98&gt;I98,D98,0)</f>
        <v>165.92000000000002</v>
      </c>
      <c r="H98">
        <f ca="1">INDEX(INDIRECT(""&amp;C98&amp;"!A2:A489"),MATCH(B98,INDIRECT(""&amp;C98&amp;"!B2:B489"),0))</f>
        <v>33</v>
      </c>
      <c r="I98">
        <f>IF(C98="RB",LeagueInfo!$D$4*LeagueInfo!$F$2,IF(C98="WR",LeagueInfo!$D$5*LeagueInfo!$F$2,IF(C98="TE",LeagueInfo!$D$6*LeagueInfo!$F$2,LeagueInfo!$D$3*LeagueInfo!$F$2)))</f>
        <v>24</v>
      </c>
    </row>
    <row r="99" spans="1:9" x14ac:dyDescent="0.25">
      <c r="A99">
        <f ca="1">RANK(E99,E$2:E$541)</f>
        <v>98</v>
      </c>
      <c r="B99" t="s">
        <v>210</v>
      </c>
      <c r="C99" t="s">
        <v>35</v>
      </c>
      <c r="D99">
        <f ca="1">INDEX(INDIRECT($C99&amp;"!P:P"),MATCH($B99,INDIRECT($C99&amp;"!B:B"),0))</f>
        <v>165.88</v>
      </c>
      <c r="E99" s="210">
        <f ca="1">D99-LARGE(D$2:D$486,RBCount+WRCount+TECount+QBCount)</f>
        <v>54.679999999999993</v>
      </c>
      <c r="F99" t="str">
        <f ca="1">IF(H99&lt;=I99,"Starter",IF(G99&gt;=LARGE(G:G,FlexOn*LeagueInfo!$F$2),"Starter","Bench"))</f>
        <v>Bench</v>
      </c>
      <c r="G99">
        <f ca="1">IF(H99&gt;I99,D99,0)</f>
        <v>165.88</v>
      </c>
      <c r="H99">
        <f ca="1">INDEX(INDIRECT(""&amp;C99&amp;"!A2:A489"),MATCH(B99,INDIRECT(""&amp;C99&amp;"!B2:B489"),0))</f>
        <v>34</v>
      </c>
      <c r="I99">
        <f>IF(C99="RB",LeagueInfo!$D$4*LeagueInfo!$F$2,IF(C99="WR",LeagueInfo!$D$5*LeagueInfo!$F$2,IF(C99="TE",LeagueInfo!$D$6*LeagueInfo!$F$2,LeagueInfo!$D$3*LeagueInfo!$F$2)))</f>
        <v>24</v>
      </c>
    </row>
    <row r="100" spans="1:9" x14ac:dyDescent="0.25">
      <c r="A100">
        <f ca="1">RANK(E100,E$2:E$541)</f>
        <v>99</v>
      </c>
      <c r="B100" t="s">
        <v>105</v>
      </c>
      <c r="C100" t="s">
        <v>35</v>
      </c>
      <c r="D100">
        <f ca="1">INDEX(INDIRECT($C100&amp;"!P:P"),MATCH($B100,INDIRECT($C100&amp;"!B:B"),0))</f>
        <v>165.2</v>
      </c>
      <c r="E100" s="210">
        <f ca="1">D100-LARGE(D$2:D$486,RBCount+WRCount+TECount+QBCount)</f>
        <v>53.999999999999986</v>
      </c>
      <c r="F100" t="str">
        <f ca="1">IF(H100&lt;=I100,"Starter",IF(G100&gt;=LARGE(G:G,FlexOn*LeagueInfo!$F$2),"Starter","Bench"))</f>
        <v>Bench</v>
      </c>
      <c r="G100">
        <f ca="1">IF(H100&gt;I100,D100,0)</f>
        <v>165.2</v>
      </c>
      <c r="H100">
        <f ca="1">INDEX(INDIRECT(""&amp;C100&amp;"!A2:A489"),MATCH(B100,INDIRECT(""&amp;C100&amp;"!B2:B489"),0))</f>
        <v>35</v>
      </c>
      <c r="I100">
        <f>IF(C100="RB",LeagueInfo!$D$4*LeagueInfo!$F$2,IF(C100="WR",LeagueInfo!$D$5*LeagueInfo!$F$2,IF(C100="TE",LeagueInfo!$D$6*LeagueInfo!$F$2,LeagueInfo!$D$3*LeagueInfo!$F$2)))</f>
        <v>24</v>
      </c>
    </row>
    <row r="101" spans="1:9" x14ac:dyDescent="0.25">
      <c r="A101">
        <f ca="1">RANK(E101,E$2:E$541)</f>
        <v>100</v>
      </c>
      <c r="B101" t="s">
        <v>668</v>
      </c>
      <c r="C101" t="s">
        <v>28</v>
      </c>
      <c r="D101">
        <f ca="1">INDEX(INDIRECT($C101&amp;"!P:P"),MATCH($B101,INDIRECT($C101&amp;"!B:B"),0))</f>
        <v>164.72000000000003</v>
      </c>
      <c r="E101" s="210">
        <f ca="1">D101-LARGE(D$2:D$486,RBCount+WRCount+TECount+QBCount)</f>
        <v>53.520000000000024</v>
      </c>
      <c r="F101" t="str">
        <f ca="1">IF(H101&lt;=I101,"Starter",IF(G101&gt;=LARGE(G:G,FlexOn*LeagueInfo!$F$2),"Starter","Bench"))</f>
        <v>Bench</v>
      </c>
      <c r="G101">
        <f ca="1">IF(H101&gt;I101,D101,0)</f>
        <v>164.72000000000003</v>
      </c>
      <c r="H101">
        <f ca="1">INDEX(INDIRECT(""&amp;C101&amp;"!A2:A489"),MATCH(B101,INDIRECT(""&amp;C101&amp;"!B2:B489"),0))</f>
        <v>31</v>
      </c>
      <c r="I101">
        <f>IF(C101="RB",LeagueInfo!$D$4*LeagueInfo!$F$2,IF(C101="WR",LeagueInfo!$D$5*LeagueInfo!$F$2,IF(C101="TE",LeagueInfo!$D$6*LeagueInfo!$F$2,LeagueInfo!$D$3*LeagueInfo!$F$2)))</f>
        <v>24</v>
      </c>
    </row>
    <row r="102" spans="1:9" x14ac:dyDescent="0.25">
      <c r="A102">
        <f ca="1">RANK(E102,E$2:E$541)</f>
        <v>101</v>
      </c>
      <c r="B102" t="s">
        <v>364</v>
      </c>
      <c r="C102" t="s">
        <v>35</v>
      </c>
      <c r="D102">
        <f ca="1">INDEX(INDIRECT($C102&amp;"!P:P"),MATCH($B102,INDIRECT($C102&amp;"!B:B"),0))</f>
        <v>163.59000000000003</v>
      </c>
      <c r="E102" s="210">
        <f ca="1">D102-LARGE(D$2:D$486,RBCount+WRCount+TECount+QBCount)</f>
        <v>52.390000000000029</v>
      </c>
      <c r="F102" t="str">
        <f ca="1">IF(H102&lt;=I102,"Starter",IF(G102&gt;=LARGE(G:G,FlexOn*LeagueInfo!$F$2),"Starter","Bench"))</f>
        <v>Bench</v>
      </c>
      <c r="G102">
        <f ca="1">IF(H102&gt;I102,D102,0)</f>
        <v>163.59000000000003</v>
      </c>
      <c r="H102">
        <f ca="1">INDEX(INDIRECT(""&amp;C102&amp;"!A2:A489"),MATCH(B102,INDIRECT(""&amp;C102&amp;"!B2:B489"),0))</f>
        <v>36</v>
      </c>
      <c r="I102">
        <f>IF(C102="RB",LeagueInfo!$D$4*LeagueInfo!$F$2,IF(C102="WR",LeagueInfo!$D$5*LeagueInfo!$F$2,IF(C102="TE",LeagueInfo!$D$6*LeagueInfo!$F$2,LeagueInfo!$D$3*LeagueInfo!$F$2)))</f>
        <v>24</v>
      </c>
    </row>
    <row r="103" spans="1:9" x14ac:dyDescent="0.25">
      <c r="A103">
        <f ca="1">RANK(E103,E$2:E$541)</f>
        <v>102</v>
      </c>
      <c r="B103" t="s">
        <v>391</v>
      </c>
      <c r="C103" t="s">
        <v>28</v>
      </c>
      <c r="D103">
        <f ca="1">INDEX(INDIRECT($C103&amp;"!P:P"),MATCH($B103,INDIRECT($C103&amp;"!B:B"),0))</f>
        <v>163.56</v>
      </c>
      <c r="E103" s="210">
        <f ca="1">D103-LARGE(D$2:D$486,RBCount+WRCount+TECount+QBCount)</f>
        <v>52.36</v>
      </c>
      <c r="F103" t="str">
        <f ca="1">IF(H103&lt;=I103,"Starter",IF(G103&gt;=LARGE(G:G,FlexOn*LeagueInfo!$F$2),"Starter","Bench"))</f>
        <v>Bench</v>
      </c>
      <c r="G103">
        <f ca="1">IF(H103&gt;I103,D103,0)</f>
        <v>163.56</v>
      </c>
      <c r="H103">
        <f ca="1">INDEX(INDIRECT(""&amp;C103&amp;"!A2:A489"),MATCH(B103,INDIRECT(""&amp;C103&amp;"!B2:B489"),0))</f>
        <v>32</v>
      </c>
      <c r="I103">
        <f>IF(C103="RB",LeagueInfo!$D$4*LeagueInfo!$F$2,IF(C103="WR",LeagueInfo!$D$5*LeagueInfo!$F$2,IF(C103="TE",LeagueInfo!$D$6*LeagueInfo!$F$2,LeagueInfo!$D$3*LeagueInfo!$F$2)))</f>
        <v>24</v>
      </c>
    </row>
    <row r="104" spans="1:9" x14ac:dyDescent="0.25">
      <c r="A104">
        <f ca="1">RANK(E104,E$2:E$541)</f>
        <v>103</v>
      </c>
      <c r="B104" t="s">
        <v>973</v>
      </c>
      <c r="C104" t="s">
        <v>43</v>
      </c>
      <c r="D104">
        <f ca="1">INDEX(INDIRECT($C104&amp;"!P:P"),MATCH($B104,INDIRECT($C104&amp;"!B:B"),0))</f>
        <v>163.48000000000002</v>
      </c>
      <c r="E104" s="210">
        <f ca="1">D104-LARGE(D$2:D$486,RBCount+WRCount+TECount+QBCount)</f>
        <v>52.280000000000015</v>
      </c>
      <c r="F104" t="str">
        <f ca="1">IF(H104&lt;=I104,"Starter",IF(G104&gt;=LARGE(G:G,FlexOn*LeagueInfo!$F$2),"Starter","Bench"))</f>
        <v>Starter</v>
      </c>
      <c r="G104">
        <f ca="1">IF(H104&gt;I104,D104,0)</f>
        <v>0</v>
      </c>
      <c r="H104">
        <f ca="1">INDEX(INDIRECT(""&amp;C104&amp;"!A2:A489"),MATCH(B104,INDIRECT(""&amp;C104&amp;"!B2:B489"),0))</f>
        <v>3</v>
      </c>
      <c r="I104">
        <f>IF(C104="RB",LeagueInfo!$D$4*LeagueInfo!$F$2,IF(C104="WR",LeagueInfo!$D$5*LeagueInfo!$F$2,IF(C104="TE",LeagueInfo!$D$6*LeagueInfo!$F$2,LeagueInfo!$D$3*LeagueInfo!$F$2)))</f>
        <v>12</v>
      </c>
    </row>
    <row r="105" spans="1:9" x14ac:dyDescent="0.25">
      <c r="A105">
        <f ca="1">RANK(E105,E$2:E$541)</f>
        <v>104</v>
      </c>
      <c r="B105" t="s">
        <v>552</v>
      </c>
      <c r="C105" t="s">
        <v>28</v>
      </c>
      <c r="D105">
        <f ca="1">INDEX(INDIRECT($C105&amp;"!P:P"),MATCH($B105,INDIRECT($C105&amp;"!B:B"),0))</f>
        <v>163.14999999999998</v>
      </c>
      <c r="E105" s="210">
        <f ca="1">D105-LARGE(D$2:D$486,RBCount+WRCount+TECount+QBCount)</f>
        <v>51.949999999999974</v>
      </c>
      <c r="F105" t="str">
        <f ca="1">IF(H105&lt;=I105,"Starter",IF(G105&gt;=LARGE(G:G,FlexOn*LeagueInfo!$F$2),"Starter","Bench"))</f>
        <v>Bench</v>
      </c>
      <c r="G105">
        <f ca="1">IF(H105&gt;I105,D105,0)</f>
        <v>163.14999999999998</v>
      </c>
      <c r="H105">
        <f ca="1">INDEX(INDIRECT(""&amp;C105&amp;"!A2:A489"),MATCH(B105,INDIRECT(""&amp;C105&amp;"!B2:B489"),0))</f>
        <v>33</v>
      </c>
      <c r="I105">
        <f>IF(C105="RB",LeagueInfo!$D$4*LeagueInfo!$F$2,IF(C105="WR",LeagueInfo!$D$5*LeagueInfo!$F$2,IF(C105="TE",LeagueInfo!$D$6*LeagueInfo!$F$2,LeagueInfo!$D$3*LeagueInfo!$F$2)))</f>
        <v>24</v>
      </c>
    </row>
    <row r="106" spans="1:9" x14ac:dyDescent="0.25">
      <c r="A106">
        <f ca="1">RANK(E106,E$2:E$541)</f>
        <v>105</v>
      </c>
      <c r="B106" t="s">
        <v>949</v>
      </c>
      <c r="C106" t="s">
        <v>35</v>
      </c>
      <c r="D106">
        <f ca="1">INDEX(INDIRECT($C106&amp;"!P:P"),MATCH($B106,INDIRECT($C106&amp;"!B:B"),0))</f>
        <v>161.59000000000003</v>
      </c>
      <c r="E106" s="210">
        <f ca="1">D106-LARGE(D$2:D$486,RBCount+WRCount+TECount+QBCount)</f>
        <v>50.390000000000029</v>
      </c>
      <c r="F106" t="str">
        <f ca="1">IF(H106&lt;=I106,"Starter",IF(G106&gt;=LARGE(G:G,FlexOn*LeagueInfo!$F$2),"Starter","Bench"))</f>
        <v>Bench</v>
      </c>
      <c r="G106">
        <f ca="1">IF(H106&gt;I106,D106,0)</f>
        <v>161.59000000000003</v>
      </c>
      <c r="H106">
        <f ca="1">INDEX(INDIRECT(""&amp;C106&amp;"!A2:A489"),MATCH(B106,INDIRECT(""&amp;C106&amp;"!B2:B489"),0))</f>
        <v>37</v>
      </c>
      <c r="I106">
        <f>IF(C106="RB",LeagueInfo!$D$4*LeagueInfo!$F$2,IF(C106="WR",LeagueInfo!$D$5*LeagueInfo!$F$2,IF(C106="TE",LeagueInfo!$D$6*LeagueInfo!$F$2,LeagueInfo!$D$3*LeagueInfo!$F$2)))</f>
        <v>24</v>
      </c>
    </row>
    <row r="107" spans="1:9" x14ac:dyDescent="0.25">
      <c r="A107">
        <f ca="1">RANK(E107,E$2:E$541)</f>
        <v>106</v>
      </c>
      <c r="B107" t="s">
        <v>743</v>
      </c>
      <c r="C107" t="s">
        <v>43</v>
      </c>
      <c r="D107">
        <f ca="1">INDEX(INDIRECT($C107&amp;"!P:P"),MATCH($B107,INDIRECT($C107&amp;"!B:B"),0))</f>
        <v>161.47999999999999</v>
      </c>
      <c r="E107" s="210">
        <f ca="1">D107-LARGE(D$2:D$486,RBCount+WRCount+TECount+QBCount)</f>
        <v>50.279999999999987</v>
      </c>
      <c r="F107" t="str">
        <f ca="1">IF(H107&lt;=I107,"Starter",IF(G107&gt;=LARGE(G:G,FlexOn*LeagueInfo!$F$2),"Starter","Bench"))</f>
        <v>Starter</v>
      </c>
      <c r="G107">
        <f ca="1">IF(H107&gt;I107,D107,0)</f>
        <v>0</v>
      </c>
      <c r="H107">
        <f ca="1">INDEX(INDIRECT(""&amp;C107&amp;"!A2:A489"),MATCH(B107,INDIRECT(""&amp;C107&amp;"!B2:B489"),0))</f>
        <v>4</v>
      </c>
      <c r="I107">
        <f>IF(C107="RB",LeagueInfo!$D$4*LeagueInfo!$F$2,IF(C107="WR",LeagueInfo!$D$5*LeagueInfo!$F$2,IF(C107="TE",LeagueInfo!$D$6*LeagueInfo!$F$2,LeagueInfo!$D$3*LeagueInfo!$F$2)))</f>
        <v>12</v>
      </c>
    </row>
    <row r="108" spans="1:9" x14ac:dyDescent="0.25">
      <c r="A108">
        <f ca="1">RANK(E108,E$2:E$541)</f>
        <v>107</v>
      </c>
      <c r="B108" t="s">
        <v>543</v>
      </c>
      <c r="C108" t="s">
        <v>28</v>
      </c>
      <c r="D108">
        <f ca="1">INDEX(INDIRECT($C108&amp;"!P:P"),MATCH($B108,INDIRECT($C108&amp;"!B:B"),0))</f>
        <v>160.67999999999998</v>
      </c>
      <c r="E108" s="210">
        <f ca="1">D108-LARGE(D$2:D$486,RBCount+WRCount+TECount+QBCount)</f>
        <v>49.479999999999976</v>
      </c>
      <c r="F108" t="str">
        <f ca="1">IF(H108&lt;=I108,"Starter",IF(G108&gt;=LARGE(G:G,FlexOn*LeagueInfo!$F$2),"Starter","Bench"))</f>
        <v>Bench</v>
      </c>
      <c r="G108">
        <f ca="1">IF(H108&gt;I108,D108,0)</f>
        <v>160.67999999999998</v>
      </c>
      <c r="H108">
        <f ca="1">INDEX(INDIRECT(""&amp;C108&amp;"!A2:A489"),MATCH(B108,INDIRECT(""&amp;C108&amp;"!B2:B489"),0))</f>
        <v>34</v>
      </c>
      <c r="I108">
        <f>IF(C108="RB",LeagueInfo!$D$4*LeagueInfo!$F$2,IF(C108="WR",LeagueInfo!$D$5*LeagueInfo!$F$2,IF(C108="TE",LeagueInfo!$D$6*LeagueInfo!$F$2,LeagueInfo!$D$3*LeagueInfo!$F$2)))</f>
        <v>24</v>
      </c>
    </row>
    <row r="109" spans="1:9" x14ac:dyDescent="0.25">
      <c r="A109">
        <f ca="1">RANK(E109,E$2:E$541)</f>
        <v>108</v>
      </c>
      <c r="B109" t="s">
        <v>933</v>
      </c>
      <c r="C109" t="s">
        <v>28</v>
      </c>
      <c r="D109">
        <f ca="1">INDEX(INDIRECT($C109&amp;"!P:P"),MATCH($B109,INDIRECT($C109&amp;"!B:B"),0))</f>
        <v>158.54999999999998</v>
      </c>
      <c r="E109" s="210">
        <f ca="1">D109-LARGE(D$2:D$486,RBCount+WRCount+TECount+QBCount)</f>
        <v>47.34999999999998</v>
      </c>
      <c r="F109" t="str">
        <f ca="1">IF(H109&lt;=I109,"Starter",IF(G109&gt;=LARGE(G:G,FlexOn*LeagueInfo!$F$2),"Starter","Bench"))</f>
        <v>Bench</v>
      </c>
      <c r="G109">
        <f ca="1">IF(H109&gt;I109,D109,0)</f>
        <v>158.54999999999998</v>
      </c>
      <c r="H109">
        <f ca="1">INDEX(INDIRECT(""&amp;C109&amp;"!A2:A489"),MATCH(B109,INDIRECT(""&amp;C109&amp;"!B2:B489"),0))</f>
        <v>35</v>
      </c>
      <c r="I109">
        <f>IF(C109="RB",LeagueInfo!$D$4*LeagueInfo!$F$2,IF(C109="WR",LeagueInfo!$D$5*LeagueInfo!$F$2,IF(C109="TE",LeagueInfo!$D$6*LeagueInfo!$F$2,LeagueInfo!$D$3*LeagueInfo!$F$2)))</f>
        <v>24</v>
      </c>
    </row>
    <row r="110" spans="1:9" x14ac:dyDescent="0.25">
      <c r="A110">
        <f ca="1">RANK(E110,E$2:E$541)</f>
        <v>109</v>
      </c>
      <c r="B110" t="s">
        <v>570</v>
      </c>
      <c r="C110" t="s">
        <v>35</v>
      </c>
      <c r="D110">
        <f ca="1">INDEX(INDIRECT($C110&amp;"!P:P"),MATCH($B110,INDIRECT($C110&amp;"!B:B"),0))</f>
        <v>156.94</v>
      </c>
      <c r="E110" s="210">
        <f ca="1">D110-LARGE(D$2:D$486,RBCount+WRCount+TECount+QBCount)</f>
        <v>45.739999999999995</v>
      </c>
      <c r="F110" t="str">
        <f ca="1">IF(H110&lt;=I110,"Starter",IF(G110&gt;=LARGE(G:G,FlexOn*LeagueInfo!$F$2),"Starter","Bench"))</f>
        <v>Bench</v>
      </c>
      <c r="G110">
        <f ca="1">IF(H110&gt;I110,D110,0)</f>
        <v>156.94</v>
      </c>
      <c r="H110">
        <f ca="1">INDEX(INDIRECT(""&amp;C110&amp;"!A2:A489"),MATCH(B110,INDIRECT(""&amp;C110&amp;"!B2:B489"),0))</f>
        <v>38</v>
      </c>
      <c r="I110">
        <f>IF(C110="RB",LeagueInfo!$D$4*LeagueInfo!$F$2,IF(C110="WR",LeagueInfo!$D$5*LeagueInfo!$F$2,IF(C110="TE",LeagueInfo!$D$6*LeagueInfo!$F$2,LeagueInfo!$D$3*LeagueInfo!$F$2)))</f>
        <v>24</v>
      </c>
    </row>
    <row r="111" spans="1:9" x14ac:dyDescent="0.25">
      <c r="A111">
        <f ca="1">RANK(E111,E$2:E$541)</f>
        <v>110</v>
      </c>
      <c r="B111" t="s">
        <v>597</v>
      </c>
      <c r="C111" t="s">
        <v>43</v>
      </c>
      <c r="D111">
        <f ca="1">INDEX(INDIRECT($C111&amp;"!P:P"),MATCH($B111,INDIRECT($C111&amp;"!B:B"),0))</f>
        <v>155.12</v>
      </c>
      <c r="E111" s="210">
        <f ca="1">D111-LARGE(D$2:D$486,RBCount+WRCount+TECount+QBCount)</f>
        <v>43.92</v>
      </c>
      <c r="F111" t="str">
        <f ca="1">IF(H111&lt;=I111,"Starter",IF(G111&gt;=LARGE(G:G,FlexOn*LeagueInfo!$F$2),"Starter","Bench"))</f>
        <v>Starter</v>
      </c>
      <c r="G111">
        <f ca="1">IF(H111&gt;I111,D111,0)</f>
        <v>0</v>
      </c>
      <c r="H111">
        <f ca="1">INDEX(INDIRECT(""&amp;C111&amp;"!A2:A489"),MATCH(B111,INDIRECT(""&amp;C111&amp;"!B2:B489"),0))</f>
        <v>5</v>
      </c>
      <c r="I111">
        <f>IF(C111="RB",LeagueInfo!$D$4*LeagueInfo!$F$2,IF(C111="WR",LeagueInfo!$D$5*LeagueInfo!$F$2,IF(C111="TE",LeagueInfo!$D$6*LeagueInfo!$F$2,LeagueInfo!$D$3*LeagueInfo!$F$2)))</f>
        <v>12</v>
      </c>
    </row>
    <row r="112" spans="1:9" x14ac:dyDescent="0.25">
      <c r="A112">
        <f ca="1">RANK(E112,E$2:E$541)</f>
        <v>111</v>
      </c>
      <c r="B112" t="s">
        <v>420</v>
      </c>
      <c r="C112" t="s">
        <v>43</v>
      </c>
      <c r="D112">
        <f ca="1">INDEX(INDIRECT($C112&amp;"!P:P"),MATCH($B112,INDIRECT($C112&amp;"!B:B"),0))</f>
        <v>154.33000000000001</v>
      </c>
      <c r="E112" s="210">
        <f ca="1">D112-LARGE(D$2:D$486,RBCount+WRCount+TECount+QBCount)</f>
        <v>43.13000000000001</v>
      </c>
      <c r="F112" t="str">
        <f ca="1">IF(H112&lt;=I112,"Starter",IF(G112&gt;=LARGE(G:G,FlexOn*LeagueInfo!$F$2),"Starter","Bench"))</f>
        <v>Starter</v>
      </c>
      <c r="G112">
        <f ca="1">IF(H112&gt;I112,D112,0)</f>
        <v>0</v>
      </c>
      <c r="H112">
        <f ca="1">INDEX(INDIRECT(""&amp;C112&amp;"!A2:A489"),MATCH(B112,INDIRECT(""&amp;C112&amp;"!B2:B489"),0))</f>
        <v>6</v>
      </c>
      <c r="I112">
        <f>IF(C112="RB",LeagueInfo!$D$4*LeagueInfo!$F$2,IF(C112="WR",LeagueInfo!$D$5*LeagueInfo!$F$2,IF(C112="TE",LeagueInfo!$D$6*LeagueInfo!$F$2,LeagueInfo!$D$3*LeagueInfo!$F$2)))</f>
        <v>12</v>
      </c>
    </row>
    <row r="113" spans="1:9" x14ac:dyDescent="0.25">
      <c r="A113">
        <f ca="1">RANK(E113,E$2:E$541)</f>
        <v>112</v>
      </c>
      <c r="B113" t="s">
        <v>946</v>
      </c>
      <c r="C113" t="s">
        <v>35</v>
      </c>
      <c r="D113">
        <f ca="1">INDEX(INDIRECT($C113&amp;"!P:P"),MATCH($B113,INDIRECT($C113&amp;"!B:B"),0))</f>
        <v>152.03</v>
      </c>
      <c r="E113" s="210">
        <f ca="1">D113-LARGE(D$2:D$486,RBCount+WRCount+TECount+QBCount)</f>
        <v>40.83</v>
      </c>
      <c r="F113" t="str">
        <f ca="1">IF(H113&lt;=I113,"Starter",IF(G113&gt;=LARGE(G:G,FlexOn*LeagueInfo!$F$2),"Starter","Bench"))</f>
        <v>Bench</v>
      </c>
      <c r="G113">
        <f ca="1">IF(H113&gt;I113,D113,0)</f>
        <v>152.03</v>
      </c>
      <c r="H113">
        <f ca="1">INDEX(INDIRECT(""&amp;C113&amp;"!A2:A489"),MATCH(B113,INDIRECT(""&amp;C113&amp;"!B2:B489"),0))</f>
        <v>39</v>
      </c>
      <c r="I113">
        <f>IF(C113="RB",LeagueInfo!$D$4*LeagueInfo!$F$2,IF(C113="WR",LeagueInfo!$D$5*LeagueInfo!$F$2,IF(C113="TE",LeagueInfo!$D$6*LeagueInfo!$F$2,LeagueInfo!$D$3*LeagueInfo!$F$2)))</f>
        <v>24</v>
      </c>
    </row>
    <row r="114" spans="1:9" x14ac:dyDescent="0.25">
      <c r="A114">
        <f ca="1">RANK(E114,E$2:E$541)</f>
        <v>113</v>
      </c>
      <c r="B114" t="s">
        <v>840</v>
      </c>
      <c r="C114" t="s">
        <v>35</v>
      </c>
      <c r="D114">
        <f ca="1">INDEX(INDIRECT($C114&amp;"!P:P"),MATCH($B114,INDIRECT($C114&amp;"!B:B"),0))</f>
        <v>150.4</v>
      </c>
      <c r="E114" s="210">
        <f ca="1">D114-LARGE(D$2:D$486,RBCount+WRCount+TECount+QBCount)</f>
        <v>39.200000000000003</v>
      </c>
      <c r="F114" t="str">
        <f ca="1">IF(H114&lt;=I114,"Starter",IF(G114&gt;=LARGE(G:G,FlexOn*LeagueInfo!$F$2),"Starter","Bench"))</f>
        <v>Bench</v>
      </c>
      <c r="G114">
        <f ca="1">IF(H114&gt;I114,D114,0)</f>
        <v>150.4</v>
      </c>
      <c r="H114">
        <f ca="1">INDEX(INDIRECT(""&amp;C114&amp;"!A2:A489"),MATCH(B114,INDIRECT(""&amp;C114&amp;"!B2:B489"),0))</f>
        <v>40</v>
      </c>
      <c r="I114">
        <f>IF(C114="RB",LeagueInfo!$D$4*LeagueInfo!$F$2,IF(C114="WR",LeagueInfo!$D$5*LeagueInfo!$F$2,IF(C114="TE",LeagueInfo!$D$6*LeagueInfo!$F$2,LeagueInfo!$D$3*LeagueInfo!$F$2)))</f>
        <v>24</v>
      </c>
    </row>
    <row r="115" spans="1:9" x14ac:dyDescent="0.25">
      <c r="A115">
        <f ca="1">RANK(E115,E$2:E$541)</f>
        <v>114</v>
      </c>
      <c r="B115" t="s">
        <v>837</v>
      </c>
      <c r="C115" t="s">
        <v>35</v>
      </c>
      <c r="D115">
        <f ca="1">INDEX(INDIRECT($C115&amp;"!P:P"),MATCH($B115,INDIRECT($C115&amp;"!B:B"),0))</f>
        <v>148.93</v>
      </c>
      <c r="E115" s="210">
        <f ca="1">D115-LARGE(D$2:D$486,RBCount+WRCount+TECount+QBCount)</f>
        <v>37.730000000000004</v>
      </c>
      <c r="F115" t="str">
        <f ca="1">IF(H115&lt;=I115,"Starter",IF(G115&gt;=LARGE(G:G,FlexOn*LeagueInfo!$F$2),"Starter","Bench"))</f>
        <v>Bench</v>
      </c>
      <c r="G115">
        <f ca="1">IF(H115&gt;I115,D115,0)</f>
        <v>148.93</v>
      </c>
      <c r="H115">
        <f ca="1">INDEX(INDIRECT(""&amp;C115&amp;"!A2:A489"),MATCH(B115,INDIRECT(""&amp;C115&amp;"!B2:B489"),0))</f>
        <v>41</v>
      </c>
      <c r="I115">
        <f>IF(C115="RB",LeagueInfo!$D$4*LeagueInfo!$F$2,IF(C115="WR",LeagueInfo!$D$5*LeagueInfo!$F$2,IF(C115="TE",LeagueInfo!$D$6*LeagueInfo!$F$2,LeagueInfo!$D$3*LeagueInfo!$F$2)))</f>
        <v>24</v>
      </c>
    </row>
    <row r="116" spans="1:9" x14ac:dyDescent="0.25">
      <c r="A116">
        <f ca="1">RANK(E116,E$2:E$541)</f>
        <v>115</v>
      </c>
      <c r="B116" t="s">
        <v>2412</v>
      </c>
      <c r="C116" t="s">
        <v>35</v>
      </c>
      <c r="D116">
        <f ca="1">INDEX(INDIRECT($C116&amp;"!P:P"),MATCH($B116,INDIRECT($C116&amp;"!B:B"),0))</f>
        <v>147.61000000000001</v>
      </c>
      <c r="E116" s="210">
        <f ca="1">D116-LARGE(D$2:D$486,RBCount+WRCount+TECount+QBCount)</f>
        <v>36.410000000000011</v>
      </c>
      <c r="F116" t="str">
        <f ca="1">IF(H116&lt;=I116,"Starter",IF(G116&gt;=LARGE(G:G,FlexOn*LeagueInfo!$F$2),"Starter","Bench"))</f>
        <v>Bench</v>
      </c>
      <c r="G116">
        <f ca="1">IF(H116&gt;I116,D116,0)</f>
        <v>147.61000000000001</v>
      </c>
      <c r="H116">
        <f ca="1">INDEX(INDIRECT(""&amp;C116&amp;"!A2:A489"),MATCH(B116,INDIRECT(""&amp;C116&amp;"!B2:B489"),0))</f>
        <v>42</v>
      </c>
      <c r="I116">
        <f>IF(C116="RB",LeagueInfo!$D$4*LeagueInfo!$F$2,IF(C116="WR",LeagueInfo!$D$5*LeagueInfo!$F$2,IF(C116="TE",LeagueInfo!$D$6*LeagueInfo!$F$2,LeagueInfo!$D$3*LeagueInfo!$F$2)))</f>
        <v>24</v>
      </c>
    </row>
    <row r="117" spans="1:9" x14ac:dyDescent="0.25">
      <c r="A117">
        <f ca="1">RANK(E117,E$2:E$541)</f>
        <v>116</v>
      </c>
      <c r="B117" t="s">
        <v>161</v>
      </c>
      <c r="C117" t="s">
        <v>28</v>
      </c>
      <c r="D117">
        <f ca="1">INDEX(INDIRECT($C117&amp;"!P:P"),MATCH($B117,INDIRECT($C117&amp;"!B:B"),0))</f>
        <v>147.34</v>
      </c>
      <c r="E117" s="210">
        <f ca="1">D117-LARGE(D$2:D$486,RBCount+WRCount+TECount+QBCount)</f>
        <v>36.14</v>
      </c>
      <c r="F117" t="str">
        <f ca="1">IF(H117&lt;=I117,"Starter",IF(G117&gt;=LARGE(G:G,FlexOn*LeagueInfo!$F$2),"Starter","Bench"))</f>
        <v>Bench</v>
      </c>
      <c r="G117">
        <f ca="1">IF(H117&gt;I117,D117,0)</f>
        <v>147.34</v>
      </c>
      <c r="H117">
        <f ca="1">INDEX(INDIRECT(""&amp;C117&amp;"!A2:A489"),MATCH(B117,INDIRECT(""&amp;C117&amp;"!B2:B489"),0))</f>
        <v>36</v>
      </c>
      <c r="I117">
        <f>IF(C117="RB",LeagueInfo!$D$4*LeagueInfo!$F$2,IF(C117="WR",LeagueInfo!$D$5*LeagueInfo!$F$2,IF(C117="TE",LeagueInfo!$D$6*LeagueInfo!$F$2,LeagueInfo!$D$3*LeagueInfo!$F$2)))</f>
        <v>24</v>
      </c>
    </row>
    <row r="118" spans="1:9" x14ac:dyDescent="0.25">
      <c r="A118">
        <f ca="1">RANK(E118,E$2:E$541)</f>
        <v>117</v>
      </c>
      <c r="B118" t="s">
        <v>730</v>
      </c>
      <c r="C118" t="s">
        <v>35</v>
      </c>
      <c r="D118">
        <f ca="1">INDEX(INDIRECT($C118&amp;"!P:P"),MATCH($B118,INDIRECT($C118&amp;"!B:B"),0))</f>
        <v>147.13</v>
      </c>
      <c r="E118" s="210">
        <f ca="1">D118-LARGE(D$2:D$486,RBCount+WRCount+TECount+QBCount)</f>
        <v>35.929999999999993</v>
      </c>
      <c r="F118" t="str">
        <f ca="1">IF(H118&lt;=I118,"Starter",IF(G118&gt;=LARGE(G:G,FlexOn*LeagueInfo!$F$2),"Starter","Bench"))</f>
        <v>Bench</v>
      </c>
      <c r="G118">
        <f ca="1">IF(H118&gt;I118,D118,0)</f>
        <v>147.13</v>
      </c>
      <c r="H118">
        <f ca="1">INDEX(INDIRECT(""&amp;C118&amp;"!A2:A489"),MATCH(B118,INDIRECT(""&amp;C118&amp;"!B2:B489"),0))</f>
        <v>43</v>
      </c>
      <c r="I118">
        <f>IF(C118="RB",LeagueInfo!$D$4*LeagueInfo!$F$2,IF(C118="WR",LeagueInfo!$D$5*LeagueInfo!$F$2,IF(C118="TE",LeagueInfo!$D$6*LeagueInfo!$F$2,LeagueInfo!$D$3*LeagueInfo!$F$2)))</f>
        <v>24</v>
      </c>
    </row>
    <row r="119" spans="1:9" x14ac:dyDescent="0.25">
      <c r="A119">
        <f ca="1">RANK(E119,E$2:E$541)</f>
        <v>118</v>
      </c>
      <c r="B119" t="s">
        <v>796</v>
      </c>
      <c r="C119" t="s">
        <v>35</v>
      </c>
      <c r="D119">
        <f ca="1">INDEX(INDIRECT($C119&amp;"!P:P"),MATCH($B119,INDIRECT($C119&amp;"!B:B"),0))</f>
        <v>141.97000000000003</v>
      </c>
      <c r="E119" s="210">
        <f ca="1">D119-LARGE(D$2:D$486,RBCount+WRCount+TECount+QBCount)</f>
        <v>30.770000000000024</v>
      </c>
      <c r="F119" t="str">
        <f ca="1">IF(H119&lt;=I119,"Starter",IF(G119&gt;=LARGE(G:G,FlexOn*LeagueInfo!$F$2),"Starter","Bench"))</f>
        <v>Bench</v>
      </c>
      <c r="G119">
        <f ca="1">IF(H119&gt;I119,D119,0)</f>
        <v>141.97000000000003</v>
      </c>
      <c r="H119">
        <f ca="1">INDEX(INDIRECT(""&amp;C119&amp;"!A2:A489"),MATCH(B119,INDIRECT(""&amp;C119&amp;"!B2:B489"),0))</f>
        <v>44</v>
      </c>
      <c r="I119">
        <f>IF(C119="RB",LeagueInfo!$D$4*LeagueInfo!$F$2,IF(C119="WR",LeagueInfo!$D$5*LeagueInfo!$F$2,IF(C119="TE",LeagueInfo!$D$6*LeagueInfo!$F$2,LeagueInfo!$D$3*LeagueInfo!$F$2)))</f>
        <v>24</v>
      </c>
    </row>
    <row r="120" spans="1:9" x14ac:dyDescent="0.25">
      <c r="A120">
        <f ca="1">RANK(E120,E$2:E$541)</f>
        <v>119</v>
      </c>
      <c r="B120" t="s">
        <v>929</v>
      </c>
      <c r="C120" t="s">
        <v>28</v>
      </c>
      <c r="D120">
        <f ca="1">INDEX(INDIRECT($C120&amp;"!P:P"),MATCH($B120,INDIRECT($C120&amp;"!B:B"),0))</f>
        <v>141.91999999999999</v>
      </c>
      <c r="E120" s="210">
        <f ca="1">D120-LARGE(D$2:D$486,RBCount+WRCount+TECount+QBCount)</f>
        <v>30.719999999999985</v>
      </c>
      <c r="F120" t="str">
        <f ca="1">IF(H120&lt;=I120,"Starter",IF(G120&gt;=LARGE(G:G,FlexOn*LeagueInfo!$F$2),"Starter","Bench"))</f>
        <v>Bench</v>
      </c>
      <c r="G120">
        <f ca="1">IF(H120&gt;I120,D120,0)</f>
        <v>141.91999999999999</v>
      </c>
      <c r="H120">
        <f ca="1">INDEX(INDIRECT(""&amp;C120&amp;"!A2:A489"),MATCH(B120,INDIRECT(""&amp;C120&amp;"!B2:B489"),0))</f>
        <v>37</v>
      </c>
      <c r="I120">
        <f>IF(C120="RB",LeagueInfo!$D$4*LeagueInfo!$F$2,IF(C120="WR",LeagueInfo!$D$5*LeagueInfo!$F$2,IF(C120="TE",LeagueInfo!$D$6*LeagueInfo!$F$2,LeagueInfo!$D$3*LeagueInfo!$F$2)))</f>
        <v>24</v>
      </c>
    </row>
    <row r="121" spans="1:9" x14ac:dyDescent="0.25">
      <c r="A121">
        <f ca="1">RANK(E121,E$2:E$541)</f>
        <v>120</v>
      </c>
      <c r="B121" t="s">
        <v>2411</v>
      </c>
      <c r="C121" t="s">
        <v>35</v>
      </c>
      <c r="D121">
        <f ca="1">INDEX(INDIRECT($C121&amp;"!P:P"),MATCH($B121,INDIRECT($C121&amp;"!B:B"),0))</f>
        <v>141.42000000000002</v>
      </c>
      <c r="E121" s="210">
        <f ca="1">D121-LARGE(D$2:D$486,RBCount+WRCount+TECount+QBCount)</f>
        <v>30.220000000000013</v>
      </c>
      <c r="F121" t="str">
        <f ca="1">IF(H121&lt;=I121,"Starter",IF(G121&gt;=LARGE(G:G,FlexOn*LeagueInfo!$F$2),"Starter","Bench"))</f>
        <v>Bench</v>
      </c>
      <c r="G121">
        <f ca="1">IF(H121&gt;I121,D121,0)</f>
        <v>141.42000000000002</v>
      </c>
      <c r="H121">
        <f ca="1">INDEX(INDIRECT(""&amp;C121&amp;"!A2:A489"),MATCH(B121,INDIRECT(""&amp;C121&amp;"!B2:B489"),0))</f>
        <v>45</v>
      </c>
      <c r="I121">
        <f>IF(C121="RB",LeagueInfo!$D$4*LeagueInfo!$F$2,IF(C121="WR",LeagueInfo!$D$5*LeagueInfo!$F$2,IF(C121="TE",LeagueInfo!$D$6*LeagueInfo!$F$2,LeagueInfo!$D$3*LeagueInfo!$F$2)))</f>
        <v>24</v>
      </c>
    </row>
    <row r="122" spans="1:9" x14ac:dyDescent="0.25">
      <c r="A122">
        <f ca="1">RANK(E122,E$2:E$541)</f>
        <v>121</v>
      </c>
      <c r="B122" t="s">
        <v>109</v>
      </c>
      <c r="C122" t="s">
        <v>35</v>
      </c>
      <c r="D122">
        <f ca="1">INDEX(INDIRECT($C122&amp;"!P:P"),MATCH($B122,INDIRECT($C122&amp;"!B:B"),0))</f>
        <v>141.21</v>
      </c>
      <c r="E122" s="210">
        <f ca="1">D122-LARGE(D$2:D$486,RBCount+WRCount+TECount+QBCount)</f>
        <v>30.010000000000005</v>
      </c>
      <c r="F122" t="str">
        <f ca="1">IF(H122&lt;=I122,"Starter",IF(G122&gt;=LARGE(G:G,FlexOn*LeagueInfo!$F$2),"Starter","Bench"))</f>
        <v>Bench</v>
      </c>
      <c r="G122">
        <f ca="1">IF(H122&gt;I122,D122,0)</f>
        <v>141.21</v>
      </c>
      <c r="H122">
        <f ca="1">INDEX(INDIRECT(""&amp;C122&amp;"!A2:A489"),MATCH(B122,INDIRECT(""&amp;C122&amp;"!B2:B489"),0))</f>
        <v>46</v>
      </c>
      <c r="I122">
        <f>IF(C122="RB",LeagueInfo!$D$4*LeagueInfo!$F$2,IF(C122="WR",LeagueInfo!$D$5*LeagueInfo!$F$2,IF(C122="TE",LeagueInfo!$D$6*LeagueInfo!$F$2,LeagueInfo!$D$3*LeagueInfo!$F$2)))</f>
        <v>24</v>
      </c>
    </row>
    <row r="123" spans="1:9" x14ac:dyDescent="0.25">
      <c r="A123">
        <f ca="1">RANK(E123,E$2:E$541)</f>
        <v>122</v>
      </c>
      <c r="B123" t="s">
        <v>928</v>
      </c>
      <c r="C123" t="s">
        <v>28</v>
      </c>
      <c r="D123">
        <f ca="1">INDEX(INDIRECT($C123&amp;"!P:P"),MATCH($B123,INDIRECT($C123&amp;"!B:B"),0))</f>
        <v>141.07000000000002</v>
      </c>
      <c r="E123" s="210">
        <f ca="1">D123-LARGE(D$2:D$486,RBCount+WRCount+TECount+QBCount)</f>
        <v>29.870000000000019</v>
      </c>
      <c r="F123" t="str">
        <f ca="1">IF(H123&lt;=I123,"Starter",IF(G123&gt;=LARGE(G:G,FlexOn*LeagueInfo!$F$2),"Starter","Bench"))</f>
        <v>Bench</v>
      </c>
      <c r="G123">
        <f ca="1">IF(H123&gt;I123,D123,0)</f>
        <v>141.07000000000002</v>
      </c>
      <c r="H123">
        <f ca="1">INDEX(INDIRECT(""&amp;C123&amp;"!A2:A489"),MATCH(B123,INDIRECT(""&amp;C123&amp;"!B2:B489"),0))</f>
        <v>38</v>
      </c>
      <c r="I123">
        <f>IF(C123="RB",LeagueInfo!$D$4*LeagueInfo!$F$2,IF(C123="WR",LeagueInfo!$D$5*LeagueInfo!$F$2,IF(C123="TE",LeagueInfo!$D$6*LeagueInfo!$F$2,LeagueInfo!$D$3*LeagueInfo!$F$2)))</f>
        <v>24</v>
      </c>
    </row>
    <row r="124" spans="1:9" x14ac:dyDescent="0.25">
      <c r="A124">
        <f ca="1">RANK(E124,E$2:E$541)</f>
        <v>123</v>
      </c>
      <c r="B124" t="s">
        <v>590</v>
      </c>
      <c r="C124" t="s">
        <v>43</v>
      </c>
      <c r="D124">
        <f ca="1">INDEX(INDIRECT($C124&amp;"!P:P"),MATCH($B124,INDIRECT($C124&amp;"!B:B"),0))</f>
        <v>140.07999999999998</v>
      </c>
      <c r="E124" s="210">
        <f ca="1">D124-LARGE(D$2:D$486,RBCount+WRCount+TECount+QBCount)</f>
        <v>28.879999999999981</v>
      </c>
      <c r="F124" t="str">
        <f ca="1">IF(H124&lt;=I124,"Starter",IF(G124&gt;=LARGE(G:G,FlexOn*LeagueInfo!$F$2),"Starter","Bench"))</f>
        <v>Starter</v>
      </c>
      <c r="G124">
        <f ca="1">IF(H124&gt;I124,D124,0)</f>
        <v>0</v>
      </c>
      <c r="H124">
        <f ca="1">INDEX(INDIRECT(""&amp;C124&amp;"!A2:A489"),MATCH(B124,INDIRECT(""&amp;C124&amp;"!B2:B489"),0))</f>
        <v>7</v>
      </c>
      <c r="I124">
        <f>IF(C124="RB",LeagueInfo!$D$4*LeagueInfo!$F$2,IF(C124="WR",LeagueInfo!$D$5*LeagueInfo!$F$2,IF(C124="TE",LeagueInfo!$D$6*LeagueInfo!$F$2,LeagueInfo!$D$3*LeagueInfo!$F$2)))</f>
        <v>12</v>
      </c>
    </row>
    <row r="125" spans="1:9" x14ac:dyDescent="0.25">
      <c r="A125">
        <f ca="1">RANK(E125,E$2:E$541)</f>
        <v>124</v>
      </c>
      <c r="B125" t="s">
        <v>954</v>
      </c>
      <c r="C125" t="s">
        <v>35</v>
      </c>
      <c r="D125">
        <f ca="1">INDEX(INDIRECT($C125&amp;"!P:P"),MATCH($B125,INDIRECT($C125&amp;"!B:B"),0))</f>
        <v>139.66</v>
      </c>
      <c r="E125" s="210">
        <f ca="1">D125-LARGE(D$2:D$486,RBCount+WRCount+TECount+QBCount)</f>
        <v>28.459999999999994</v>
      </c>
      <c r="F125" t="str">
        <f ca="1">IF(H125&lt;=I125,"Starter",IF(G125&gt;=LARGE(G:G,FlexOn*LeagueInfo!$F$2),"Starter","Bench"))</f>
        <v>Bench</v>
      </c>
      <c r="G125">
        <f ca="1">IF(H125&gt;I125,D125,0)</f>
        <v>139.66</v>
      </c>
      <c r="H125">
        <f ca="1">INDEX(INDIRECT(""&amp;C125&amp;"!A2:A489"),MATCH(B125,INDIRECT(""&amp;C125&amp;"!B2:B489"),0))</f>
        <v>47</v>
      </c>
      <c r="I125">
        <f>IF(C125="RB",LeagueInfo!$D$4*LeagueInfo!$F$2,IF(C125="WR",LeagueInfo!$D$5*LeagueInfo!$F$2,IF(C125="TE",LeagueInfo!$D$6*LeagueInfo!$F$2,LeagueInfo!$D$3*LeagueInfo!$F$2)))</f>
        <v>24</v>
      </c>
    </row>
    <row r="126" spans="1:9" x14ac:dyDescent="0.25">
      <c r="A126">
        <f ca="1">RANK(E126,E$2:E$541)</f>
        <v>125</v>
      </c>
      <c r="B126" t="s">
        <v>583</v>
      </c>
      <c r="C126" t="s">
        <v>35</v>
      </c>
      <c r="D126">
        <f ca="1">INDEX(INDIRECT($C126&amp;"!P:P"),MATCH($B126,INDIRECT($C126&amp;"!B:B"),0))</f>
        <v>136.86999999999998</v>
      </c>
      <c r="E126" s="210">
        <f ca="1">D126-LARGE(D$2:D$486,RBCount+WRCount+TECount+QBCount)</f>
        <v>25.669999999999973</v>
      </c>
      <c r="F126" t="str">
        <f ca="1">IF(H126&lt;=I126,"Starter",IF(G126&gt;=LARGE(G:G,FlexOn*LeagueInfo!$F$2),"Starter","Bench"))</f>
        <v>Bench</v>
      </c>
      <c r="G126">
        <f ca="1">IF(H126&gt;I126,D126,0)</f>
        <v>136.86999999999998</v>
      </c>
      <c r="H126">
        <f ca="1">INDEX(INDIRECT(""&amp;C126&amp;"!A2:A489"),MATCH(B126,INDIRECT(""&amp;C126&amp;"!B2:B489"),0))</f>
        <v>48</v>
      </c>
      <c r="I126">
        <f>IF(C126="RB",LeagueInfo!$D$4*LeagueInfo!$F$2,IF(C126="WR",LeagueInfo!$D$5*LeagueInfo!$F$2,IF(C126="TE",LeagueInfo!$D$6*LeagueInfo!$F$2,LeagueInfo!$D$3*LeagueInfo!$F$2)))</f>
        <v>24</v>
      </c>
    </row>
    <row r="127" spans="1:9" x14ac:dyDescent="0.25">
      <c r="A127">
        <f ca="1">RANK(E127,E$2:E$541)</f>
        <v>126</v>
      </c>
      <c r="B127" t="s">
        <v>705</v>
      </c>
      <c r="C127" t="s">
        <v>35</v>
      </c>
      <c r="D127">
        <f ca="1">INDEX(INDIRECT($C127&amp;"!P:P"),MATCH($B127,INDIRECT($C127&amp;"!B:B"),0))</f>
        <v>135.34</v>
      </c>
      <c r="E127" s="210">
        <f ca="1">D127-LARGE(D$2:D$486,RBCount+WRCount+TECount+QBCount)</f>
        <v>24.14</v>
      </c>
      <c r="F127" t="str">
        <f ca="1">IF(H127&lt;=I127,"Starter",IF(G127&gt;=LARGE(G:G,FlexOn*LeagueInfo!$F$2),"Starter","Bench"))</f>
        <v>Bench</v>
      </c>
      <c r="G127">
        <f ca="1">IF(H127&gt;I127,D127,0)</f>
        <v>135.34</v>
      </c>
      <c r="H127">
        <f ca="1">INDEX(INDIRECT(""&amp;C127&amp;"!A2:A489"),MATCH(B127,INDIRECT(""&amp;C127&amp;"!B2:B489"),0))</f>
        <v>49</v>
      </c>
      <c r="I127">
        <f>IF(C127="RB",LeagueInfo!$D$4*LeagueInfo!$F$2,IF(C127="WR",LeagueInfo!$D$5*LeagueInfo!$F$2,IF(C127="TE",LeagueInfo!$D$6*LeagueInfo!$F$2,LeagueInfo!$D$3*LeagueInfo!$F$2)))</f>
        <v>24</v>
      </c>
    </row>
    <row r="128" spans="1:9" x14ac:dyDescent="0.25">
      <c r="A128">
        <f ca="1">RANK(E128,E$2:E$541)</f>
        <v>127</v>
      </c>
      <c r="B128" t="s">
        <v>741</v>
      </c>
      <c r="C128" t="s">
        <v>43</v>
      </c>
      <c r="D128">
        <f ca="1">INDEX(INDIRECT($C128&amp;"!P:P"),MATCH($B128,INDIRECT($C128&amp;"!B:B"),0))</f>
        <v>134.04999999999998</v>
      </c>
      <c r="E128" s="210">
        <f ca="1">D128-LARGE(D$2:D$486,RBCount+WRCount+TECount+QBCount)</f>
        <v>22.84999999999998</v>
      </c>
      <c r="F128" t="str">
        <f ca="1">IF(H128&lt;=I128,"Starter",IF(G128&gt;=LARGE(G:G,FlexOn*LeagueInfo!$F$2),"Starter","Bench"))</f>
        <v>Starter</v>
      </c>
      <c r="G128">
        <f ca="1">IF(H128&gt;I128,D128,0)</f>
        <v>0</v>
      </c>
      <c r="H128">
        <f ca="1">INDEX(INDIRECT(""&amp;C128&amp;"!A2:A489"),MATCH(B128,INDIRECT(""&amp;C128&amp;"!B2:B489"),0))</f>
        <v>8</v>
      </c>
      <c r="I128">
        <f>IF(C128="RB",LeagueInfo!$D$4*LeagueInfo!$F$2,IF(C128="WR",LeagueInfo!$D$5*LeagueInfo!$F$2,IF(C128="TE",LeagueInfo!$D$6*LeagueInfo!$F$2,LeagueInfo!$D$3*LeagueInfo!$F$2)))</f>
        <v>12</v>
      </c>
    </row>
    <row r="129" spans="1:9" x14ac:dyDescent="0.25">
      <c r="A129">
        <f ca="1">RANK(E129,E$2:E$541)</f>
        <v>128</v>
      </c>
      <c r="B129" t="s">
        <v>770</v>
      </c>
      <c r="C129" t="s">
        <v>35</v>
      </c>
      <c r="D129">
        <f ca="1">INDEX(INDIRECT($C129&amp;"!P:P"),MATCH($B129,INDIRECT($C129&amp;"!B:B"),0))</f>
        <v>133.27999999999997</v>
      </c>
      <c r="E129" s="210">
        <f ca="1">D129-LARGE(D$2:D$486,RBCount+WRCount+TECount+QBCount)</f>
        <v>22.07999999999997</v>
      </c>
      <c r="F129" t="str">
        <f ca="1">IF(H129&lt;=I129,"Starter",IF(G129&gt;=LARGE(G:G,FlexOn*LeagueInfo!$F$2),"Starter","Bench"))</f>
        <v>Bench</v>
      </c>
      <c r="G129">
        <f ca="1">IF(H129&gt;I129,D129,0)</f>
        <v>133.27999999999997</v>
      </c>
      <c r="H129">
        <f ca="1">INDEX(INDIRECT(""&amp;C129&amp;"!A2:A489"),MATCH(B129,INDIRECT(""&amp;C129&amp;"!B2:B489"),0))</f>
        <v>50</v>
      </c>
      <c r="I129">
        <f>IF(C129="RB",LeagueInfo!$D$4*LeagueInfo!$F$2,IF(C129="WR",LeagueInfo!$D$5*LeagueInfo!$F$2,IF(C129="TE",LeagueInfo!$D$6*LeagueInfo!$F$2,LeagueInfo!$D$3*LeagueInfo!$F$2)))</f>
        <v>24</v>
      </c>
    </row>
    <row r="130" spans="1:9" x14ac:dyDescent="0.25">
      <c r="A130">
        <f ca="1">RANK(E130,E$2:E$541)</f>
        <v>129</v>
      </c>
      <c r="B130" t="s">
        <v>579</v>
      </c>
      <c r="C130" t="s">
        <v>35</v>
      </c>
      <c r="D130">
        <f ca="1">INDEX(INDIRECT($C130&amp;"!P:P"),MATCH($B130,INDIRECT($C130&amp;"!B:B"),0))</f>
        <v>131.96</v>
      </c>
      <c r="E130" s="210">
        <f ca="1">D130-LARGE(D$2:D$486,RBCount+WRCount+TECount+QBCount)</f>
        <v>20.760000000000005</v>
      </c>
      <c r="F130" t="str">
        <f ca="1">IF(H130&lt;=I130,"Starter",IF(G130&gt;=LARGE(G:G,FlexOn*LeagueInfo!$F$2),"Starter","Bench"))</f>
        <v>Bench</v>
      </c>
      <c r="G130">
        <f ca="1">IF(H130&gt;I130,D130,0)</f>
        <v>131.96</v>
      </c>
      <c r="H130">
        <f ca="1">INDEX(INDIRECT(""&amp;C130&amp;"!A2:A489"),MATCH(B130,INDIRECT(""&amp;C130&amp;"!B2:B489"),0))</f>
        <v>51</v>
      </c>
      <c r="I130">
        <f>IF(C130="RB",LeagueInfo!$D$4*LeagueInfo!$F$2,IF(C130="WR",LeagueInfo!$D$5*LeagueInfo!$F$2,IF(C130="TE",LeagueInfo!$D$6*LeagueInfo!$F$2,LeagueInfo!$D$3*LeagueInfo!$F$2)))</f>
        <v>24</v>
      </c>
    </row>
    <row r="131" spans="1:9" x14ac:dyDescent="0.25">
      <c r="A131">
        <f ca="1">RANK(E131,E$2:E$541)</f>
        <v>130</v>
      </c>
      <c r="B131" t="s">
        <v>372</v>
      </c>
      <c r="C131" t="s">
        <v>35</v>
      </c>
      <c r="D131">
        <f ca="1">INDEX(INDIRECT($C131&amp;"!P:P"),MATCH($B131,INDIRECT($C131&amp;"!B:B"),0))</f>
        <v>131.04000000000002</v>
      </c>
      <c r="E131" s="210">
        <f ca="1">D131-LARGE(D$2:D$486,RBCount+WRCount+TECount+QBCount)</f>
        <v>19.840000000000018</v>
      </c>
      <c r="F131" t="str">
        <f ca="1">IF(H131&lt;=I131,"Starter",IF(G131&gt;=LARGE(G:G,FlexOn*LeagueInfo!$F$2),"Starter","Bench"))</f>
        <v>Bench</v>
      </c>
      <c r="G131">
        <f ca="1">IF(H131&gt;I131,D131,0)</f>
        <v>131.04000000000002</v>
      </c>
      <c r="H131">
        <f ca="1">INDEX(INDIRECT(""&amp;C131&amp;"!A2:A489"),MATCH(B131,INDIRECT(""&amp;C131&amp;"!B2:B489"),0))</f>
        <v>52</v>
      </c>
      <c r="I131">
        <f>IF(C131="RB",LeagueInfo!$D$4*LeagueInfo!$F$2,IF(C131="WR",LeagueInfo!$D$5*LeagueInfo!$F$2,IF(C131="TE",LeagueInfo!$D$6*LeagueInfo!$F$2,LeagueInfo!$D$3*LeagueInfo!$F$2)))</f>
        <v>24</v>
      </c>
    </row>
    <row r="132" spans="1:9" x14ac:dyDescent="0.25">
      <c r="A132">
        <f ca="1">RANK(E132,E$2:E$541)</f>
        <v>131</v>
      </c>
      <c r="B132" t="s">
        <v>370</v>
      </c>
      <c r="C132" t="s">
        <v>35</v>
      </c>
      <c r="D132">
        <f ca="1">INDEX(INDIRECT($C132&amp;"!P:P"),MATCH($B132,INDIRECT($C132&amp;"!B:B"),0))</f>
        <v>128.63999999999999</v>
      </c>
      <c r="E132" s="210">
        <f ca="1">D132-LARGE(D$2:D$486,RBCount+WRCount+TECount+QBCount)</f>
        <v>17.439999999999984</v>
      </c>
      <c r="F132" t="str">
        <f ca="1">IF(H132&lt;=I132,"Starter",IF(G132&gt;=LARGE(G:G,FlexOn*LeagueInfo!$F$2),"Starter","Bench"))</f>
        <v>Bench</v>
      </c>
      <c r="G132">
        <f ca="1">IF(H132&gt;I132,D132,0)</f>
        <v>128.63999999999999</v>
      </c>
      <c r="H132">
        <f ca="1">INDEX(INDIRECT(""&amp;C132&amp;"!A2:A489"),MATCH(B132,INDIRECT(""&amp;C132&amp;"!B2:B489"),0))</f>
        <v>53</v>
      </c>
      <c r="I132">
        <f>IF(C132="RB",LeagueInfo!$D$4*LeagueInfo!$F$2,IF(C132="WR",LeagueInfo!$D$5*LeagueInfo!$F$2,IF(C132="TE",LeagueInfo!$D$6*LeagueInfo!$F$2,LeagueInfo!$D$3*LeagueInfo!$F$2)))</f>
        <v>24</v>
      </c>
    </row>
    <row r="133" spans="1:9" x14ac:dyDescent="0.25">
      <c r="A133">
        <f ca="1">RANK(E133,E$2:E$541)</f>
        <v>132</v>
      </c>
      <c r="B133" t="s">
        <v>947</v>
      </c>
      <c r="C133" t="s">
        <v>35</v>
      </c>
      <c r="D133">
        <f ca="1">INDEX(INDIRECT($C133&amp;"!P:P"),MATCH($B133,INDIRECT($C133&amp;"!B:B"),0))</f>
        <v>128.1</v>
      </c>
      <c r="E133" s="210">
        <f ca="1">D133-LARGE(D$2:D$486,RBCount+WRCount+TECount+QBCount)</f>
        <v>16.899999999999991</v>
      </c>
      <c r="F133" t="str">
        <f ca="1">IF(H133&lt;=I133,"Starter",IF(G133&gt;=LARGE(G:G,FlexOn*LeagueInfo!$F$2),"Starter","Bench"))</f>
        <v>Bench</v>
      </c>
      <c r="G133">
        <f ca="1">IF(H133&gt;I133,D133,0)</f>
        <v>128.1</v>
      </c>
      <c r="H133">
        <f ca="1">INDEX(INDIRECT(""&amp;C133&amp;"!A2:A489"),MATCH(B133,INDIRECT(""&amp;C133&amp;"!B2:B489"),0))</f>
        <v>54</v>
      </c>
      <c r="I133">
        <f>IF(C133="RB",LeagueInfo!$D$4*LeagueInfo!$F$2,IF(C133="WR",LeagueInfo!$D$5*LeagueInfo!$F$2,IF(C133="TE",LeagueInfo!$D$6*LeagueInfo!$F$2,LeagueInfo!$D$3*LeagueInfo!$F$2)))</f>
        <v>24</v>
      </c>
    </row>
    <row r="134" spans="1:9" x14ac:dyDescent="0.25">
      <c r="A134">
        <f ca="1">RANK(E134,E$2:E$541)</f>
        <v>133</v>
      </c>
      <c r="B134" t="s">
        <v>567</v>
      </c>
      <c r="C134" t="s">
        <v>35</v>
      </c>
      <c r="D134">
        <f ca="1">INDEX(INDIRECT($C134&amp;"!P:P"),MATCH($B134,INDIRECT($C134&amp;"!B:B"),0))</f>
        <v>127.57000000000001</v>
      </c>
      <c r="E134" s="210">
        <f ca="1">D134-LARGE(D$2:D$486,RBCount+WRCount+TECount+QBCount)</f>
        <v>16.370000000000005</v>
      </c>
      <c r="F134" t="str">
        <f ca="1">IF(H134&lt;=I134,"Starter",IF(G134&gt;=LARGE(G:G,FlexOn*LeagueInfo!$F$2),"Starter","Bench"))</f>
        <v>Bench</v>
      </c>
      <c r="G134">
        <f ca="1">IF(H134&gt;I134,D134,0)</f>
        <v>127.57000000000001</v>
      </c>
      <c r="H134">
        <f ca="1">INDEX(INDIRECT(""&amp;C134&amp;"!A2:A489"),MATCH(B134,INDIRECT(""&amp;C134&amp;"!B2:B489"),0))</f>
        <v>55</v>
      </c>
      <c r="I134">
        <f>IF(C134="RB",LeagueInfo!$D$4*LeagueInfo!$F$2,IF(C134="WR",LeagueInfo!$D$5*LeagueInfo!$F$2,IF(C134="TE",LeagueInfo!$D$6*LeagueInfo!$F$2,LeagueInfo!$D$3*LeagueInfo!$F$2)))</f>
        <v>24</v>
      </c>
    </row>
    <row r="135" spans="1:9" x14ac:dyDescent="0.25">
      <c r="A135">
        <f ca="1">RANK(E135,E$2:E$541)</f>
        <v>134</v>
      </c>
      <c r="B135" t="s">
        <v>186</v>
      </c>
      <c r="C135" t="s">
        <v>43</v>
      </c>
      <c r="D135">
        <f ca="1">INDEX(INDIRECT($C135&amp;"!P:P"),MATCH($B135,INDIRECT($C135&amp;"!B:B"),0))</f>
        <v>126.37</v>
      </c>
      <c r="E135" s="210">
        <f ca="1">D135-LARGE(D$2:D$486,RBCount+WRCount+TECount+QBCount)</f>
        <v>15.170000000000002</v>
      </c>
      <c r="F135" t="str">
        <f ca="1">IF(H135&lt;=I135,"Starter",IF(G135&gt;=LARGE(G:G,FlexOn*LeagueInfo!$F$2),"Starter","Bench"))</f>
        <v>Starter</v>
      </c>
      <c r="G135">
        <f ca="1">IF(H135&gt;I135,D135,0)</f>
        <v>0</v>
      </c>
      <c r="H135">
        <f ca="1">INDEX(INDIRECT(""&amp;C135&amp;"!A2:A489"),MATCH(B135,INDIRECT(""&amp;C135&amp;"!B2:B489"),0))</f>
        <v>9</v>
      </c>
      <c r="I135">
        <f>IF(C135="RB",LeagueInfo!$D$4*LeagueInfo!$F$2,IF(C135="WR",LeagueInfo!$D$5*LeagueInfo!$F$2,IF(C135="TE",LeagueInfo!$D$6*LeagueInfo!$F$2,LeagueInfo!$D$3*LeagueInfo!$F$2)))</f>
        <v>12</v>
      </c>
    </row>
    <row r="136" spans="1:9" x14ac:dyDescent="0.25">
      <c r="A136">
        <f ca="1">RANK(E136,E$2:E$541)</f>
        <v>135</v>
      </c>
      <c r="B136" t="s">
        <v>135</v>
      </c>
      <c r="C136" t="s">
        <v>35</v>
      </c>
      <c r="D136">
        <f ca="1">INDEX(INDIRECT($C136&amp;"!P:P"),MATCH($B136,INDIRECT($C136&amp;"!B:B"),0))</f>
        <v>125.80000000000001</v>
      </c>
      <c r="E136" s="210">
        <f ca="1">D136-LARGE(D$2:D$486,RBCount+WRCount+TECount+QBCount)</f>
        <v>14.600000000000009</v>
      </c>
      <c r="F136" t="str">
        <f ca="1">IF(H136&lt;=I136,"Starter",IF(G136&gt;=LARGE(G:G,FlexOn*LeagueInfo!$F$2),"Starter","Bench"))</f>
        <v>Bench</v>
      </c>
      <c r="G136">
        <f ca="1">IF(H136&gt;I136,D136,0)</f>
        <v>125.80000000000001</v>
      </c>
      <c r="H136">
        <f ca="1">INDEX(INDIRECT(""&amp;C136&amp;"!A2:A489"),MATCH(B136,INDIRECT(""&amp;C136&amp;"!B2:B489"),0))</f>
        <v>56</v>
      </c>
      <c r="I136">
        <f>IF(C136="RB",LeagueInfo!$D$4*LeagueInfo!$F$2,IF(C136="WR",LeagueInfo!$D$5*LeagueInfo!$F$2,IF(C136="TE",LeagueInfo!$D$6*LeagueInfo!$F$2,LeagueInfo!$D$3*LeagueInfo!$F$2)))</f>
        <v>24</v>
      </c>
    </row>
    <row r="137" spans="1:9" x14ac:dyDescent="0.25">
      <c r="A137">
        <f ca="1">RANK(E137,E$2:E$541)</f>
        <v>136</v>
      </c>
      <c r="B137" t="s">
        <v>2413</v>
      </c>
      <c r="C137" t="s">
        <v>35</v>
      </c>
      <c r="D137">
        <f ca="1">INDEX(INDIRECT($C137&amp;"!P:P"),MATCH($B137,INDIRECT($C137&amp;"!B:B"),0))</f>
        <v>124.75</v>
      </c>
      <c r="E137" s="210">
        <f ca="1">D137-LARGE(D$2:D$486,RBCount+WRCount+TECount+QBCount)</f>
        <v>13.549999999999997</v>
      </c>
      <c r="F137" t="str">
        <f ca="1">IF(H137&lt;=I137,"Starter",IF(G137&gt;=LARGE(G:G,FlexOn*LeagueInfo!$F$2),"Starter","Bench"))</f>
        <v>Bench</v>
      </c>
      <c r="G137">
        <f ca="1">IF(H137&gt;I137,D137,0)</f>
        <v>124.75</v>
      </c>
      <c r="H137">
        <f ca="1">INDEX(INDIRECT(""&amp;C137&amp;"!A2:A489"),MATCH(B137,INDIRECT(""&amp;C137&amp;"!B2:B489"),0))</f>
        <v>57</v>
      </c>
      <c r="I137">
        <f>IF(C137="RB",LeagueInfo!$D$4*LeagueInfo!$F$2,IF(C137="WR",LeagueInfo!$D$5*LeagueInfo!$F$2,IF(C137="TE",LeagueInfo!$D$6*LeagueInfo!$F$2,LeagueInfo!$D$3*LeagueInfo!$F$2)))</f>
        <v>24</v>
      </c>
    </row>
    <row r="138" spans="1:9" x14ac:dyDescent="0.25">
      <c r="A138">
        <f ca="1">RANK(E138,E$2:E$541)</f>
        <v>137</v>
      </c>
      <c r="B138" t="s">
        <v>739</v>
      </c>
      <c r="C138" t="s">
        <v>43</v>
      </c>
      <c r="D138">
        <f ca="1">INDEX(INDIRECT($C138&amp;"!P:P"),MATCH($B138,INDIRECT($C138&amp;"!B:B"),0))</f>
        <v>124.61</v>
      </c>
      <c r="E138" s="210">
        <f ca="1">D138-LARGE(D$2:D$486,RBCount+WRCount+TECount+QBCount)</f>
        <v>13.409999999999997</v>
      </c>
      <c r="F138" t="str">
        <f ca="1">IF(H138&lt;=I138,"Starter",IF(G138&gt;=LARGE(G:G,FlexOn*LeagueInfo!$F$2),"Starter","Bench"))</f>
        <v>Starter</v>
      </c>
      <c r="G138">
        <f ca="1">IF(H138&gt;I138,D138,0)</f>
        <v>0</v>
      </c>
      <c r="H138">
        <f ca="1">INDEX(INDIRECT(""&amp;C138&amp;"!A2:A489"),MATCH(B138,INDIRECT(""&amp;C138&amp;"!B2:B489"),0))</f>
        <v>10</v>
      </c>
      <c r="I138">
        <f>IF(C138="RB",LeagueInfo!$D$4*LeagueInfo!$F$2,IF(C138="WR",LeagueInfo!$D$5*LeagueInfo!$F$2,IF(C138="TE",LeagueInfo!$D$6*LeagueInfo!$F$2,LeagueInfo!$D$3*LeagueInfo!$F$2)))</f>
        <v>12</v>
      </c>
    </row>
    <row r="139" spans="1:9" x14ac:dyDescent="0.25">
      <c r="A139">
        <f ca="1">RANK(E139,E$2:E$541)</f>
        <v>138</v>
      </c>
      <c r="B139" t="s">
        <v>2414</v>
      </c>
      <c r="C139" t="s">
        <v>35</v>
      </c>
      <c r="D139">
        <f ca="1">INDEX(INDIRECT($C139&amp;"!P:P"),MATCH($B139,INDIRECT($C139&amp;"!B:B"),0))</f>
        <v>123.60999999999999</v>
      </c>
      <c r="E139" s="210">
        <f ca="1">D139-LARGE(D$2:D$486,RBCount+WRCount+TECount+QBCount)</f>
        <v>12.409999999999982</v>
      </c>
      <c r="F139" t="str">
        <f ca="1">IF(H139&lt;=I139,"Starter",IF(G139&gt;=LARGE(G:G,FlexOn*LeagueInfo!$F$2),"Starter","Bench"))</f>
        <v>Bench</v>
      </c>
      <c r="G139">
        <f ca="1">IF(H139&gt;I139,D139,0)</f>
        <v>123.60999999999999</v>
      </c>
      <c r="H139">
        <f ca="1">INDEX(INDIRECT(""&amp;C139&amp;"!A2:A489"),MATCH(B139,INDIRECT(""&amp;C139&amp;"!B2:B489"),0))</f>
        <v>58</v>
      </c>
      <c r="I139">
        <f>IF(C139="RB",LeagueInfo!$D$4*LeagueInfo!$F$2,IF(C139="WR",LeagueInfo!$D$5*LeagueInfo!$F$2,IF(C139="TE",LeagueInfo!$D$6*LeagueInfo!$F$2,LeagueInfo!$D$3*LeagueInfo!$F$2)))</f>
        <v>24</v>
      </c>
    </row>
    <row r="140" spans="1:9" x14ac:dyDescent="0.25">
      <c r="A140">
        <f ca="1">RANK(E140,E$2:E$541)</f>
        <v>139</v>
      </c>
      <c r="B140" t="s">
        <v>749</v>
      </c>
      <c r="C140" t="s">
        <v>43</v>
      </c>
      <c r="D140">
        <f ca="1">INDEX(INDIRECT($C140&amp;"!P:P"),MATCH($B140,INDIRECT($C140&amp;"!B:B"),0))</f>
        <v>123.57</v>
      </c>
      <c r="E140" s="210">
        <f ca="1">D140-LARGE(D$2:D$486,RBCount+WRCount+TECount+QBCount)</f>
        <v>12.36999999999999</v>
      </c>
      <c r="F140" t="str">
        <f ca="1">IF(H140&lt;=I140,"Starter",IF(G140&gt;=LARGE(G:G,FlexOn*LeagueInfo!$F$2),"Starter","Bench"))</f>
        <v>Starter</v>
      </c>
      <c r="G140">
        <f ca="1">IF(H140&gt;I140,D140,0)</f>
        <v>0</v>
      </c>
      <c r="H140">
        <f ca="1">INDEX(INDIRECT(""&amp;C140&amp;"!A2:A489"),MATCH(B140,INDIRECT(""&amp;C140&amp;"!B2:B489"),0))</f>
        <v>11</v>
      </c>
      <c r="I140">
        <f>IF(C140="RB",LeagueInfo!$D$4*LeagueInfo!$F$2,IF(C140="WR",LeagueInfo!$D$5*LeagueInfo!$F$2,IF(C140="TE",LeagueInfo!$D$6*LeagueInfo!$F$2,LeagueInfo!$D$3*LeagueInfo!$F$2)))</f>
        <v>12</v>
      </c>
    </row>
    <row r="141" spans="1:9" x14ac:dyDescent="0.25">
      <c r="A141">
        <f ca="1">RANK(E141,E$2:E$541)</f>
        <v>140</v>
      </c>
      <c r="B141" t="s">
        <v>893</v>
      </c>
      <c r="C141" t="s">
        <v>28</v>
      </c>
      <c r="D141">
        <f ca="1">INDEX(INDIRECT($C141&amp;"!P:P"),MATCH($B141,INDIRECT($C141&amp;"!B:B"),0))</f>
        <v>121.68</v>
      </c>
      <c r="E141" s="210">
        <f ca="1">D141-LARGE(D$2:D$486,RBCount+WRCount+TECount+QBCount)</f>
        <v>10.480000000000004</v>
      </c>
      <c r="F141" t="str">
        <f ca="1">IF(H141&lt;=I141,"Starter",IF(G141&gt;=LARGE(G:G,FlexOn*LeagueInfo!$F$2),"Starter","Bench"))</f>
        <v>Bench</v>
      </c>
      <c r="G141">
        <f ca="1">IF(H141&gt;I141,D141,0)</f>
        <v>121.68</v>
      </c>
      <c r="H141">
        <f ca="1">INDEX(INDIRECT(""&amp;C141&amp;"!A2:A489"),MATCH(B141,INDIRECT(""&amp;C141&amp;"!B2:B489"),0))</f>
        <v>39</v>
      </c>
      <c r="I141">
        <f>IF(C141="RB",LeagueInfo!$D$4*LeagueInfo!$F$2,IF(C141="WR",LeagueInfo!$D$5*LeagueInfo!$F$2,IF(C141="TE",LeagueInfo!$D$6*LeagueInfo!$F$2,LeagueInfo!$D$3*LeagueInfo!$F$2)))</f>
        <v>24</v>
      </c>
    </row>
    <row r="142" spans="1:9" x14ac:dyDescent="0.25">
      <c r="A142">
        <f ca="1">RANK(E142,E$2:E$541)</f>
        <v>141</v>
      </c>
      <c r="B142" t="s">
        <v>2415</v>
      </c>
      <c r="C142" t="s">
        <v>35</v>
      </c>
      <c r="D142">
        <f ca="1">INDEX(INDIRECT($C142&amp;"!P:P"),MATCH($B142,INDIRECT($C142&amp;"!B:B"),0))</f>
        <v>121.46000000000001</v>
      </c>
      <c r="E142" s="210">
        <f ca="1">D142-LARGE(D$2:D$486,RBCount+WRCount+TECount+QBCount)</f>
        <v>10.260000000000005</v>
      </c>
      <c r="F142" t="str">
        <f ca="1">IF(H142&lt;=I142,"Starter",IF(G142&gt;=LARGE(G:G,FlexOn*LeagueInfo!$F$2),"Starter","Bench"))</f>
        <v>Bench</v>
      </c>
      <c r="G142">
        <f ca="1">IF(H142&gt;I142,D142,0)</f>
        <v>121.46000000000001</v>
      </c>
      <c r="H142">
        <f ca="1">INDEX(INDIRECT(""&amp;C142&amp;"!A2:A489"),MATCH(B142,INDIRECT(""&amp;C142&amp;"!B2:B489"),0))</f>
        <v>59</v>
      </c>
      <c r="I142">
        <f>IF(C142="RB",LeagueInfo!$D$4*LeagueInfo!$F$2,IF(C142="WR",LeagueInfo!$D$5*LeagueInfo!$F$2,IF(C142="TE",LeagueInfo!$D$6*LeagueInfo!$F$2,LeagueInfo!$D$3*LeagueInfo!$F$2)))</f>
        <v>24</v>
      </c>
    </row>
    <row r="143" spans="1:9" x14ac:dyDescent="0.25">
      <c r="A143">
        <f ca="1">RANK(E143,E$2:E$541)</f>
        <v>142</v>
      </c>
      <c r="B143" t="s">
        <v>2416</v>
      </c>
      <c r="C143" t="s">
        <v>35</v>
      </c>
      <c r="D143">
        <f ca="1">INDEX(INDIRECT($C143&amp;"!P:P"),MATCH($B143,INDIRECT($C143&amp;"!B:B"),0))</f>
        <v>119.14</v>
      </c>
      <c r="E143" s="210">
        <f ca="1">D143-LARGE(D$2:D$486,RBCount+WRCount+TECount+QBCount)</f>
        <v>7.9399999999999977</v>
      </c>
      <c r="F143" t="str">
        <f ca="1">IF(H143&lt;=I143,"Starter",IF(G143&gt;=LARGE(G:G,FlexOn*LeagueInfo!$F$2),"Starter","Bench"))</f>
        <v>Bench</v>
      </c>
      <c r="G143">
        <f ca="1">IF(H143&gt;I143,D143,0)</f>
        <v>119.14</v>
      </c>
      <c r="H143">
        <f ca="1">INDEX(INDIRECT(""&amp;C143&amp;"!A2:A489"),MATCH(B143,INDIRECT(""&amp;C143&amp;"!B2:B489"),0))</f>
        <v>60</v>
      </c>
      <c r="I143">
        <f>IF(C143="RB",LeagueInfo!$D$4*LeagueInfo!$F$2,IF(C143="WR",LeagueInfo!$D$5*LeagueInfo!$F$2,IF(C143="TE",LeagueInfo!$D$6*LeagueInfo!$F$2,LeagueInfo!$D$3*LeagueInfo!$F$2)))</f>
        <v>24</v>
      </c>
    </row>
    <row r="144" spans="1:9" x14ac:dyDescent="0.25">
      <c r="A144">
        <f ca="1">RANK(E144,E$2:E$541)</f>
        <v>143</v>
      </c>
      <c r="B144" t="s">
        <v>587</v>
      </c>
      <c r="C144" t="s">
        <v>43</v>
      </c>
      <c r="D144">
        <f ca="1">INDEX(INDIRECT($C144&amp;"!P:P"),MATCH($B144,INDIRECT($C144&amp;"!B:B"),0))</f>
        <v>118.98</v>
      </c>
      <c r="E144" s="210">
        <f ca="1">D144-LARGE(D$2:D$486,RBCount+WRCount+TECount+QBCount)</f>
        <v>7.7800000000000011</v>
      </c>
      <c r="F144" t="str">
        <f ca="1">IF(H144&lt;=I144,"Starter",IF(G144&gt;=LARGE(G:G,FlexOn*LeagueInfo!$F$2),"Starter","Bench"))</f>
        <v>Starter</v>
      </c>
      <c r="G144">
        <f ca="1">IF(H144&gt;I144,D144,0)</f>
        <v>0</v>
      </c>
      <c r="H144">
        <f ca="1">INDEX(INDIRECT(""&amp;C144&amp;"!A2:A489"),MATCH(B144,INDIRECT(""&amp;C144&amp;"!B2:B489"),0))</f>
        <v>12</v>
      </c>
      <c r="I144">
        <f>IF(C144="RB",LeagueInfo!$D$4*LeagueInfo!$F$2,IF(C144="WR",LeagueInfo!$D$5*LeagueInfo!$F$2,IF(C144="TE",LeagueInfo!$D$6*LeagueInfo!$F$2,LeagueInfo!$D$3*LeagueInfo!$F$2)))</f>
        <v>12</v>
      </c>
    </row>
    <row r="145" spans="1:9" x14ac:dyDescent="0.25">
      <c r="A145">
        <f ca="1">RANK(E145,E$2:E$541)</f>
        <v>144</v>
      </c>
      <c r="B145" t="s">
        <v>955</v>
      </c>
      <c r="C145" t="s">
        <v>35</v>
      </c>
      <c r="D145">
        <f ca="1">INDEX(INDIRECT($C145&amp;"!P:P"),MATCH($B145,INDIRECT($C145&amp;"!B:B"),0))</f>
        <v>118.26</v>
      </c>
      <c r="E145" s="210">
        <f ca="1">D145-LARGE(D$2:D$486,RBCount+WRCount+TECount+QBCount)</f>
        <v>7.0600000000000023</v>
      </c>
      <c r="F145" t="str">
        <f ca="1">IF(H145&lt;=I145,"Starter",IF(G145&gt;=LARGE(G:G,FlexOn*LeagueInfo!$F$2),"Starter","Bench"))</f>
        <v>Bench</v>
      </c>
      <c r="G145">
        <f ca="1">IF(H145&gt;I145,D145,0)</f>
        <v>118.26</v>
      </c>
      <c r="H145">
        <f ca="1">INDEX(INDIRECT(""&amp;C145&amp;"!A2:A489"),MATCH(B145,INDIRECT(""&amp;C145&amp;"!B2:B489"),0))</f>
        <v>61</v>
      </c>
      <c r="I145">
        <f>IF(C145="RB",LeagueInfo!$D$4*LeagueInfo!$F$2,IF(C145="WR",LeagueInfo!$D$5*LeagueInfo!$F$2,IF(C145="TE",LeagueInfo!$D$6*LeagueInfo!$F$2,LeagueInfo!$D$3*LeagueInfo!$F$2)))</f>
        <v>24</v>
      </c>
    </row>
    <row r="146" spans="1:9" x14ac:dyDescent="0.25">
      <c r="A146">
        <f ca="1">RANK(E146,E$2:E$541)</f>
        <v>145</v>
      </c>
      <c r="B146" t="s">
        <v>2422</v>
      </c>
      <c r="C146" t="s">
        <v>35</v>
      </c>
      <c r="D146">
        <f ca="1">INDEX(INDIRECT($C146&amp;"!P:P"),MATCH($B146,INDIRECT($C146&amp;"!B:B"),0))</f>
        <v>117.79</v>
      </c>
      <c r="E146" s="210">
        <f ca="1">D146-LARGE(D$2:D$486,RBCount+WRCount+TECount+QBCount)</f>
        <v>6.5900000000000034</v>
      </c>
      <c r="F146" t="str">
        <f ca="1">IF(H146&lt;=I146,"Starter",IF(G146&gt;=LARGE(G:G,FlexOn*LeagueInfo!$F$2),"Starter","Bench"))</f>
        <v>Bench</v>
      </c>
      <c r="G146">
        <f ca="1">IF(H146&gt;I146,D146,0)</f>
        <v>117.79</v>
      </c>
      <c r="H146">
        <f ca="1">INDEX(INDIRECT(""&amp;C146&amp;"!A2:A489"),MATCH(B146,INDIRECT(""&amp;C146&amp;"!B2:B489"),0))</f>
        <v>62</v>
      </c>
      <c r="I146">
        <f>IF(C146="RB",LeagueInfo!$D$4*LeagueInfo!$F$2,IF(C146="WR",LeagueInfo!$D$5*LeagueInfo!$F$2,IF(C146="TE",LeagueInfo!$D$6*LeagueInfo!$F$2,LeagueInfo!$D$3*LeagueInfo!$F$2)))</f>
        <v>24</v>
      </c>
    </row>
    <row r="147" spans="1:9" x14ac:dyDescent="0.25">
      <c r="A147">
        <f ca="1">RANK(E147,E$2:E$541)</f>
        <v>146</v>
      </c>
      <c r="B147" t="s">
        <v>170</v>
      </c>
      <c r="C147" t="s">
        <v>35</v>
      </c>
      <c r="D147">
        <f ca="1">INDEX(INDIRECT($C147&amp;"!P:P"),MATCH($B147,INDIRECT($C147&amp;"!B:B"),0))</f>
        <v>117.17999999999999</v>
      </c>
      <c r="E147" s="210">
        <f ca="1">D147-LARGE(D$2:D$486,RBCount+WRCount+TECount+QBCount)</f>
        <v>5.9799999999999898</v>
      </c>
      <c r="F147" t="str">
        <f ca="1">IF(H147&lt;=I147,"Starter",IF(G147&gt;=LARGE(G:G,FlexOn*LeagueInfo!$F$2),"Starter","Bench"))</f>
        <v>Bench</v>
      </c>
      <c r="G147">
        <f ca="1">IF(H147&gt;I147,D147,0)</f>
        <v>117.17999999999999</v>
      </c>
      <c r="H147">
        <f ca="1">INDEX(INDIRECT(""&amp;C147&amp;"!A2:A489"),MATCH(B147,INDIRECT(""&amp;C147&amp;"!B2:B489"),0))</f>
        <v>63</v>
      </c>
      <c r="I147">
        <f>IF(C147="RB",LeagueInfo!$D$4*LeagueInfo!$F$2,IF(C147="WR",LeagueInfo!$D$5*LeagueInfo!$F$2,IF(C147="TE",LeagueInfo!$D$6*LeagueInfo!$F$2,LeagueInfo!$D$3*LeagueInfo!$F$2)))</f>
        <v>24</v>
      </c>
    </row>
    <row r="148" spans="1:9" x14ac:dyDescent="0.25">
      <c r="A148">
        <f ca="1">RANK(E148,E$2:E$541)</f>
        <v>147</v>
      </c>
      <c r="B148" t="s">
        <v>416</v>
      </c>
      <c r="C148" t="s">
        <v>43</v>
      </c>
      <c r="D148">
        <f ca="1">INDEX(INDIRECT($C148&amp;"!P:P"),MATCH($B148,INDIRECT($C148&amp;"!B:B"),0))</f>
        <v>116.51000000000002</v>
      </c>
      <c r="E148" s="210">
        <f ca="1">D148-LARGE(D$2:D$486,RBCount+WRCount+TECount+QBCount)</f>
        <v>5.3100000000000165</v>
      </c>
      <c r="F148" t="str">
        <f ca="1">IF(H148&lt;=I148,"Starter",IF(G148&gt;=LARGE(G:G,FlexOn*LeagueInfo!$F$2),"Starter","Bench"))</f>
        <v>Bench</v>
      </c>
      <c r="G148">
        <f ca="1">IF(H148&gt;I148,D148,0)</f>
        <v>116.51000000000002</v>
      </c>
      <c r="H148">
        <f ca="1">INDEX(INDIRECT(""&amp;C148&amp;"!A2:A489"),MATCH(B148,INDIRECT(""&amp;C148&amp;"!B2:B489"),0))</f>
        <v>13</v>
      </c>
      <c r="I148">
        <f>IF(C148="RB",LeagueInfo!$D$4*LeagueInfo!$F$2,IF(C148="WR",LeagueInfo!$D$5*LeagueInfo!$F$2,IF(C148="TE",LeagueInfo!$D$6*LeagueInfo!$F$2,LeagueInfo!$D$3*LeagueInfo!$F$2)))</f>
        <v>12</v>
      </c>
    </row>
    <row r="149" spans="1:9" x14ac:dyDescent="0.25">
      <c r="A149">
        <f ca="1">RANK(E149,E$2:E$541)</f>
        <v>148</v>
      </c>
      <c r="B149" t="s">
        <v>975</v>
      </c>
      <c r="C149" t="s">
        <v>43</v>
      </c>
      <c r="D149">
        <f ca="1">INDEX(INDIRECT($C149&amp;"!P:P"),MATCH($B149,INDIRECT($C149&amp;"!B:B"),0))</f>
        <v>116.51</v>
      </c>
      <c r="E149" s="210">
        <f ca="1">D149-LARGE(D$2:D$486,RBCount+WRCount+TECount+QBCount)</f>
        <v>5.3100000000000023</v>
      </c>
      <c r="F149" t="str">
        <f ca="1">IF(H149&lt;=I149,"Starter",IF(G149&gt;=LARGE(G:G,FlexOn*LeagueInfo!$F$2),"Starter","Bench"))</f>
        <v>Bench</v>
      </c>
      <c r="G149">
        <f ca="1">IF(H149&gt;I149,D149,0)</f>
        <v>116.51</v>
      </c>
      <c r="H149">
        <f ca="1">INDEX(INDIRECT(""&amp;C149&amp;"!A2:A489"),MATCH(B149,INDIRECT(""&amp;C149&amp;"!B2:B489"),0))</f>
        <v>14</v>
      </c>
      <c r="I149">
        <f>IF(C149="RB",LeagueInfo!$D$4*LeagueInfo!$F$2,IF(C149="WR",LeagueInfo!$D$5*LeagueInfo!$F$2,IF(C149="TE",LeagueInfo!$D$6*LeagueInfo!$F$2,LeagueInfo!$D$3*LeagueInfo!$F$2)))</f>
        <v>12</v>
      </c>
    </row>
    <row r="150" spans="1:9" x14ac:dyDescent="0.25">
      <c r="A150">
        <f ca="1">RANK(E150,E$2:E$541)</f>
        <v>149</v>
      </c>
      <c r="B150" t="s">
        <v>2419</v>
      </c>
      <c r="C150" t="s">
        <v>35</v>
      </c>
      <c r="D150">
        <f ca="1">INDEX(INDIRECT($C150&amp;"!P:P"),MATCH($B150,INDIRECT($C150&amp;"!B:B"),0))</f>
        <v>116.41000000000001</v>
      </c>
      <c r="E150" s="210">
        <f ca="1">D150-LARGE(D$2:D$486,RBCount+WRCount+TECount+QBCount)</f>
        <v>5.210000000000008</v>
      </c>
      <c r="F150" t="str">
        <f ca="1">IF(H150&lt;=I150,"Starter",IF(G150&gt;=LARGE(G:G,FlexOn*LeagueInfo!$F$2),"Starter","Bench"))</f>
        <v>Bench</v>
      </c>
      <c r="G150">
        <f ca="1">IF(H150&gt;I150,D150,0)</f>
        <v>116.41000000000001</v>
      </c>
      <c r="H150">
        <f ca="1">INDEX(INDIRECT(""&amp;C150&amp;"!A2:A489"),MATCH(B150,INDIRECT(""&amp;C150&amp;"!B2:B489"),0))</f>
        <v>64</v>
      </c>
      <c r="I150">
        <f>IF(C150="RB",LeagueInfo!$D$4*LeagueInfo!$F$2,IF(C150="WR",LeagueInfo!$D$5*LeagueInfo!$F$2,IF(C150="TE",LeagueInfo!$D$6*LeagueInfo!$F$2,LeagueInfo!$D$3*LeagueInfo!$F$2)))</f>
        <v>24</v>
      </c>
    </row>
    <row r="151" spans="1:9" x14ac:dyDescent="0.25">
      <c r="A151">
        <f ca="1">RANK(E151,E$2:E$541)</f>
        <v>150</v>
      </c>
      <c r="B151" t="s">
        <v>817</v>
      </c>
      <c r="C151" t="s">
        <v>43</v>
      </c>
      <c r="D151">
        <f ca="1">INDEX(INDIRECT($C151&amp;"!P:P"),MATCH($B151,INDIRECT($C151&amp;"!B:B"),0))</f>
        <v>115.75</v>
      </c>
      <c r="E151" s="210">
        <f ca="1">D151-LARGE(D$2:D$486,RBCount+WRCount+TECount+QBCount)</f>
        <v>4.5499999999999972</v>
      </c>
      <c r="F151" t="str">
        <f ca="1">IF(H151&lt;=I151,"Starter",IF(G151&gt;=LARGE(G:G,FlexOn*LeagueInfo!$F$2),"Starter","Bench"))</f>
        <v>Bench</v>
      </c>
      <c r="G151">
        <f ca="1">IF(H151&gt;I151,D151,0)</f>
        <v>115.75</v>
      </c>
      <c r="H151">
        <f ca="1">INDEX(INDIRECT(""&amp;C151&amp;"!A2:A489"),MATCH(B151,INDIRECT(""&amp;C151&amp;"!B2:B489"),0))</f>
        <v>15</v>
      </c>
      <c r="I151">
        <f>IF(C151="RB",LeagueInfo!$D$4*LeagueInfo!$F$2,IF(C151="WR",LeagueInfo!$D$5*LeagueInfo!$F$2,IF(C151="TE",LeagueInfo!$D$6*LeagueInfo!$F$2,LeagueInfo!$D$3*LeagueInfo!$F$2)))</f>
        <v>12</v>
      </c>
    </row>
    <row r="152" spans="1:9" x14ac:dyDescent="0.25">
      <c r="A152">
        <f ca="1">RANK(E152,E$2:E$541)</f>
        <v>151</v>
      </c>
      <c r="B152" t="s">
        <v>740</v>
      </c>
      <c r="C152" t="s">
        <v>43</v>
      </c>
      <c r="D152">
        <f ca="1">INDEX(INDIRECT($C152&amp;"!P:P"),MATCH($B152,INDIRECT($C152&amp;"!B:B"),0))</f>
        <v>115.04</v>
      </c>
      <c r="E152" s="210">
        <f ca="1">D152-LARGE(D$2:D$486,RBCount+WRCount+TECount+QBCount)</f>
        <v>3.8400000000000034</v>
      </c>
      <c r="F152" t="str">
        <f ca="1">IF(H152&lt;=I152,"Starter",IF(G152&gt;=LARGE(G:G,FlexOn*LeagueInfo!$F$2),"Starter","Bench"))</f>
        <v>Bench</v>
      </c>
      <c r="G152">
        <f ca="1">IF(H152&gt;I152,D152,0)</f>
        <v>115.04</v>
      </c>
      <c r="H152">
        <f ca="1">INDEX(INDIRECT(""&amp;C152&amp;"!A2:A489"),MATCH(B152,INDIRECT(""&amp;C152&amp;"!B2:B489"),0))</f>
        <v>16</v>
      </c>
      <c r="I152">
        <f>IF(C152="RB",LeagueInfo!$D$4*LeagueInfo!$F$2,IF(C152="WR",LeagueInfo!$D$5*LeagueInfo!$F$2,IF(C152="TE",LeagueInfo!$D$6*LeagueInfo!$F$2,LeagueInfo!$D$3*LeagueInfo!$F$2)))</f>
        <v>12</v>
      </c>
    </row>
    <row r="153" spans="1:9" x14ac:dyDescent="0.25">
      <c r="A153">
        <f ca="1">RANK(E153,E$2:E$541)</f>
        <v>152</v>
      </c>
      <c r="B153" t="s">
        <v>2446</v>
      </c>
      <c r="C153" t="s">
        <v>28</v>
      </c>
      <c r="D153">
        <f ca="1">INDEX(INDIRECT($C153&amp;"!P:P"),MATCH($B153,INDIRECT($C153&amp;"!B:B"),0))</f>
        <v>114.74</v>
      </c>
      <c r="E153" s="210">
        <f ca="1">D153-LARGE(D$2:D$486,RBCount+WRCount+TECount+QBCount)</f>
        <v>3.539999999999992</v>
      </c>
      <c r="F153" t="str">
        <f ca="1">IF(H153&lt;=I153,"Starter",IF(G153&gt;=LARGE(G:G,FlexOn*LeagueInfo!$F$2),"Starter","Bench"))</f>
        <v>Bench</v>
      </c>
      <c r="G153">
        <f ca="1">IF(H153&gt;I153,D153,0)</f>
        <v>114.74</v>
      </c>
      <c r="H153">
        <f ca="1">INDEX(INDIRECT(""&amp;C153&amp;"!A2:A489"),MATCH(B153,INDIRECT(""&amp;C153&amp;"!B2:B489"),0))</f>
        <v>40</v>
      </c>
      <c r="I153">
        <f>IF(C153="RB",LeagueInfo!$D$4*LeagueInfo!$F$2,IF(C153="WR",LeagueInfo!$D$5*LeagueInfo!$F$2,IF(C153="TE",LeagueInfo!$D$6*LeagueInfo!$F$2,LeagueInfo!$D$3*LeagueInfo!$F$2)))</f>
        <v>24</v>
      </c>
    </row>
    <row r="154" spans="1:9" x14ac:dyDescent="0.25">
      <c r="A154">
        <f ca="1">RANK(E154,E$2:E$541)</f>
        <v>153</v>
      </c>
      <c r="B154" t="s">
        <v>353</v>
      </c>
      <c r="C154" t="s">
        <v>28</v>
      </c>
      <c r="D154">
        <f ca="1">INDEX(INDIRECT($C154&amp;"!P:P"),MATCH($B154,INDIRECT($C154&amp;"!B:B"),0))</f>
        <v>114.43000000000002</v>
      </c>
      <c r="E154" s="210">
        <f ca="1">D154-LARGE(D$2:D$486,RBCount+WRCount+TECount+QBCount)</f>
        <v>3.2300000000000182</v>
      </c>
      <c r="F154" t="str">
        <f ca="1">IF(H154&lt;=I154,"Starter",IF(G154&gt;=LARGE(G:G,FlexOn*LeagueInfo!$F$2),"Starter","Bench"))</f>
        <v>Bench</v>
      </c>
      <c r="G154">
        <f ca="1">IF(H154&gt;I154,D154,0)</f>
        <v>114.43000000000002</v>
      </c>
      <c r="H154">
        <f ca="1">INDEX(INDIRECT(""&amp;C154&amp;"!A2:A489"),MATCH(B154,INDIRECT(""&amp;C154&amp;"!B2:B489"),0))</f>
        <v>41</v>
      </c>
      <c r="I154">
        <f>IF(C154="RB",LeagueInfo!$D$4*LeagueInfo!$F$2,IF(C154="WR",LeagueInfo!$D$5*LeagueInfo!$F$2,IF(C154="TE",LeagueInfo!$D$6*LeagueInfo!$F$2,LeagueInfo!$D$3*LeagueInfo!$F$2)))</f>
        <v>24</v>
      </c>
    </row>
    <row r="155" spans="1:9" x14ac:dyDescent="0.25">
      <c r="A155">
        <f ca="1">RANK(E155,E$2:E$541)</f>
        <v>154</v>
      </c>
      <c r="B155" t="s">
        <v>798</v>
      </c>
      <c r="C155" t="s">
        <v>28</v>
      </c>
      <c r="D155">
        <f ca="1">INDEX(INDIRECT($C155&amp;"!P:P"),MATCH($B155,INDIRECT($C155&amp;"!B:B"),0))</f>
        <v>113.50999999999999</v>
      </c>
      <c r="E155" s="210">
        <f ca="1">D155-LARGE(D$2:D$486,RBCount+WRCount+TECount+QBCount)</f>
        <v>2.3099999999999881</v>
      </c>
      <c r="F155" t="str">
        <f ca="1">IF(H155&lt;=I155,"Starter",IF(G155&gt;=LARGE(G:G,FlexOn*LeagueInfo!$F$2),"Starter","Bench"))</f>
        <v>Bench</v>
      </c>
      <c r="G155">
        <f ca="1">IF(H155&gt;I155,D155,0)</f>
        <v>113.50999999999999</v>
      </c>
      <c r="H155">
        <f ca="1">INDEX(INDIRECT(""&amp;C155&amp;"!A2:A489"),MATCH(B155,INDIRECT(""&amp;C155&amp;"!B2:B489"),0))</f>
        <v>42</v>
      </c>
      <c r="I155">
        <f>IF(C155="RB",LeagueInfo!$D$4*LeagueInfo!$F$2,IF(C155="WR",LeagueInfo!$D$5*LeagueInfo!$F$2,IF(C155="TE",LeagueInfo!$D$6*LeagueInfo!$F$2,LeagueInfo!$D$3*LeagueInfo!$F$2)))</f>
        <v>24</v>
      </c>
    </row>
    <row r="156" spans="1:9" x14ac:dyDescent="0.25">
      <c r="A156">
        <f ca="1">RANK(E156,E$2:E$541)</f>
        <v>155</v>
      </c>
      <c r="B156" t="s">
        <v>2417</v>
      </c>
      <c r="C156" t="s">
        <v>35</v>
      </c>
      <c r="D156">
        <f ca="1">INDEX(INDIRECT($C156&amp;"!P:P"),MATCH($B156,INDIRECT($C156&amp;"!B:B"),0))</f>
        <v>111.31</v>
      </c>
      <c r="E156" s="210">
        <f ca="1">D156-LARGE(D$2:D$486,RBCount+WRCount+TECount+QBCount)</f>
        <v>0.10999999999999943</v>
      </c>
      <c r="F156" t="str">
        <f ca="1">IF(H156&lt;=I156,"Starter",IF(G156&gt;=LARGE(G:G,FlexOn*LeagueInfo!$F$2),"Starter","Bench"))</f>
        <v>Bench</v>
      </c>
      <c r="G156">
        <f ca="1">IF(H156&gt;I156,D156,0)</f>
        <v>111.31</v>
      </c>
      <c r="H156">
        <f ca="1">INDEX(INDIRECT(""&amp;C156&amp;"!A2:A489"),MATCH(B156,INDIRECT(""&amp;C156&amp;"!B2:B489"),0))</f>
        <v>65</v>
      </c>
      <c r="I156">
        <f>IF(C156="RB",LeagueInfo!$D$4*LeagueInfo!$F$2,IF(C156="WR",LeagueInfo!$D$5*LeagueInfo!$F$2,IF(C156="TE",LeagueInfo!$D$6*LeagueInfo!$F$2,LeagueInfo!$D$3*LeagueInfo!$F$2)))</f>
        <v>24</v>
      </c>
    </row>
    <row r="157" spans="1:9" x14ac:dyDescent="0.25">
      <c r="A157">
        <f ca="1">RANK(E157,E$2:E$541)</f>
        <v>156</v>
      </c>
      <c r="B157" t="s">
        <v>951</v>
      </c>
      <c r="C157" t="s">
        <v>35</v>
      </c>
      <c r="D157">
        <f ca="1">INDEX(INDIRECT($C157&amp;"!P:P"),MATCH($B157,INDIRECT($C157&amp;"!B:B"),0))</f>
        <v>111.2</v>
      </c>
      <c r="E157" s="210">
        <f ca="1">D157-LARGE(D$2:D$486,RBCount+WRCount+TECount+QBCount)</f>
        <v>0</v>
      </c>
      <c r="F157" t="str">
        <f ca="1">IF(H157&lt;=I157,"Starter",IF(G157&gt;=LARGE(G:G,FlexOn*LeagueInfo!$F$2),"Starter","Bench"))</f>
        <v>Bench</v>
      </c>
      <c r="G157">
        <f ca="1">IF(H157&gt;I157,D157,0)</f>
        <v>111.2</v>
      </c>
      <c r="H157">
        <f ca="1">INDEX(INDIRECT(""&amp;C157&amp;"!A2:A489"),MATCH(B157,INDIRECT(""&amp;C157&amp;"!B2:B489"),0))</f>
        <v>66</v>
      </c>
      <c r="I157">
        <f>IF(C157="RB",LeagueInfo!$D$4*LeagueInfo!$F$2,IF(C157="WR",LeagueInfo!$D$5*LeagueInfo!$F$2,IF(C157="TE",LeagueInfo!$D$6*LeagueInfo!$F$2,LeagueInfo!$D$3*LeagueInfo!$F$2)))</f>
        <v>24</v>
      </c>
    </row>
    <row r="158" spans="1:9" x14ac:dyDescent="0.25">
      <c r="A158">
        <f ca="1">RANK(E158,E$2:E$541)</f>
        <v>157</v>
      </c>
      <c r="B158" t="s">
        <v>2445</v>
      </c>
      <c r="C158" t="s">
        <v>28</v>
      </c>
      <c r="D158">
        <f ca="1">INDEX(INDIRECT($C158&amp;"!P:P"),MATCH($B158,INDIRECT($C158&amp;"!B:B"),0))</f>
        <v>110.81000000000002</v>
      </c>
      <c r="E158" s="210">
        <f ca="1">D158-LARGE(D$2:D$486,RBCount+WRCount+TECount+QBCount)</f>
        <v>-0.38999999999998636</v>
      </c>
      <c r="F158" t="str">
        <f ca="1">IF(H158&lt;=I158,"Starter",IF(G158&gt;=LARGE(G:G,FlexOn*LeagueInfo!$F$2),"Starter","Bench"))</f>
        <v>Bench</v>
      </c>
      <c r="G158">
        <f ca="1">IF(H158&gt;I158,D158,0)</f>
        <v>110.81000000000002</v>
      </c>
      <c r="H158">
        <f ca="1">INDEX(INDIRECT(""&amp;C158&amp;"!A2:A489"),MATCH(B158,INDIRECT(""&amp;C158&amp;"!B2:B489"),0))</f>
        <v>43</v>
      </c>
      <c r="I158">
        <f>IF(C158="RB",LeagueInfo!$D$4*LeagueInfo!$F$2,IF(C158="WR",LeagueInfo!$D$5*LeagueInfo!$F$2,IF(C158="TE",LeagueInfo!$D$6*LeagueInfo!$F$2,LeagueInfo!$D$3*LeagueInfo!$F$2)))</f>
        <v>24</v>
      </c>
    </row>
    <row r="159" spans="1:9" x14ac:dyDescent="0.25">
      <c r="A159">
        <f ca="1">RANK(E159,E$2:E$541)</f>
        <v>158</v>
      </c>
      <c r="B159" t="s">
        <v>217</v>
      </c>
      <c r="C159" t="s">
        <v>43</v>
      </c>
      <c r="D159">
        <f ca="1">INDEX(INDIRECT($C159&amp;"!P:P"),MATCH($B159,INDIRECT($C159&amp;"!B:B"),0))</f>
        <v>110.52000000000001</v>
      </c>
      <c r="E159" s="210">
        <f ca="1">D159-LARGE(D$2:D$486,RBCount+WRCount+TECount+QBCount)</f>
        <v>-0.67999999999999261</v>
      </c>
      <c r="F159" t="str">
        <f ca="1">IF(H159&lt;=I159,"Starter",IF(G159&gt;=LARGE(G:G,FlexOn*LeagueInfo!$F$2),"Starter","Bench"))</f>
        <v>Bench</v>
      </c>
      <c r="G159">
        <f ca="1">IF(H159&gt;I159,D159,0)</f>
        <v>110.52000000000001</v>
      </c>
      <c r="H159">
        <f ca="1">INDEX(INDIRECT(""&amp;C159&amp;"!A2:A489"),MATCH(B159,INDIRECT(""&amp;C159&amp;"!B2:B489"),0))</f>
        <v>17</v>
      </c>
      <c r="I159">
        <f>IF(C159="RB",LeagueInfo!$D$4*LeagueInfo!$F$2,IF(C159="WR",LeagueInfo!$D$5*LeagueInfo!$F$2,IF(C159="TE",LeagueInfo!$D$6*LeagueInfo!$F$2,LeagueInfo!$D$3*LeagueInfo!$F$2)))</f>
        <v>12</v>
      </c>
    </row>
    <row r="160" spans="1:9" x14ac:dyDescent="0.25">
      <c r="A160">
        <f ca="1">RANK(E160,E$2:E$541)</f>
        <v>159</v>
      </c>
      <c r="B160" t="s">
        <v>844</v>
      </c>
      <c r="C160" t="s">
        <v>35</v>
      </c>
      <c r="D160">
        <f ca="1">INDEX(INDIRECT($C160&amp;"!P:P"),MATCH($B160,INDIRECT($C160&amp;"!B:B"),0))</f>
        <v>110.28999999999999</v>
      </c>
      <c r="E160" s="210">
        <f ca="1">D160-LARGE(D$2:D$486,RBCount+WRCount+TECount+QBCount)</f>
        <v>-0.9100000000000108</v>
      </c>
      <c r="F160" t="str">
        <f ca="1">IF(H160&lt;=I160,"Starter",IF(G160&gt;=LARGE(G:G,FlexOn*LeagueInfo!$F$2),"Starter","Bench"))</f>
        <v>Bench</v>
      </c>
      <c r="G160">
        <f ca="1">IF(H160&gt;I160,D160,0)</f>
        <v>110.28999999999999</v>
      </c>
      <c r="H160">
        <f ca="1">INDEX(INDIRECT(""&amp;C160&amp;"!A2:A489"),MATCH(B160,INDIRECT(""&amp;C160&amp;"!B2:B489"),0))</f>
        <v>67</v>
      </c>
      <c r="I160">
        <f>IF(C160="RB",LeagueInfo!$D$4*LeagueInfo!$F$2,IF(C160="WR",LeagueInfo!$D$5*LeagueInfo!$F$2,IF(C160="TE",LeagueInfo!$D$6*LeagueInfo!$F$2,LeagueInfo!$D$3*LeagueInfo!$F$2)))</f>
        <v>24</v>
      </c>
    </row>
    <row r="161" spans="1:9" x14ac:dyDescent="0.25">
      <c r="A161">
        <f ca="1">RANK(E161,E$2:E$541)</f>
        <v>160</v>
      </c>
      <c r="B161" t="s">
        <v>550</v>
      </c>
      <c r="C161" t="s">
        <v>28</v>
      </c>
      <c r="D161">
        <f ca="1">INDEX(INDIRECT($C161&amp;"!P:P"),MATCH($B161,INDIRECT($C161&amp;"!B:B"),0))</f>
        <v>109.38000000000001</v>
      </c>
      <c r="E161" s="210">
        <f ca="1">D161-LARGE(D$2:D$486,RBCount+WRCount+TECount+QBCount)</f>
        <v>-1.8199999999999932</v>
      </c>
      <c r="F161" t="str">
        <f ca="1">IF(H161&lt;=I161,"Starter",IF(G161&gt;=LARGE(G:G,FlexOn*LeagueInfo!$F$2),"Starter","Bench"))</f>
        <v>Bench</v>
      </c>
      <c r="G161">
        <f ca="1">IF(H161&gt;I161,D161,0)</f>
        <v>109.38000000000001</v>
      </c>
      <c r="H161">
        <f ca="1">INDEX(INDIRECT(""&amp;C161&amp;"!A2:A489"),MATCH(B161,INDIRECT(""&amp;C161&amp;"!B2:B489"),0))</f>
        <v>44</v>
      </c>
      <c r="I161">
        <f>IF(C161="RB",LeagueInfo!$D$4*LeagueInfo!$F$2,IF(C161="WR",LeagueInfo!$D$5*LeagueInfo!$F$2,IF(C161="TE",LeagueInfo!$D$6*LeagueInfo!$F$2,LeagueInfo!$D$3*LeagueInfo!$F$2)))</f>
        <v>24</v>
      </c>
    </row>
    <row r="162" spans="1:9" x14ac:dyDescent="0.25">
      <c r="A162">
        <f ca="1">RANK(E162,E$2:E$541)</f>
        <v>161</v>
      </c>
      <c r="B162" t="s">
        <v>419</v>
      </c>
      <c r="C162" t="s">
        <v>43</v>
      </c>
      <c r="D162">
        <f ca="1">INDEX(INDIRECT($C162&amp;"!P:P"),MATCH($B162,INDIRECT($C162&amp;"!B:B"),0))</f>
        <v>108.9</v>
      </c>
      <c r="E162" s="210">
        <f ca="1">D162-LARGE(D$2:D$486,RBCount+WRCount+TECount+QBCount)</f>
        <v>-2.2999999999999972</v>
      </c>
      <c r="F162" t="str">
        <f ca="1">IF(H162&lt;=I162,"Starter",IF(G162&gt;=LARGE(G:G,FlexOn*LeagueInfo!$F$2),"Starter","Bench"))</f>
        <v>Bench</v>
      </c>
      <c r="G162">
        <f ca="1">IF(H162&gt;I162,D162,0)</f>
        <v>108.9</v>
      </c>
      <c r="H162">
        <f ca="1">INDEX(INDIRECT(""&amp;C162&amp;"!A2:A489"),MATCH(B162,INDIRECT(""&amp;C162&amp;"!B2:B489"),0))</f>
        <v>18</v>
      </c>
      <c r="I162">
        <f>IF(C162="RB",LeagueInfo!$D$4*LeagueInfo!$F$2,IF(C162="WR",LeagueInfo!$D$5*LeagueInfo!$F$2,IF(C162="TE",LeagueInfo!$D$6*LeagueInfo!$F$2,LeagueInfo!$D$3*LeagueInfo!$F$2)))</f>
        <v>12</v>
      </c>
    </row>
    <row r="163" spans="1:9" x14ac:dyDescent="0.25">
      <c r="A163">
        <f ca="1">RANK(E163,E$2:E$541)</f>
        <v>162</v>
      </c>
      <c r="B163" t="s">
        <v>857</v>
      </c>
      <c r="C163" t="s">
        <v>35</v>
      </c>
      <c r="D163">
        <f ca="1">INDEX(INDIRECT($C163&amp;"!P:P"),MATCH($B163,INDIRECT($C163&amp;"!B:B"),0))</f>
        <v>108.7</v>
      </c>
      <c r="E163" s="210">
        <f ca="1">D163-LARGE(D$2:D$486,RBCount+WRCount+TECount+QBCount)</f>
        <v>-2.5</v>
      </c>
      <c r="F163" t="str">
        <f ca="1">IF(H163&lt;=I163,"Starter",IF(G163&gt;=LARGE(G:G,FlexOn*LeagueInfo!$F$2),"Starter","Bench"))</f>
        <v>Bench</v>
      </c>
      <c r="G163">
        <f ca="1">IF(H163&gt;I163,D163,0)</f>
        <v>108.7</v>
      </c>
      <c r="H163">
        <f ca="1">INDEX(INDIRECT(""&amp;C163&amp;"!A2:A489"),MATCH(B163,INDIRECT(""&amp;C163&amp;"!B2:B489"),0))</f>
        <v>68</v>
      </c>
      <c r="I163">
        <f>IF(C163="RB",LeagueInfo!$D$4*LeagueInfo!$F$2,IF(C163="WR",LeagueInfo!$D$5*LeagueInfo!$F$2,IF(C163="TE",LeagueInfo!$D$6*LeagueInfo!$F$2,LeagueInfo!$D$3*LeagueInfo!$F$2)))</f>
        <v>24</v>
      </c>
    </row>
    <row r="164" spans="1:9" x14ac:dyDescent="0.25">
      <c r="A164">
        <f ca="1">RANK(E164,E$2:E$541)</f>
        <v>163</v>
      </c>
      <c r="B164" t="s">
        <v>215</v>
      </c>
      <c r="C164" t="s">
        <v>35</v>
      </c>
      <c r="D164">
        <f ca="1">INDEX(INDIRECT($C164&amp;"!P:P"),MATCH($B164,INDIRECT($C164&amp;"!B:B"),0))</f>
        <v>108.55000000000001</v>
      </c>
      <c r="E164" s="210">
        <f ca="1">D164-LARGE(D$2:D$486,RBCount+WRCount+TECount+QBCount)</f>
        <v>-2.6499999999999915</v>
      </c>
      <c r="F164" t="str">
        <f ca="1">IF(H164&lt;=I164,"Starter",IF(G164&gt;=LARGE(G:G,FlexOn*LeagueInfo!$F$2),"Starter","Bench"))</f>
        <v>Bench</v>
      </c>
      <c r="G164">
        <f ca="1">IF(H164&gt;I164,D164,0)</f>
        <v>108.55000000000001</v>
      </c>
      <c r="H164">
        <f ca="1">INDEX(INDIRECT(""&amp;C164&amp;"!A2:A489"),MATCH(B164,INDIRECT(""&amp;C164&amp;"!B2:B489"),0))</f>
        <v>69</v>
      </c>
      <c r="I164">
        <f>IF(C164="RB",LeagueInfo!$D$4*LeagueInfo!$F$2,IF(C164="WR",LeagueInfo!$D$5*LeagueInfo!$F$2,IF(C164="TE",LeagueInfo!$D$6*LeagueInfo!$F$2,LeagueInfo!$D$3*LeagueInfo!$F$2)))</f>
        <v>24</v>
      </c>
    </row>
    <row r="165" spans="1:9" x14ac:dyDescent="0.25">
      <c r="A165">
        <f ca="1">RANK(E165,E$2:E$541)</f>
        <v>164</v>
      </c>
      <c r="B165" t="s">
        <v>184</v>
      </c>
      <c r="C165" t="s">
        <v>28</v>
      </c>
      <c r="D165">
        <f ca="1">INDEX(INDIRECT($C165&amp;"!P:P"),MATCH($B165,INDIRECT($C165&amp;"!B:B"),0))</f>
        <v>108.55</v>
      </c>
      <c r="E165" s="210">
        <f ca="1">D165-LARGE(D$2:D$486,RBCount+WRCount+TECount+QBCount)</f>
        <v>-2.6500000000000057</v>
      </c>
      <c r="F165" t="str">
        <f ca="1">IF(H165&lt;=I165,"Starter",IF(G165&gt;=LARGE(G:G,FlexOn*LeagueInfo!$F$2),"Starter","Bench"))</f>
        <v>Bench</v>
      </c>
      <c r="G165">
        <f ca="1">IF(H165&gt;I165,D165,0)</f>
        <v>108.55</v>
      </c>
      <c r="H165">
        <f ca="1">INDEX(INDIRECT(""&amp;C165&amp;"!A2:A489"),MATCH(B165,INDIRECT(""&amp;C165&amp;"!B2:B489"),0))</f>
        <v>45</v>
      </c>
      <c r="I165">
        <f>IF(C165="RB",LeagueInfo!$D$4*LeagueInfo!$F$2,IF(C165="WR",LeagueInfo!$D$5*LeagueInfo!$F$2,IF(C165="TE",LeagueInfo!$D$6*LeagueInfo!$F$2,LeagueInfo!$D$3*LeagueInfo!$F$2)))</f>
        <v>24</v>
      </c>
    </row>
    <row r="166" spans="1:9" x14ac:dyDescent="0.25">
      <c r="A166">
        <f ca="1">RANK(E166,E$2:E$541)</f>
        <v>165</v>
      </c>
      <c r="B166" t="s">
        <v>96</v>
      </c>
      <c r="C166" t="s">
        <v>35</v>
      </c>
      <c r="D166">
        <f ca="1">INDEX(INDIRECT($C166&amp;"!P:P"),MATCH($B166,INDIRECT($C166&amp;"!B:B"),0))</f>
        <v>108.21000000000001</v>
      </c>
      <c r="E166" s="210">
        <f ca="1">D166-LARGE(D$2:D$486,RBCount+WRCount+TECount+QBCount)</f>
        <v>-2.9899999999999949</v>
      </c>
      <c r="F166" t="str">
        <f ca="1">IF(H166&lt;=I166,"Starter",IF(G166&gt;=LARGE(G:G,FlexOn*LeagueInfo!$F$2),"Starter","Bench"))</f>
        <v>Bench</v>
      </c>
      <c r="G166">
        <f ca="1">IF(H166&gt;I166,D166,0)</f>
        <v>108.21000000000001</v>
      </c>
      <c r="H166">
        <f ca="1">INDEX(INDIRECT(""&amp;C166&amp;"!A2:A489"),MATCH(B166,INDIRECT(""&amp;C166&amp;"!B2:B489"),0))</f>
        <v>70</v>
      </c>
      <c r="I166">
        <f>IF(C166="RB",LeagueInfo!$D$4*LeagueInfo!$F$2,IF(C166="WR",LeagueInfo!$D$5*LeagueInfo!$F$2,IF(C166="TE",LeagueInfo!$D$6*LeagueInfo!$F$2,LeagueInfo!$D$3*LeagueInfo!$F$2)))</f>
        <v>24</v>
      </c>
    </row>
    <row r="167" spans="1:9" x14ac:dyDescent="0.25">
      <c r="A167">
        <f ca="1">RANK(E167,E$2:E$541)</f>
        <v>166</v>
      </c>
      <c r="B167" t="s">
        <v>930</v>
      </c>
      <c r="C167" t="s">
        <v>28</v>
      </c>
      <c r="D167">
        <f ca="1">INDEX(INDIRECT($C167&amp;"!P:P"),MATCH($B167,INDIRECT($C167&amp;"!B:B"),0))</f>
        <v>107.99</v>
      </c>
      <c r="E167" s="210">
        <f ca="1">D167-LARGE(D$2:D$486,RBCount+WRCount+TECount+QBCount)</f>
        <v>-3.210000000000008</v>
      </c>
      <c r="F167" t="str">
        <f ca="1">IF(H167&lt;=I167,"Starter",IF(G167&gt;=LARGE(G:G,FlexOn*LeagueInfo!$F$2),"Starter","Bench"))</f>
        <v>Bench</v>
      </c>
      <c r="G167">
        <f ca="1">IF(H167&gt;I167,D167,0)</f>
        <v>107.99</v>
      </c>
      <c r="H167">
        <f ca="1">INDEX(INDIRECT(""&amp;C167&amp;"!A2:A489"),MATCH(B167,INDIRECT(""&amp;C167&amp;"!B2:B489"),0))</f>
        <v>46</v>
      </c>
      <c r="I167">
        <f>IF(C167="RB",LeagueInfo!$D$4*LeagueInfo!$F$2,IF(C167="WR",LeagueInfo!$D$5*LeagueInfo!$F$2,IF(C167="TE",LeagueInfo!$D$6*LeagueInfo!$F$2,LeagueInfo!$D$3*LeagueInfo!$F$2)))</f>
        <v>24</v>
      </c>
    </row>
    <row r="168" spans="1:9" x14ac:dyDescent="0.25">
      <c r="A168">
        <f ca="1">RANK(E168,E$2:E$541)</f>
        <v>167</v>
      </c>
      <c r="B168" t="s">
        <v>747</v>
      </c>
      <c r="C168" t="s">
        <v>43</v>
      </c>
      <c r="D168">
        <f ca="1">INDEX(INDIRECT($C168&amp;"!P:P"),MATCH($B168,INDIRECT($C168&amp;"!B:B"),0))</f>
        <v>107.76</v>
      </c>
      <c r="E168" s="210">
        <f ca="1">D168-LARGE(D$2:D$486,RBCount+WRCount+TECount+QBCount)</f>
        <v>-3.4399999999999977</v>
      </c>
      <c r="F168" t="str">
        <f ca="1">IF(H168&lt;=I168,"Starter",IF(G168&gt;=LARGE(G:G,FlexOn*LeagueInfo!$F$2),"Starter","Bench"))</f>
        <v>Bench</v>
      </c>
      <c r="G168">
        <f ca="1">IF(H168&gt;I168,D168,0)</f>
        <v>107.76</v>
      </c>
      <c r="H168">
        <f ca="1">INDEX(INDIRECT(""&amp;C168&amp;"!A2:A489"),MATCH(B168,INDIRECT(""&amp;C168&amp;"!B2:B489"),0))</f>
        <v>19</v>
      </c>
      <c r="I168">
        <f>IF(C168="RB",LeagueInfo!$D$4*LeagueInfo!$F$2,IF(C168="WR",LeagueInfo!$D$5*LeagueInfo!$F$2,IF(C168="TE",LeagueInfo!$D$6*LeagueInfo!$F$2,LeagueInfo!$D$3*LeagueInfo!$F$2)))</f>
        <v>12</v>
      </c>
    </row>
    <row r="169" spans="1:9" x14ac:dyDescent="0.25">
      <c r="A169">
        <f ca="1">RANK(E169,E$2:E$541)</f>
        <v>168</v>
      </c>
      <c r="B169" t="s">
        <v>699</v>
      </c>
      <c r="C169" t="s">
        <v>35</v>
      </c>
      <c r="D169">
        <f ca="1">INDEX(INDIRECT($C169&amp;"!P:P"),MATCH($B169,INDIRECT($C169&amp;"!B:B"),0))</f>
        <v>106.69</v>
      </c>
      <c r="E169" s="210">
        <f ca="1">D169-LARGE(D$2:D$486,RBCount+WRCount+TECount+QBCount)</f>
        <v>-4.5100000000000051</v>
      </c>
      <c r="F169" t="str">
        <f ca="1">IF(H169&lt;=I169,"Starter",IF(G169&gt;=LARGE(G:G,FlexOn*LeagueInfo!$F$2),"Starter","Bench"))</f>
        <v>Bench</v>
      </c>
      <c r="G169">
        <f ca="1">IF(H169&gt;I169,D169,0)</f>
        <v>106.69</v>
      </c>
      <c r="H169">
        <f ca="1">INDEX(INDIRECT(""&amp;C169&amp;"!A2:A489"),MATCH(B169,INDIRECT(""&amp;C169&amp;"!B2:B489"),0))</f>
        <v>71</v>
      </c>
      <c r="I169">
        <f>IF(C169="RB",LeagueInfo!$D$4*LeagueInfo!$F$2,IF(C169="WR",LeagueInfo!$D$5*LeagueInfo!$F$2,IF(C169="TE",LeagueInfo!$D$6*LeagueInfo!$F$2,LeagueInfo!$D$3*LeagueInfo!$F$2)))</f>
        <v>24</v>
      </c>
    </row>
    <row r="170" spans="1:9" x14ac:dyDescent="0.25">
      <c r="A170">
        <f ca="1">RANK(E170,E$2:E$541)</f>
        <v>169</v>
      </c>
      <c r="B170" t="s">
        <v>2418</v>
      </c>
      <c r="C170" t="s">
        <v>35</v>
      </c>
      <c r="D170">
        <f ca="1">INDEX(INDIRECT($C170&amp;"!P:P"),MATCH($B170,INDIRECT($C170&amp;"!B:B"),0))</f>
        <v>106.19000000000001</v>
      </c>
      <c r="E170" s="210">
        <f ca="1">D170-LARGE(D$2:D$486,RBCount+WRCount+TECount+QBCount)</f>
        <v>-5.0099999999999909</v>
      </c>
      <c r="F170" t="str">
        <f ca="1">IF(H170&lt;=I170,"Starter",IF(G170&gt;=LARGE(G:G,FlexOn*LeagueInfo!$F$2),"Starter","Bench"))</f>
        <v>Bench</v>
      </c>
      <c r="G170">
        <f ca="1">IF(H170&gt;I170,D170,0)</f>
        <v>106.19000000000001</v>
      </c>
      <c r="H170">
        <f ca="1">INDEX(INDIRECT(""&amp;C170&amp;"!A2:A489"),MATCH(B170,INDIRECT(""&amp;C170&amp;"!B2:B489"),0))</f>
        <v>72</v>
      </c>
      <c r="I170">
        <f>IF(C170="RB",LeagueInfo!$D$4*LeagueInfo!$F$2,IF(C170="WR",LeagueInfo!$D$5*LeagueInfo!$F$2,IF(C170="TE",LeagueInfo!$D$6*LeagueInfo!$F$2,LeagueInfo!$D$3*LeagueInfo!$F$2)))</f>
        <v>24</v>
      </c>
    </row>
    <row r="171" spans="1:9" x14ac:dyDescent="0.25">
      <c r="A171">
        <f ca="1">RANK(E171,E$2:E$541)</f>
        <v>170</v>
      </c>
      <c r="B171" t="s">
        <v>368</v>
      </c>
      <c r="C171" t="s">
        <v>35</v>
      </c>
      <c r="D171">
        <f ca="1">INDEX(INDIRECT($C171&amp;"!P:P"),MATCH($B171,INDIRECT($C171&amp;"!B:B"),0))</f>
        <v>105.55000000000001</v>
      </c>
      <c r="E171" s="210">
        <f ca="1">D171-LARGE(D$2:D$486,RBCount+WRCount+TECount+QBCount)</f>
        <v>-5.6499999999999915</v>
      </c>
      <c r="F171" t="str">
        <f ca="1">IF(H171&lt;=I171,"Starter",IF(G171&gt;=LARGE(G:G,FlexOn*LeagueInfo!$F$2),"Starter","Bench"))</f>
        <v>Bench</v>
      </c>
      <c r="G171">
        <f ca="1">IF(H171&gt;I171,D171,0)</f>
        <v>105.55000000000001</v>
      </c>
      <c r="H171">
        <f ca="1">INDEX(INDIRECT(""&amp;C171&amp;"!A2:A489"),MATCH(B171,INDIRECT(""&amp;C171&amp;"!B2:B489"),0))</f>
        <v>73</v>
      </c>
      <c r="I171">
        <f>IF(C171="RB",LeagueInfo!$D$4*LeagueInfo!$F$2,IF(C171="WR",LeagueInfo!$D$5*LeagueInfo!$F$2,IF(C171="TE",LeagueInfo!$D$6*LeagueInfo!$F$2,LeagueInfo!$D$3*LeagueInfo!$F$2)))</f>
        <v>24</v>
      </c>
    </row>
    <row r="172" spans="1:9" x14ac:dyDescent="0.25">
      <c r="A172">
        <f ca="1">RANK(E172,E$2:E$541)</f>
        <v>171</v>
      </c>
      <c r="B172" t="s">
        <v>2451</v>
      </c>
      <c r="C172" t="s">
        <v>28</v>
      </c>
      <c r="D172">
        <f ca="1">INDEX(INDIRECT($C172&amp;"!P:P"),MATCH($B172,INDIRECT($C172&amp;"!B:B"),0))</f>
        <v>105.03</v>
      </c>
      <c r="E172" s="210">
        <f ca="1">D172-LARGE(D$2:D$486,RBCount+WRCount+TECount+QBCount)</f>
        <v>-6.1700000000000017</v>
      </c>
      <c r="F172" t="str">
        <f ca="1">IF(H172&lt;=I172,"Starter",IF(G172&gt;=LARGE(G:G,FlexOn*LeagueInfo!$F$2),"Starter","Bench"))</f>
        <v>Bench</v>
      </c>
      <c r="G172">
        <f ca="1">IF(H172&gt;I172,D172,0)</f>
        <v>105.03</v>
      </c>
      <c r="H172">
        <f ca="1">INDEX(INDIRECT(""&amp;C172&amp;"!A2:A489"),MATCH(B172,INDIRECT(""&amp;C172&amp;"!B2:B489"),0))</f>
        <v>47</v>
      </c>
      <c r="I172">
        <f>IF(C172="RB",LeagueInfo!$D$4*LeagueInfo!$F$2,IF(C172="WR",LeagueInfo!$D$5*LeagueInfo!$F$2,IF(C172="TE",LeagueInfo!$D$6*LeagueInfo!$F$2,LeagueInfo!$D$3*LeagueInfo!$F$2)))</f>
        <v>24</v>
      </c>
    </row>
    <row r="173" spans="1:9" x14ac:dyDescent="0.25">
      <c r="A173">
        <f ca="1">RANK(E173,E$2:E$541)</f>
        <v>172</v>
      </c>
      <c r="B173" t="s">
        <v>558</v>
      </c>
      <c r="C173" t="s">
        <v>28</v>
      </c>
      <c r="D173">
        <f ca="1">INDEX(INDIRECT($C173&amp;"!P:P"),MATCH($B173,INDIRECT($C173&amp;"!B:B"),0))</f>
        <v>104.14000000000001</v>
      </c>
      <c r="E173" s="210">
        <f ca="1">D173-LARGE(D$2:D$486,RBCount+WRCount+TECount+QBCount)</f>
        <v>-7.0599999999999881</v>
      </c>
      <c r="F173" t="str">
        <f ca="1">IF(H173&lt;=I173,"Starter",IF(G173&gt;=LARGE(G:G,FlexOn*LeagueInfo!$F$2),"Starter","Bench"))</f>
        <v>Bench</v>
      </c>
      <c r="G173">
        <f ca="1">IF(H173&gt;I173,D173,0)</f>
        <v>104.14000000000001</v>
      </c>
      <c r="H173">
        <f ca="1">INDEX(INDIRECT(""&amp;C173&amp;"!A2:A489"),MATCH(B173,INDIRECT(""&amp;C173&amp;"!B2:B489"),0))</f>
        <v>48</v>
      </c>
      <c r="I173">
        <f>IF(C173="RB",LeagueInfo!$D$4*LeagueInfo!$F$2,IF(C173="WR",LeagueInfo!$D$5*LeagueInfo!$F$2,IF(C173="TE",LeagueInfo!$D$6*LeagueInfo!$F$2,LeagueInfo!$D$3*LeagueInfo!$F$2)))</f>
        <v>24</v>
      </c>
    </row>
    <row r="174" spans="1:9" x14ac:dyDescent="0.25">
      <c r="A174">
        <f ca="1">RANK(E174,E$2:E$541)</f>
        <v>173</v>
      </c>
      <c r="B174" t="s">
        <v>992</v>
      </c>
      <c r="C174" t="s">
        <v>35</v>
      </c>
      <c r="D174">
        <f ca="1">INDEX(INDIRECT($C174&amp;"!P:P"),MATCH($B174,INDIRECT($C174&amp;"!B:B"),0))</f>
        <v>103.92</v>
      </c>
      <c r="E174" s="210">
        <f ca="1">D174-LARGE(D$2:D$486,RBCount+WRCount+TECount+QBCount)</f>
        <v>-7.2800000000000011</v>
      </c>
      <c r="F174" t="str">
        <f ca="1">IF(H174&lt;=I174,"Starter",IF(G174&gt;=LARGE(G:G,FlexOn*LeagueInfo!$F$2),"Starter","Bench"))</f>
        <v>Bench</v>
      </c>
      <c r="G174">
        <f ca="1">IF(H174&gt;I174,D174,0)</f>
        <v>103.92</v>
      </c>
      <c r="H174">
        <f ca="1">INDEX(INDIRECT(""&amp;C174&amp;"!A2:A489"),MATCH(B174,INDIRECT(""&amp;C174&amp;"!B2:B489"),0))</f>
        <v>74</v>
      </c>
      <c r="I174">
        <f>IF(C174="RB",LeagueInfo!$D$4*LeagueInfo!$F$2,IF(C174="WR",LeagueInfo!$D$5*LeagueInfo!$F$2,IF(C174="TE",LeagueInfo!$D$6*LeagueInfo!$F$2,LeagueInfo!$D$3*LeagueInfo!$F$2)))</f>
        <v>24</v>
      </c>
    </row>
    <row r="175" spans="1:9" x14ac:dyDescent="0.25">
      <c r="A175">
        <f ca="1">RANK(E175,E$2:E$541)</f>
        <v>174</v>
      </c>
      <c r="B175" t="s">
        <v>860</v>
      </c>
      <c r="C175" t="s">
        <v>35</v>
      </c>
      <c r="D175">
        <f ca="1">INDEX(INDIRECT($C175&amp;"!P:P"),MATCH($B175,INDIRECT($C175&amp;"!B:B"),0))</f>
        <v>103.26000000000002</v>
      </c>
      <c r="E175" s="210">
        <f ca="1">D175-LARGE(D$2:D$486,RBCount+WRCount+TECount+QBCount)</f>
        <v>-7.9399999999999835</v>
      </c>
      <c r="F175" t="str">
        <f ca="1">IF(H175&lt;=I175,"Starter",IF(G175&gt;=LARGE(G:G,FlexOn*LeagueInfo!$F$2),"Starter","Bench"))</f>
        <v>Bench</v>
      </c>
      <c r="G175">
        <f ca="1">IF(H175&gt;I175,D175,0)</f>
        <v>103.26000000000002</v>
      </c>
      <c r="H175">
        <f ca="1">INDEX(INDIRECT(""&amp;C175&amp;"!A2:A489"),MATCH(B175,INDIRECT(""&amp;C175&amp;"!B2:B489"),0))</f>
        <v>75</v>
      </c>
      <c r="I175">
        <f>IF(C175="RB",LeagueInfo!$D$4*LeagueInfo!$F$2,IF(C175="WR",LeagueInfo!$D$5*LeagueInfo!$F$2,IF(C175="TE",LeagueInfo!$D$6*LeagueInfo!$F$2,LeagueInfo!$D$3*LeagueInfo!$F$2)))</f>
        <v>24</v>
      </c>
    </row>
    <row r="176" spans="1:9" x14ac:dyDescent="0.25">
      <c r="A176">
        <f ca="1">RANK(E176,E$2:E$541)</f>
        <v>175</v>
      </c>
      <c r="B176" t="s">
        <v>437</v>
      </c>
      <c r="C176" t="s">
        <v>43</v>
      </c>
      <c r="D176">
        <f ca="1">INDEX(INDIRECT($C176&amp;"!P:P"),MATCH($B176,INDIRECT($C176&amp;"!B:B"),0))</f>
        <v>103.04</v>
      </c>
      <c r="E176" s="210">
        <f ca="1">D176-LARGE(D$2:D$486,RBCount+WRCount+TECount+QBCount)</f>
        <v>-8.1599999999999966</v>
      </c>
      <c r="F176" t="str">
        <f ca="1">IF(H176&lt;=I176,"Starter",IF(G176&gt;=LARGE(G:G,FlexOn*LeagueInfo!$F$2),"Starter","Bench"))</f>
        <v>Bench</v>
      </c>
      <c r="G176">
        <f ca="1">IF(H176&gt;I176,D176,0)</f>
        <v>103.04</v>
      </c>
      <c r="H176">
        <f ca="1">INDEX(INDIRECT(""&amp;C176&amp;"!A2:A489"),MATCH(B176,INDIRECT(""&amp;C176&amp;"!B2:B489"),0))</f>
        <v>20</v>
      </c>
      <c r="I176">
        <f>IF(C176="RB",LeagueInfo!$D$4*LeagueInfo!$F$2,IF(C176="WR",LeagueInfo!$D$5*LeagueInfo!$F$2,IF(C176="TE",LeagueInfo!$D$6*LeagueInfo!$F$2,LeagueInfo!$D$3*LeagueInfo!$F$2)))</f>
        <v>12</v>
      </c>
    </row>
    <row r="177" spans="1:9" x14ac:dyDescent="0.25">
      <c r="A177">
        <f ca="1">RANK(E177,E$2:E$541)</f>
        <v>176</v>
      </c>
      <c r="B177" t="s">
        <v>826</v>
      </c>
      <c r="C177" t="s">
        <v>43</v>
      </c>
      <c r="D177">
        <f ca="1">INDEX(INDIRECT($C177&amp;"!P:P"),MATCH($B177,INDIRECT($C177&amp;"!B:B"),0))</f>
        <v>102.99000000000001</v>
      </c>
      <c r="E177" s="210">
        <f ca="1">D177-LARGE(D$2:D$486,RBCount+WRCount+TECount+QBCount)</f>
        <v>-8.2099999999999937</v>
      </c>
      <c r="F177" t="str">
        <f ca="1">IF(H177&lt;=I177,"Starter",IF(G177&gt;=LARGE(G:G,FlexOn*LeagueInfo!$F$2),"Starter","Bench"))</f>
        <v>Bench</v>
      </c>
      <c r="G177">
        <f ca="1">IF(H177&gt;I177,D177,0)</f>
        <v>102.99000000000001</v>
      </c>
      <c r="H177">
        <f ca="1">INDEX(INDIRECT(""&amp;C177&amp;"!A2:A489"),MATCH(B177,INDIRECT(""&amp;C177&amp;"!B2:B489"),0))</f>
        <v>21</v>
      </c>
      <c r="I177">
        <f>IF(C177="RB",LeagueInfo!$D$4*LeagueInfo!$F$2,IF(C177="WR",LeagueInfo!$D$5*LeagueInfo!$F$2,IF(C177="TE",LeagueInfo!$D$6*LeagueInfo!$F$2,LeagueInfo!$D$3*LeagueInfo!$F$2)))</f>
        <v>12</v>
      </c>
    </row>
    <row r="178" spans="1:9" x14ac:dyDescent="0.25">
      <c r="A178">
        <f ca="1">RANK(E178,E$2:E$541)</f>
        <v>177</v>
      </c>
      <c r="B178" t="s">
        <v>757</v>
      </c>
      <c r="C178" t="s">
        <v>43</v>
      </c>
      <c r="D178">
        <f ca="1">INDEX(INDIRECT($C178&amp;"!P:P"),MATCH($B178,INDIRECT($C178&amp;"!B:B"),0))</f>
        <v>102.71</v>
      </c>
      <c r="E178" s="210">
        <f ca="1">D178-LARGE(D$2:D$486,RBCount+WRCount+TECount+QBCount)</f>
        <v>-8.4900000000000091</v>
      </c>
      <c r="F178" t="str">
        <f ca="1">IF(H178&lt;=I178,"Starter",IF(G178&gt;=LARGE(G:G,FlexOn*LeagueInfo!$F$2),"Starter","Bench"))</f>
        <v>Bench</v>
      </c>
      <c r="G178">
        <f ca="1">IF(H178&gt;I178,D178,0)</f>
        <v>102.71</v>
      </c>
      <c r="H178">
        <f ca="1">INDEX(INDIRECT(""&amp;C178&amp;"!A2:A489"),MATCH(B178,INDIRECT(""&amp;C178&amp;"!B2:B489"),0))</f>
        <v>22</v>
      </c>
      <c r="I178">
        <f>IF(C178="RB",LeagueInfo!$D$4*LeagueInfo!$F$2,IF(C178="WR",LeagueInfo!$D$5*LeagueInfo!$F$2,IF(C178="TE",LeagueInfo!$D$6*LeagueInfo!$F$2,LeagueInfo!$D$3*LeagueInfo!$F$2)))</f>
        <v>12</v>
      </c>
    </row>
    <row r="179" spans="1:9" x14ac:dyDescent="0.25">
      <c r="A179">
        <f ca="1">RANK(E179,E$2:E$541)</f>
        <v>178</v>
      </c>
      <c r="B179" t="s">
        <v>223</v>
      </c>
      <c r="C179" t="s">
        <v>43</v>
      </c>
      <c r="D179">
        <f ca="1">INDEX(INDIRECT($C179&amp;"!P:P"),MATCH($B179,INDIRECT($C179&amp;"!B:B"),0))</f>
        <v>102.66000000000001</v>
      </c>
      <c r="E179" s="210">
        <f ca="1">D179-LARGE(D$2:D$486,RBCount+WRCount+TECount+QBCount)</f>
        <v>-8.539999999999992</v>
      </c>
      <c r="F179" t="str">
        <f ca="1">IF(H179&lt;=I179,"Starter",IF(G179&gt;=LARGE(G:G,FlexOn*LeagueInfo!$F$2),"Starter","Bench"))</f>
        <v>Bench</v>
      </c>
      <c r="G179">
        <f ca="1">IF(H179&gt;I179,D179,0)</f>
        <v>102.66000000000001</v>
      </c>
      <c r="H179">
        <f ca="1">INDEX(INDIRECT(""&amp;C179&amp;"!A2:A489"),MATCH(B179,INDIRECT(""&amp;C179&amp;"!B2:B489"),0))</f>
        <v>23</v>
      </c>
      <c r="I179">
        <f>IF(C179="RB",LeagueInfo!$D$4*LeagueInfo!$F$2,IF(C179="WR",LeagueInfo!$D$5*LeagueInfo!$F$2,IF(C179="TE",LeagueInfo!$D$6*LeagueInfo!$F$2,LeagueInfo!$D$3*LeagueInfo!$F$2)))</f>
        <v>12</v>
      </c>
    </row>
    <row r="180" spans="1:9" x14ac:dyDescent="0.25">
      <c r="A180">
        <f ca="1">RANK(E180,E$2:E$541)</f>
        <v>179</v>
      </c>
      <c r="B180" t="s">
        <v>841</v>
      </c>
      <c r="C180" t="s">
        <v>35</v>
      </c>
      <c r="D180">
        <f ca="1">INDEX(INDIRECT($C180&amp;"!P:P"),MATCH($B180,INDIRECT($C180&amp;"!B:B"),0))</f>
        <v>99.74</v>
      </c>
      <c r="E180" s="210">
        <f ca="1">D180-LARGE(D$2:D$486,RBCount+WRCount+TECount+QBCount)</f>
        <v>-11.460000000000008</v>
      </c>
      <c r="F180" t="str">
        <f ca="1">IF(H180&lt;=I180,"Starter",IF(G180&gt;=LARGE(G:G,FlexOn*LeagueInfo!$F$2),"Starter","Bench"))</f>
        <v>Bench</v>
      </c>
      <c r="G180">
        <f ca="1">IF(H180&gt;I180,D180,0)</f>
        <v>99.74</v>
      </c>
      <c r="H180">
        <f ca="1">INDEX(INDIRECT(""&amp;C180&amp;"!A2:A489"),MATCH(B180,INDIRECT(""&amp;C180&amp;"!B2:B489"),0))</f>
        <v>76</v>
      </c>
      <c r="I180">
        <f>IF(C180="RB",LeagueInfo!$D$4*LeagueInfo!$F$2,IF(C180="WR",LeagueInfo!$D$5*LeagueInfo!$F$2,IF(C180="TE",LeagueInfo!$D$6*LeagueInfo!$F$2,LeagueInfo!$D$3*LeagueInfo!$F$2)))</f>
        <v>24</v>
      </c>
    </row>
    <row r="181" spans="1:9" x14ac:dyDescent="0.25">
      <c r="A181">
        <f ca="1">RANK(E181,E$2:E$541)</f>
        <v>180</v>
      </c>
      <c r="B181" t="s">
        <v>228</v>
      </c>
      <c r="C181" t="s">
        <v>43</v>
      </c>
      <c r="D181">
        <f ca="1">INDEX(INDIRECT($C181&amp;"!P:P"),MATCH($B181,INDIRECT($C181&amp;"!B:B"),0))</f>
        <v>99.03</v>
      </c>
      <c r="E181" s="210">
        <f ca="1">D181-LARGE(D$2:D$486,RBCount+WRCount+TECount+QBCount)</f>
        <v>-12.170000000000002</v>
      </c>
      <c r="F181" t="str">
        <f ca="1">IF(H181&lt;=I181,"Starter",IF(G181&gt;=LARGE(G:G,FlexOn*LeagueInfo!$F$2),"Starter","Bench"))</f>
        <v>Bench</v>
      </c>
      <c r="G181">
        <f ca="1">IF(H181&gt;I181,D181,0)</f>
        <v>99.03</v>
      </c>
      <c r="H181">
        <f ca="1">INDEX(INDIRECT(""&amp;C181&amp;"!A2:A489"),MATCH(B181,INDIRECT(""&amp;C181&amp;"!B2:B489"),0))</f>
        <v>24</v>
      </c>
      <c r="I181">
        <f>IF(C181="RB",LeagueInfo!$D$4*LeagueInfo!$F$2,IF(C181="WR",LeagueInfo!$D$5*LeagueInfo!$F$2,IF(C181="TE",LeagueInfo!$D$6*LeagueInfo!$F$2,LeagueInfo!$D$3*LeagueInfo!$F$2)))</f>
        <v>12</v>
      </c>
    </row>
    <row r="182" spans="1:9" x14ac:dyDescent="0.25">
      <c r="A182">
        <f ca="1">RANK(E182,E$2:E$541)</f>
        <v>181</v>
      </c>
      <c r="B182" t="s">
        <v>2423</v>
      </c>
      <c r="C182" t="s">
        <v>35</v>
      </c>
      <c r="D182">
        <f ca="1">INDEX(INDIRECT($C182&amp;"!P:P"),MATCH($B182,INDIRECT($C182&amp;"!B:B"),0))</f>
        <v>98.350000000000009</v>
      </c>
      <c r="E182" s="210">
        <f ca="1">D182-LARGE(D$2:D$486,RBCount+WRCount+TECount+QBCount)</f>
        <v>-12.849999999999994</v>
      </c>
      <c r="F182" t="str">
        <f ca="1">IF(H182&lt;=I182,"Starter",IF(G182&gt;=LARGE(G:G,FlexOn*LeagueInfo!$F$2),"Starter","Bench"))</f>
        <v>Bench</v>
      </c>
      <c r="G182">
        <f ca="1">IF(H182&gt;I182,D182,0)</f>
        <v>98.350000000000009</v>
      </c>
      <c r="H182">
        <f ca="1">INDEX(INDIRECT(""&amp;C182&amp;"!A2:A489"),MATCH(B182,INDIRECT(""&amp;C182&amp;"!B2:B489"),0))</f>
        <v>77</v>
      </c>
      <c r="I182">
        <f>IF(C182="RB",LeagueInfo!$D$4*LeagueInfo!$F$2,IF(C182="WR",LeagueInfo!$D$5*LeagueInfo!$F$2,IF(C182="TE",LeagueInfo!$D$6*LeagueInfo!$F$2,LeagueInfo!$D$3*LeagueInfo!$F$2)))</f>
        <v>24</v>
      </c>
    </row>
    <row r="183" spans="1:9" x14ac:dyDescent="0.25">
      <c r="A183">
        <f ca="1">RANK(E183,E$2:E$541)</f>
        <v>182</v>
      </c>
      <c r="B183" t="s">
        <v>188</v>
      </c>
      <c r="C183" t="s">
        <v>35</v>
      </c>
      <c r="D183">
        <f ca="1">INDEX(INDIRECT($C183&amp;"!P:P"),MATCH($B183,INDIRECT($C183&amp;"!B:B"),0))</f>
        <v>97.91</v>
      </c>
      <c r="E183" s="210">
        <f ca="1">D183-LARGE(D$2:D$486,RBCount+WRCount+TECount+QBCount)</f>
        <v>-13.290000000000006</v>
      </c>
      <c r="F183" t="str">
        <f ca="1">IF(H183&lt;=I183,"Starter",IF(G183&gt;=LARGE(G:G,FlexOn*LeagueInfo!$F$2),"Starter","Bench"))</f>
        <v>Bench</v>
      </c>
      <c r="G183">
        <f ca="1">IF(H183&gt;I183,D183,0)</f>
        <v>97.91</v>
      </c>
      <c r="H183">
        <f ca="1">INDEX(INDIRECT(""&amp;C183&amp;"!A2:A489"),MATCH(B183,INDIRECT(""&amp;C183&amp;"!B2:B489"),0))</f>
        <v>78</v>
      </c>
      <c r="I183">
        <f>IF(C183="RB",LeagueInfo!$D$4*LeagueInfo!$F$2,IF(C183="WR",LeagueInfo!$D$5*LeagueInfo!$F$2,IF(C183="TE",LeagueInfo!$D$6*LeagueInfo!$F$2,LeagueInfo!$D$3*LeagueInfo!$F$2)))</f>
        <v>24</v>
      </c>
    </row>
    <row r="184" spans="1:9" x14ac:dyDescent="0.25">
      <c r="A184">
        <f ca="1">RANK(E184,E$2:E$541)</f>
        <v>183</v>
      </c>
      <c r="B184" t="s">
        <v>666</v>
      </c>
      <c r="C184" t="s">
        <v>28</v>
      </c>
      <c r="D184">
        <f ca="1">INDEX(INDIRECT($C184&amp;"!P:P"),MATCH($B184,INDIRECT($C184&amp;"!B:B"),0))</f>
        <v>97.86</v>
      </c>
      <c r="E184" s="210">
        <f ca="1">D184-LARGE(D$2:D$486,RBCount+WRCount+TECount+QBCount)</f>
        <v>-13.340000000000003</v>
      </c>
      <c r="F184" t="str">
        <f ca="1">IF(H184&lt;=I184,"Starter",IF(G184&gt;=LARGE(G:G,FlexOn*LeagueInfo!$F$2),"Starter","Bench"))</f>
        <v>Bench</v>
      </c>
      <c r="G184">
        <f ca="1">IF(H184&gt;I184,D184,0)</f>
        <v>97.86</v>
      </c>
      <c r="H184">
        <f ca="1">INDEX(INDIRECT(""&amp;C184&amp;"!A2:A489"),MATCH(B184,INDIRECT(""&amp;C184&amp;"!B2:B489"),0))</f>
        <v>49</v>
      </c>
      <c r="I184">
        <f>IF(C184="RB",LeagueInfo!$D$4*LeagueInfo!$F$2,IF(C184="WR",LeagueInfo!$D$5*LeagueInfo!$F$2,IF(C184="TE",LeagueInfo!$D$6*LeagueInfo!$F$2,LeagueInfo!$D$3*LeagueInfo!$F$2)))</f>
        <v>24</v>
      </c>
    </row>
    <row r="185" spans="1:9" x14ac:dyDescent="0.25">
      <c r="A185">
        <f ca="1">RANK(E185,E$2:E$541)</f>
        <v>184</v>
      </c>
      <c r="B185" t="s">
        <v>578</v>
      </c>
      <c r="C185" t="s">
        <v>35</v>
      </c>
      <c r="D185">
        <f ca="1">INDEX(INDIRECT($C185&amp;"!P:P"),MATCH($B185,INDIRECT($C185&amp;"!B:B"),0))</f>
        <v>97.4</v>
      </c>
      <c r="E185" s="210">
        <f ca="1">D185-LARGE(D$2:D$486,RBCount+WRCount+TECount+QBCount)</f>
        <v>-13.799999999999997</v>
      </c>
      <c r="F185" t="str">
        <f ca="1">IF(H185&lt;=I185,"Starter",IF(G185&gt;=LARGE(G:G,FlexOn*LeagueInfo!$F$2),"Starter","Bench"))</f>
        <v>Bench</v>
      </c>
      <c r="G185">
        <f ca="1">IF(H185&gt;I185,D185,0)</f>
        <v>97.4</v>
      </c>
      <c r="H185">
        <f ca="1">INDEX(INDIRECT(""&amp;C185&amp;"!A2:A489"),MATCH(B185,INDIRECT(""&amp;C185&amp;"!B2:B489"),0))</f>
        <v>79</v>
      </c>
      <c r="I185">
        <f>IF(C185="RB",LeagueInfo!$D$4*LeagueInfo!$F$2,IF(C185="WR",LeagueInfo!$D$5*LeagueInfo!$F$2,IF(C185="TE",LeagueInfo!$D$6*LeagueInfo!$F$2,LeagueInfo!$D$3*LeagueInfo!$F$2)))</f>
        <v>24</v>
      </c>
    </row>
    <row r="186" spans="1:9" x14ac:dyDescent="0.25">
      <c r="A186">
        <f ca="1">RANK(E186,E$2:E$541)</f>
        <v>185</v>
      </c>
      <c r="B186" t="s">
        <v>208</v>
      </c>
      <c r="C186" t="s">
        <v>29</v>
      </c>
      <c r="D186">
        <f ca="1">INDEX(INDIRECT($C186&amp;"!P:P"),MATCH($B186,INDIRECT($C186&amp;"!B:B"),0))</f>
        <v>94.734000000000009</v>
      </c>
      <c r="E186" s="210">
        <f ca="1">D186-LARGE(D$2:D$486,RBCount+WRCount+TECount+QBCount)</f>
        <v>-16.465999999999994</v>
      </c>
      <c r="F186" t="str">
        <f ca="1">IF(H186&lt;=I186,"Starter",IF(G186&gt;=LARGE(G:G,FlexOn*LeagueInfo!$F$2),"Starter","Bench"))</f>
        <v>Bench</v>
      </c>
      <c r="G186">
        <f ca="1">IF(H186&gt;I186,D186,0)</f>
        <v>94.734000000000009</v>
      </c>
      <c r="H186">
        <f ca="1">INDEX(INDIRECT(""&amp;C186&amp;"!A2:A489"),MATCH(B186,INDIRECT(""&amp;C186&amp;"!B2:B489"),0))</f>
        <v>33</v>
      </c>
      <c r="I186">
        <f>IF(C186="RB",LeagueInfo!$D$4*LeagueInfo!$F$2,IF(C186="WR",LeagueInfo!$D$5*LeagueInfo!$F$2,IF(C186="TE",LeagueInfo!$D$6*LeagueInfo!$F$2,LeagueInfo!$D$3*LeagueInfo!$F$2)))</f>
        <v>12</v>
      </c>
    </row>
    <row r="187" spans="1:9" x14ac:dyDescent="0.25">
      <c r="A187">
        <f ca="1">RANK(E187,E$2:E$541)</f>
        <v>186</v>
      </c>
      <c r="B187" t="s">
        <v>797</v>
      </c>
      <c r="C187" t="s">
        <v>28</v>
      </c>
      <c r="D187">
        <f ca="1">INDEX(INDIRECT($C187&amp;"!P:P"),MATCH($B187,INDIRECT($C187&amp;"!B:B"),0))</f>
        <v>94.68</v>
      </c>
      <c r="E187" s="210">
        <f ca="1">D187-LARGE(D$2:D$486,RBCount+WRCount+TECount+QBCount)</f>
        <v>-16.519999999999996</v>
      </c>
      <c r="F187" t="str">
        <f ca="1">IF(H187&lt;=I187,"Starter",IF(G187&gt;=LARGE(G:G,FlexOn*LeagueInfo!$F$2),"Starter","Bench"))</f>
        <v>Bench</v>
      </c>
      <c r="G187">
        <f ca="1">IF(H187&gt;I187,D187,0)</f>
        <v>94.68</v>
      </c>
      <c r="H187">
        <f ca="1">INDEX(INDIRECT(""&amp;C187&amp;"!A2:A489"),MATCH(B187,INDIRECT(""&amp;C187&amp;"!B2:B489"),0))</f>
        <v>50</v>
      </c>
      <c r="I187">
        <f>IF(C187="RB",LeagueInfo!$D$4*LeagueInfo!$F$2,IF(C187="WR",LeagueInfo!$D$5*LeagueInfo!$F$2,IF(C187="TE",LeagueInfo!$D$6*LeagueInfo!$F$2,LeagueInfo!$D$3*LeagueInfo!$F$2)))</f>
        <v>24</v>
      </c>
    </row>
    <row r="188" spans="1:9" x14ac:dyDescent="0.25">
      <c r="A188">
        <f ca="1">RANK(E188,E$2:E$541)</f>
        <v>187</v>
      </c>
      <c r="B188" t="s">
        <v>2450</v>
      </c>
      <c r="C188" t="s">
        <v>28</v>
      </c>
      <c r="D188">
        <f ca="1">INDEX(INDIRECT($C188&amp;"!P:P"),MATCH($B188,INDIRECT($C188&amp;"!B:B"),0))</f>
        <v>92.02</v>
      </c>
      <c r="E188" s="210">
        <f ca="1">D188-LARGE(D$2:D$486,RBCount+WRCount+TECount+QBCount)</f>
        <v>-19.180000000000007</v>
      </c>
      <c r="F188" t="str">
        <f ca="1">IF(H188&lt;=I188,"Starter",IF(G188&gt;=LARGE(G:G,FlexOn*LeagueInfo!$F$2),"Starter","Bench"))</f>
        <v>Bench</v>
      </c>
      <c r="G188">
        <f ca="1">IF(H188&gt;I188,D188,0)</f>
        <v>92.02</v>
      </c>
      <c r="H188">
        <f ca="1">INDEX(INDIRECT(""&amp;C188&amp;"!A2:A489"),MATCH(B188,INDIRECT(""&amp;C188&amp;"!B2:B489"),0))</f>
        <v>51</v>
      </c>
      <c r="I188">
        <f>IF(C188="RB",LeagueInfo!$D$4*LeagueInfo!$F$2,IF(C188="WR",LeagueInfo!$D$5*LeagueInfo!$F$2,IF(C188="TE",LeagueInfo!$D$6*LeagueInfo!$F$2,LeagueInfo!$D$3*LeagueInfo!$F$2)))</f>
        <v>24</v>
      </c>
    </row>
    <row r="189" spans="1:9" x14ac:dyDescent="0.25">
      <c r="A189">
        <f ca="1">RANK(E189,E$2:E$541)</f>
        <v>188</v>
      </c>
      <c r="B189" t="s">
        <v>218</v>
      </c>
      <c r="C189" t="s">
        <v>35</v>
      </c>
      <c r="D189">
        <f ca="1">INDEX(INDIRECT($C189&amp;"!P:P"),MATCH($B189,INDIRECT($C189&amp;"!B:B"),0))</f>
        <v>91.160000000000011</v>
      </c>
      <c r="E189" s="210">
        <f ca="1">D189-LARGE(D$2:D$486,RBCount+WRCount+TECount+QBCount)</f>
        <v>-20.039999999999992</v>
      </c>
      <c r="F189" t="str">
        <f ca="1">IF(H189&lt;=I189,"Starter",IF(G189&gt;=LARGE(G:G,FlexOn*LeagueInfo!$F$2),"Starter","Bench"))</f>
        <v>Bench</v>
      </c>
      <c r="G189">
        <f ca="1">IF(H189&gt;I189,D189,0)</f>
        <v>91.160000000000011</v>
      </c>
      <c r="H189">
        <f ca="1">INDEX(INDIRECT(""&amp;C189&amp;"!A2:A489"),MATCH(B189,INDIRECT(""&amp;C189&amp;"!B2:B489"),0))</f>
        <v>80</v>
      </c>
      <c r="I189">
        <f>IF(C189="RB",LeagueInfo!$D$4*LeagueInfo!$F$2,IF(C189="WR",LeagueInfo!$D$5*LeagueInfo!$F$2,IF(C189="TE",LeagueInfo!$D$6*LeagueInfo!$F$2,LeagueInfo!$D$3*LeagueInfo!$F$2)))</f>
        <v>24</v>
      </c>
    </row>
    <row r="190" spans="1:9" x14ac:dyDescent="0.25">
      <c r="A190">
        <f ca="1">RANK(E190,E$2:E$541)</f>
        <v>189</v>
      </c>
      <c r="B190" t="s">
        <v>329</v>
      </c>
      <c r="C190" t="s">
        <v>28</v>
      </c>
      <c r="D190">
        <f ca="1">INDEX(INDIRECT($C190&amp;"!P:P"),MATCH($B190,INDIRECT($C190&amp;"!B:B"),0))</f>
        <v>90.89</v>
      </c>
      <c r="E190" s="210">
        <f ca="1">D190-LARGE(D$2:D$486,RBCount+WRCount+TECount+QBCount)</f>
        <v>-20.310000000000002</v>
      </c>
      <c r="F190" t="str">
        <f ca="1">IF(H190&lt;=I190,"Starter",IF(G190&gt;=LARGE(G:G,FlexOn*LeagueInfo!$F$2),"Starter","Bench"))</f>
        <v>Bench</v>
      </c>
      <c r="G190">
        <f ca="1">IF(H190&gt;I190,D190,0)</f>
        <v>90.89</v>
      </c>
      <c r="H190">
        <f ca="1">INDEX(INDIRECT(""&amp;C190&amp;"!A2:A489"),MATCH(B190,INDIRECT(""&amp;C190&amp;"!B2:B489"),0))</f>
        <v>52</v>
      </c>
      <c r="I190">
        <f>IF(C190="RB",LeagueInfo!$D$4*LeagueInfo!$F$2,IF(C190="WR",LeagueInfo!$D$5*LeagueInfo!$F$2,IF(C190="TE",LeagueInfo!$D$6*LeagueInfo!$F$2,LeagueInfo!$D$3*LeagueInfo!$F$2)))</f>
        <v>24</v>
      </c>
    </row>
    <row r="191" spans="1:9" x14ac:dyDescent="0.25">
      <c r="A191">
        <f ca="1">RANK(E191,E$2:E$541)</f>
        <v>190</v>
      </c>
      <c r="B191" t="s">
        <v>2424</v>
      </c>
      <c r="C191" t="s">
        <v>35</v>
      </c>
      <c r="D191">
        <f ca="1">INDEX(INDIRECT($C191&amp;"!P:P"),MATCH($B191,INDIRECT($C191&amp;"!B:B"),0))</f>
        <v>90.699999999999989</v>
      </c>
      <c r="E191" s="210">
        <f ca="1">D191-LARGE(D$2:D$486,RBCount+WRCount+TECount+QBCount)</f>
        <v>-20.500000000000014</v>
      </c>
      <c r="F191" t="str">
        <f ca="1">IF(H191&lt;=I191,"Starter",IF(G191&gt;=LARGE(G:G,FlexOn*LeagueInfo!$F$2),"Starter","Bench"))</f>
        <v>Bench</v>
      </c>
      <c r="G191">
        <f ca="1">IF(H191&gt;I191,D191,0)</f>
        <v>90.699999999999989</v>
      </c>
      <c r="H191">
        <f ca="1">INDEX(INDIRECT(""&amp;C191&amp;"!A2:A489"),MATCH(B191,INDIRECT(""&amp;C191&amp;"!B2:B489"),0))</f>
        <v>81</v>
      </c>
      <c r="I191">
        <f>IF(C191="RB",LeagueInfo!$D$4*LeagueInfo!$F$2,IF(C191="WR",LeagueInfo!$D$5*LeagueInfo!$F$2,IF(C191="TE",LeagueInfo!$D$6*LeagueInfo!$F$2,LeagueInfo!$D$3*LeagueInfo!$F$2)))</f>
        <v>24</v>
      </c>
    </row>
    <row r="192" spans="1:9" x14ac:dyDescent="0.25">
      <c r="A192">
        <f ca="1">RANK(E192,E$2:E$541)</f>
        <v>191</v>
      </c>
      <c r="B192" t="s">
        <v>1031</v>
      </c>
      <c r="C192" t="s">
        <v>29</v>
      </c>
      <c r="D192">
        <f ca="1">INDEX(INDIRECT($C192&amp;"!P:P"),MATCH($B192,INDIRECT($C192&amp;"!B:B"),0))</f>
        <v>90.372</v>
      </c>
      <c r="E192" s="210">
        <f ca="1">D192-LARGE(D$2:D$486,RBCount+WRCount+TECount+QBCount)</f>
        <v>-20.828000000000003</v>
      </c>
      <c r="F192" t="str">
        <f ca="1">IF(H192&lt;=I192,"Starter",IF(G192&gt;=LARGE(G:G,FlexOn*LeagueInfo!$F$2),"Starter","Bench"))</f>
        <v>Bench</v>
      </c>
      <c r="G192">
        <f ca="1">IF(H192&gt;I192,D192,0)</f>
        <v>90.372</v>
      </c>
      <c r="H192">
        <f ca="1">INDEX(INDIRECT(""&amp;C192&amp;"!A2:A489"),MATCH(B192,INDIRECT(""&amp;C192&amp;"!B2:B489"),0))</f>
        <v>34</v>
      </c>
      <c r="I192">
        <f>IF(C192="RB",LeagueInfo!$D$4*LeagueInfo!$F$2,IF(C192="WR",LeagueInfo!$D$5*LeagueInfo!$F$2,IF(C192="TE",LeagueInfo!$D$6*LeagueInfo!$F$2,LeagueInfo!$D$3*LeagueInfo!$F$2)))</f>
        <v>12</v>
      </c>
    </row>
    <row r="193" spans="1:9" x14ac:dyDescent="0.25">
      <c r="A193">
        <f ca="1">RANK(E193,E$2:E$541)</f>
        <v>192</v>
      </c>
      <c r="B193" t="s">
        <v>2448</v>
      </c>
      <c r="C193" t="s">
        <v>28</v>
      </c>
      <c r="D193">
        <f ca="1">INDEX(INDIRECT($C193&amp;"!P:P"),MATCH($B193,INDIRECT($C193&amp;"!B:B"),0))</f>
        <v>89.070000000000007</v>
      </c>
      <c r="E193" s="210">
        <f ca="1">D193-LARGE(D$2:D$486,RBCount+WRCount+TECount+QBCount)</f>
        <v>-22.129999999999995</v>
      </c>
      <c r="F193" t="str">
        <f ca="1">IF(H193&lt;=I193,"Starter",IF(G193&gt;=LARGE(G:G,FlexOn*LeagueInfo!$F$2),"Starter","Bench"))</f>
        <v>Bench</v>
      </c>
      <c r="G193">
        <f ca="1">IF(H193&gt;I193,D193,0)</f>
        <v>89.070000000000007</v>
      </c>
      <c r="H193">
        <f ca="1">INDEX(INDIRECT(""&amp;C193&amp;"!A2:A489"),MATCH(B193,INDIRECT(""&amp;C193&amp;"!B2:B489"),0))</f>
        <v>53</v>
      </c>
      <c r="I193">
        <f>IF(C193="RB",LeagueInfo!$D$4*LeagueInfo!$F$2,IF(C193="WR",LeagueInfo!$D$5*LeagueInfo!$F$2,IF(C193="TE",LeagueInfo!$D$6*LeagueInfo!$F$2,LeagueInfo!$D$3*LeagueInfo!$F$2)))</f>
        <v>24</v>
      </c>
    </row>
    <row r="194" spans="1:9" x14ac:dyDescent="0.25">
      <c r="A194">
        <f ca="1">RANK(E194,E$2:E$541)</f>
        <v>193</v>
      </c>
      <c r="B194" t="s">
        <v>964</v>
      </c>
      <c r="C194" t="s">
        <v>35</v>
      </c>
      <c r="D194">
        <f ca="1">INDEX(INDIRECT($C194&amp;"!P:P"),MATCH($B194,INDIRECT($C194&amp;"!B:B"),0))</f>
        <v>89.04</v>
      </c>
      <c r="E194" s="210">
        <f ca="1">D194-LARGE(D$2:D$486,RBCount+WRCount+TECount+QBCount)</f>
        <v>-22.159999999999997</v>
      </c>
      <c r="F194" t="str">
        <f ca="1">IF(H194&lt;=I194,"Starter",IF(G194&gt;=LARGE(G:G,FlexOn*LeagueInfo!$F$2),"Starter","Bench"))</f>
        <v>Bench</v>
      </c>
      <c r="G194">
        <f ca="1">IF(H194&gt;I194,D194,0)</f>
        <v>89.04</v>
      </c>
      <c r="H194">
        <f ca="1">INDEX(INDIRECT(""&amp;C194&amp;"!A2:A489"),MATCH(B194,INDIRECT(""&amp;C194&amp;"!B2:B489"),0))</f>
        <v>82</v>
      </c>
      <c r="I194">
        <f>IF(C194="RB",LeagueInfo!$D$4*LeagueInfo!$F$2,IF(C194="WR",LeagueInfo!$D$5*LeagueInfo!$F$2,IF(C194="TE",LeagueInfo!$D$6*LeagueInfo!$F$2,LeagueInfo!$D$3*LeagueInfo!$F$2)))</f>
        <v>24</v>
      </c>
    </row>
    <row r="195" spans="1:9" x14ac:dyDescent="0.25">
      <c r="A195">
        <f ca="1">RANK(E195,E$2:E$541)</f>
        <v>194</v>
      </c>
      <c r="B195" t="s">
        <v>588</v>
      </c>
      <c r="C195" t="s">
        <v>43</v>
      </c>
      <c r="D195">
        <f ca="1">INDEX(INDIRECT($C195&amp;"!P:P"),MATCH($B195,INDIRECT($C195&amp;"!B:B"),0))</f>
        <v>88.01</v>
      </c>
      <c r="E195" s="210">
        <f ca="1">D195-LARGE(D$2:D$486,RBCount+WRCount+TECount+QBCount)</f>
        <v>-23.189999999999998</v>
      </c>
      <c r="F195" t="str">
        <f ca="1">IF(H195&lt;=I195,"Starter",IF(G195&gt;=LARGE(G:G,FlexOn*LeagueInfo!$F$2),"Starter","Bench"))</f>
        <v>Bench</v>
      </c>
      <c r="G195">
        <f ca="1">IF(H195&gt;I195,D195,0)</f>
        <v>88.01</v>
      </c>
      <c r="H195">
        <f ca="1">INDEX(INDIRECT(""&amp;C195&amp;"!A2:A489"),MATCH(B195,INDIRECT(""&amp;C195&amp;"!B2:B489"),0))</f>
        <v>25</v>
      </c>
      <c r="I195">
        <f>IF(C195="RB",LeagueInfo!$D$4*LeagueInfo!$F$2,IF(C195="WR",LeagueInfo!$D$5*LeagueInfo!$F$2,IF(C195="TE",LeagueInfo!$D$6*LeagueInfo!$F$2,LeagueInfo!$D$3*LeagueInfo!$F$2)))</f>
        <v>12</v>
      </c>
    </row>
    <row r="196" spans="1:9" x14ac:dyDescent="0.25">
      <c r="A196">
        <f ca="1">RANK(E196,E$2:E$541)</f>
        <v>195</v>
      </c>
      <c r="B196" t="s">
        <v>101</v>
      </c>
      <c r="C196" t="s">
        <v>35</v>
      </c>
      <c r="D196">
        <f ca="1">INDEX(INDIRECT($C196&amp;"!P:P"),MATCH($B196,INDIRECT($C196&amp;"!B:B"),0))</f>
        <v>87.28</v>
      </c>
      <c r="E196" s="210">
        <f ca="1">D196-LARGE(D$2:D$486,RBCount+WRCount+TECount+QBCount)</f>
        <v>-23.92</v>
      </c>
      <c r="F196" t="str">
        <f ca="1">IF(H196&lt;=I196,"Starter",IF(G196&gt;=LARGE(G:G,FlexOn*LeagueInfo!$F$2),"Starter","Bench"))</f>
        <v>Bench</v>
      </c>
      <c r="G196">
        <f ca="1">IF(H196&gt;I196,D196,0)</f>
        <v>87.28</v>
      </c>
      <c r="H196">
        <f ca="1">INDEX(INDIRECT(""&amp;C196&amp;"!A2:A489"),MATCH(B196,INDIRECT(""&amp;C196&amp;"!B2:B489"),0))</f>
        <v>83</v>
      </c>
      <c r="I196">
        <f>IF(C196="RB",LeagueInfo!$D$4*LeagueInfo!$F$2,IF(C196="WR",LeagueInfo!$D$5*LeagueInfo!$F$2,IF(C196="TE",LeagueInfo!$D$6*LeagueInfo!$F$2,LeagueInfo!$D$3*LeagueInfo!$F$2)))</f>
        <v>24</v>
      </c>
    </row>
    <row r="197" spans="1:9" x14ac:dyDescent="0.25">
      <c r="A197">
        <f ca="1">RANK(E197,E$2:E$541)</f>
        <v>196</v>
      </c>
      <c r="B197" t="s">
        <v>849</v>
      </c>
      <c r="C197" t="s">
        <v>35</v>
      </c>
      <c r="D197">
        <f ca="1">INDEX(INDIRECT($C197&amp;"!P:P"),MATCH($B197,INDIRECT($C197&amp;"!B:B"),0))</f>
        <v>86.27</v>
      </c>
      <c r="E197" s="210">
        <f ca="1">D197-LARGE(D$2:D$486,RBCount+WRCount+TECount+QBCount)</f>
        <v>-24.930000000000007</v>
      </c>
      <c r="F197" t="str">
        <f ca="1">IF(H197&lt;=I197,"Starter",IF(G197&gt;=LARGE(G:G,FlexOn*LeagueInfo!$F$2),"Starter","Bench"))</f>
        <v>Bench</v>
      </c>
      <c r="G197">
        <f ca="1">IF(H197&gt;I197,D197,0)</f>
        <v>86.27</v>
      </c>
      <c r="H197">
        <f ca="1">INDEX(INDIRECT(""&amp;C197&amp;"!A2:A489"),MATCH(B197,INDIRECT(""&amp;C197&amp;"!B2:B489"),0))</f>
        <v>84</v>
      </c>
      <c r="I197">
        <f>IF(C197="RB",LeagueInfo!$D$4*LeagueInfo!$F$2,IF(C197="WR",LeagueInfo!$D$5*LeagueInfo!$F$2,IF(C197="TE",LeagueInfo!$D$6*LeagueInfo!$F$2,LeagueInfo!$D$3*LeagueInfo!$F$2)))</f>
        <v>24</v>
      </c>
    </row>
    <row r="198" spans="1:9" x14ac:dyDescent="0.25">
      <c r="A198">
        <f ca="1">RANK(E198,E$2:E$541)</f>
        <v>197</v>
      </c>
      <c r="B198" t="s">
        <v>408</v>
      </c>
      <c r="C198" t="s">
        <v>35</v>
      </c>
      <c r="D198">
        <f ca="1">INDEX(INDIRECT($C198&amp;"!P:P"),MATCH($B198,INDIRECT($C198&amp;"!B:B"),0))</f>
        <v>85.710000000000008</v>
      </c>
      <c r="E198" s="210">
        <f ca="1">D198-LARGE(D$2:D$486,RBCount+WRCount+TECount+QBCount)</f>
        <v>-25.489999999999995</v>
      </c>
      <c r="F198" t="str">
        <f ca="1">IF(H198&lt;=I198,"Starter",IF(G198&gt;=LARGE(G:G,FlexOn*LeagueInfo!$F$2),"Starter","Bench"))</f>
        <v>Bench</v>
      </c>
      <c r="G198">
        <f ca="1">IF(H198&gt;I198,D198,0)</f>
        <v>85.710000000000008</v>
      </c>
      <c r="H198">
        <f ca="1">INDEX(INDIRECT(""&amp;C198&amp;"!A2:A489"),MATCH(B198,INDIRECT(""&amp;C198&amp;"!B2:B489"),0))</f>
        <v>85</v>
      </c>
      <c r="I198">
        <f>IF(C198="RB",LeagueInfo!$D$4*LeagueInfo!$F$2,IF(C198="WR",LeagueInfo!$D$5*LeagueInfo!$F$2,IF(C198="TE",LeagueInfo!$D$6*LeagueInfo!$F$2,LeagueInfo!$D$3*LeagueInfo!$F$2)))</f>
        <v>24</v>
      </c>
    </row>
    <row r="199" spans="1:9" x14ac:dyDescent="0.25">
      <c r="A199">
        <f ca="1">RANK(E199,E$2:E$541)</f>
        <v>198</v>
      </c>
      <c r="B199" t="s">
        <v>2427</v>
      </c>
      <c r="C199" t="s">
        <v>35</v>
      </c>
      <c r="D199">
        <f ca="1">INDEX(INDIRECT($C199&amp;"!P:P"),MATCH($B199,INDIRECT($C199&amp;"!B:B"),0))</f>
        <v>84.82</v>
      </c>
      <c r="E199" s="210">
        <f ca="1">D199-LARGE(D$2:D$486,RBCount+WRCount+TECount+QBCount)</f>
        <v>-26.38000000000001</v>
      </c>
      <c r="F199" t="str">
        <f ca="1">IF(H199&lt;=I199,"Starter",IF(G199&gt;=LARGE(G:G,FlexOn*LeagueInfo!$F$2),"Starter","Bench"))</f>
        <v>Bench</v>
      </c>
      <c r="G199">
        <f ca="1">IF(H199&gt;I199,D199,0)</f>
        <v>84.82</v>
      </c>
      <c r="H199">
        <f ca="1">INDEX(INDIRECT(""&amp;C199&amp;"!A2:A489"),MATCH(B199,INDIRECT(""&amp;C199&amp;"!B2:B489"),0))</f>
        <v>86</v>
      </c>
      <c r="I199">
        <f>IF(C199="RB",LeagueInfo!$D$4*LeagueInfo!$F$2,IF(C199="WR",LeagueInfo!$D$5*LeagueInfo!$F$2,IF(C199="TE",LeagueInfo!$D$6*LeagueInfo!$F$2,LeagueInfo!$D$3*LeagueInfo!$F$2)))</f>
        <v>24</v>
      </c>
    </row>
    <row r="200" spans="1:9" x14ac:dyDescent="0.25">
      <c r="A200">
        <f ca="1">RANK(E200,E$2:E$541)</f>
        <v>199</v>
      </c>
      <c r="B200" t="s">
        <v>748</v>
      </c>
      <c r="C200" t="s">
        <v>43</v>
      </c>
      <c r="D200">
        <f ca="1">INDEX(INDIRECT($C200&amp;"!P:P"),MATCH($B200,INDIRECT($C200&amp;"!B:B"),0))</f>
        <v>82.99</v>
      </c>
      <c r="E200" s="210">
        <f ca="1">D200-LARGE(D$2:D$486,RBCount+WRCount+TECount+QBCount)</f>
        <v>-28.210000000000008</v>
      </c>
      <c r="F200" t="str">
        <f ca="1">IF(H200&lt;=I200,"Starter",IF(G200&gt;=LARGE(G:G,FlexOn*LeagueInfo!$F$2),"Starter","Bench"))</f>
        <v>Bench</v>
      </c>
      <c r="G200">
        <f ca="1">IF(H200&gt;I200,D200,0)</f>
        <v>82.99</v>
      </c>
      <c r="H200">
        <f ca="1">INDEX(INDIRECT(""&amp;C200&amp;"!A2:A489"),MATCH(B200,INDIRECT(""&amp;C200&amp;"!B2:B489"),0))</f>
        <v>26</v>
      </c>
      <c r="I200">
        <f>IF(C200="RB",LeagueInfo!$D$4*LeagueInfo!$F$2,IF(C200="WR",LeagueInfo!$D$5*LeagueInfo!$F$2,IF(C200="TE",LeagueInfo!$D$6*LeagueInfo!$F$2,LeagueInfo!$D$3*LeagueInfo!$F$2)))</f>
        <v>12</v>
      </c>
    </row>
    <row r="201" spans="1:9" x14ac:dyDescent="0.25">
      <c r="A201">
        <f ca="1">RANK(E201,E$2:E$541)</f>
        <v>200</v>
      </c>
      <c r="B201" t="s">
        <v>2429</v>
      </c>
      <c r="C201" t="s">
        <v>35</v>
      </c>
      <c r="D201">
        <f ca="1">INDEX(INDIRECT($C201&amp;"!P:P"),MATCH($B201,INDIRECT($C201&amp;"!B:B"),0))</f>
        <v>82.64</v>
      </c>
      <c r="E201" s="210">
        <f ca="1">D201-LARGE(D$2:D$486,RBCount+WRCount+TECount+QBCount)</f>
        <v>-28.560000000000002</v>
      </c>
      <c r="F201" t="str">
        <f ca="1">IF(H201&lt;=I201,"Starter",IF(G201&gt;=LARGE(G:G,FlexOn*LeagueInfo!$F$2),"Starter","Bench"))</f>
        <v>Bench</v>
      </c>
      <c r="G201">
        <f ca="1">IF(H201&gt;I201,D201,0)</f>
        <v>82.64</v>
      </c>
      <c r="H201">
        <f ca="1">INDEX(INDIRECT(""&amp;C201&amp;"!A2:A489"),MATCH(B201,INDIRECT(""&amp;C201&amp;"!B2:B489"),0))</f>
        <v>87</v>
      </c>
      <c r="I201">
        <f>IF(C201="RB",LeagueInfo!$D$4*LeagueInfo!$F$2,IF(C201="WR",LeagueInfo!$D$5*LeagueInfo!$F$2,IF(C201="TE",LeagueInfo!$D$6*LeagueInfo!$F$2,LeagueInfo!$D$3*LeagueInfo!$F$2)))</f>
        <v>24</v>
      </c>
    </row>
    <row r="202" spans="1:9" x14ac:dyDescent="0.25">
      <c r="A202">
        <f ca="1">RANK(E202,E$2:E$541)</f>
        <v>201</v>
      </c>
      <c r="B202" t="s">
        <v>843</v>
      </c>
      <c r="C202" t="s">
        <v>35</v>
      </c>
      <c r="D202">
        <f ca="1">INDEX(INDIRECT($C202&amp;"!P:P"),MATCH($B202,INDIRECT($C202&amp;"!B:B"),0))</f>
        <v>82.28</v>
      </c>
      <c r="E202" s="210">
        <f ca="1">D202-LARGE(D$2:D$486,RBCount+WRCount+TECount+QBCount)</f>
        <v>-28.92</v>
      </c>
      <c r="F202" t="str">
        <f ca="1">IF(H202&lt;=I202,"Starter",IF(G202&gt;=LARGE(G:G,FlexOn*LeagueInfo!$F$2),"Starter","Bench"))</f>
        <v>Bench</v>
      </c>
      <c r="G202">
        <f ca="1">IF(H202&gt;I202,D202,0)</f>
        <v>82.28</v>
      </c>
      <c r="H202">
        <f ca="1">INDEX(INDIRECT(""&amp;C202&amp;"!A2:A489"),MATCH(B202,INDIRECT(""&amp;C202&amp;"!B2:B489"),0))</f>
        <v>88</v>
      </c>
      <c r="I202">
        <f>IF(C202="RB",LeagueInfo!$D$4*LeagueInfo!$F$2,IF(C202="WR",LeagueInfo!$D$5*LeagueInfo!$F$2,IF(C202="TE",LeagueInfo!$D$6*LeagueInfo!$F$2,LeagueInfo!$D$3*LeagueInfo!$F$2)))</f>
        <v>24</v>
      </c>
    </row>
    <row r="203" spans="1:9" x14ac:dyDescent="0.25">
      <c r="A203">
        <f ca="1">RANK(E203,E$2:E$541)</f>
        <v>202</v>
      </c>
      <c r="B203" t="s">
        <v>940</v>
      </c>
      <c r="C203" t="s">
        <v>28</v>
      </c>
      <c r="D203">
        <f ca="1">INDEX(INDIRECT($C203&amp;"!P:P"),MATCH($B203,INDIRECT($C203&amp;"!B:B"),0))</f>
        <v>82.190000000000012</v>
      </c>
      <c r="E203" s="210">
        <f ca="1">D203-LARGE(D$2:D$486,RBCount+WRCount+TECount+QBCount)</f>
        <v>-29.009999999999991</v>
      </c>
      <c r="F203" t="str">
        <f ca="1">IF(H203&lt;=I203,"Starter",IF(G203&gt;=LARGE(G:G,FlexOn*LeagueInfo!$F$2),"Starter","Bench"))</f>
        <v>Bench</v>
      </c>
      <c r="G203">
        <f ca="1">IF(H203&gt;I203,D203,0)</f>
        <v>82.190000000000012</v>
      </c>
      <c r="H203">
        <f ca="1">INDEX(INDIRECT(""&amp;C203&amp;"!A2:A489"),MATCH(B203,INDIRECT(""&amp;C203&amp;"!B2:B489"),0))</f>
        <v>54</v>
      </c>
      <c r="I203">
        <f>IF(C203="RB",LeagueInfo!$D$4*LeagueInfo!$F$2,IF(C203="WR",LeagueInfo!$D$5*LeagueInfo!$F$2,IF(C203="TE",LeagueInfo!$D$6*LeagueInfo!$F$2,LeagueInfo!$D$3*LeagueInfo!$F$2)))</f>
        <v>24</v>
      </c>
    </row>
    <row r="204" spans="1:9" x14ac:dyDescent="0.25">
      <c r="A204">
        <f ca="1">RANK(E204,E$2:E$541)</f>
        <v>203</v>
      </c>
      <c r="B204" t="s">
        <v>979</v>
      </c>
      <c r="C204" t="s">
        <v>43</v>
      </c>
      <c r="D204">
        <f ca="1">INDEX(INDIRECT($C204&amp;"!P:P"),MATCH($B204,INDIRECT($C204&amp;"!B:B"),0))</f>
        <v>80.36</v>
      </c>
      <c r="E204" s="210">
        <f ca="1">D204-LARGE(D$2:D$486,RBCount+WRCount+TECount+QBCount)</f>
        <v>-30.840000000000003</v>
      </c>
      <c r="F204" t="str">
        <f ca="1">IF(H204&lt;=I204,"Starter",IF(G204&gt;=LARGE(G:G,FlexOn*LeagueInfo!$F$2),"Starter","Bench"))</f>
        <v>Bench</v>
      </c>
      <c r="G204">
        <f ca="1">IF(H204&gt;I204,D204,0)</f>
        <v>80.36</v>
      </c>
      <c r="H204">
        <f ca="1">INDEX(INDIRECT(""&amp;C204&amp;"!A2:A489"),MATCH(B204,INDIRECT(""&amp;C204&amp;"!B2:B489"),0))</f>
        <v>27</v>
      </c>
      <c r="I204">
        <f>IF(C204="RB",LeagueInfo!$D$4*LeagueInfo!$F$2,IF(C204="WR",LeagueInfo!$D$5*LeagueInfo!$F$2,IF(C204="TE",LeagueInfo!$D$6*LeagueInfo!$F$2,LeagueInfo!$D$3*LeagueInfo!$F$2)))</f>
        <v>12</v>
      </c>
    </row>
    <row r="205" spans="1:9" x14ac:dyDescent="0.25">
      <c r="A205">
        <f ca="1">RANK(E205,E$2:E$541)</f>
        <v>204</v>
      </c>
      <c r="B205" t="s">
        <v>842</v>
      </c>
      <c r="C205" t="s">
        <v>35</v>
      </c>
      <c r="D205">
        <f ca="1">INDEX(INDIRECT($C205&amp;"!P:P"),MATCH($B205,INDIRECT($C205&amp;"!B:B"),0))</f>
        <v>80.2</v>
      </c>
      <c r="E205" s="210">
        <f ca="1">D205-LARGE(D$2:D$486,RBCount+WRCount+TECount+QBCount)</f>
        <v>-31</v>
      </c>
      <c r="F205" t="str">
        <f ca="1">IF(H205&lt;=I205,"Starter",IF(G205&gt;=LARGE(G:G,FlexOn*LeagueInfo!$F$2),"Starter","Bench"))</f>
        <v>Bench</v>
      </c>
      <c r="G205">
        <f ca="1">IF(H205&gt;I205,D205,0)</f>
        <v>80.2</v>
      </c>
      <c r="H205">
        <f ca="1">INDEX(INDIRECT(""&amp;C205&amp;"!A2:A489"),MATCH(B205,INDIRECT(""&amp;C205&amp;"!B2:B489"),0))</f>
        <v>89</v>
      </c>
      <c r="I205">
        <f>IF(C205="RB",LeagueInfo!$D$4*LeagueInfo!$F$2,IF(C205="WR",LeagueInfo!$D$5*LeagueInfo!$F$2,IF(C205="TE",LeagueInfo!$D$6*LeagueInfo!$F$2,LeagueInfo!$D$3*LeagueInfo!$F$2)))</f>
        <v>24</v>
      </c>
    </row>
    <row r="206" spans="1:9" x14ac:dyDescent="0.25">
      <c r="A206">
        <f ca="1">RANK(E206,E$2:E$541)</f>
        <v>205</v>
      </c>
      <c r="B206" t="s">
        <v>2420</v>
      </c>
      <c r="C206" t="s">
        <v>35</v>
      </c>
      <c r="D206">
        <f ca="1">INDEX(INDIRECT($C206&amp;"!P:P"),MATCH($B206,INDIRECT($C206&amp;"!B:B"),0))</f>
        <v>79.42</v>
      </c>
      <c r="E206" s="210">
        <f ca="1">D206-LARGE(D$2:D$486,RBCount+WRCount+TECount+QBCount)</f>
        <v>-31.78</v>
      </c>
      <c r="F206" t="str">
        <f ca="1">IF(H206&lt;=I206,"Starter",IF(G206&gt;=LARGE(G:G,FlexOn*LeagueInfo!$F$2),"Starter","Bench"))</f>
        <v>Bench</v>
      </c>
      <c r="G206">
        <f ca="1">IF(H206&gt;I206,D206,0)</f>
        <v>79.42</v>
      </c>
      <c r="H206">
        <f ca="1">INDEX(INDIRECT(""&amp;C206&amp;"!A2:A489"),MATCH(B206,INDIRECT(""&amp;C206&amp;"!B2:B489"),0))</f>
        <v>90</v>
      </c>
      <c r="I206">
        <f>IF(C206="RB",LeagueInfo!$D$4*LeagueInfo!$F$2,IF(C206="WR",LeagueInfo!$D$5*LeagueInfo!$F$2,IF(C206="TE",LeagueInfo!$D$6*LeagueInfo!$F$2,LeagueInfo!$D$3*LeagueInfo!$F$2)))</f>
        <v>24</v>
      </c>
    </row>
    <row r="207" spans="1:9" x14ac:dyDescent="0.25">
      <c r="A207">
        <f ca="1">RANK(E207,E$2:E$541)</f>
        <v>206</v>
      </c>
      <c r="B207" t="s">
        <v>2421</v>
      </c>
      <c r="C207" t="s">
        <v>35</v>
      </c>
      <c r="D207">
        <f ca="1">INDEX(INDIRECT($C207&amp;"!P:P"),MATCH($B207,INDIRECT($C207&amp;"!B:B"),0))</f>
        <v>79.240000000000009</v>
      </c>
      <c r="E207" s="210">
        <f ca="1">D207-LARGE(D$2:D$486,RBCount+WRCount+TECount+QBCount)</f>
        <v>-31.959999999999994</v>
      </c>
      <c r="F207" t="str">
        <f ca="1">IF(H207&lt;=I207,"Starter",IF(G207&gt;=LARGE(G:G,FlexOn*LeagueInfo!$F$2),"Starter","Bench"))</f>
        <v>Bench</v>
      </c>
      <c r="G207">
        <f ca="1">IF(H207&gt;I207,D207,0)</f>
        <v>79.240000000000009</v>
      </c>
      <c r="H207">
        <f ca="1">INDEX(INDIRECT(""&amp;C207&amp;"!A2:A489"),MATCH(B207,INDIRECT(""&amp;C207&amp;"!B2:B489"),0))</f>
        <v>91</v>
      </c>
      <c r="I207">
        <f>IF(C207="RB",LeagueInfo!$D$4*LeagueInfo!$F$2,IF(C207="WR",LeagueInfo!$D$5*LeagueInfo!$F$2,IF(C207="TE",LeagueInfo!$D$6*LeagueInfo!$F$2,LeagueInfo!$D$3*LeagueInfo!$F$2)))</f>
        <v>24</v>
      </c>
    </row>
    <row r="208" spans="1:9" x14ac:dyDescent="0.25">
      <c r="A208">
        <f ca="1">RANK(E208,E$2:E$541)</f>
        <v>207</v>
      </c>
      <c r="B208" t="s">
        <v>120</v>
      </c>
      <c r="C208" t="s">
        <v>35</v>
      </c>
      <c r="D208">
        <f ca="1">INDEX(INDIRECT($C208&amp;"!P:P"),MATCH($B208,INDIRECT($C208&amp;"!B:B"),0))</f>
        <v>78.600000000000009</v>
      </c>
      <c r="E208" s="210">
        <f ca="1">D208-LARGE(D$2:D$486,RBCount+WRCount+TECount+QBCount)</f>
        <v>-32.599999999999994</v>
      </c>
      <c r="F208" t="str">
        <f ca="1">IF(H208&lt;=I208,"Starter",IF(G208&gt;=LARGE(G:G,FlexOn*LeagueInfo!$F$2),"Starter","Bench"))</f>
        <v>Bench</v>
      </c>
      <c r="G208">
        <f ca="1">IF(H208&gt;I208,D208,0)</f>
        <v>78.600000000000009</v>
      </c>
      <c r="H208">
        <f ca="1">INDEX(INDIRECT(""&amp;C208&amp;"!A2:A489"),MATCH(B208,INDIRECT(""&amp;C208&amp;"!B2:B489"),0))</f>
        <v>92</v>
      </c>
      <c r="I208">
        <f>IF(C208="RB",LeagueInfo!$D$4*LeagueInfo!$F$2,IF(C208="WR",LeagueInfo!$D$5*LeagueInfo!$F$2,IF(C208="TE",LeagueInfo!$D$6*LeagueInfo!$F$2,LeagueInfo!$D$3*LeagueInfo!$F$2)))</f>
        <v>24</v>
      </c>
    </row>
    <row r="209" spans="1:9" x14ac:dyDescent="0.25">
      <c r="A209">
        <f ca="1">RANK(E209,E$2:E$541)</f>
        <v>208</v>
      </c>
      <c r="B209" t="s">
        <v>150</v>
      </c>
      <c r="C209" t="s">
        <v>35</v>
      </c>
      <c r="D209">
        <f ca="1">INDEX(INDIRECT($C209&amp;"!P:P"),MATCH($B209,INDIRECT($C209&amp;"!B:B"),0))</f>
        <v>77.470000000000013</v>
      </c>
      <c r="E209" s="210">
        <f ca="1">D209-LARGE(D$2:D$486,RBCount+WRCount+TECount+QBCount)</f>
        <v>-33.72999999999999</v>
      </c>
      <c r="F209" t="str">
        <f ca="1">IF(H209&lt;=I209,"Starter",IF(G209&gt;=LARGE(G:G,FlexOn*LeagueInfo!$F$2),"Starter","Bench"))</f>
        <v>Bench</v>
      </c>
      <c r="G209">
        <f ca="1">IF(H209&gt;I209,D209,0)</f>
        <v>77.470000000000013</v>
      </c>
      <c r="H209">
        <f ca="1">INDEX(INDIRECT(""&amp;C209&amp;"!A2:A489"),MATCH(B209,INDIRECT(""&amp;C209&amp;"!B2:B489"),0))</f>
        <v>93</v>
      </c>
      <c r="I209">
        <f>IF(C209="RB",LeagueInfo!$D$4*LeagueInfo!$F$2,IF(C209="WR",LeagueInfo!$D$5*LeagueInfo!$F$2,IF(C209="TE",LeagueInfo!$D$6*LeagueInfo!$F$2,LeagueInfo!$D$3*LeagueInfo!$F$2)))</f>
        <v>24</v>
      </c>
    </row>
    <row r="210" spans="1:9" x14ac:dyDescent="0.25">
      <c r="A210">
        <f ca="1">RANK(E210,E$2:E$541)</f>
        <v>209</v>
      </c>
      <c r="B210" t="s">
        <v>726</v>
      </c>
      <c r="C210" t="s">
        <v>35</v>
      </c>
      <c r="D210">
        <f ca="1">INDEX(INDIRECT($C210&amp;"!P:P"),MATCH($B210,INDIRECT($C210&amp;"!B:B"),0))</f>
        <v>76.680000000000007</v>
      </c>
      <c r="E210" s="210">
        <f ca="1">D210-LARGE(D$2:D$486,RBCount+WRCount+TECount+QBCount)</f>
        <v>-34.519999999999996</v>
      </c>
      <c r="F210" t="str">
        <f ca="1">IF(H210&lt;=I210,"Starter",IF(G210&gt;=LARGE(G:G,FlexOn*LeagueInfo!$F$2),"Starter","Bench"))</f>
        <v>Bench</v>
      </c>
      <c r="G210">
        <f ca="1">IF(H210&gt;I210,D210,0)</f>
        <v>76.680000000000007</v>
      </c>
      <c r="H210">
        <f ca="1">INDEX(INDIRECT(""&amp;C210&amp;"!A2:A489"),MATCH(B210,INDIRECT(""&amp;C210&amp;"!B2:B489"),0))</f>
        <v>94</v>
      </c>
      <c r="I210">
        <f>IF(C210="RB",LeagueInfo!$D$4*LeagueInfo!$F$2,IF(C210="WR",LeagueInfo!$D$5*LeagueInfo!$F$2,IF(C210="TE",LeagueInfo!$D$6*LeagueInfo!$F$2,LeagueInfo!$D$3*LeagueInfo!$F$2)))</f>
        <v>24</v>
      </c>
    </row>
    <row r="211" spans="1:9" x14ac:dyDescent="0.25">
      <c r="A211">
        <f ca="1">RANK(E211,E$2:E$541)</f>
        <v>210</v>
      </c>
      <c r="B211" t="s">
        <v>569</v>
      </c>
      <c r="C211" t="s">
        <v>35</v>
      </c>
      <c r="D211">
        <f ca="1">INDEX(INDIRECT($C211&amp;"!P:P"),MATCH($B211,INDIRECT($C211&amp;"!B:B"),0))</f>
        <v>76.400000000000006</v>
      </c>
      <c r="E211" s="210">
        <f ca="1">D211-LARGE(D$2:D$486,RBCount+WRCount+TECount+QBCount)</f>
        <v>-34.799999999999997</v>
      </c>
      <c r="F211" t="str">
        <f ca="1">IF(H211&lt;=I211,"Starter",IF(G211&gt;=LARGE(G:G,FlexOn*LeagueInfo!$F$2),"Starter","Bench"))</f>
        <v>Bench</v>
      </c>
      <c r="G211">
        <f ca="1">IF(H211&gt;I211,D211,0)</f>
        <v>76.400000000000006</v>
      </c>
      <c r="H211">
        <f ca="1">INDEX(INDIRECT(""&amp;C211&amp;"!A2:A489"),MATCH(B211,INDIRECT(""&amp;C211&amp;"!B2:B489"),0))</f>
        <v>95</v>
      </c>
      <c r="I211">
        <f>IF(C211="RB",LeagueInfo!$D$4*LeagueInfo!$F$2,IF(C211="WR",LeagueInfo!$D$5*LeagueInfo!$F$2,IF(C211="TE",LeagueInfo!$D$6*LeagueInfo!$F$2,LeagueInfo!$D$3*LeagueInfo!$F$2)))</f>
        <v>24</v>
      </c>
    </row>
    <row r="212" spans="1:9" x14ac:dyDescent="0.25">
      <c r="A212">
        <f ca="1">RANK(E212,E$2:E$541)</f>
        <v>211</v>
      </c>
      <c r="B212" t="s">
        <v>333</v>
      </c>
      <c r="C212" t="s">
        <v>28</v>
      </c>
      <c r="D212">
        <f ca="1">INDEX(INDIRECT($C212&amp;"!P:P"),MATCH($B212,INDIRECT($C212&amp;"!B:B"),0))</f>
        <v>75.62</v>
      </c>
      <c r="E212" s="210">
        <f ca="1">D212-LARGE(D$2:D$486,RBCount+WRCount+TECount+QBCount)</f>
        <v>-35.58</v>
      </c>
      <c r="F212" t="str">
        <f ca="1">IF(H212&lt;=I212,"Starter",IF(G212&gt;=LARGE(G:G,FlexOn*LeagueInfo!$F$2),"Starter","Bench"))</f>
        <v>Bench</v>
      </c>
      <c r="G212">
        <f ca="1">IF(H212&gt;I212,D212,0)</f>
        <v>75.62</v>
      </c>
      <c r="H212">
        <f ca="1">INDEX(INDIRECT(""&amp;C212&amp;"!A2:A489"),MATCH(B212,INDIRECT(""&amp;C212&amp;"!B2:B489"),0))</f>
        <v>55</v>
      </c>
      <c r="I212">
        <f>IF(C212="RB",LeagueInfo!$D$4*LeagueInfo!$F$2,IF(C212="WR",LeagueInfo!$D$5*LeagueInfo!$F$2,IF(C212="TE",LeagueInfo!$D$6*LeagueInfo!$F$2,LeagueInfo!$D$3*LeagueInfo!$F$2)))</f>
        <v>24</v>
      </c>
    </row>
    <row r="213" spans="1:9" x14ac:dyDescent="0.25">
      <c r="A213">
        <f ca="1">RANK(E213,E$2:E$541)</f>
        <v>212</v>
      </c>
      <c r="B213" t="s">
        <v>648</v>
      </c>
      <c r="C213" t="s">
        <v>29</v>
      </c>
      <c r="D213">
        <f ca="1">INDEX(INDIRECT($C213&amp;"!P:P"),MATCH($B213,INDIRECT($C213&amp;"!B:B"),0))</f>
        <v>73.706000000000003</v>
      </c>
      <c r="E213" s="210">
        <f ca="1">D213-LARGE(D$2:D$486,RBCount+WRCount+TECount+QBCount)</f>
        <v>-37.494</v>
      </c>
      <c r="F213" t="str">
        <f ca="1">IF(H213&lt;=I213,"Starter",IF(G213&gt;=LARGE(G:G,FlexOn*LeagueInfo!$F$2),"Starter","Bench"))</f>
        <v>Bench</v>
      </c>
      <c r="G213">
        <f ca="1">IF(H213&gt;I213,D213,0)</f>
        <v>73.706000000000003</v>
      </c>
      <c r="H213">
        <f ca="1">INDEX(INDIRECT(""&amp;C213&amp;"!A2:A489"),MATCH(B213,INDIRECT(""&amp;C213&amp;"!B2:B489"),0))</f>
        <v>35</v>
      </c>
      <c r="I213">
        <f>IF(C213="RB",LeagueInfo!$D$4*LeagueInfo!$F$2,IF(C213="WR",LeagueInfo!$D$5*LeagueInfo!$F$2,IF(C213="TE",LeagueInfo!$D$6*LeagueInfo!$F$2,LeagueInfo!$D$3*LeagueInfo!$F$2)))</f>
        <v>12</v>
      </c>
    </row>
    <row r="214" spans="1:9" x14ac:dyDescent="0.25">
      <c r="A214">
        <f ca="1">RANK(E214,E$2:E$541)</f>
        <v>213</v>
      </c>
      <c r="B214" t="s">
        <v>388</v>
      </c>
      <c r="C214" t="s">
        <v>35</v>
      </c>
      <c r="D214">
        <f ca="1">INDEX(INDIRECT($C214&amp;"!P:P"),MATCH($B214,INDIRECT($C214&amp;"!B:B"),0))</f>
        <v>73.400000000000006</v>
      </c>
      <c r="E214" s="210">
        <f ca="1">D214-LARGE(D$2:D$486,RBCount+WRCount+TECount+QBCount)</f>
        <v>-37.799999999999997</v>
      </c>
      <c r="F214" t="str">
        <f ca="1">IF(H214&lt;=I214,"Starter",IF(G214&gt;=LARGE(G:G,FlexOn*LeagueInfo!$F$2),"Starter","Bench"))</f>
        <v>Bench</v>
      </c>
      <c r="G214">
        <f ca="1">IF(H214&gt;I214,D214,0)</f>
        <v>73.400000000000006</v>
      </c>
      <c r="H214">
        <f ca="1">INDEX(INDIRECT(""&amp;C214&amp;"!A2:A489"),MATCH(B214,INDIRECT(""&amp;C214&amp;"!B2:B489"),0))</f>
        <v>96</v>
      </c>
      <c r="I214">
        <f>IF(C214="RB",LeagueInfo!$D$4*LeagueInfo!$F$2,IF(C214="WR",LeagueInfo!$D$5*LeagueInfo!$F$2,IF(C214="TE",LeagueInfo!$D$6*LeagueInfo!$F$2,LeagueInfo!$D$3*LeagueInfo!$F$2)))</f>
        <v>24</v>
      </c>
    </row>
    <row r="215" spans="1:9" x14ac:dyDescent="0.25">
      <c r="A215">
        <f ca="1">RANK(E215,E$2:E$541)</f>
        <v>214</v>
      </c>
      <c r="B215" t="s">
        <v>2452</v>
      </c>
      <c r="C215" t="s">
        <v>28</v>
      </c>
      <c r="D215">
        <f ca="1">INDEX(INDIRECT($C215&amp;"!P:P"),MATCH($B215,INDIRECT($C215&amp;"!B:B"),0))</f>
        <v>72.62</v>
      </c>
      <c r="E215" s="210">
        <f ca="1">D215-LARGE(D$2:D$486,RBCount+WRCount+TECount+QBCount)</f>
        <v>-38.58</v>
      </c>
      <c r="F215" t="str">
        <f ca="1">IF(H215&lt;=I215,"Starter",IF(G215&gt;=LARGE(G:G,FlexOn*LeagueInfo!$F$2),"Starter","Bench"))</f>
        <v>Bench</v>
      </c>
      <c r="G215">
        <f ca="1">IF(H215&gt;I215,D215,0)</f>
        <v>72.62</v>
      </c>
      <c r="H215">
        <f ca="1">INDEX(INDIRECT(""&amp;C215&amp;"!A2:A489"),MATCH(B215,INDIRECT(""&amp;C215&amp;"!B2:B489"),0))</f>
        <v>56</v>
      </c>
      <c r="I215">
        <f>IF(C215="RB",LeagueInfo!$D$4*LeagueInfo!$F$2,IF(C215="WR",LeagueInfo!$D$5*LeagueInfo!$F$2,IF(C215="TE",LeagueInfo!$D$6*LeagueInfo!$F$2,LeagueInfo!$D$3*LeagueInfo!$F$2)))</f>
        <v>24</v>
      </c>
    </row>
    <row r="216" spans="1:9" x14ac:dyDescent="0.25">
      <c r="A216">
        <f ca="1">RANK(E216,E$2:E$541)</f>
        <v>215</v>
      </c>
      <c r="B216" t="s">
        <v>637</v>
      </c>
      <c r="C216" t="s">
        <v>28</v>
      </c>
      <c r="D216">
        <f ca="1">INDEX(INDIRECT($C216&amp;"!P:P"),MATCH($B216,INDIRECT($C216&amp;"!B:B"),0))</f>
        <v>72.570000000000007</v>
      </c>
      <c r="E216" s="210">
        <f ca="1">D216-LARGE(D$2:D$486,RBCount+WRCount+TECount+QBCount)</f>
        <v>-38.629999999999995</v>
      </c>
      <c r="F216" t="str">
        <f ca="1">IF(H216&lt;=I216,"Starter",IF(G216&gt;=LARGE(G:G,FlexOn*LeagueInfo!$F$2),"Starter","Bench"))</f>
        <v>Bench</v>
      </c>
      <c r="G216">
        <f ca="1">IF(H216&gt;I216,D216,0)</f>
        <v>72.570000000000007</v>
      </c>
      <c r="H216">
        <f ca="1">INDEX(INDIRECT(""&amp;C216&amp;"!A2:A489"),MATCH(B216,INDIRECT(""&amp;C216&amp;"!B2:B489"),0))</f>
        <v>57</v>
      </c>
      <c r="I216">
        <f>IF(C216="RB",LeagueInfo!$D$4*LeagueInfo!$F$2,IF(C216="WR",LeagueInfo!$D$5*LeagueInfo!$F$2,IF(C216="TE",LeagueInfo!$D$6*LeagueInfo!$F$2,LeagueInfo!$D$3*LeagueInfo!$F$2)))</f>
        <v>24</v>
      </c>
    </row>
    <row r="217" spans="1:9" x14ac:dyDescent="0.25">
      <c r="A217">
        <f ca="1">RANK(E217,E$2:E$541)</f>
        <v>216</v>
      </c>
      <c r="B217" t="s">
        <v>725</v>
      </c>
      <c r="C217" t="s">
        <v>35</v>
      </c>
      <c r="D217">
        <f ca="1">INDEX(INDIRECT($C217&amp;"!P:P"),MATCH($B217,INDIRECT($C217&amp;"!B:B"),0))</f>
        <v>72.140000000000015</v>
      </c>
      <c r="E217" s="210">
        <f ca="1">D217-LARGE(D$2:D$486,RBCount+WRCount+TECount+QBCount)</f>
        <v>-39.059999999999988</v>
      </c>
      <c r="F217" t="str">
        <f ca="1">IF(H217&lt;=I217,"Starter",IF(G217&gt;=LARGE(G:G,FlexOn*LeagueInfo!$F$2),"Starter","Bench"))</f>
        <v>Bench</v>
      </c>
      <c r="G217">
        <f ca="1">IF(H217&gt;I217,D217,0)</f>
        <v>72.140000000000015</v>
      </c>
      <c r="H217">
        <f ca="1">INDEX(INDIRECT(""&amp;C217&amp;"!A2:A489"),MATCH(B217,INDIRECT(""&amp;C217&amp;"!B2:B489"),0))</f>
        <v>97</v>
      </c>
      <c r="I217">
        <f>IF(C217="RB",LeagueInfo!$D$4*LeagueInfo!$F$2,IF(C217="WR",LeagueInfo!$D$5*LeagueInfo!$F$2,IF(C217="TE",LeagueInfo!$D$6*LeagueInfo!$F$2,LeagueInfo!$D$3*LeagueInfo!$F$2)))</f>
        <v>24</v>
      </c>
    </row>
    <row r="218" spans="1:9" x14ac:dyDescent="0.25">
      <c r="A218">
        <f ca="1">RANK(E218,E$2:E$541)</f>
        <v>217</v>
      </c>
      <c r="B218" t="s">
        <v>2425</v>
      </c>
      <c r="C218" t="s">
        <v>35</v>
      </c>
      <c r="D218">
        <f ca="1">INDEX(INDIRECT($C218&amp;"!P:P"),MATCH($B218,INDIRECT($C218&amp;"!B:B"),0))</f>
        <v>71.790000000000006</v>
      </c>
      <c r="E218" s="210">
        <f ca="1">D218-LARGE(D$2:D$486,RBCount+WRCount+TECount+QBCount)</f>
        <v>-39.409999999999997</v>
      </c>
      <c r="F218" t="str">
        <f ca="1">IF(H218&lt;=I218,"Starter",IF(G218&gt;=LARGE(G:G,FlexOn*LeagueInfo!$F$2),"Starter","Bench"))</f>
        <v>Bench</v>
      </c>
      <c r="G218">
        <f ca="1">IF(H218&gt;I218,D218,0)</f>
        <v>71.790000000000006</v>
      </c>
      <c r="H218">
        <f ca="1">INDEX(INDIRECT(""&amp;C218&amp;"!A2:A489"),MATCH(B218,INDIRECT(""&amp;C218&amp;"!B2:B489"),0))</f>
        <v>98</v>
      </c>
      <c r="I218">
        <f>IF(C218="RB",LeagueInfo!$D$4*LeagueInfo!$F$2,IF(C218="WR",LeagueInfo!$D$5*LeagueInfo!$F$2,IF(C218="TE",LeagueInfo!$D$6*LeagueInfo!$F$2,LeagueInfo!$D$3*LeagueInfo!$F$2)))</f>
        <v>24</v>
      </c>
    </row>
    <row r="219" spans="1:9" x14ac:dyDescent="0.25">
      <c r="A219">
        <f ca="1">RANK(E219,E$2:E$541)</f>
        <v>218</v>
      </c>
      <c r="B219" t="s">
        <v>159</v>
      </c>
      <c r="C219" t="s">
        <v>28</v>
      </c>
      <c r="D219">
        <f ca="1">INDEX(INDIRECT($C219&amp;"!P:P"),MATCH($B219,INDIRECT($C219&amp;"!B:B"),0))</f>
        <v>71.2</v>
      </c>
      <c r="E219" s="210">
        <f ca="1">D219-LARGE(D$2:D$486,RBCount+WRCount+TECount+QBCount)</f>
        <v>-40</v>
      </c>
      <c r="F219" t="str">
        <f ca="1">IF(H219&lt;=I219,"Starter",IF(G219&gt;=LARGE(G:G,FlexOn*LeagueInfo!$F$2),"Starter","Bench"))</f>
        <v>Bench</v>
      </c>
      <c r="G219">
        <f ca="1">IF(H219&gt;I219,D219,0)</f>
        <v>71.2</v>
      </c>
      <c r="H219">
        <f ca="1">INDEX(INDIRECT(""&amp;C219&amp;"!A2:A489"),MATCH(B219,INDIRECT(""&amp;C219&amp;"!B2:B489"),0))</f>
        <v>58</v>
      </c>
      <c r="I219">
        <f>IF(C219="RB",LeagueInfo!$D$4*LeagueInfo!$F$2,IF(C219="WR",LeagueInfo!$D$5*LeagueInfo!$F$2,IF(C219="TE",LeagueInfo!$D$6*LeagueInfo!$F$2,LeagueInfo!$D$3*LeagueInfo!$F$2)))</f>
        <v>24</v>
      </c>
    </row>
    <row r="220" spans="1:9" x14ac:dyDescent="0.25">
      <c r="A220">
        <f ca="1">RANK(E220,E$2:E$541)</f>
        <v>219</v>
      </c>
      <c r="B220" t="s">
        <v>434</v>
      </c>
      <c r="C220" t="s">
        <v>43</v>
      </c>
      <c r="D220">
        <f ca="1">INDEX(INDIRECT($C220&amp;"!P:P"),MATCH($B220,INDIRECT($C220&amp;"!B:B"),0))</f>
        <v>69.5</v>
      </c>
      <c r="E220" s="210">
        <f ca="1">D220-LARGE(D$2:D$486,RBCount+WRCount+TECount+QBCount)</f>
        <v>-41.7</v>
      </c>
      <c r="F220" t="str">
        <f ca="1">IF(H220&lt;=I220,"Starter",IF(G220&gt;=LARGE(G:G,FlexOn*LeagueInfo!$F$2),"Starter","Bench"))</f>
        <v>Bench</v>
      </c>
      <c r="G220">
        <f ca="1">IF(H220&gt;I220,D220,0)</f>
        <v>69.5</v>
      </c>
      <c r="H220">
        <f ca="1">INDEX(INDIRECT(""&amp;C220&amp;"!A2:A489"),MATCH(B220,INDIRECT(""&amp;C220&amp;"!B2:B489"),0))</f>
        <v>28</v>
      </c>
      <c r="I220">
        <f>IF(C220="RB",LeagueInfo!$D$4*LeagueInfo!$F$2,IF(C220="WR",LeagueInfo!$D$5*LeagueInfo!$F$2,IF(C220="TE",LeagueInfo!$D$6*LeagueInfo!$F$2,LeagueInfo!$D$3*LeagueInfo!$F$2)))</f>
        <v>12</v>
      </c>
    </row>
    <row r="221" spans="1:9" x14ac:dyDescent="0.25">
      <c r="A221">
        <f ca="1">RANK(E221,E$2:E$541)</f>
        <v>220</v>
      </c>
      <c r="B221" t="s">
        <v>337</v>
      </c>
      <c r="C221" t="s">
        <v>28</v>
      </c>
      <c r="D221">
        <f ca="1">INDEX(INDIRECT($C221&amp;"!P:P"),MATCH($B221,INDIRECT($C221&amp;"!B:B"),0))</f>
        <v>69.33</v>
      </c>
      <c r="E221" s="210">
        <f ca="1">D221-LARGE(D$2:D$486,RBCount+WRCount+TECount+QBCount)</f>
        <v>-41.870000000000005</v>
      </c>
      <c r="F221" t="str">
        <f ca="1">IF(H221&lt;=I221,"Starter",IF(G221&gt;=LARGE(G:G,FlexOn*LeagueInfo!$F$2),"Starter","Bench"))</f>
        <v>Bench</v>
      </c>
      <c r="G221">
        <f ca="1">IF(H221&gt;I221,D221,0)</f>
        <v>69.33</v>
      </c>
      <c r="H221">
        <f ca="1">INDEX(INDIRECT(""&amp;C221&amp;"!A2:A489"),MATCH(B221,INDIRECT(""&amp;C221&amp;"!B2:B489"),0))</f>
        <v>59</v>
      </c>
      <c r="I221">
        <f>IF(C221="RB",LeagueInfo!$D$4*LeagueInfo!$F$2,IF(C221="WR",LeagueInfo!$D$5*LeagueInfo!$F$2,IF(C221="TE",LeagueInfo!$D$6*LeagueInfo!$F$2,LeagueInfo!$D$3*LeagueInfo!$F$2)))</f>
        <v>24</v>
      </c>
    </row>
    <row r="222" spans="1:9" x14ac:dyDescent="0.25">
      <c r="A222">
        <f ca="1">RANK(E222,E$2:E$541)</f>
        <v>221</v>
      </c>
      <c r="B222" t="s">
        <v>1032</v>
      </c>
      <c r="C222" t="s">
        <v>29</v>
      </c>
      <c r="D222">
        <f ca="1">INDEX(INDIRECT($C222&amp;"!P:P"),MATCH($B222,INDIRECT($C222&amp;"!B:B"),0))</f>
        <v>69.094000000000008</v>
      </c>
      <c r="E222" s="210">
        <f ca="1">D222-LARGE(D$2:D$486,RBCount+WRCount+TECount+QBCount)</f>
        <v>-42.105999999999995</v>
      </c>
      <c r="F222" t="str">
        <f ca="1">IF(H222&lt;=I222,"Starter",IF(G222&gt;=LARGE(G:G,FlexOn*LeagueInfo!$F$2),"Starter","Bench"))</f>
        <v>Bench</v>
      </c>
      <c r="G222">
        <f ca="1">IF(H222&gt;I222,D222,0)</f>
        <v>69.094000000000008</v>
      </c>
      <c r="H222">
        <f ca="1">INDEX(INDIRECT(""&amp;C222&amp;"!A2:A489"),MATCH(B222,INDIRECT(""&amp;C222&amp;"!B2:B489"),0))</f>
        <v>36</v>
      </c>
      <c r="I222">
        <f>IF(C222="RB",LeagueInfo!$D$4*LeagueInfo!$F$2,IF(C222="WR",LeagueInfo!$D$5*LeagueInfo!$F$2,IF(C222="TE",LeagueInfo!$D$6*LeagueInfo!$F$2,LeagueInfo!$D$3*LeagueInfo!$F$2)))</f>
        <v>12</v>
      </c>
    </row>
    <row r="223" spans="1:9" x14ac:dyDescent="0.25">
      <c r="A223">
        <f ca="1">RANK(E223,E$2:E$541)</f>
        <v>222</v>
      </c>
      <c r="B223" t="s">
        <v>172</v>
      </c>
      <c r="C223" t="s">
        <v>43</v>
      </c>
      <c r="D223">
        <f ca="1">INDEX(INDIRECT($C223&amp;"!P:P"),MATCH($B223,INDIRECT($C223&amp;"!B:B"),0))</f>
        <v>68.739999999999995</v>
      </c>
      <c r="E223" s="210">
        <f ca="1">D223-LARGE(D$2:D$486,RBCount+WRCount+TECount+QBCount)</f>
        <v>-42.460000000000008</v>
      </c>
      <c r="F223" t="str">
        <f ca="1">IF(H223&lt;=I223,"Starter",IF(G223&gt;=LARGE(G:G,FlexOn*LeagueInfo!$F$2),"Starter","Bench"))</f>
        <v>Bench</v>
      </c>
      <c r="G223">
        <f ca="1">IF(H223&gt;I223,D223,0)</f>
        <v>68.739999999999995</v>
      </c>
      <c r="H223">
        <f ca="1">INDEX(INDIRECT(""&amp;C223&amp;"!A2:A489"),MATCH(B223,INDIRECT(""&amp;C223&amp;"!B2:B489"),0))</f>
        <v>29</v>
      </c>
      <c r="I223">
        <f>IF(C223="RB",LeagueInfo!$D$4*LeagueInfo!$F$2,IF(C223="WR",LeagueInfo!$D$5*LeagueInfo!$F$2,IF(C223="TE",LeagueInfo!$D$6*LeagueInfo!$F$2,LeagueInfo!$D$3*LeagueInfo!$F$2)))</f>
        <v>12</v>
      </c>
    </row>
    <row r="224" spans="1:9" x14ac:dyDescent="0.25">
      <c r="A224">
        <f ca="1">RANK(E224,E$2:E$541)</f>
        <v>223</v>
      </c>
      <c r="B224" t="s">
        <v>2486</v>
      </c>
      <c r="C224" t="s">
        <v>43</v>
      </c>
      <c r="D224">
        <f ca="1">INDEX(INDIRECT($C224&amp;"!P:P"),MATCH($B224,INDIRECT($C224&amp;"!B:B"),0))</f>
        <v>68.139999999999986</v>
      </c>
      <c r="E224" s="210">
        <f ca="1">D224-LARGE(D$2:D$486,RBCount+WRCount+TECount+QBCount)</f>
        <v>-43.060000000000016</v>
      </c>
      <c r="F224" t="str">
        <f ca="1">IF(H224&lt;=I224,"Starter",IF(G224&gt;=LARGE(G:G,FlexOn*LeagueInfo!$F$2),"Starter","Bench"))</f>
        <v>Bench</v>
      </c>
      <c r="G224">
        <f ca="1">IF(H224&gt;I224,D224,0)</f>
        <v>68.139999999999986</v>
      </c>
      <c r="H224">
        <f ca="1">INDEX(INDIRECT(""&amp;C224&amp;"!A2:A489"),MATCH(B224,INDIRECT(""&amp;C224&amp;"!B2:B489"),0))</f>
        <v>30</v>
      </c>
      <c r="I224">
        <f>IF(C224="RB",LeagueInfo!$D$4*LeagueInfo!$F$2,IF(C224="WR",LeagueInfo!$D$5*LeagueInfo!$F$2,IF(C224="TE",LeagueInfo!$D$6*LeagueInfo!$F$2,LeagueInfo!$D$3*LeagueInfo!$F$2)))</f>
        <v>12</v>
      </c>
    </row>
    <row r="225" spans="1:9" x14ac:dyDescent="0.25">
      <c r="A225">
        <f ca="1">RANK(E225,E$2:E$541)</f>
        <v>224</v>
      </c>
      <c r="B225" t="s">
        <v>851</v>
      </c>
      <c r="C225" t="s">
        <v>35</v>
      </c>
      <c r="D225">
        <f ca="1">INDEX(INDIRECT($C225&amp;"!P:P"),MATCH($B225,INDIRECT($C225&amp;"!B:B"),0))</f>
        <v>67.72</v>
      </c>
      <c r="E225" s="210">
        <f ca="1">D225-LARGE(D$2:D$486,RBCount+WRCount+TECount+QBCount)</f>
        <v>-43.480000000000004</v>
      </c>
      <c r="F225" t="str">
        <f ca="1">IF(H225&lt;=I225,"Starter",IF(G225&gt;=LARGE(G:G,FlexOn*LeagueInfo!$F$2),"Starter","Bench"))</f>
        <v>Bench</v>
      </c>
      <c r="G225">
        <f ca="1">IF(H225&gt;I225,D225,0)</f>
        <v>67.72</v>
      </c>
      <c r="H225">
        <f ca="1">INDEX(INDIRECT(""&amp;C225&amp;"!A2:A489"),MATCH(B225,INDIRECT(""&amp;C225&amp;"!B2:B489"),0))</f>
        <v>99</v>
      </c>
      <c r="I225">
        <f>IF(C225="RB",LeagueInfo!$D$4*LeagueInfo!$F$2,IF(C225="WR",LeagueInfo!$D$5*LeagueInfo!$F$2,IF(C225="TE",LeagueInfo!$D$6*LeagueInfo!$F$2,LeagueInfo!$D$3*LeagueInfo!$F$2)))</f>
        <v>24</v>
      </c>
    </row>
    <row r="226" spans="1:9" x14ac:dyDescent="0.25">
      <c r="A226">
        <f ca="1">RANK(E226,E$2:E$541)</f>
        <v>225</v>
      </c>
      <c r="B226" t="s">
        <v>227</v>
      </c>
      <c r="C226" t="s">
        <v>43</v>
      </c>
      <c r="D226">
        <f ca="1">INDEX(INDIRECT($C226&amp;"!P:P"),MATCH($B226,INDIRECT($C226&amp;"!B:B"),0))</f>
        <v>67.28</v>
      </c>
      <c r="E226" s="210">
        <f ca="1">D226-LARGE(D$2:D$486,RBCount+WRCount+TECount+QBCount)</f>
        <v>-43.92</v>
      </c>
      <c r="F226" t="str">
        <f ca="1">IF(H226&lt;=I226,"Starter",IF(G226&gt;=LARGE(G:G,FlexOn*LeagueInfo!$F$2),"Starter","Bench"))</f>
        <v>Bench</v>
      </c>
      <c r="G226">
        <f ca="1">IF(H226&gt;I226,D226,0)</f>
        <v>67.28</v>
      </c>
      <c r="H226">
        <f ca="1">INDEX(INDIRECT(""&amp;C226&amp;"!A2:A489"),MATCH(B226,INDIRECT(""&amp;C226&amp;"!B2:B489"),0))</f>
        <v>31</v>
      </c>
      <c r="I226">
        <f>IF(C226="RB",LeagueInfo!$D$4*LeagueInfo!$F$2,IF(C226="WR",LeagueInfo!$D$5*LeagueInfo!$F$2,IF(C226="TE",LeagueInfo!$D$6*LeagueInfo!$F$2,LeagueInfo!$D$3*LeagueInfo!$F$2)))</f>
        <v>12</v>
      </c>
    </row>
    <row r="227" spans="1:9" x14ac:dyDescent="0.25">
      <c r="A227">
        <f ca="1">RANK(E227,E$2:E$541)</f>
        <v>226</v>
      </c>
      <c r="B227" t="s">
        <v>2426</v>
      </c>
      <c r="C227" t="s">
        <v>35</v>
      </c>
      <c r="D227">
        <f ca="1">INDEX(INDIRECT($C227&amp;"!P:P"),MATCH($B227,INDIRECT($C227&amp;"!B:B"),0))</f>
        <v>66.91</v>
      </c>
      <c r="E227" s="210">
        <f ca="1">D227-LARGE(D$2:D$486,RBCount+WRCount+TECount+QBCount)</f>
        <v>-44.290000000000006</v>
      </c>
      <c r="F227" t="str">
        <f ca="1">IF(H227&lt;=I227,"Starter",IF(G227&gt;=LARGE(G:G,FlexOn*LeagueInfo!$F$2),"Starter","Bench"))</f>
        <v>Bench</v>
      </c>
      <c r="G227">
        <f ca="1">IF(H227&gt;I227,D227,0)</f>
        <v>66.91</v>
      </c>
      <c r="H227">
        <f ca="1">INDEX(INDIRECT(""&amp;C227&amp;"!A2:A489"),MATCH(B227,INDIRECT(""&amp;C227&amp;"!B2:B489"),0))</f>
        <v>100</v>
      </c>
      <c r="I227">
        <f>IF(C227="RB",LeagueInfo!$D$4*LeagueInfo!$F$2,IF(C227="WR",LeagueInfo!$D$5*LeagueInfo!$F$2,IF(C227="TE",LeagueInfo!$D$6*LeagueInfo!$F$2,LeagueInfo!$D$3*LeagueInfo!$F$2)))</f>
        <v>24</v>
      </c>
    </row>
    <row r="228" spans="1:9" x14ac:dyDescent="0.25">
      <c r="A228">
        <f ca="1">RANK(E228,E$2:E$541)</f>
        <v>227</v>
      </c>
      <c r="B228" t="s">
        <v>2739</v>
      </c>
      <c r="C228" t="s">
        <v>35</v>
      </c>
      <c r="D228">
        <f ca="1">INDEX(INDIRECT($C228&amp;"!P:P"),MATCH($B228,INDIRECT($C228&amp;"!B:B"),0))</f>
        <v>66.58</v>
      </c>
      <c r="E228" s="210">
        <f ca="1">D228-LARGE(D$2:D$486,RBCount+WRCount+TECount+QBCount)</f>
        <v>-44.620000000000005</v>
      </c>
      <c r="F228" t="str">
        <f ca="1">IF(H228&lt;=I228,"Starter",IF(G228&gt;=LARGE(G:G,FlexOn*LeagueInfo!$F$2),"Starter","Bench"))</f>
        <v>Bench</v>
      </c>
      <c r="G228">
        <f ca="1">IF(H228&gt;I228,D228,0)</f>
        <v>66.58</v>
      </c>
      <c r="H228">
        <f ca="1">INDEX(INDIRECT(""&amp;C228&amp;"!A2:A489"),MATCH(B228,INDIRECT(""&amp;C228&amp;"!B2:B489"),0))</f>
        <v>101</v>
      </c>
      <c r="I228">
        <f>IF(C228="RB",LeagueInfo!$D$4*LeagueInfo!$F$2,IF(C228="WR",LeagueInfo!$D$5*LeagueInfo!$F$2,IF(C228="TE",LeagueInfo!$D$6*LeagueInfo!$F$2,LeagueInfo!$D$3*LeagueInfo!$F$2)))</f>
        <v>24</v>
      </c>
    </row>
    <row r="229" spans="1:9" x14ac:dyDescent="0.25">
      <c r="A229">
        <f ca="1">RANK(E229,E$2:E$541)</f>
        <v>228</v>
      </c>
      <c r="B229" t="s">
        <v>862</v>
      </c>
      <c r="C229" t="s">
        <v>35</v>
      </c>
      <c r="D229">
        <f ca="1">INDEX(INDIRECT($C229&amp;"!P:P"),MATCH($B229,INDIRECT($C229&amp;"!B:B"),0))</f>
        <v>65.750000000000014</v>
      </c>
      <c r="E229" s="210">
        <f ca="1">D229-LARGE(D$2:D$486,RBCount+WRCount+TECount+QBCount)</f>
        <v>-45.449999999999989</v>
      </c>
      <c r="F229" t="str">
        <f ca="1">IF(H229&lt;=I229,"Starter",IF(G229&gt;=LARGE(G:G,FlexOn*LeagueInfo!$F$2),"Starter","Bench"))</f>
        <v>Bench</v>
      </c>
      <c r="G229">
        <f ca="1">IF(H229&gt;I229,D229,0)</f>
        <v>65.750000000000014</v>
      </c>
      <c r="H229">
        <f ca="1">INDEX(INDIRECT(""&amp;C229&amp;"!A2:A489"),MATCH(B229,INDIRECT(""&amp;C229&amp;"!B2:B489"),0))</f>
        <v>102</v>
      </c>
      <c r="I229">
        <f>IF(C229="RB",LeagueInfo!$D$4*LeagueInfo!$F$2,IF(C229="WR",LeagueInfo!$D$5*LeagueInfo!$F$2,IF(C229="TE",LeagueInfo!$D$6*LeagueInfo!$F$2,LeagueInfo!$D$3*LeagueInfo!$F$2)))</f>
        <v>24</v>
      </c>
    </row>
    <row r="230" spans="1:9" x14ac:dyDescent="0.25">
      <c r="A230">
        <f ca="1">RANK(E230,E$2:E$541)</f>
        <v>229</v>
      </c>
      <c r="B230" t="s">
        <v>823</v>
      </c>
      <c r="C230" t="s">
        <v>43</v>
      </c>
      <c r="D230">
        <f ca="1">INDEX(INDIRECT($C230&amp;"!P:P"),MATCH($B230,INDIRECT($C230&amp;"!B:B"),0))</f>
        <v>65.62</v>
      </c>
      <c r="E230" s="210">
        <f ca="1">D230-LARGE(D$2:D$486,RBCount+WRCount+TECount+QBCount)</f>
        <v>-45.58</v>
      </c>
      <c r="F230" t="str">
        <f ca="1">IF(H230&lt;=I230,"Starter",IF(G230&gt;=LARGE(G:G,FlexOn*LeagueInfo!$F$2),"Starter","Bench"))</f>
        <v>Bench</v>
      </c>
      <c r="G230">
        <f ca="1">IF(H230&gt;I230,D230,0)</f>
        <v>65.62</v>
      </c>
      <c r="H230">
        <f ca="1">INDEX(INDIRECT(""&amp;C230&amp;"!A2:A489"),MATCH(B230,INDIRECT(""&amp;C230&amp;"!B2:B489"),0))</f>
        <v>32</v>
      </c>
      <c r="I230">
        <f>IF(C230="RB",LeagueInfo!$D$4*LeagueInfo!$F$2,IF(C230="WR",LeagueInfo!$D$5*LeagueInfo!$F$2,IF(C230="TE",LeagueInfo!$D$6*LeagueInfo!$F$2,LeagueInfo!$D$3*LeagueInfo!$F$2)))</f>
        <v>12</v>
      </c>
    </row>
    <row r="231" spans="1:9" x14ac:dyDescent="0.25">
      <c r="A231">
        <f ca="1">RANK(E231,E$2:E$541)</f>
        <v>230</v>
      </c>
      <c r="B231" t="s">
        <v>688</v>
      </c>
      <c r="C231" t="s">
        <v>28</v>
      </c>
      <c r="D231">
        <f ca="1">INDEX(INDIRECT($C231&amp;"!P:P"),MATCH($B231,INDIRECT($C231&amp;"!B:B"),0))</f>
        <v>65.22</v>
      </c>
      <c r="E231" s="210">
        <f ca="1">D231-LARGE(D$2:D$486,RBCount+WRCount+TECount+QBCount)</f>
        <v>-45.980000000000004</v>
      </c>
      <c r="F231" t="str">
        <f ca="1">IF(H231&lt;=I231,"Starter",IF(G231&gt;=LARGE(G:G,FlexOn*LeagueInfo!$F$2),"Starter","Bench"))</f>
        <v>Bench</v>
      </c>
      <c r="G231">
        <f ca="1">IF(H231&gt;I231,D231,0)</f>
        <v>65.22</v>
      </c>
      <c r="H231">
        <f ca="1">INDEX(INDIRECT(""&amp;C231&amp;"!A2:A489"),MATCH(B231,INDIRECT(""&amp;C231&amp;"!B2:B489"),0))</f>
        <v>60</v>
      </c>
      <c r="I231">
        <f>IF(C231="RB",LeagueInfo!$D$4*LeagueInfo!$F$2,IF(C231="WR",LeagueInfo!$D$5*LeagueInfo!$F$2,IF(C231="TE",LeagueInfo!$D$6*LeagueInfo!$F$2,LeagueInfo!$D$3*LeagueInfo!$F$2)))</f>
        <v>24</v>
      </c>
    </row>
    <row r="232" spans="1:9" x14ac:dyDescent="0.25">
      <c r="A232">
        <f ca="1">RANK(E232,E$2:E$541)</f>
        <v>231</v>
      </c>
      <c r="B232" t="s">
        <v>334</v>
      </c>
      <c r="C232" t="s">
        <v>28</v>
      </c>
      <c r="D232">
        <f ca="1">INDEX(INDIRECT($C232&amp;"!P:P"),MATCH($B232,INDIRECT($C232&amp;"!B:B"),0))</f>
        <v>64.280000000000015</v>
      </c>
      <c r="E232" s="210">
        <f ca="1">D232-LARGE(D$2:D$486,RBCount+WRCount+TECount+QBCount)</f>
        <v>-46.919999999999987</v>
      </c>
      <c r="F232" t="str">
        <f ca="1">IF(H232&lt;=I232,"Starter",IF(G232&gt;=LARGE(G:G,FlexOn*LeagueInfo!$F$2),"Starter","Bench"))</f>
        <v>Bench</v>
      </c>
      <c r="G232">
        <f ca="1">IF(H232&gt;I232,D232,0)</f>
        <v>64.280000000000015</v>
      </c>
      <c r="H232">
        <f ca="1">INDEX(INDIRECT(""&amp;C232&amp;"!A2:A489"),MATCH(B232,INDIRECT(""&amp;C232&amp;"!B2:B489"),0))</f>
        <v>61</v>
      </c>
      <c r="I232">
        <f>IF(C232="RB",LeagueInfo!$D$4*LeagueInfo!$F$2,IF(C232="WR",LeagueInfo!$D$5*LeagueInfo!$F$2,IF(C232="TE",LeagueInfo!$D$6*LeagueInfo!$F$2,LeagueInfo!$D$3*LeagueInfo!$F$2)))</f>
        <v>24</v>
      </c>
    </row>
    <row r="233" spans="1:9" x14ac:dyDescent="0.25">
      <c r="A233">
        <f ca="1">RANK(E233,E$2:E$541)</f>
        <v>232</v>
      </c>
      <c r="B233" t="s">
        <v>427</v>
      </c>
      <c r="C233" t="s">
        <v>43</v>
      </c>
      <c r="D233">
        <f ca="1">INDEX(INDIRECT($C233&amp;"!P:P"),MATCH($B233,INDIRECT($C233&amp;"!B:B"),0))</f>
        <v>63.769999999999996</v>
      </c>
      <c r="E233" s="210">
        <f ca="1">D233-LARGE(D$2:D$486,RBCount+WRCount+TECount+QBCount)</f>
        <v>-47.430000000000007</v>
      </c>
      <c r="F233" t="str">
        <f ca="1">IF(H233&lt;=I233,"Starter",IF(G233&gt;=LARGE(G:G,FlexOn*LeagueInfo!$F$2),"Starter","Bench"))</f>
        <v>Bench</v>
      </c>
      <c r="G233">
        <f ca="1">IF(H233&gt;I233,D233,0)</f>
        <v>63.769999999999996</v>
      </c>
      <c r="H233">
        <f ca="1">INDEX(INDIRECT(""&amp;C233&amp;"!A2:A489"),MATCH(B233,INDIRECT(""&amp;C233&amp;"!B2:B489"),0))</f>
        <v>33</v>
      </c>
      <c r="I233">
        <f>IF(C233="RB",LeagueInfo!$D$4*LeagueInfo!$F$2,IF(C233="WR",LeagueInfo!$D$5*LeagueInfo!$F$2,IF(C233="TE",LeagueInfo!$D$6*LeagueInfo!$F$2,LeagueInfo!$D$3*LeagueInfo!$F$2)))</f>
        <v>12</v>
      </c>
    </row>
    <row r="234" spans="1:9" x14ac:dyDescent="0.25">
      <c r="A234">
        <f ca="1">RANK(E234,E$2:E$541)</f>
        <v>233</v>
      </c>
      <c r="B234" t="s">
        <v>866</v>
      </c>
      <c r="C234" t="s">
        <v>35</v>
      </c>
      <c r="D234">
        <f ca="1">INDEX(INDIRECT($C234&amp;"!P:P"),MATCH($B234,INDIRECT($C234&amp;"!B:B"),0))</f>
        <v>63.45</v>
      </c>
      <c r="E234" s="210">
        <f ca="1">D234-LARGE(D$2:D$486,RBCount+WRCount+TECount+QBCount)</f>
        <v>-47.75</v>
      </c>
      <c r="F234" t="str">
        <f ca="1">IF(H234&lt;=I234,"Starter",IF(G234&gt;=LARGE(G:G,FlexOn*LeagueInfo!$F$2),"Starter","Bench"))</f>
        <v>Bench</v>
      </c>
      <c r="G234">
        <f ca="1">IF(H234&gt;I234,D234,0)</f>
        <v>63.45</v>
      </c>
      <c r="H234">
        <f ca="1">INDEX(INDIRECT(""&amp;C234&amp;"!A2:A489"),MATCH(B234,INDIRECT(""&amp;C234&amp;"!B2:B489"),0))</f>
        <v>103</v>
      </c>
      <c r="I234">
        <f>IF(C234="RB",LeagueInfo!$D$4*LeagueInfo!$F$2,IF(C234="WR",LeagueInfo!$D$5*LeagueInfo!$F$2,IF(C234="TE",LeagueInfo!$D$6*LeagueInfo!$F$2,LeagueInfo!$D$3*LeagueInfo!$F$2)))</f>
        <v>24</v>
      </c>
    </row>
    <row r="235" spans="1:9" x14ac:dyDescent="0.25">
      <c r="A235">
        <f ca="1">RANK(E235,E$2:E$541)</f>
        <v>234</v>
      </c>
      <c r="B235" t="s">
        <v>2449</v>
      </c>
      <c r="C235" t="s">
        <v>28</v>
      </c>
      <c r="D235">
        <f ca="1">INDEX(INDIRECT($C235&amp;"!P:P"),MATCH($B235,INDIRECT($C235&amp;"!B:B"),0))</f>
        <v>63.27</v>
      </c>
      <c r="E235" s="210">
        <f ca="1">D235-LARGE(D$2:D$486,RBCount+WRCount+TECount+QBCount)</f>
        <v>-47.93</v>
      </c>
      <c r="F235" t="str">
        <f ca="1">IF(H235&lt;=I235,"Starter",IF(G235&gt;=LARGE(G:G,FlexOn*LeagueInfo!$F$2),"Starter","Bench"))</f>
        <v>Bench</v>
      </c>
      <c r="G235">
        <f ca="1">IF(H235&gt;I235,D235,0)</f>
        <v>63.27</v>
      </c>
      <c r="H235">
        <f ca="1">INDEX(INDIRECT(""&amp;C235&amp;"!A2:A489"),MATCH(B235,INDIRECT(""&amp;C235&amp;"!B2:B489"),0))</f>
        <v>62</v>
      </c>
      <c r="I235">
        <f>IF(C235="RB",LeagueInfo!$D$4*LeagueInfo!$F$2,IF(C235="WR",LeagueInfo!$D$5*LeagueInfo!$F$2,IF(C235="TE",LeagueInfo!$D$6*LeagueInfo!$F$2,LeagueInfo!$D$3*LeagueInfo!$F$2)))</f>
        <v>24</v>
      </c>
    </row>
    <row r="236" spans="1:9" x14ac:dyDescent="0.25">
      <c r="A236">
        <f ca="1">RANK(E236,E$2:E$541)</f>
        <v>235</v>
      </c>
      <c r="B236" t="s">
        <v>679</v>
      </c>
      <c r="C236" t="s">
        <v>28</v>
      </c>
      <c r="D236">
        <f ca="1">INDEX(INDIRECT($C236&amp;"!P:P"),MATCH($B236,INDIRECT($C236&amp;"!B:B"),0))</f>
        <v>63.160000000000004</v>
      </c>
      <c r="E236" s="210">
        <f ca="1">D236-LARGE(D$2:D$486,RBCount+WRCount+TECount+QBCount)</f>
        <v>-48.04</v>
      </c>
      <c r="F236" t="str">
        <f ca="1">IF(H236&lt;=I236,"Starter",IF(G236&gt;=LARGE(G:G,FlexOn*LeagueInfo!$F$2),"Starter","Bench"))</f>
        <v>Bench</v>
      </c>
      <c r="G236">
        <f ca="1">IF(H236&gt;I236,D236,0)</f>
        <v>63.160000000000004</v>
      </c>
      <c r="H236">
        <f ca="1">INDEX(INDIRECT(""&amp;C236&amp;"!A2:A489"),MATCH(B236,INDIRECT(""&amp;C236&amp;"!B2:B489"),0))</f>
        <v>63</v>
      </c>
      <c r="I236">
        <f>IF(C236="RB",LeagueInfo!$D$4*LeagueInfo!$F$2,IF(C236="WR",LeagueInfo!$D$5*LeagueInfo!$F$2,IF(C236="TE",LeagueInfo!$D$6*LeagueInfo!$F$2,LeagueInfo!$D$3*LeagueInfo!$F$2)))</f>
        <v>24</v>
      </c>
    </row>
    <row r="237" spans="1:9" x14ac:dyDescent="0.25">
      <c r="A237">
        <f ca="1">RANK(E237,E$2:E$541)</f>
        <v>236</v>
      </c>
      <c r="B237" t="s">
        <v>598</v>
      </c>
      <c r="C237" t="s">
        <v>43</v>
      </c>
      <c r="D237">
        <f ca="1">INDEX(INDIRECT($C237&amp;"!P:P"),MATCH($B237,INDIRECT($C237&amp;"!B:B"),0))</f>
        <v>62.230000000000004</v>
      </c>
      <c r="E237" s="210">
        <f ca="1">D237-LARGE(D$2:D$486,RBCount+WRCount+TECount+QBCount)</f>
        <v>-48.97</v>
      </c>
      <c r="F237" t="str">
        <f ca="1">IF(H237&lt;=I237,"Starter",IF(G237&gt;=LARGE(G:G,FlexOn*LeagueInfo!$F$2),"Starter","Bench"))</f>
        <v>Bench</v>
      </c>
      <c r="G237">
        <f ca="1">IF(H237&gt;I237,D237,0)</f>
        <v>62.230000000000004</v>
      </c>
      <c r="H237">
        <f ca="1">INDEX(INDIRECT(""&amp;C237&amp;"!A2:A489"),MATCH(B237,INDIRECT(""&amp;C237&amp;"!B2:B489"),0))</f>
        <v>34</v>
      </c>
      <c r="I237">
        <f>IF(C237="RB",LeagueInfo!$D$4*LeagueInfo!$F$2,IF(C237="WR",LeagueInfo!$D$5*LeagueInfo!$F$2,IF(C237="TE",LeagueInfo!$D$6*LeagueInfo!$F$2,LeagueInfo!$D$3*LeagueInfo!$F$2)))</f>
        <v>12</v>
      </c>
    </row>
    <row r="238" spans="1:9" x14ac:dyDescent="0.25">
      <c r="A238">
        <f ca="1">RANK(E238,E$2:E$541)</f>
        <v>237</v>
      </c>
      <c r="B238" t="s">
        <v>2472</v>
      </c>
      <c r="C238" t="s">
        <v>43</v>
      </c>
      <c r="D238">
        <f ca="1">INDEX(INDIRECT($C238&amp;"!P:P"),MATCH($B238,INDIRECT($C238&amp;"!B:B"),0))</f>
        <v>61.9</v>
      </c>
      <c r="E238" s="210">
        <f ca="1">D238-LARGE(D$2:D$486,RBCount+WRCount+TECount+QBCount)</f>
        <v>-49.300000000000004</v>
      </c>
      <c r="F238" t="str">
        <f ca="1">IF(H238&lt;=I238,"Starter",IF(G238&gt;=LARGE(G:G,FlexOn*LeagueInfo!$F$2),"Starter","Bench"))</f>
        <v>Bench</v>
      </c>
      <c r="G238">
        <f ca="1">IF(H238&gt;I238,D238,0)</f>
        <v>61.9</v>
      </c>
      <c r="H238">
        <f ca="1">INDEX(INDIRECT(""&amp;C238&amp;"!A2:A489"),MATCH(B238,INDIRECT(""&amp;C238&amp;"!B2:B489"),0))</f>
        <v>35</v>
      </c>
      <c r="I238">
        <f>IF(C238="RB",LeagueInfo!$D$4*LeagueInfo!$F$2,IF(C238="WR",LeagueInfo!$D$5*LeagueInfo!$F$2,IF(C238="TE",LeagueInfo!$D$6*LeagueInfo!$F$2,LeagueInfo!$D$3*LeagueInfo!$F$2)))</f>
        <v>12</v>
      </c>
    </row>
    <row r="239" spans="1:9" x14ac:dyDescent="0.25">
      <c r="A239">
        <f ca="1">RANK(E239,E$2:E$541)</f>
        <v>238</v>
      </c>
      <c r="B239" t="s">
        <v>2428</v>
      </c>
      <c r="C239" t="s">
        <v>35</v>
      </c>
      <c r="D239">
        <f ca="1">INDEX(INDIRECT($C239&amp;"!P:P"),MATCH($B239,INDIRECT($C239&amp;"!B:B"),0))</f>
        <v>61.650000000000006</v>
      </c>
      <c r="E239" s="210">
        <f ca="1">D239-LARGE(D$2:D$486,RBCount+WRCount+TECount+QBCount)</f>
        <v>-49.55</v>
      </c>
      <c r="F239" t="str">
        <f ca="1">IF(H239&lt;=I239,"Starter",IF(G239&gt;=LARGE(G:G,FlexOn*LeagueInfo!$F$2),"Starter","Bench"))</f>
        <v>Bench</v>
      </c>
      <c r="G239">
        <f ca="1">IF(H239&gt;I239,D239,0)</f>
        <v>61.650000000000006</v>
      </c>
      <c r="H239">
        <f ca="1">INDEX(INDIRECT(""&amp;C239&amp;"!A2:A489"),MATCH(B239,INDIRECT(""&amp;C239&amp;"!B2:B489"),0))</f>
        <v>104</v>
      </c>
      <c r="I239">
        <f>IF(C239="RB",LeagueInfo!$D$4*LeagueInfo!$F$2,IF(C239="WR",LeagueInfo!$D$5*LeagueInfo!$F$2,IF(C239="TE",LeagueInfo!$D$6*LeagueInfo!$F$2,LeagueInfo!$D$3*LeagueInfo!$F$2)))</f>
        <v>24</v>
      </c>
    </row>
    <row r="240" spans="1:9" x14ac:dyDescent="0.25">
      <c r="A240">
        <f ca="1">RANK(E240,E$2:E$541)</f>
        <v>239</v>
      </c>
      <c r="B240" t="s">
        <v>818</v>
      </c>
      <c r="C240" t="s">
        <v>43</v>
      </c>
      <c r="D240">
        <f ca="1">INDEX(INDIRECT($C240&amp;"!P:P"),MATCH($B240,INDIRECT($C240&amp;"!B:B"),0))</f>
        <v>60.88</v>
      </c>
      <c r="E240" s="210">
        <f ca="1">D240-LARGE(D$2:D$486,RBCount+WRCount+TECount+QBCount)</f>
        <v>-50.32</v>
      </c>
      <c r="F240" t="str">
        <f ca="1">IF(H240&lt;=I240,"Starter",IF(G240&gt;=LARGE(G:G,FlexOn*LeagueInfo!$F$2),"Starter","Bench"))</f>
        <v>Bench</v>
      </c>
      <c r="G240">
        <f ca="1">IF(H240&gt;I240,D240,0)</f>
        <v>60.88</v>
      </c>
      <c r="H240">
        <f ca="1">INDEX(INDIRECT(""&amp;C240&amp;"!A2:A489"),MATCH(B240,INDIRECT(""&amp;C240&amp;"!B2:B489"),0))</f>
        <v>36</v>
      </c>
      <c r="I240">
        <f>IF(C240="RB",LeagueInfo!$D$4*LeagueInfo!$F$2,IF(C240="WR",LeagueInfo!$D$5*LeagueInfo!$F$2,IF(C240="TE",LeagueInfo!$D$6*LeagueInfo!$F$2,LeagueInfo!$D$3*LeagueInfo!$F$2)))</f>
        <v>12</v>
      </c>
    </row>
    <row r="241" spans="1:9" x14ac:dyDescent="0.25">
      <c r="A241">
        <f ca="1">RANK(E241,E$2:E$541)</f>
        <v>240</v>
      </c>
      <c r="B241" t="s">
        <v>2465</v>
      </c>
      <c r="C241" t="s">
        <v>28</v>
      </c>
      <c r="D241">
        <f ca="1">INDEX(INDIRECT($C241&amp;"!P:P"),MATCH($B241,INDIRECT($C241&amp;"!B:B"),0))</f>
        <v>59.04</v>
      </c>
      <c r="E241" s="210">
        <f ca="1">D241-LARGE(D$2:D$486,RBCount+WRCount+TECount+QBCount)</f>
        <v>-52.160000000000004</v>
      </c>
      <c r="F241" t="str">
        <f ca="1">IF(H241&lt;=I241,"Starter",IF(G241&gt;=LARGE(G:G,FlexOn*LeagueInfo!$F$2),"Starter","Bench"))</f>
        <v>Bench</v>
      </c>
      <c r="G241">
        <f ca="1">IF(H241&gt;I241,D241,0)</f>
        <v>59.04</v>
      </c>
      <c r="H241">
        <f ca="1">INDEX(INDIRECT(""&amp;C241&amp;"!A2:A489"),MATCH(B241,INDIRECT(""&amp;C241&amp;"!B2:B489"),0))</f>
        <v>64</v>
      </c>
      <c r="I241">
        <f>IF(C241="RB",LeagueInfo!$D$4*LeagueInfo!$F$2,IF(C241="WR",LeagueInfo!$D$5*LeagueInfo!$F$2,IF(C241="TE",LeagueInfo!$D$6*LeagueInfo!$F$2,LeagueInfo!$D$3*LeagueInfo!$F$2)))</f>
        <v>24</v>
      </c>
    </row>
    <row r="242" spans="1:9" x14ac:dyDescent="0.25">
      <c r="A242">
        <f ca="1">RANK(E242,E$2:E$541)</f>
        <v>241</v>
      </c>
      <c r="B242" t="s">
        <v>165</v>
      </c>
      <c r="C242" t="s">
        <v>28</v>
      </c>
      <c r="D242">
        <f ca="1">INDEX(INDIRECT($C242&amp;"!P:P"),MATCH($B242,INDIRECT($C242&amp;"!B:B"),0))</f>
        <v>58.67</v>
      </c>
      <c r="E242" s="210">
        <f ca="1">D242-LARGE(D$2:D$486,RBCount+WRCount+TECount+QBCount)</f>
        <v>-52.53</v>
      </c>
      <c r="F242" t="str">
        <f ca="1">IF(H242&lt;=I242,"Starter",IF(G242&gt;=LARGE(G:G,FlexOn*LeagueInfo!$F$2),"Starter","Bench"))</f>
        <v>Bench</v>
      </c>
      <c r="G242">
        <f ca="1">IF(H242&gt;I242,D242,0)</f>
        <v>58.67</v>
      </c>
      <c r="H242">
        <f ca="1">INDEX(INDIRECT(""&amp;C242&amp;"!A2:A489"),MATCH(B242,INDIRECT(""&amp;C242&amp;"!B2:B489"),0))</f>
        <v>65</v>
      </c>
      <c r="I242">
        <f>IF(C242="RB",LeagueInfo!$D$4*LeagueInfo!$F$2,IF(C242="WR",LeagueInfo!$D$5*LeagueInfo!$F$2,IF(C242="TE",LeagueInfo!$D$6*LeagueInfo!$F$2,LeagueInfo!$D$3*LeagueInfo!$F$2)))</f>
        <v>24</v>
      </c>
    </row>
    <row r="243" spans="1:9" x14ac:dyDescent="0.25">
      <c r="A243">
        <f ca="1">RANK(E243,E$2:E$541)</f>
        <v>242</v>
      </c>
      <c r="B243" t="s">
        <v>820</v>
      </c>
      <c r="C243" t="s">
        <v>43</v>
      </c>
      <c r="D243">
        <f ca="1">INDEX(INDIRECT($C243&amp;"!P:P"),MATCH($B243,INDIRECT($C243&amp;"!B:B"),0))</f>
        <v>58.610000000000007</v>
      </c>
      <c r="E243" s="210">
        <f ca="1">D243-LARGE(D$2:D$486,RBCount+WRCount+TECount+QBCount)</f>
        <v>-52.589999999999996</v>
      </c>
      <c r="F243" t="str">
        <f ca="1">IF(H243&lt;=I243,"Starter",IF(G243&gt;=LARGE(G:G,FlexOn*LeagueInfo!$F$2),"Starter","Bench"))</f>
        <v>Bench</v>
      </c>
      <c r="G243">
        <f ca="1">IF(H243&gt;I243,D243,0)</f>
        <v>58.610000000000007</v>
      </c>
      <c r="H243">
        <f ca="1">INDEX(INDIRECT(""&amp;C243&amp;"!A2:A489"),MATCH(B243,INDIRECT(""&amp;C243&amp;"!B2:B489"),0))</f>
        <v>37</v>
      </c>
      <c r="I243">
        <f>IF(C243="RB",LeagueInfo!$D$4*LeagueInfo!$F$2,IF(C243="WR",LeagueInfo!$D$5*LeagueInfo!$F$2,IF(C243="TE",LeagueInfo!$D$6*LeagueInfo!$F$2,LeagueInfo!$D$3*LeagueInfo!$F$2)))</f>
        <v>12</v>
      </c>
    </row>
    <row r="244" spans="1:9" x14ac:dyDescent="0.25">
      <c r="A244">
        <f ca="1">RANK(E244,E$2:E$541)</f>
        <v>243</v>
      </c>
      <c r="B244" t="s">
        <v>546</v>
      </c>
      <c r="C244" t="s">
        <v>28</v>
      </c>
      <c r="D244">
        <f ca="1">INDEX(INDIRECT($C244&amp;"!P:P"),MATCH($B244,INDIRECT($C244&amp;"!B:B"),0))</f>
        <v>58.25</v>
      </c>
      <c r="E244" s="210">
        <f ca="1">D244-LARGE(D$2:D$486,RBCount+WRCount+TECount+QBCount)</f>
        <v>-52.95</v>
      </c>
      <c r="F244" t="str">
        <f ca="1">IF(H244&lt;=I244,"Starter",IF(G244&gt;=LARGE(G:G,FlexOn*LeagueInfo!$F$2),"Starter","Bench"))</f>
        <v>Bench</v>
      </c>
      <c r="G244">
        <f ca="1">IF(H244&gt;I244,D244,0)</f>
        <v>58.25</v>
      </c>
      <c r="H244">
        <f ca="1">INDEX(INDIRECT(""&amp;C244&amp;"!A2:A489"),MATCH(B244,INDIRECT(""&amp;C244&amp;"!B2:B489"),0))</f>
        <v>66</v>
      </c>
      <c r="I244">
        <f>IF(C244="RB",LeagueInfo!$D$4*LeagueInfo!$F$2,IF(C244="WR",LeagueInfo!$D$5*LeagueInfo!$F$2,IF(C244="TE",LeagueInfo!$D$6*LeagueInfo!$F$2,LeagueInfo!$D$3*LeagueInfo!$F$2)))</f>
        <v>24</v>
      </c>
    </row>
    <row r="245" spans="1:9" x14ac:dyDescent="0.25">
      <c r="A245">
        <f ca="1">RANK(E245,E$2:E$541)</f>
        <v>244</v>
      </c>
      <c r="B245" t="s">
        <v>864</v>
      </c>
      <c r="C245" t="s">
        <v>35</v>
      </c>
      <c r="D245">
        <f ca="1">INDEX(INDIRECT($C245&amp;"!P:P"),MATCH($B245,INDIRECT($C245&amp;"!B:B"),0))</f>
        <v>56.97</v>
      </c>
      <c r="E245" s="210">
        <f ca="1">D245-LARGE(D$2:D$486,RBCount+WRCount+TECount+QBCount)</f>
        <v>-54.230000000000004</v>
      </c>
      <c r="F245" t="str">
        <f ca="1">IF(H245&lt;=I245,"Starter",IF(G245&gt;=LARGE(G:G,FlexOn*LeagueInfo!$F$2),"Starter","Bench"))</f>
        <v>Bench</v>
      </c>
      <c r="G245">
        <f ca="1">IF(H245&gt;I245,D245,0)</f>
        <v>56.97</v>
      </c>
      <c r="H245">
        <f ca="1">INDEX(INDIRECT(""&amp;C245&amp;"!A2:A489"),MATCH(B245,INDIRECT(""&amp;C245&amp;"!B2:B489"),0))</f>
        <v>105</v>
      </c>
      <c r="I245">
        <f>IF(C245="RB",LeagueInfo!$D$4*LeagueInfo!$F$2,IF(C245="WR",LeagueInfo!$D$5*LeagueInfo!$F$2,IF(C245="TE",LeagueInfo!$D$6*LeagueInfo!$F$2,LeagueInfo!$D$3*LeagueInfo!$F$2)))</f>
        <v>24</v>
      </c>
    </row>
    <row r="246" spans="1:9" x14ac:dyDescent="0.25">
      <c r="A246">
        <f ca="1">RANK(E246,E$2:E$541)</f>
        <v>245</v>
      </c>
      <c r="B246" t="s">
        <v>529</v>
      </c>
      <c r="C246" t="s">
        <v>28</v>
      </c>
      <c r="D246">
        <f ca="1">INDEX(INDIRECT($C246&amp;"!P:P"),MATCH($B246,INDIRECT($C246&amp;"!B:B"),0))</f>
        <v>55.81</v>
      </c>
      <c r="E246" s="210">
        <f ca="1">D246-LARGE(D$2:D$486,RBCount+WRCount+TECount+QBCount)</f>
        <v>-55.39</v>
      </c>
      <c r="F246" t="str">
        <f ca="1">IF(H246&lt;=I246,"Starter",IF(G246&gt;=LARGE(G:G,FlexOn*LeagueInfo!$F$2),"Starter","Bench"))</f>
        <v>Bench</v>
      </c>
      <c r="G246">
        <f ca="1">IF(H246&gt;I246,D246,0)</f>
        <v>55.81</v>
      </c>
      <c r="H246">
        <f ca="1">INDEX(INDIRECT(""&amp;C246&amp;"!A2:A489"),MATCH(B246,INDIRECT(""&amp;C246&amp;"!B2:B489"),0))</f>
        <v>67</v>
      </c>
      <c r="I246">
        <f>IF(C246="RB",LeagueInfo!$D$4*LeagueInfo!$F$2,IF(C246="WR",LeagueInfo!$D$5*LeagueInfo!$F$2,IF(C246="TE",LeagueInfo!$D$6*LeagueInfo!$F$2,LeagueInfo!$D$3*LeagueInfo!$F$2)))</f>
        <v>24</v>
      </c>
    </row>
    <row r="247" spans="1:9" x14ac:dyDescent="0.25">
      <c r="A247">
        <f ca="1">RANK(E247,E$2:E$541)</f>
        <v>246</v>
      </c>
      <c r="B247" t="s">
        <v>753</v>
      </c>
      <c r="C247" t="s">
        <v>43</v>
      </c>
      <c r="D247">
        <f ca="1">INDEX(INDIRECT($C247&amp;"!P:P"),MATCH($B247,INDIRECT($C247&amp;"!B:B"),0))</f>
        <v>55.04</v>
      </c>
      <c r="E247" s="210">
        <f ca="1">D247-LARGE(D$2:D$486,RBCount+WRCount+TECount+QBCount)</f>
        <v>-56.160000000000004</v>
      </c>
      <c r="F247" t="str">
        <f ca="1">IF(H247&lt;=I247,"Starter",IF(G247&gt;=LARGE(G:G,FlexOn*LeagueInfo!$F$2),"Starter","Bench"))</f>
        <v>Bench</v>
      </c>
      <c r="G247">
        <f ca="1">IF(H247&gt;I247,D247,0)</f>
        <v>55.04</v>
      </c>
      <c r="H247">
        <f ca="1">INDEX(INDIRECT(""&amp;C247&amp;"!A2:A489"),MATCH(B247,INDIRECT(""&amp;C247&amp;"!B2:B489"),0))</f>
        <v>38</v>
      </c>
      <c r="I247">
        <f>IF(C247="RB",LeagueInfo!$D$4*LeagueInfo!$F$2,IF(C247="WR",LeagueInfo!$D$5*LeagueInfo!$F$2,IF(C247="TE",LeagueInfo!$D$6*LeagueInfo!$F$2,LeagueInfo!$D$3*LeagueInfo!$F$2)))</f>
        <v>12</v>
      </c>
    </row>
    <row r="248" spans="1:9" x14ac:dyDescent="0.25">
      <c r="A248">
        <f ca="1">RANK(E248,E$2:E$541)</f>
        <v>247</v>
      </c>
      <c r="B248" t="s">
        <v>559</v>
      </c>
      <c r="C248" t="s">
        <v>28</v>
      </c>
      <c r="D248">
        <f ca="1">INDEX(INDIRECT($C248&amp;"!P:P"),MATCH($B248,INDIRECT($C248&amp;"!B:B"),0))</f>
        <v>54.919999999999995</v>
      </c>
      <c r="E248" s="210">
        <f ca="1">D248-LARGE(D$2:D$486,RBCount+WRCount+TECount+QBCount)</f>
        <v>-56.280000000000008</v>
      </c>
      <c r="F248" t="str">
        <f ca="1">IF(H248&lt;=I248,"Starter",IF(G248&gt;=LARGE(G:G,FlexOn*LeagueInfo!$F$2),"Starter","Bench"))</f>
        <v>Bench</v>
      </c>
      <c r="G248">
        <f ca="1">IF(H248&gt;I248,D248,0)</f>
        <v>54.919999999999995</v>
      </c>
      <c r="H248">
        <f ca="1">INDEX(INDIRECT(""&amp;C248&amp;"!A2:A489"),MATCH(B248,INDIRECT(""&amp;C248&amp;"!B2:B489"),0))</f>
        <v>68</v>
      </c>
      <c r="I248">
        <f>IF(C248="RB",LeagueInfo!$D$4*LeagueInfo!$F$2,IF(C248="WR",LeagueInfo!$D$5*LeagueInfo!$F$2,IF(C248="TE",LeagueInfo!$D$6*LeagueInfo!$F$2,LeagueInfo!$D$3*LeagueInfo!$F$2)))</f>
        <v>24</v>
      </c>
    </row>
    <row r="249" spans="1:9" x14ac:dyDescent="0.25">
      <c r="A249">
        <f ca="1">RANK(E249,E$2:E$541)</f>
        <v>248</v>
      </c>
      <c r="B249" t="s">
        <v>982</v>
      </c>
      <c r="C249" t="s">
        <v>43</v>
      </c>
      <c r="D249">
        <f ca="1">INDEX(INDIRECT($C249&amp;"!P:P"),MATCH($B249,INDIRECT($C249&amp;"!B:B"),0))</f>
        <v>54.46</v>
      </c>
      <c r="E249" s="210">
        <f ca="1">D249-LARGE(D$2:D$486,RBCount+WRCount+TECount+QBCount)</f>
        <v>-56.74</v>
      </c>
      <c r="F249" t="str">
        <f ca="1">IF(H249&lt;=I249,"Starter",IF(G249&gt;=LARGE(G:G,FlexOn*LeagueInfo!$F$2),"Starter","Bench"))</f>
        <v>Bench</v>
      </c>
      <c r="G249">
        <f ca="1">IF(H249&gt;I249,D249,0)</f>
        <v>54.46</v>
      </c>
      <c r="H249">
        <f ca="1">INDEX(INDIRECT(""&amp;C249&amp;"!A2:A489"),MATCH(B249,INDIRECT(""&amp;C249&amp;"!B2:B489"),0))</f>
        <v>39</v>
      </c>
      <c r="I249">
        <f>IF(C249="RB",LeagueInfo!$D$4*LeagueInfo!$F$2,IF(C249="WR",LeagueInfo!$D$5*LeagueInfo!$F$2,IF(C249="TE",LeagueInfo!$D$6*LeagueInfo!$F$2,LeagueInfo!$D$3*LeagueInfo!$F$2)))</f>
        <v>12</v>
      </c>
    </row>
    <row r="250" spans="1:9" x14ac:dyDescent="0.25">
      <c r="A250">
        <f ca="1">RANK(E250,E$2:E$541)</f>
        <v>249</v>
      </c>
      <c r="B250" t="s">
        <v>2455</v>
      </c>
      <c r="C250" t="s">
        <v>28</v>
      </c>
      <c r="D250">
        <f ca="1">INDEX(INDIRECT($C250&amp;"!P:P"),MATCH($B250,INDIRECT($C250&amp;"!B:B"),0))</f>
        <v>54.150000000000006</v>
      </c>
      <c r="E250" s="210">
        <f ca="1">D250-LARGE(D$2:D$486,RBCount+WRCount+TECount+QBCount)</f>
        <v>-57.05</v>
      </c>
      <c r="F250" t="str">
        <f ca="1">IF(H250&lt;=I250,"Starter",IF(G250&gt;=LARGE(G:G,FlexOn*LeagueInfo!$F$2),"Starter","Bench"))</f>
        <v>Bench</v>
      </c>
      <c r="G250">
        <f ca="1">IF(H250&gt;I250,D250,0)</f>
        <v>54.150000000000006</v>
      </c>
      <c r="H250">
        <f ca="1">INDEX(INDIRECT(""&amp;C250&amp;"!A2:A489"),MATCH(B250,INDIRECT(""&amp;C250&amp;"!B2:B489"),0))</f>
        <v>69</v>
      </c>
      <c r="I250">
        <f>IF(C250="RB",LeagueInfo!$D$4*LeagueInfo!$F$2,IF(C250="WR",LeagueInfo!$D$5*LeagueInfo!$F$2,IF(C250="TE",LeagueInfo!$D$6*LeagueInfo!$F$2,LeagueInfo!$D$3*LeagueInfo!$F$2)))</f>
        <v>24</v>
      </c>
    </row>
    <row r="251" spans="1:9" x14ac:dyDescent="0.25">
      <c r="A251">
        <f ca="1">RANK(E251,E$2:E$541)</f>
        <v>250</v>
      </c>
      <c r="B251" t="s">
        <v>366</v>
      </c>
      <c r="C251" t="s">
        <v>35</v>
      </c>
      <c r="D251">
        <f ca="1">INDEX(INDIRECT($C251&amp;"!P:P"),MATCH($B251,INDIRECT($C251&amp;"!B:B"),0))</f>
        <v>53.97</v>
      </c>
      <c r="E251" s="210">
        <f ca="1">D251-LARGE(D$2:D$486,RBCount+WRCount+TECount+QBCount)</f>
        <v>-57.230000000000004</v>
      </c>
      <c r="F251" t="str">
        <f ca="1">IF(H251&lt;=I251,"Starter",IF(G251&gt;=LARGE(G:G,FlexOn*LeagueInfo!$F$2),"Starter","Bench"))</f>
        <v>Bench</v>
      </c>
      <c r="G251">
        <f ca="1">IF(H251&gt;I251,D251,0)</f>
        <v>53.97</v>
      </c>
      <c r="H251">
        <f ca="1">INDEX(INDIRECT(""&amp;C251&amp;"!A2:A489"),MATCH(B251,INDIRECT(""&amp;C251&amp;"!B2:B489"),0))</f>
        <v>106</v>
      </c>
      <c r="I251">
        <f>IF(C251="RB",LeagueInfo!$D$4*LeagueInfo!$F$2,IF(C251="WR",LeagueInfo!$D$5*LeagueInfo!$F$2,IF(C251="TE",LeagueInfo!$D$6*LeagueInfo!$F$2,LeagueInfo!$D$3*LeagueInfo!$F$2)))</f>
        <v>24</v>
      </c>
    </row>
    <row r="252" spans="1:9" x14ac:dyDescent="0.25">
      <c r="A252">
        <f ca="1">RANK(E252,E$2:E$541)</f>
        <v>251</v>
      </c>
      <c r="B252" t="s">
        <v>643</v>
      </c>
      <c r="C252" t="s">
        <v>43</v>
      </c>
      <c r="D252">
        <f ca="1">INDEX(INDIRECT($C252&amp;"!P:P"),MATCH($B252,INDIRECT($C252&amp;"!B:B"),0))</f>
        <v>53.92</v>
      </c>
      <c r="E252" s="210">
        <f ca="1">D252-LARGE(D$2:D$486,RBCount+WRCount+TECount+QBCount)</f>
        <v>-57.28</v>
      </c>
      <c r="F252" t="str">
        <f ca="1">IF(H252&lt;=I252,"Starter",IF(G252&gt;=LARGE(G:G,FlexOn*LeagueInfo!$F$2),"Starter","Bench"))</f>
        <v>Bench</v>
      </c>
      <c r="G252">
        <f ca="1">IF(H252&gt;I252,D252,0)</f>
        <v>53.92</v>
      </c>
      <c r="H252">
        <f ca="1">INDEX(INDIRECT(""&amp;C252&amp;"!A2:A489"),MATCH(B252,INDIRECT(""&amp;C252&amp;"!B2:B489"),0))</f>
        <v>40</v>
      </c>
      <c r="I252">
        <f>IF(C252="RB",LeagueInfo!$D$4*LeagueInfo!$F$2,IF(C252="WR",LeagueInfo!$D$5*LeagueInfo!$F$2,IF(C252="TE",LeagueInfo!$D$6*LeagueInfo!$F$2,LeagueInfo!$D$3*LeagueInfo!$F$2)))</f>
        <v>12</v>
      </c>
    </row>
    <row r="253" spans="1:9" x14ac:dyDescent="0.25">
      <c r="A253">
        <f ca="1">RANK(E253,E$2:E$541)</f>
        <v>252</v>
      </c>
      <c r="B253" t="s">
        <v>389</v>
      </c>
      <c r="C253" t="s">
        <v>35</v>
      </c>
      <c r="D253">
        <f ca="1">INDEX(INDIRECT($C253&amp;"!P:P"),MATCH($B253,INDIRECT($C253&amp;"!B:B"),0))</f>
        <v>52.37</v>
      </c>
      <c r="E253" s="210">
        <f ca="1">D253-LARGE(D$2:D$486,RBCount+WRCount+TECount+QBCount)</f>
        <v>-58.830000000000005</v>
      </c>
      <c r="F253" t="str">
        <f ca="1">IF(H253&lt;=I253,"Starter",IF(G253&gt;=LARGE(G:G,FlexOn*LeagueInfo!$F$2),"Starter","Bench"))</f>
        <v>Bench</v>
      </c>
      <c r="G253">
        <f ca="1">IF(H253&gt;I253,D253,0)</f>
        <v>52.37</v>
      </c>
      <c r="H253">
        <f ca="1">INDEX(INDIRECT(""&amp;C253&amp;"!A2:A489"),MATCH(B253,INDIRECT(""&amp;C253&amp;"!B2:B489"),0))</f>
        <v>107</v>
      </c>
      <c r="I253">
        <f>IF(C253="RB",LeagueInfo!$D$4*LeagueInfo!$F$2,IF(C253="WR",LeagueInfo!$D$5*LeagueInfo!$F$2,IF(C253="TE",LeagueInfo!$D$6*LeagueInfo!$F$2,LeagueInfo!$D$3*LeagueInfo!$F$2)))</f>
        <v>24</v>
      </c>
    </row>
    <row r="254" spans="1:9" x14ac:dyDescent="0.25">
      <c r="A254">
        <f ca="1">RANK(E254,E$2:E$541)</f>
        <v>253</v>
      </c>
      <c r="B254" t="s">
        <v>544</v>
      </c>
      <c r="C254" t="s">
        <v>28</v>
      </c>
      <c r="D254">
        <f ca="1">INDEX(INDIRECT($C254&amp;"!P:P"),MATCH($B254,INDIRECT($C254&amp;"!B:B"),0))</f>
        <v>52.33</v>
      </c>
      <c r="E254" s="210">
        <f ca="1">D254-LARGE(D$2:D$486,RBCount+WRCount+TECount+QBCount)</f>
        <v>-58.870000000000005</v>
      </c>
      <c r="F254" t="str">
        <f ca="1">IF(H254&lt;=I254,"Starter",IF(G254&gt;=LARGE(G:G,FlexOn*LeagueInfo!$F$2),"Starter","Bench"))</f>
        <v>Bench</v>
      </c>
      <c r="G254">
        <f ca="1">IF(H254&gt;I254,D254,0)</f>
        <v>52.33</v>
      </c>
      <c r="H254">
        <f ca="1">INDEX(INDIRECT(""&amp;C254&amp;"!A2:A489"),MATCH(B254,INDIRECT(""&amp;C254&amp;"!B2:B489"),0))</f>
        <v>70</v>
      </c>
      <c r="I254">
        <f>IF(C254="RB",LeagueInfo!$D$4*LeagueInfo!$F$2,IF(C254="WR",LeagueInfo!$D$5*LeagueInfo!$F$2,IF(C254="TE",LeagueInfo!$D$6*LeagueInfo!$F$2,LeagueInfo!$D$3*LeagueInfo!$F$2)))</f>
        <v>24</v>
      </c>
    </row>
    <row r="255" spans="1:9" x14ac:dyDescent="0.25">
      <c r="A255">
        <f ca="1">RANK(E255,E$2:E$541)</f>
        <v>254</v>
      </c>
      <c r="B255" t="s">
        <v>340</v>
      </c>
      <c r="C255" t="s">
        <v>28</v>
      </c>
      <c r="D255">
        <f ca="1">INDEX(INDIRECT($C255&amp;"!P:P"),MATCH($B255,INDIRECT($C255&amp;"!B:B"),0))</f>
        <v>52.100000000000009</v>
      </c>
      <c r="E255" s="210">
        <f ca="1">D255-LARGE(D$2:D$486,RBCount+WRCount+TECount+QBCount)</f>
        <v>-59.099999999999994</v>
      </c>
      <c r="F255" t="str">
        <f ca="1">IF(H255&lt;=I255,"Starter",IF(G255&gt;=LARGE(G:G,FlexOn*LeagueInfo!$F$2),"Starter","Bench"))</f>
        <v>Bench</v>
      </c>
      <c r="G255">
        <f ca="1">IF(H255&gt;I255,D255,0)</f>
        <v>52.100000000000009</v>
      </c>
      <c r="H255">
        <f ca="1">INDEX(INDIRECT(""&amp;C255&amp;"!A2:A489"),MATCH(B255,INDIRECT(""&amp;C255&amp;"!B2:B489"),0))</f>
        <v>71</v>
      </c>
      <c r="I255">
        <f>IF(C255="RB",LeagueInfo!$D$4*LeagueInfo!$F$2,IF(C255="WR",LeagueInfo!$D$5*LeagueInfo!$F$2,IF(C255="TE",LeagueInfo!$D$6*LeagueInfo!$F$2,LeagueInfo!$D$3*LeagueInfo!$F$2)))</f>
        <v>24</v>
      </c>
    </row>
    <row r="256" spans="1:9" x14ac:dyDescent="0.25">
      <c r="A256">
        <f ca="1">RANK(E256,E$2:E$541)</f>
        <v>255</v>
      </c>
      <c r="B256" t="s">
        <v>889</v>
      </c>
      <c r="C256" t="s">
        <v>28</v>
      </c>
      <c r="D256">
        <f ca="1">INDEX(INDIRECT($C256&amp;"!P:P"),MATCH($B256,INDIRECT($C256&amp;"!B:B"),0))</f>
        <v>51.69</v>
      </c>
      <c r="E256" s="210">
        <f ca="1">D256-LARGE(D$2:D$486,RBCount+WRCount+TECount+QBCount)</f>
        <v>-59.510000000000005</v>
      </c>
      <c r="F256" t="str">
        <f ca="1">IF(H256&lt;=I256,"Starter",IF(G256&gt;=LARGE(G:G,FlexOn*LeagueInfo!$F$2),"Starter","Bench"))</f>
        <v>Bench</v>
      </c>
      <c r="G256">
        <f ca="1">IF(H256&gt;I256,D256,0)</f>
        <v>51.69</v>
      </c>
      <c r="H256">
        <f ca="1">INDEX(INDIRECT(""&amp;C256&amp;"!A2:A489"),MATCH(B256,INDIRECT(""&amp;C256&amp;"!B2:B489"),0))</f>
        <v>72</v>
      </c>
      <c r="I256">
        <f>IF(C256="RB",LeagueInfo!$D$4*LeagueInfo!$F$2,IF(C256="WR",LeagueInfo!$D$5*LeagueInfo!$F$2,IF(C256="TE",LeagueInfo!$D$6*LeagueInfo!$F$2,LeagueInfo!$D$3*LeagueInfo!$F$2)))</f>
        <v>24</v>
      </c>
    </row>
    <row r="257" spans="1:9" x14ac:dyDescent="0.25">
      <c r="A257">
        <f ca="1">RANK(E257,E$2:E$541)</f>
        <v>256</v>
      </c>
      <c r="B257" t="s">
        <v>134</v>
      </c>
      <c r="C257" t="s">
        <v>35</v>
      </c>
      <c r="D257">
        <f ca="1">INDEX(INDIRECT($C257&amp;"!P:P"),MATCH($B257,INDIRECT($C257&amp;"!B:B"),0))</f>
        <v>50.960000000000008</v>
      </c>
      <c r="E257" s="210">
        <f ca="1">D257-LARGE(D$2:D$486,RBCount+WRCount+TECount+QBCount)</f>
        <v>-60.239999999999995</v>
      </c>
      <c r="F257" t="str">
        <f ca="1">IF(H257&lt;=I257,"Starter",IF(G257&gt;=LARGE(G:G,FlexOn*LeagueInfo!$F$2),"Starter","Bench"))</f>
        <v>Bench</v>
      </c>
      <c r="G257">
        <f ca="1">IF(H257&gt;I257,D257,0)</f>
        <v>50.960000000000008</v>
      </c>
      <c r="H257">
        <f ca="1">INDEX(INDIRECT(""&amp;C257&amp;"!A2:A489"),MATCH(B257,INDIRECT(""&amp;C257&amp;"!B2:B489"),0))</f>
        <v>108</v>
      </c>
      <c r="I257">
        <f>IF(C257="RB",LeagueInfo!$D$4*LeagueInfo!$F$2,IF(C257="WR",LeagueInfo!$D$5*LeagueInfo!$F$2,IF(C257="TE",LeagueInfo!$D$6*LeagueInfo!$F$2,LeagueInfo!$D$3*LeagueInfo!$F$2)))</f>
        <v>24</v>
      </c>
    </row>
    <row r="258" spans="1:9" x14ac:dyDescent="0.25">
      <c r="A258">
        <f ca="1">RANK(E258,E$2:E$541)</f>
        <v>257</v>
      </c>
      <c r="B258" t="s">
        <v>431</v>
      </c>
      <c r="C258" t="s">
        <v>43</v>
      </c>
      <c r="D258">
        <f ca="1">INDEX(INDIRECT($C258&amp;"!P:P"),MATCH($B258,INDIRECT($C258&amp;"!B:B"),0))</f>
        <v>50.79</v>
      </c>
      <c r="E258" s="210">
        <f ca="1">D258-LARGE(D$2:D$486,RBCount+WRCount+TECount+QBCount)</f>
        <v>-60.410000000000004</v>
      </c>
      <c r="F258" t="str">
        <f ca="1">IF(H258&lt;=I258,"Starter",IF(G258&gt;=LARGE(G:G,FlexOn*LeagueInfo!$F$2),"Starter","Bench"))</f>
        <v>Bench</v>
      </c>
      <c r="G258">
        <f ca="1">IF(H258&gt;I258,D258,0)</f>
        <v>50.79</v>
      </c>
      <c r="H258">
        <f ca="1">INDEX(INDIRECT(""&amp;C258&amp;"!A2:A489"),MATCH(B258,INDIRECT(""&amp;C258&amp;"!B2:B489"),0))</f>
        <v>41</v>
      </c>
      <c r="I258">
        <f>IF(C258="RB",LeagueInfo!$D$4*LeagueInfo!$F$2,IF(C258="WR",LeagueInfo!$D$5*LeagueInfo!$F$2,IF(C258="TE",LeagueInfo!$D$6*LeagueInfo!$F$2,LeagueInfo!$D$3*LeagueInfo!$F$2)))</f>
        <v>12</v>
      </c>
    </row>
    <row r="259" spans="1:9" x14ac:dyDescent="0.25">
      <c r="A259">
        <f ca="1">RANK(E259,E$2:E$541)</f>
        <v>258</v>
      </c>
      <c r="B259" t="s">
        <v>377</v>
      </c>
      <c r="C259" t="s">
        <v>35</v>
      </c>
      <c r="D259">
        <f ca="1">INDEX(INDIRECT($C259&amp;"!P:P"),MATCH($B259,INDIRECT($C259&amp;"!B:B"),0))</f>
        <v>50.660000000000011</v>
      </c>
      <c r="E259" s="210">
        <f ca="1">D259-LARGE(D$2:D$486,RBCount+WRCount+TECount+QBCount)</f>
        <v>-60.539999999999992</v>
      </c>
      <c r="F259" t="str">
        <f ca="1">IF(H259&lt;=I259,"Starter",IF(G259&gt;=LARGE(G:G,FlexOn*LeagueInfo!$F$2),"Starter","Bench"))</f>
        <v>Bench</v>
      </c>
      <c r="G259">
        <f ca="1">IF(H259&gt;I259,D259,0)</f>
        <v>50.660000000000011</v>
      </c>
      <c r="H259">
        <f ca="1">INDEX(INDIRECT(""&amp;C259&amp;"!A2:A489"),MATCH(B259,INDIRECT(""&amp;C259&amp;"!B2:B489"),0))</f>
        <v>109</v>
      </c>
      <c r="I259">
        <f>IF(C259="RB",LeagueInfo!$D$4*LeagueInfo!$F$2,IF(C259="WR",LeagueInfo!$D$5*LeagueInfo!$F$2,IF(C259="TE",LeagueInfo!$D$6*LeagueInfo!$F$2,LeagueInfo!$D$3*LeagueInfo!$F$2)))</f>
        <v>24</v>
      </c>
    </row>
    <row r="260" spans="1:9" x14ac:dyDescent="0.25">
      <c r="A260">
        <f ca="1">RANK(E260,E$2:E$541)</f>
        <v>259</v>
      </c>
      <c r="B260" t="s">
        <v>996</v>
      </c>
      <c r="C260" t="s">
        <v>35</v>
      </c>
      <c r="D260">
        <f ca="1">INDEX(INDIRECT($C260&amp;"!P:P"),MATCH($B260,INDIRECT($C260&amp;"!B:B"),0))</f>
        <v>49.510000000000005</v>
      </c>
      <c r="E260" s="210">
        <f ca="1">D260-LARGE(D$2:D$486,RBCount+WRCount+TECount+QBCount)</f>
        <v>-61.69</v>
      </c>
      <c r="F260" t="str">
        <f ca="1">IF(H260&lt;=I260,"Starter",IF(G260&gt;=LARGE(G:G,FlexOn*LeagueInfo!$F$2),"Starter","Bench"))</f>
        <v>Bench</v>
      </c>
      <c r="G260">
        <f ca="1">IF(H260&gt;I260,D260,0)</f>
        <v>49.510000000000005</v>
      </c>
      <c r="H260">
        <f ca="1">INDEX(INDIRECT(""&amp;C260&amp;"!A2:A489"),MATCH(B260,INDIRECT(""&amp;C260&amp;"!B2:B489"),0))</f>
        <v>110</v>
      </c>
      <c r="I260">
        <f>IF(C260="RB",LeagueInfo!$D$4*LeagueInfo!$F$2,IF(C260="WR",LeagueInfo!$D$5*LeagueInfo!$F$2,IF(C260="TE",LeagueInfo!$D$6*LeagueInfo!$F$2,LeagueInfo!$D$3*LeagueInfo!$F$2)))</f>
        <v>24</v>
      </c>
    </row>
    <row r="261" spans="1:9" x14ac:dyDescent="0.25">
      <c r="A261">
        <f ca="1">RANK(E261,E$2:E$541)</f>
        <v>260</v>
      </c>
      <c r="B261" t="s">
        <v>2478</v>
      </c>
      <c r="C261" t="s">
        <v>43</v>
      </c>
      <c r="D261">
        <f ca="1">INDEX(INDIRECT($C261&amp;"!P:P"),MATCH($B261,INDIRECT($C261&amp;"!B:B"),0))</f>
        <v>49.440000000000005</v>
      </c>
      <c r="E261" s="210">
        <f ca="1">D261-LARGE(D$2:D$486,RBCount+WRCount+TECount+QBCount)</f>
        <v>-61.76</v>
      </c>
      <c r="F261" t="str">
        <f ca="1">IF(H261&lt;=I261,"Starter",IF(G261&gt;=LARGE(G:G,FlexOn*LeagueInfo!$F$2),"Starter","Bench"))</f>
        <v>Bench</v>
      </c>
      <c r="G261">
        <f ca="1">IF(H261&gt;I261,D261,0)</f>
        <v>49.440000000000005</v>
      </c>
      <c r="H261">
        <f ca="1">INDEX(INDIRECT(""&amp;C261&amp;"!A2:A489"),MATCH(B261,INDIRECT(""&amp;C261&amp;"!B2:B489"),0))</f>
        <v>42</v>
      </c>
      <c r="I261">
        <f>IF(C261="RB",LeagueInfo!$D$4*LeagueInfo!$F$2,IF(C261="WR",LeagueInfo!$D$5*LeagueInfo!$F$2,IF(C261="TE",LeagueInfo!$D$6*LeagueInfo!$F$2,LeagueInfo!$D$3*LeagueInfo!$F$2)))</f>
        <v>12</v>
      </c>
    </row>
    <row r="262" spans="1:9" x14ac:dyDescent="0.25">
      <c r="A262">
        <f ca="1">RANK(E262,E$2:E$541)</f>
        <v>261</v>
      </c>
      <c r="B262" t="s">
        <v>2453</v>
      </c>
      <c r="C262" t="s">
        <v>28</v>
      </c>
      <c r="D262">
        <f ca="1">INDEX(INDIRECT($C262&amp;"!P:P"),MATCH($B262,INDIRECT($C262&amp;"!B:B"),0))</f>
        <v>49.38</v>
      </c>
      <c r="E262" s="210">
        <f ca="1">D262-LARGE(D$2:D$486,RBCount+WRCount+TECount+QBCount)</f>
        <v>-61.82</v>
      </c>
      <c r="F262" t="str">
        <f ca="1">IF(H262&lt;=I262,"Starter",IF(G262&gt;=LARGE(G:G,FlexOn*LeagueInfo!$F$2),"Starter","Bench"))</f>
        <v>Bench</v>
      </c>
      <c r="G262">
        <f ca="1">IF(H262&gt;I262,D262,0)</f>
        <v>49.38</v>
      </c>
      <c r="H262">
        <f ca="1">INDEX(INDIRECT(""&amp;C262&amp;"!A2:A489"),MATCH(B262,INDIRECT(""&amp;C262&amp;"!B2:B489"),0))</f>
        <v>73</v>
      </c>
      <c r="I262">
        <f>IF(C262="RB",LeagueInfo!$D$4*LeagueInfo!$F$2,IF(C262="WR",LeagueInfo!$D$5*LeagueInfo!$F$2,IF(C262="TE",LeagueInfo!$D$6*LeagueInfo!$F$2,LeagueInfo!$D$3*LeagueInfo!$F$2)))</f>
        <v>24</v>
      </c>
    </row>
    <row r="263" spans="1:9" x14ac:dyDescent="0.25">
      <c r="A263">
        <f ca="1">RANK(E263,E$2:E$541)</f>
        <v>262</v>
      </c>
      <c r="B263" t="s">
        <v>932</v>
      </c>
      <c r="C263" t="s">
        <v>28</v>
      </c>
      <c r="D263">
        <f ca="1">INDEX(INDIRECT($C263&amp;"!P:P"),MATCH($B263,INDIRECT($C263&amp;"!B:B"),0))</f>
        <v>48.78</v>
      </c>
      <c r="E263" s="210">
        <f ca="1">D263-LARGE(D$2:D$486,RBCount+WRCount+TECount+QBCount)</f>
        <v>-62.42</v>
      </c>
      <c r="F263" t="str">
        <f ca="1">IF(H263&lt;=I263,"Starter",IF(G263&gt;=LARGE(G:G,FlexOn*LeagueInfo!$F$2),"Starter","Bench"))</f>
        <v>Bench</v>
      </c>
      <c r="G263">
        <f ca="1">IF(H263&gt;I263,D263,0)</f>
        <v>48.78</v>
      </c>
      <c r="H263">
        <f ca="1">INDEX(INDIRECT(""&amp;C263&amp;"!A2:A489"),MATCH(B263,INDIRECT(""&amp;C263&amp;"!B2:B489"),0))</f>
        <v>74</v>
      </c>
      <c r="I263">
        <f>IF(C263="RB",LeagueInfo!$D$4*LeagueInfo!$F$2,IF(C263="WR",LeagueInfo!$D$5*LeagueInfo!$F$2,IF(C263="TE",LeagueInfo!$D$6*LeagueInfo!$F$2,LeagueInfo!$D$3*LeagueInfo!$F$2)))</f>
        <v>24</v>
      </c>
    </row>
    <row r="264" spans="1:9" x14ac:dyDescent="0.25">
      <c r="A264">
        <f ca="1">RANK(E264,E$2:E$541)</f>
        <v>263</v>
      </c>
      <c r="B264" t="s">
        <v>901</v>
      </c>
      <c r="C264" t="s">
        <v>35</v>
      </c>
      <c r="D264">
        <f ca="1">INDEX(INDIRECT($C264&amp;"!P:P"),MATCH($B264,INDIRECT($C264&amp;"!B:B"),0))</f>
        <v>48.68</v>
      </c>
      <c r="E264" s="210">
        <f ca="1">D264-LARGE(D$2:D$486,RBCount+WRCount+TECount+QBCount)</f>
        <v>-62.52</v>
      </c>
      <c r="F264" t="str">
        <f ca="1">IF(H264&lt;=I264,"Starter",IF(G264&gt;=LARGE(G:G,FlexOn*LeagueInfo!$F$2),"Starter","Bench"))</f>
        <v>Bench</v>
      </c>
      <c r="G264">
        <f ca="1">IF(H264&gt;I264,D264,0)</f>
        <v>48.68</v>
      </c>
      <c r="H264">
        <f ca="1">INDEX(INDIRECT(""&amp;C264&amp;"!A2:A489"),MATCH(B264,INDIRECT(""&amp;C264&amp;"!B2:B489"),0))</f>
        <v>111</v>
      </c>
      <c r="I264">
        <f>IF(C264="RB",LeagueInfo!$D$4*LeagueInfo!$F$2,IF(C264="WR",LeagueInfo!$D$5*LeagueInfo!$F$2,IF(C264="TE",LeagueInfo!$D$6*LeagueInfo!$F$2,LeagueInfo!$D$3*LeagueInfo!$F$2)))</f>
        <v>24</v>
      </c>
    </row>
    <row r="265" spans="1:9" x14ac:dyDescent="0.25">
      <c r="A265">
        <f ca="1">RANK(E265,E$2:E$541)</f>
        <v>264</v>
      </c>
      <c r="B265" t="s">
        <v>959</v>
      </c>
      <c r="C265" t="s">
        <v>35</v>
      </c>
      <c r="D265">
        <f ca="1">INDEX(INDIRECT($C265&amp;"!P:P"),MATCH($B265,INDIRECT($C265&amp;"!B:B"),0))</f>
        <v>48.400000000000006</v>
      </c>
      <c r="E265" s="210">
        <f ca="1">D265-LARGE(D$2:D$486,RBCount+WRCount+TECount+QBCount)</f>
        <v>-62.8</v>
      </c>
      <c r="F265" t="str">
        <f ca="1">IF(H265&lt;=I265,"Starter",IF(G265&gt;=LARGE(G:G,FlexOn*LeagueInfo!$F$2),"Starter","Bench"))</f>
        <v>Bench</v>
      </c>
      <c r="G265">
        <f ca="1">IF(H265&gt;I265,D265,0)</f>
        <v>48.400000000000006</v>
      </c>
      <c r="H265">
        <f ca="1">INDEX(INDIRECT(""&amp;C265&amp;"!A2:A489"),MATCH(B265,INDIRECT(""&amp;C265&amp;"!B2:B489"),0))</f>
        <v>112</v>
      </c>
      <c r="I265">
        <f>IF(C265="RB",LeagueInfo!$D$4*LeagueInfo!$F$2,IF(C265="WR",LeagueInfo!$D$5*LeagueInfo!$F$2,IF(C265="TE",LeagueInfo!$D$6*LeagueInfo!$F$2,LeagueInfo!$D$3*LeagueInfo!$F$2)))</f>
        <v>24</v>
      </c>
    </row>
    <row r="266" spans="1:9" x14ac:dyDescent="0.25">
      <c r="A266">
        <f ca="1">RANK(E266,E$2:E$541)</f>
        <v>265</v>
      </c>
      <c r="B266" t="s">
        <v>409</v>
      </c>
      <c r="C266" t="s">
        <v>35</v>
      </c>
      <c r="D266">
        <f ca="1">INDEX(INDIRECT($C266&amp;"!P:P"),MATCH($B266,INDIRECT($C266&amp;"!B:B"),0))</f>
        <v>47.5</v>
      </c>
      <c r="E266" s="210">
        <f ca="1">D266-LARGE(D$2:D$486,RBCount+WRCount+TECount+QBCount)</f>
        <v>-63.7</v>
      </c>
      <c r="F266" t="str">
        <f ca="1">IF(H266&lt;=I266,"Starter",IF(G266&gt;=LARGE(G:G,FlexOn*LeagueInfo!$F$2),"Starter","Bench"))</f>
        <v>Bench</v>
      </c>
      <c r="G266">
        <f ca="1">IF(H266&gt;I266,D266,0)</f>
        <v>47.5</v>
      </c>
      <c r="H266">
        <f ca="1">INDEX(INDIRECT(""&amp;C266&amp;"!A2:A489"),MATCH(B266,INDIRECT(""&amp;C266&amp;"!B2:B489"),0))</f>
        <v>113</v>
      </c>
      <c r="I266">
        <f>IF(C266="RB",LeagueInfo!$D$4*LeagueInfo!$F$2,IF(C266="WR",LeagueInfo!$D$5*LeagueInfo!$F$2,IF(C266="TE",LeagueInfo!$D$6*LeagueInfo!$F$2,LeagueInfo!$D$3*LeagueInfo!$F$2)))</f>
        <v>24</v>
      </c>
    </row>
    <row r="267" spans="1:9" x14ac:dyDescent="0.25">
      <c r="A267">
        <f ca="1">RANK(E267,E$2:E$541)</f>
        <v>266</v>
      </c>
      <c r="B267" t="s">
        <v>593</v>
      </c>
      <c r="C267" t="s">
        <v>43</v>
      </c>
      <c r="D267">
        <f ca="1">INDEX(INDIRECT($C267&amp;"!P:P"),MATCH($B267,INDIRECT($C267&amp;"!B:B"),0))</f>
        <v>47.320000000000007</v>
      </c>
      <c r="E267" s="210">
        <f ca="1">D267-LARGE(D$2:D$486,RBCount+WRCount+TECount+QBCount)</f>
        <v>-63.879999999999995</v>
      </c>
      <c r="F267" t="str">
        <f ca="1">IF(H267&lt;=I267,"Starter",IF(G267&gt;=LARGE(G:G,FlexOn*LeagueInfo!$F$2),"Starter","Bench"))</f>
        <v>Bench</v>
      </c>
      <c r="G267">
        <f ca="1">IF(H267&gt;I267,D267,0)</f>
        <v>47.320000000000007</v>
      </c>
      <c r="H267">
        <f ca="1">INDEX(INDIRECT(""&amp;C267&amp;"!A2:A489"),MATCH(B267,INDIRECT(""&amp;C267&amp;"!B2:B489"),0))</f>
        <v>43</v>
      </c>
      <c r="I267">
        <f>IF(C267="RB",LeagueInfo!$D$4*LeagueInfo!$F$2,IF(C267="WR",LeagueInfo!$D$5*LeagueInfo!$F$2,IF(C267="TE",LeagueInfo!$D$6*LeagueInfo!$F$2,LeagueInfo!$D$3*LeagueInfo!$F$2)))</f>
        <v>12</v>
      </c>
    </row>
    <row r="268" spans="1:9" x14ac:dyDescent="0.25">
      <c r="A268">
        <f ca="1">RANK(E268,E$2:E$541)</f>
        <v>267</v>
      </c>
      <c r="B268" t="s">
        <v>830</v>
      </c>
      <c r="C268" t="s">
        <v>43</v>
      </c>
      <c r="D268">
        <f ca="1">INDEX(INDIRECT($C268&amp;"!P:P"),MATCH($B268,INDIRECT($C268&amp;"!B:B"),0))</f>
        <v>46.85</v>
      </c>
      <c r="E268" s="210">
        <f ca="1">D268-LARGE(D$2:D$486,RBCount+WRCount+TECount+QBCount)</f>
        <v>-64.349999999999994</v>
      </c>
      <c r="F268" t="str">
        <f ca="1">IF(H268&lt;=I268,"Starter",IF(G268&gt;=LARGE(G:G,FlexOn*LeagueInfo!$F$2),"Starter","Bench"))</f>
        <v>Bench</v>
      </c>
      <c r="G268">
        <f ca="1">IF(H268&gt;I268,D268,0)</f>
        <v>46.85</v>
      </c>
      <c r="H268">
        <f ca="1">INDEX(INDIRECT(""&amp;C268&amp;"!A2:A489"),MATCH(B268,INDIRECT(""&amp;C268&amp;"!B2:B489"),0))</f>
        <v>44</v>
      </c>
      <c r="I268">
        <f>IF(C268="RB",LeagueInfo!$D$4*LeagueInfo!$F$2,IF(C268="WR",LeagueInfo!$D$5*LeagueInfo!$F$2,IF(C268="TE",LeagueInfo!$D$6*LeagueInfo!$F$2,LeagueInfo!$D$3*LeagueInfo!$F$2)))</f>
        <v>12</v>
      </c>
    </row>
    <row r="269" spans="1:9" x14ac:dyDescent="0.25">
      <c r="A269">
        <f ca="1">RANK(E269,E$2:E$541)</f>
        <v>268</v>
      </c>
      <c r="B269" t="s">
        <v>952</v>
      </c>
      <c r="C269" t="s">
        <v>35</v>
      </c>
      <c r="D269">
        <f ca="1">INDEX(INDIRECT($C269&amp;"!P:P"),MATCH($B269,INDIRECT($C269&amp;"!B:B"),0))</f>
        <v>46.81</v>
      </c>
      <c r="E269" s="210">
        <f ca="1">D269-LARGE(D$2:D$486,RBCount+WRCount+TECount+QBCount)</f>
        <v>-64.39</v>
      </c>
      <c r="F269" t="str">
        <f ca="1">IF(H269&lt;=I269,"Starter",IF(G269&gt;=LARGE(G:G,FlexOn*LeagueInfo!$F$2),"Starter","Bench"))</f>
        <v>Bench</v>
      </c>
      <c r="G269">
        <f ca="1">IF(H269&gt;I269,D269,0)</f>
        <v>46.81</v>
      </c>
      <c r="H269">
        <f ca="1">INDEX(INDIRECT(""&amp;C269&amp;"!A2:A489"),MATCH(B269,INDIRECT(""&amp;C269&amp;"!B2:B489"),0))</f>
        <v>114</v>
      </c>
      <c r="I269">
        <f>IF(C269="RB",LeagueInfo!$D$4*LeagueInfo!$F$2,IF(C269="WR",LeagueInfo!$D$5*LeagueInfo!$F$2,IF(C269="TE",LeagueInfo!$D$6*LeagueInfo!$F$2,LeagueInfo!$D$3*LeagueInfo!$F$2)))</f>
        <v>24</v>
      </c>
    </row>
    <row r="270" spans="1:9" x14ac:dyDescent="0.25">
      <c r="A270">
        <f ca="1">RANK(E270,E$2:E$541)</f>
        <v>269</v>
      </c>
      <c r="B270" t="s">
        <v>2473</v>
      </c>
      <c r="C270" t="s">
        <v>43</v>
      </c>
      <c r="D270">
        <f ca="1">INDEX(INDIRECT($C270&amp;"!P:P"),MATCH($B270,INDIRECT($C270&amp;"!B:B"),0))</f>
        <v>46.19</v>
      </c>
      <c r="E270" s="210">
        <f ca="1">D270-LARGE(D$2:D$486,RBCount+WRCount+TECount+QBCount)</f>
        <v>-65.010000000000005</v>
      </c>
      <c r="F270" t="str">
        <f ca="1">IF(H270&lt;=I270,"Starter",IF(G270&gt;=LARGE(G:G,FlexOn*LeagueInfo!$F$2),"Starter","Bench"))</f>
        <v>Bench</v>
      </c>
      <c r="G270">
        <f ca="1">IF(H270&gt;I270,D270,0)</f>
        <v>46.19</v>
      </c>
      <c r="H270">
        <f ca="1">INDEX(INDIRECT(""&amp;C270&amp;"!A2:A489"),MATCH(B270,INDIRECT(""&amp;C270&amp;"!B2:B489"),0))</f>
        <v>45</v>
      </c>
      <c r="I270">
        <f>IF(C270="RB",LeagueInfo!$D$4*LeagueInfo!$F$2,IF(C270="WR",LeagueInfo!$D$5*LeagueInfo!$F$2,IF(C270="TE",LeagueInfo!$D$6*LeagueInfo!$F$2,LeagueInfo!$D$3*LeagueInfo!$F$2)))</f>
        <v>12</v>
      </c>
    </row>
    <row r="271" spans="1:9" x14ac:dyDescent="0.25">
      <c r="A271">
        <f ca="1">RANK(E271,E$2:E$541)</f>
        <v>270</v>
      </c>
      <c r="B271" t="s">
        <v>343</v>
      </c>
      <c r="C271" t="s">
        <v>28</v>
      </c>
      <c r="D271">
        <f ca="1">INDEX(INDIRECT($C271&amp;"!P:P"),MATCH($B271,INDIRECT($C271&amp;"!B:B"),0))</f>
        <v>46.179999999999993</v>
      </c>
      <c r="E271" s="210">
        <f ca="1">D271-LARGE(D$2:D$486,RBCount+WRCount+TECount+QBCount)</f>
        <v>-65.02000000000001</v>
      </c>
      <c r="F271" t="str">
        <f ca="1">IF(H271&lt;=I271,"Starter",IF(G271&gt;=LARGE(G:G,FlexOn*LeagueInfo!$F$2),"Starter","Bench"))</f>
        <v>Bench</v>
      </c>
      <c r="G271">
        <f ca="1">IF(H271&gt;I271,D271,0)</f>
        <v>46.179999999999993</v>
      </c>
      <c r="H271">
        <f ca="1">INDEX(INDIRECT(""&amp;C271&amp;"!A2:A489"),MATCH(B271,INDIRECT(""&amp;C271&amp;"!B2:B489"),0))</f>
        <v>75</v>
      </c>
      <c r="I271">
        <f>IF(C271="RB",LeagueInfo!$D$4*LeagueInfo!$F$2,IF(C271="WR",LeagueInfo!$D$5*LeagueInfo!$F$2,IF(C271="TE",LeagueInfo!$D$6*LeagueInfo!$F$2,LeagueInfo!$D$3*LeagueInfo!$F$2)))</f>
        <v>24</v>
      </c>
    </row>
    <row r="272" spans="1:9" x14ac:dyDescent="0.25">
      <c r="A272">
        <f ca="1">RANK(E272,E$2:E$541)</f>
        <v>271</v>
      </c>
      <c r="B272" t="s">
        <v>974</v>
      </c>
      <c r="C272" t="s">
        <v>43</v>
      </c>
      <c r="D272">
        <f ca="1">INDEX(INDIRECT($C272&amp;"!P:P"),MATCH($B272,INDIRECT($C272&amp;"!B:B"),0))</f>
        <v>45.650000000000006</v>
      </c>
      <c r="E272" s="210">
        <f ca="1">D272-LARGE(D$2:D$486,RBCount+WRCount+TECount+QBCount)</f>
        <v>-65.55</v>
      </c>
      <c r="F272" t="str">
        <f ca="1">IF(H272&lt;=I272,"Starter",IF(G272&gt;=LARGE(G:G,FlexOn*LeagueInfo!$F$2),"Starter","Bench"))</f>
        <v>Bench</v>
      </c>
      <c r="G272">
        <f ca="1">IF(H272&gt;I272,D272,0)</f>
        <v>45.650000000000006</v>
      </c>
      <c r="H272">
        <f ca="1">INDEX(INDIRECT(""&amp;C272&amp;"!A2:A489"),MATCH(B272,INDIRECT(""&amp;C272&amp;"!B2:B489"),0))</f>
        <v>46</v>
      </c>
      <c r="I272">
        <f>IF(C272="RB",LeagueInfo!$D$4*LeagueInfo!$F$2,IF(C272="WR",LeagueInfo!$D$5*LeagueInfo!$F$2,IF(C272="TE",LeagueInfo!$D$6*LeagueInfo!$F$2,LeagueInfo!$D$3*LeagueInfo!$F$2)))</f>
        <v>12</v>
      </c>
    </row>
    <row r="273" spans="1:9" x14ac:dyDescent="0.25">
      <c r="A273">
        <f ca="1">RANK(E273,E$2:E$541)</f>
        <v>272</v>
      </c>
      <c r="B273" t="s">
        <v>2454</v>
      </c>
      <c r="C273" t="s">
        <v>28</v>
      </c>
      <c r="D273">
        <f ca="1">INDEX(INDIRECT($C273&amp;"!P:P"),MATCH($B273,INDIRECT($C273&amp;"!B:B"),0))</f>
        <v>45.339999999999996</v>
      </c>
      <c r="E273" s="210">
        <f ca="1">D273-LARGE(D$2:D$486,RBCount+WRCount+TECount+QBCount)</f>
        <v>-65.860000000000014</v>
      </c>
      <c r="F273" t="str">
        <f ca="1">IF(H273&lt;=I273,"Starter",IF(G273&gt;=LARGE(G:G,FlexOn*LeagueInfo!$F$2),"Starter","Bench"))</f>
        <v>Bench</v>
      </c>
      <c r="G273">
        <f ca="1">IF(H273&gt;I273,D273,0)</f>
        <v>45.339999999999996</v>
      </c>
      <c r="H273">
        <f ca="1">INDEX(INDIRECT(""&amp;C273&amp;"!A2:A489"),MATCH(B273,INDIRECT(""&amp;C273&amp;"!B2:B489"),0))</f>
        <v>76</v>
      </c>
      <c r="I273">
        <f>IF(C273="RB",LeagueInfo!$D$4*LeagueInfo!$F$2,IF(C273="WR",LeagueInfo!$D$5*LeagueInfo!$F$2,IF(C273="TE",LeagueInfo!$D$6*LeagueInfo!$F$2,LeagueInfo!$D$3*LeagueInfo!$F$2)))</f>
        <v>24</v>
      </c>
    </row>
    <row r="274" spans="1:9" x14ac:dyDescent="0.25">
      <c r="A274">
        <f ca="1">RANK(E274,E$2:E$541)</f>
        <v>273</v>
      </c>
      <c r="B274" t="s">
        <v>752</v>
      </c>
      <c r="C274" t="s">
        <v>43</v>
      </c>
      <c r="D274">
        <f ca="1">INDEX(INDIRECT($C274&amp;"!P:P"),MATCH($B274,INDIRECT($C274&amp;"!B:B"),0))</f>
        <v>45.01</v>
      </c>
      <c r="E274" s="210">
        <f ca="1">D274-LARGE(D$2:D$486,RBCount+WRCount+TECount+QBCount)</f>
        <v>-66.19</v>
      </c>
      <c r="F274" t="str">
        <f ca="1">IF(H274&lt;=I274,"Starter",IF(G274&gt;=LARGE(G:G,FlexOn*LeagueInfo!$F$2),"Starter","Bench"))</f>
        <v>Bench</v>
      </c>
      <c r="G274">
        <f ca="1">IF(H274&gt;I274,D274,0)</f>
        <v>45.01</v>
      </c>
      <c r="H274">
        <f ca="1">INDEX(INDIRECT(""&amp;C274&amp;"!A2:A489"),MATCH(B274,INDIRECT(""&amp;C274&amp;"!B2:B489"),0))</f>
        <v>47</v>
      </c>
      <c r="I274">
        <f>IF(C274="RB",LeagueInfo!$D$4*LeagueInfo!$F$2,IF(C274="WR",LeagueInfo!$D$5*LeagueInfo!$F$2,IF(C274="TE",LeagueInfo!$D$6*LeagueInfo!$F$2,LeagueInfo!$D$3*LeagueInfo!$F$2)))</f>
        <v>12</v>
      </c>
    </row>
    <row r="275" spans="1:9" x14ac:dyDescent="0.25">
      <c r="A275">
        <f ca="1">RANK(E275,E$2:E$541)</f>
        <v>274</v>
      </c>
      <c r="B275" t="s">
        <v>191</v>
      </c>
      <c r="C275" t="s">
        <v>29</v>
      </c>
      <c r="D275">
        <f ca="1">INDEX(INDIRECT($C275&amp;"!P:P"),MATCH($B275,INDIRECT($C275&amp;"!B:B"),0))</f>
        <v>44.833999999999996</v>
      </c>
      <c r="E275" s="210">
        <f ca="1">D275-LARGE(D$2:D$486,RBCount+WRCount+TECount+QBCount)</f>
        <v>-66.366000000000014</v>
      </c>
      <c r="F275" t="str">
        <f ca="1">IF(H275&lt;=I275,"Starter",IF(G275&gt;=LARGE(G:G,FlexOn*LeagueInfo!$F$2),"Starter","Bench"))</f>
        <v>Bench</v>
      </c>
      <c r="G275">
        <f ca="1">IF(H275&gt;I275,D275,0)</f>
        <v>44.833999999999996</v>
      </c>
      <c r="H275">
        <f ca="1">INDEX(INDIRECT(""&amp;C275&amp;"!A2:A489"),MATCH(B275,INDIRECT(""&amp;C275&amp;"!B2:B489"),0))</f>
        <v>37</v>
      </c>
      <c r="I275">
        <f>IF(C275="RB",LeagueInfo!$D$4*LeagueInfo!$F$2,IF(C275="WR",LeagueInfo!$D$5*LeagueInfo!$F$2,IF(C275="TE",LeagueInfo!$D$6*LeagueInfo!$F$2,LeagueInfo!$D$3*LeagueInfo!$F$2)))</f>
        <v>12</v>
      </c>
    </row>
    <row r="276" spans="1:9" x14ac:dyDescent="0.25">
      <c r="A276">
        <f ca="1">RANK(E276,E$2:E$541)</f>
        <v>275</v>
      </c>
      <c r="B276" t="s">
        <v>617</v>
      </c>
      <c r="C276" t="s">
        <v>28</v>
      </c>
      <c r="D276">
        <f ca="1">INDEX(INDIRECT($C276&amp;"!P:P"),MATCH($B276,INDIRECT($C276&amp;"!B:B"),0))</f>
        <v>44.7</v>
      </c>
      <c r="E276" s="210">
        <f ca="1">D276-LARGE(D$2:D$486,RBCount+WRCount+TECount+QBCount)</f>
        <v>-66.5</v>
      </c>
      <c r="F276" t="str">
        <f ca="1">IF(H276&lt;=I276,"Starter",IF(G276&gt;=LARGE(G:G,FlexOn*LeagueInfo!$F$2),"Starter","Bench"))</f>
        <v>Bench</v>
      </c>
      <c r="G276">
        <f ca="1">IF(H276&gt;I276,D276,0)</f>
        <v>44.7</v>
      </c>
      <c r="H276">
        <f ca="1">INDEX(INDIRECT(""&amp;C276&amp;"!A2:A489"),MATCH(B276,INDIRECT(""&amp;C276&amp;"!B2:B489"),0))</f>
        <v>77</v>
      </c>
      <c r="I276">
        <f>IF(C276="RB",LeagueInfo!$D$4*LeagueInfo!$F$2,IF(C276="WR",LeagueInfo!$D$5*LeagueInfo!$F$2,IF(C276="TE",LeagueInfo!$D$6*LeagueInfo!$F$2,LeagueInfo!$D$3*LeagueInfo!$F$2)))</f>
        <v>24</v>
      </c>
    </row>
    <row r="277" spans="1:9" x14ac:dyDescent="0.25">
      <c r="A277">
        <f ca="1">RANK(E277,E$2:E$541)</f>
        <v>276</v>
      </c>
      <c r="B277" t="s">
        <v>867</v>
      </c>
      <c r="C277" t="s">
        <v>35</v>
      </c>
      <c r="D277">
        <f ca="1">INDEX(INDIRECT($C277&amp;"!P:P"),MATCH($B277,INDIRECT($C277&amp;"!B:B"),0))</f>
        <v>44.370000000000005</v>
      </c>
      <c r="E277" s="210">
        <f ca="1">D277-LARGE(D$2:D$486,RBCount+WRCount+TECount+QBCount)</f>
        <v>-66.83</v>
      </c>
      <c r="F277" t="str">
        <f ca="1">IF(H277&lt;=I277,"Starter",IF(G277&gt;=LARGE(G:G,FlexOn*LeagueInfo!$F$2),"Starter","Bench"))</f>
        <v>Bench</v>
      </c>
      <c r="G277">
        <f ca="1">IF(H277&gt;I277,D277,0)</f>
        <v>44.370000000000005</v>
      </c>
      <c r="H277">
        <f ca="1">INDEX(INDIRECT(""&amp;C277&amp;"!A2:A489"),MATCH(B277,INDIRECT(""&amp;C277&amp;"!B2:B489"),0))</f>
        <v>115</v>
      </c>
      <c r="I277">
        <f>IF(C277="RB",LeagueInfo!$D$4*LeagueInfo!$F$2,IF(C277="WR",LeagueInfo!$D$5*LeagueInfo!$F$2,IF(C277="TE",LeagueInfo!$D$6*LeagueInfo!$F$2,LeagueInfo!$D$3*LeagueInfo!$F$2)))</f>
        <v>24</v>
      </c>
    </row>
    <row r="278" spans="1:9" x14ac:dyDescent="0.25">
      <c r="A278">
        <f ca="1">RANK(E278,E$2:E$541)</f>
        <v>277</v>
      </c>
      <c r="B278" t="s">
        <v>799</v>
      </c>
      <c r="C278" t="s">
        <v>28</v>
      </c>
      <c r="D278">
        <f ca="1">INDEX(INDIRECT($C278&amp;"!P:P"),MATCH($B278,INDIRECT($C278&amp;"!B:B"),0))</f>
        <v>44.210000000000008</v>
      </c>
      <c r="E278" s="210">
        <f ca="1">D278-LARGE(D$2:D$486,RBCount+WRCount+TECount+QBCount)</f>
        <v>-66.989999999999995</v>
      </c>
      <c r="F278" t="str">
        <f ca="1">IF(H278&lt;=I278,"Starter",IF(G278&gt;=LARGE(G:G,FlexOn*LeagueInfo!$F$2),"Starter","Bench"))</f>
        <v>Bench</v>
      </c>
      <c r="G278">
        <f ca="1">IF(H278&gt;I278,D278,0)</f>
        <v>44.210000000000008</v>
      </c>
      <c r="H278">
        <f ca="1">INDEX(INDIRECT(""&amp;C278&amp;"!A2:A489"),MATCH(B278,INDIRECT(""&amp;C278&amp;"!B2:B489"),0))</f>
        <v>78</v>
      </c>
      <c r="I278">
        <f>IF(C278="RB",LeagueInfo!$D$4*LeagueInfo!$F$2,IF(C278="WR",LeagueInfo!$D$5*LeagueInfo!$F$2,IF(C278="TE",LeagueInfo!$D$6*LeagueInfo!$F$2,LeagueInfo!$D$3*LeagueInfo!$F$2)))</f>
        <v>24</v>
      </c>
    </row>
    <row r="279" spans="1:9" x14ac:dyDescent="0.25">
      <c r="A279">
        <f ca="1">RANK(E279,E$2:E$541)</f>
        <v>278</v>
      </c>
      <c r="B279" t="s">
        <v>595</v>
      </c>
      <c r="C279" t="s">
        <v>43</v>
      </c>
      <c r="D279">
        <f ca="1">INDEX(INDIRECT($C279&amp;"!P:P"),MATCH($B279,INDIRECT($C279&amp;"!B:B"),0))</f>
        <v>43.61</v>
      </c>
      <c r="E279" s="210">
        <f ca="1">D279-LARGE(D$2:D$486,RBCount+WRCount+TECount+QBCount)</f>
        <v>-67.59</v>
      </c>
      <c r="F279" t="str">
        <f ca="1">IF(H279&lt;=I279,"Starter",IF(G279&gt;=LARGE(G:G,FlexOn*LeagueInfo!$F$2),"Starter","Bench"))</f>
        <v>Bench</v>
      </c>
      <c r="G279">
        <f ca="1">IF(H279&gt;I279,D279,0)</f>
        <v>43.61</v>
      </c>
      <c r="H279">
        <f ca="1">INDEX(INDIRECT(""&amp;C279&amp;"!A2:A489"),MATCH(B279,INDIRECT(""&amp;C279&amp;"!B2:B489"),0))</f>
        <v>48</v>
      </c>
      <c r="I279">
        <f>IF(C279="RB",LeagueInfo!$D$4*LeagueInfo!$F$2,IF(C279="WR",LeagueInfo!$D$5*LeagueInfo!$F$2,IF(C279="TE",LeagueInfo!$D$6*LeagueInfo!$F$2,LeagueInfo!$D$3*LeagueInfo!$F$2)))</f>
        <v>12</v>
      </c>
    </row>
    <row r="280" spans="1:9" x14ac:dyDescent="0.25">
      <c r="A280">
        <f ca="1">RANK(E280,E$2:E$541)</f>
        <v>279</v>
      </c>
      <c r="B280" t="s">
        <v>897</v>
      </c>
      <c r="C280" t="s">
        <v>28</v>
      </c>
      <c r="D280">
        <f ca="1">INDEX(INDIRECT($C280&amp;"!P:P"),MATCH($B280,INDIRECT($C280&amp;"!B:B"),0))</f>
        <v>42.420000000000009</v>
      </c>
      <c r="E280" s="210">
        <f ca="1">D280-LARGE(D$2:D$486,RBCount+WRCount+TECount+QBCount)</f>
        <v>-68.78</v>
      </c>
      <c r="F280" t="str">
        <f ca="1">IF(H280&lt;=I280,"Starter",IF(G280&gt;=LARGE(G:G,FlexOn*LeagueInfo!$F$2),"Starter","Bench"))</f>
        <v>Bench</v>
      </c>
      <c r="G280">
        <f ca="1">IF(H280&gt;I280,D280,0)</f>
        <v>42.420000000000009</v>
      </c>
      <c r="H280">
        <f ca="1">INDEX(INDIRECT(""&amp;C280&amp;"!A2:A489"),MATCH(B280,INDIRECT(""&amp;C280&amp;"!B2:B489"),0))</f>
        <v>79</v>
      </c>
      <c r="I280">
        <f>IF(C280="RB",LeagueInfo!$D$4*LeagueInfo!$F$2,IF(C280="WR",LeagueInfo!$D$5*LeagueInfo!$F$2,IF(C280="TE",LeagueInfo!$D$6*LeagueInfo!$F$2,LeagueInfo!$D$3*LeagueInfo!$F$2)))</f>
        <v>24</v>
      </c>
    </row>
    <row r="281" spans="1:9" x14ac:dyDescent="0.25">
      <c r="A281">
        <f ca="1">RANK(E281,E$2:E$541)</f>
        <v>280</v>
      </c>
      <c r="B281" t="s">
        <v>825</v>
      </c>
      <c r="C281" t="s">
        <v>43</v>
      </c>
      <c r="D281">
        <f ca="1">INDEX(INDIRECT($C281&amp;"!P:P"),MATCH($B281,INDIRECT($C281&amp;"!B:B"),0))</f>
        <v>40.680000000000007</v>
      </c>
      <c r="E281" s="210">
        <f ca="1">D281-LARGE(D$2:D$486,RBCount+WRCount+TECount+QBCount)</f>
        <v>-70.52</v>
      </c>
      <c r="F281" t="str">
        <f ca="1">IF(H281&lt;=I281,"Starter",IF(G281&gt;=LARGE(G:G,FlexOn*LeagueInfo!$F$2),"Starter","Bench"))</f>
        <v>Bench</v>
      </c>
      <c r="G281">
        <f ca="1">IF(H281&gt;I281,D281,0)</f>
        <v>40.680000000000007</v>
      </c>
      <c r="H281">
        <f ca="1">INDEX(INDIRECT(""&amp;C281&amp;"!A2:A489"),MATCH(B281,INDIRECT(""&amp;C281&amp;"!B2:B489"),0))</f>
        <v>49</v>
      </c>
      <c r="I281">
        <f>IF(C281="RB",LeagueInfo!$D$4*LeagueInfo!$F$2,IF(C281="WR",LeagueInfo!$D$5*LeagueInfo!$F$2,IF(C281="TE",LeagueInfo!$D$6*LeagueInfo!$F$2,LeagueInfo!$D$3*LeagueInfo!$F$2)))</f>
        <v>12</v>
      </c>
    </row>
    <row r="282" spans="1:9" x14ac:dyDescent="0.25">
      <c r="A282">
        <f ca="1">RANK(E282,E$2:E$541)</f>
        <v>281</v>
      </c>
      <c r="B282" t="s">
        <v>850</v>
      </c>
      <c r="C282" t="s">
        <v>35</v>
      </c>
      <c r="D282">
        <f ca="1">INDEX(INDIRECT($C282&amp;"!P:P"),MATCH($B282,INDIRECT($C282&amp;"!B:B"),0))</f>
        <v>40.329999999999991</v>
      </c>
      <c r="E282" s="210">
        <f ca="1">D282-LARGE(D$2:D$486,RBCount+WRCount+TECount+QBCount)</f>
        <v>-70.87</v>
      </c>
      <c r="F282" t="str">
        <f ca="1">IF(H282&lt;=I282,"Starter",IF(G282&gt;=LARGE(G:G,FlexOn*LeagueInfo!$F$2),"Starter","Bench"))</f>
        <v>Bench</v>
      </c>
      <c r="G282">
        <f ca="1">IF(H282&gt;I282,D282,0)</f>
        <v>40.329999999999991</v>
      </c>
      <c r="H282">
        <f ca="1">INDEX(INDIRECT(""&amp;C282&amp;"!A2:A489"),MATCH(B282,INDIRECT(""&amp;C282&amp;"!B2:B489"),0))</f>
        <v>116</v>
      </c>
      <c r="I282">
        <f>IF(C282="RB",LeagueInfo!$D$4*LeagueInfo!$F$2,IF(C282="WR",LeagueInfo!$D$5*LeagueInfo!$F$2,IF(C282="TE",LeagueInfo!$D$6*LeagueInfo!$F$2,LeagueInfo!$D$3*LeagueInfo!$F$2)))</f>
        <v>24</v>
      </c>
    </row>
    <row r="283" spans="1:9" x14ac:dyDescent="0.25">
      <c r="A283">
        <f ca="1">RANK(E283,E$2:E$541)</f>
        <v>282</v>
      </c>
      <c r="B283" t="s">
        <v>811</v>
      </c>
      <c r="C283" t="s">
        <v>28</v>
      </c>
      <c r="D283">
        <f ca="1">INDEX(INDIRECT($C283&amp;"!P:P"),MATCH($B283,INDIRECT($C283&amp;"!B:B"),0))</f>
        <v>39.980000000000004</v>
      </c>
      <c r="E283" s="210">
        <f ca="1">D283-LARGE(D$2:D$486,RBCount+WRCount+TECount+QBCount)</f>
        <v>-71.22</v>
      </c>
      <c r="F283" t="str">
        <f ca="1">IF(H283&lt;=I283,"Starter",IF(G283&gt;=LARGE(G:G,FlexOn*LeagueInfo!$F$2),"Starter","Bench"))</f>
        <v>Bench</v>
      </c>
      <c r="G283">
        <f ca="1">IF(H283&gt;I283,D283,0)</f>
        <v>39.980000000000004</v>
      </c>
      <c r="H283">
        <f ca="1">INDEX(INDIRECT(""&amp;C283&amp;"!A2:A489"),MATCH(B283,INDIRECT(""&amp;C283&amp;"!B2:B489"),0))</f>
        <v>80</v>
      </c>
      <c r="I283">
        <f>IF(C283="RB",LeagueInfo!$D$4*LeagueInfo!$F$2,IF(C283="WR",LeagueInfo!$D$5*LeagueInfo!$F$2,IF(C283="TE",LeagueInfo!$D$6*LeagueInfo!$F$2,LeagueInfo!$D$3*LeagueInfo!$F$2)))</f>
        <v>24</v>
      </c>
    </row>
    <row r="284" spans="1:9" x14ac:dyDescent="0.25">
      <c r="A284">
        <f ca="1">RANK(E284,E$2:E$541)</f>
        <v>283</v>
      </c>
      <c r="B284" t="s">
        <v>539</v>
      </c>
      <c r="C284" t="s">
        <v>43</v>
      </c>
      <c r="D284">
        <f ca="1">INDEX(INDIRECT($C284&amp;"!P:P"),MATCH($B284,INDIRECT($C284&amp;"!B:B"),0))</f>
        <v>39.700000000000003</v>
      </c>
      <c r="E284" s="210">
        <f ca="1">D284-LARGE(D$2:D$486,RBCount+WRCount+TECount+QBCount)</f>
        <v>-71.5</v>
      </c>
      <c r="F284" t="str">
        <f ca="1">IF(H284&lt;=I284,"Starter",IF(G284&gt;=LARGE(G:G,FlexOn*LeagueInfo!$F$2),"Starter","Bench"))</f>
        <v>Bench</v>
      </c>
      <c r="G284">
        <f ca="1">IF(H284&gt;I284,D284,0)</f>
        <v>39.700000000000003</v>
      </c>
      <c r="H284">
        <f ca="1">INDEX(INDIRECT(""&amp;C284&amp;"!A2:A489"),MATCH(B284,INDIRECT(""&amp;C284&amp;"!B2:B489"),0))</f>
        <v>50</v>
      </c>
      <c r="I284">
        <f>IF(C284="RB",LeagueInfo!$D$4*LeagueInfo!$F$2,IF(C284="WR",LeagueInfo!$D$5*LeagueInfo!$F$2,IF(C284="TE",LeagueInfo!$D$6*LeagueInfo!$F$2,LeagueInfo!$D$3*LeagueInfo!$F$2)))</f>
        <v>12</v>
      </c>
    </row>
    <row r="285" spans="1:9" x14ac:dyDescent="0.25">
      <c r="A285">
        <f ca="1">RANK(E285,E$2:E$541)</f>
        <v>284</v>
      </c>
      <c r="B285" t="s">
        <v>2474</v>
      </c>
      <c r="C285" t="s">
        <v>43</v>
      </c>
      <c r="D285">
        <f ca="1">INDEX(INDIRECT($C285&amp;"!P:P"),MATCH($B285,INDIRECT($C285&amp;"!B:B"),0))</f>
        <v>39.659999999999997</v>
      </c>
      <c r="E285" s="210">
        <f ca="1">D285-LARGE(D$2:D$486,RBCount+WRCount+TECount+QBCount)</f>
        <v>-71.540000000000006</v>
      </c>
      <c r="F285" t="str">
        <f ca="1">IF(H285&lt;=I285,"Starter",IF(G285&gt;=LARGE(G:G,FlexOn*LeagueInfo!$F$2),"Starter","Bench"))</f>
        <v>Bench</v>
      </c>
      <c r="G285">
        <f ca="1">IF(H285&gt;I285,D285,0)</f>
        <v>39.659999999999997</v>
      </c>
      <c r="H285">
        <f ca="1">INDEX(INDIRECT(""&amp;C285&amp;"!A2:A489"),MATCH(B285,INDIRECT(""&amp;C285&amp;"!B2:B489"),0))</f>
        <v>51</v>
      </c>
      <c r="I285">
        <f>IF(C285="RB",LeagueInfo!$D$4*LeagueInfo!$F$2,IF(C285="WR",LeagueInfo!$D$5*LeagueInfo!$F$2,IF(C285="TE",LeagueInfo!$D$6*LeagueInfo!$F$2,LeagueInfo!$D$3*LeagueInfo!$F$2)))</f>
        <v>12</v>
      </c>
    </row>
    <row r="286" spans="1:9" x14ac:dyDescent="0.25">
      <c r="A286">
        <f ca="1">RANK(E286,E$2:E$541)</f>
        <v>285</v>
      </c>
      <c r="B286" t="s">
        <v>196</v>
      </c>
      <c r="C286" t="s">
        <v>43</v>
      </c>
      <c r="D286">
        <f ca="1">INDEX(INDIRECT($C286&amp;"!P:P"),MATCH($B286,INDIRECT($C286&amp;"!B:B"),0))</f>
        <v>39.29</v>
      </c>
      <c r="E286" s="210">
        <f ca="1">D286-LARGE(D$2:D$486,RBCount+WRCount+TECount+QBCount)</f>
        <v>-71.91</v>
      </c>
      <c r="F286" t="str">
        <f ca="1">IF(H286&lt;=I286,"Starter",IF(G286&gt;=LARGE(G:G,FlexOn*LeagueInfo!$F$2),"Starter","Bench"))</f>
        <v>Bench</v>
      </c>
      <c r="G286">
        <f ca="1">IF(H286&gt;I286,D286,0)</f>
        <v>39.29</v>
      </c>
      <c r="H286">
        <f ca="1">INDEX(INDIRECT(""&amp;C286&amp;"!A2:A489"),MATCH(B286,INDIRECT(""&amp;C286&amp;"!B2:B489"),0))</f>
        <v>52</v>
      </c>
      <c r="I286">
        <f>IF(C286="RB",LeagueInfo!$D$4*LeagueInfo!$F$2,IF(C286="WR",LeagueInfo!$D$5*LeagueInfo!$F$2,IF(C286="TE",LeagueInfo!$D$6*LeagueInfo!$F$2,LeagueInfo!$D$3*LeagueInfo!$F$2)))</f>
        <v>12</v>
      </c>
    </row>
    <row r="287" spans="1:9" x14ac:dyDescent="0.25">
      <c r="A287">
        <f ca="1">RANK(E287,E$2:E$541)</f>
        <v>286</v>
      </c>
      <c r="B287" t="s">
        <v>2475</v>
      </c>
      <c r="C287" t="s">
        <v>43</v>
      </c>
      <c r="D287">
        <f ca="1">INDEX(INDIRECT($C287&amp;"!P:P"),MATCH($B287,INDIRECT($C287&amp;"!B:B"),0))</f>
        <v>39.06</v>
      </c>
      <c r="E287" s="210">
        <f ca="1">D287-LARGE(D$2:D$486,RBCount+WRCount+TECount+QBCount)</f>
        <v>-72.14</v>
      </c>
      <c r="F287" t="str">
        <f ca="1">IF(H287&lt;=I287,"Starter",IF(G287&gt;=LARGE(G:G,FlexOn*LeagueInfo!$F$2),"Starter","Bench"))</f>
        <v>Bench</v>
      </c>
      <c r="G287">
        <f ca="1">IF(H287&gt;I287,D287,0)</f>
        <v>39.06</v>
      </c>
      <c r="H287">
        <f ca="1">INDEX(INDIRECT(""&amp;C287&amp;"!A2:A489"),MATCH(B287,INDIRECT(""&amp;C287&amp;"!B2:B489"),0))</f>
        <v>53</v>
      </c>
      <c r="I287">
        <f>IF(C287="RB",LeagueInfo!$D$4*LeagueInfo!$F$2,IF(C287="WR",LeagueInfo!$D$5*LeagueInfo!$F$2,IF(C287="TE",LeagueInfo!$D$6*LeagueInfo!$F$2,LeagueInfo!$D$3*LeagueInfo!$F$2)))</f>
        <v>12</v>
      </c>
    </row>
    <row r="288" spans="1:9" x14ac:dyDescent="0.25">
      <c r="A288">
        <f ca="1">RANK(E288,E$2:E$541)</f>
        <v>287</v>
      </c>
      <c r="B288" t="s">
        <v>2657</v>
      </c>
      <c r="C288" t="s">
        <v>28</v>
      </c>
      <c r="D288">
        <f ca="1">INDEX(INDIRECT($C288&amp;"!P:P"),MATCH($B288,INDIRECT($C288&amp;"!B:B"),0))</f>
        <v>38.910000000000004</v>
      </c>
      <c r="E288" s="210">
        <f ca="1">D288-LARGE(D$2:D$486,RBCount+WRCount+TECount+QBCount)</f>
        <v>-72.289999999999992</v>
      </c>
      <c r="F288" t="str">
        <f ca="1">IF(H288&lt;=I288,"Starter",IF(G288&gt;=LARGE(G:G,FlexOn*LeagueInfo!$F$2),"Starter","Bench"))</f>
        <v>Bench</v>
      </c>
      <c r="G288">
        <f ca="1">IF(H288&gt;I288,D288,0)</f>
        <v>38.910000000000004</v>
      </c>
      <c r="H288">
        <f ca="1">INDEX(INDIRECT(""&amp;C288&amp;"!A2:A489"),MATCH(B288,INDIRECT(""&amp;C288&amp;"!B2:B489"),0))</f>
        <v>81</v>
      </c>
      <c r="I288">
        <f>IF(C288="RB",LeagueInfo!$D$4*LeagueInfo!$F$2,IF(C288="WR",LeagueInfo!$D$5*LeagueInfo!$F$2,IF(C288="TE",LeagueInfo!$D$6*LeagueInfo!$F$2,LeagueInfo!$D$3*LeagueInfo!$F$2)))</f>
        <v>24</v>
      </c>
    </row>
    <row r="289" spans="1:9" x14ac:dyDescent="0.25">
      <c r="A289">
        <f ca="1">RANK(E289,E$2:E$541)</f>
        <v>288</v>
      </c>
      <c r="B289" t="s">
        <v>406</v>
      </c>
      <c r="C289" t="s">
        <v>35</v>
      </c>
      <c r="D289">
        <f ca="1">INDEX(INDIRECT($C289&amp;"!P:P"),MATCH($B289,INDIRECT($C289&amp;"!B:B"),0))</f>
        <v>38.86</v>
      </c>
      <c r="E289" s="210">
        <f ca="1">D289-LARGE(D$2:D$486,RBCount+WRCount+TECount+QBCount)</f>
        <v>-72.34</v>
      </c>
      <c r="F289" t="str">
        <f ca="1">IF(H289&lt;=I289,"Starter",IF(G289&gt;=LARGE(G:G,FlexOn*LeagueInfo!$F$2),"Starter","Bench"))</f>
        <v>Bench</v>
      </c>
      <c r="G289">
        <f ca="1">IF(H289&gt;I289,D289,0)</f>
        <v>38.86</v>
      </c>
      <c r="H289">
        <f ca="1">INDEX(INDIRECT(""&amp;C289&amp;"!A2:A489"),MATCH(B289,INDIRECT(""&amp;C289&amp;"!B2:B489"),0))</f>
        <v>117</v>
      </c>
      <c r="I289">
        <f>IF(C289="RB",LeagueInfo!$D$4*LeagueInfo!$F$2,IF(C289="WR",LeagueInfo!$D$5*LeagueInfo!$F$2,IF(C289="TE",LeagueInfo!$D$6*LeagueInfo!$F$2,LeagueInfo!$D$3*LeagueInfo!$F$2)))</f>
        <v>24</v>
      </c>
    </row>
    <row r="290" spans="1:9" x14ac:dyDescent="0.25">
      <c r="A290">
        <f ca="1">RANK(E290,E$2:E$541)</f>
        <v>289</v>
      </c>
      <c r="B290" t="s">
        <v>561</v>
      </c>
      <c r="C290" t="s">
        <v>28</v>
      </c>
      <c r="D290">
        <f ca="1">INDEX(INDIRECT($C290&amp;"!P:P"),MATCH($B290,INDIRECT($C290&amp;"!B:B"),0))</f>
        <v>38.76</v>
      </c>
      <c r="E290" s="210">
        <f ca="1">D290-LARGE(D$2:D$486,RBCount+WRCount+TECount+QBCount)</f>
        <v>-72.44</v>
      </c>
      <c r="F290" t="str">
        <f ca="1">IF(H290&lt;=I290,"Starter",IF(G290&gt;=LARGE(G:G,FlexOn*LeagueInfo!$F$2),"Starter","Bench"))</f>
        <v>Bench</v>
      </c>
      <c r="G290">
        <f ca="1">IF(H290&gt;I290,D290,0)</f>
        <v>38.76</v>
      </c>
      <c r="H290">
        <f ca="1">INDEX(INDIRECT(""&amp;C290&amp;"!A2:A489"),MATCH(B290,INDIRECT(""&amp;C290&amp;"!B2:B489"),0))</f>
        <v>82</v>
      </c>
      <c r="I290">
        <f>IF(C290="RB",LeagueInfo!$D$4*LeagueInfo!$F$2,IF(C290="WR",LeagueInfo!$D$5*LeagueInfo!$F$2,IF(C290="TE",LeagueInfo!$D$6*LeagueInfo!$F$2,LeagueInfo!$D$3*LeagueInfo!$F$2)))</f>
        <v>24</v>
      </c>
    </row>
    <row r="291" spans="1:9" x14ac:dyDescent="0.25">
      <c r="A291">
        <f ca="1">RANK(E291,E$2:E$541)</f>
        <v>290</v>
      </c>
      <c r="B291" t="s">
        <v>846</v>
      </c>
      <c r="C291" t="s">
        <v>35</v>
      </c>
      <c r="D291">
        <f ca="1">INDEX(INDIRECT($C291&amp;"!P:P"),MATCH($B291,INDIRECT($C291&amp;"!B:B"),0))</f>
        <v>38.599999999999994</v>
      </c>
      <c r="E291" s="210">
        <f ca="1">D291-LARGE(D$2:D$486,RBCount+WRCount+TECount+QBCount)</f>
        <v>-72.600000000000009</v>
      </c>
      <c r="F291" t="str">
        <f ca="1">IF(H291&lt;=I291,"Starter",IF(G291&gt;=LARGE(G:G,FlexOn*LeagueInfo!$F$2),"Starter","Bench"))</f>
        <v>Bench</v>
      </c>
      <c r="G291">
        <f ca="1">IF(H291&gt;I291,D291,0)</f>
        <v>38.599999999999994</v>
      </c>
      <c r="H291">
        <f ca="1">INDEX(INDIRECT(""&amp;C291&amp;"!A2:A489"),MATCH(B291,INDIRECT(""&amp;C291&amp;"!B2:B489"),0))</f>
        <v>118</v>
      </c>
      <c r="I291">
        <f>IF(C291="RB",LeagueInfo!$D$4*LeagueInfo!$F$2,IF(C291="WR",LeagueInfo!$D$5*LeagueInfo!$F$2,IF(C291="TE",LeagueInfo!$D$6*LeagueInfo!$F$2,LeagueInfo!$D$3*LeagueInfo!$F$2)))</f>
        <v>24</v>
      </c>
    </row>
    <row r="292" spans="1:9" x14ac:dyDescent="0.25">
      <c r="A292">
        <f ca="1">RANK(E292,E$2:E$541)</f>
        <v>291</v>
      </c>
      <c r="B292" t="s">
        <v>884</v>
      </c>
      <c r="C292" t="s">
        <v>28</v>
      </c>
      <c r="D292">
        <f ca="1">INDEX(INDIRECT($C292&amp;"!P:P"),MATCH($B292,INDIRECT($C292&amp;"!B:B"),0))</f>
        <v>38.249999999999993</v>
      </c>
      <c r="E292" s="210">
        <f ca="1">D292-LARGE(D$2:D$486,RBCount+WRCount+TECount+QBCount)</f>
        <v>-72.950000000000017</v>
      </c>
      <c r="F292" t="str">
        <f ca="1">IF(H292&lt;=I292,"Starter",IF(G292&gt;=LARGE(G:G,FlexOn*LeagueInfo!$F$2),"Starter","Bench"))</f>
        <v>Bench</v>
      </c>
      <c r="G292">
        <f ca="1">IF(H292&gt;I292,D292,0)</f>
        <v>38.249999999999993</v>
      </c>
      <c r="H292">
        <f ca="1">INDEX(INDIRECT(""&amp;C292&amp;"!A2:A489"),MATCH(B292,INDIRECT(""&amp;C292&amp;"!B2:B489"),0))</f>
        <v>83</v>
      </c>
      <c r="I292">
        <f>IF(C292="RB",LeagueInfo!$D$4*LeagueInfo!$F$2,IF(C292="WR",LeagueInfo!$D$5*LeagueInfo!$F$2,IF(C292="TE",LeagueInfo!$D$6*LeagueInfo!$F$2,LeagueInfo!$D$3*LeagueInfo!$F$2)))</f>
        <v>24</v>
      </c>
    </row>
    <row r="293" spans="1:9" x14ac:dyDescent="0.25">
      <c r="A293">
        <f ca="1">RANK(E293,E$2:E$541)</f>
        <v>292</v>
      </c>
      <c r="B293" t="s">
        <v>985</v>
      </c>
      <c r="C293" t="s">
        <v>43</v>
      </c>
      <c r="D293">
        <f ca="1">INDEX(INDIRECT($C293&amp;"!P:P"),MATCH($B293,INDIRECT($C293&amp;"!B:B"),0))</f>
        <v>38.19</v>
      </c>
      <c r="E293" s="210">
        <f ca="1">D293-LARGE(D$2:D$486,RBCount+WRCount+TECount+QBCount)</f>
        <v>-73.010000000000005</v>
      </c>
      <c r="F293" t="str">
        <f ca="1">IF(H293&lt;=I293,"Starter",IF(G293&gt;=LARGE(G:G,FlexOn*LeagueInfo!$F$2),"Starter","Bench"))</f>
        <v>Bench</v>
      </c>
      <c r="G293">
        <f ca="1">IF(H293&gt;I293,D293,0)</f>
        <v>38.19</v>
      </c>
      <c r="H293">
        <f ca="1">INDEX(INDIRECT(""&amp;C293&amp;"!A2:A489"),MATCH(B293,INDIRECT(""&amp;C293&amp;"!B2:B489"),0))</f>
        <v>54</v>
      </c>
      <c r="I293">
        <f>IF(C293="RB",LeagueInfo!$D$4*LeagueInfo!$F$2,IF(C293="WR",LeagueInfo!$D$5*LeagueInfo!$F$2,IF(C293="TE",LeagueInfo!$D$6*LeagueInfo!$F$2,LeagueInfo!$D$3*LeagueInfo!$F$2)))</f>
        <v>12</v>
      </c>
    </row>
    <row r="294" spans="1:9" x14ac:dyDescent="0.25">
      <c r="A294">
        <f ca="1">RANK(E294,E$2:E$541)</f>
        <v>293</v>
      </c>
      <c r="B294" t="s">
        <v>398</v>
      </c>
      <c r="C294" t="s">
        <v>35</v>
      </c>
      <c r="D294">
        <f ca="1">INDEX(INDIRECT($C294&amp;"!P:P"),MATCH($B294,INDIRECT($C294&amp;"!B:B"),0))</f>
        <v>37.970000000000006</v>
      </c>
      <c r="E294" s="210">
        <f ca="1">D294-LARGE(D$2:D$486,RBCount+WRCount+TECount+QBCount)</f>
        <v>-73.22999999999999</v>
      </c>
      <c r="F294" t="str">
        <f ca="1">IF(H294&lt;=I294,"Starter",IF(G294&gt;=LARGE(G:G,FlexOn*LeagueInfo!$F$2),"Starter","Bench"))</f>
        <v>Bench</v>
      </c>
      <c r="G294">
        <f ca="1">IF(H294&gt;I294,D294,0)</f>
        <v>37.970000000000006</v>
      </c>
      <c r="H294">
        <f ca="1">INDEX(INDIRECT(""&amp;C294&amp;"!A2:A489"),MATCH(B294,INDIRECT(""&amp;C294&amp;"!B2:B489"),0))</f>
        <v>119</v>
      </c>
      <c r="I294">
        <f>IF(C294="RB",LeagueInfo!$D$4*LeagueInfo!$F$2,IF(C294="WR",LeagueInfo!$D$5*LeagueInfo!$F$2,IF(C294="TE",LeagueInfo!$D$6*LeagueInfo!$F$2,LeagueInfo!$D$3*LeagueInfo!$F$2)))</f>
        <v>24</v>
      </c>
    </row>
    <row r="295" spans="1:9" x14ac:dyDescent="0.25">
      <c r="A295">
        <f ca="1">RANK(E295,E$2:E$541)</f>
        <v>294</v>
      </c>
      <c r="B295" t="s">
        <v>395</v>
      </c>
      <c r="C295" t="s">
        <v>35</v>
      </c>
      <c r="D295">
        <f ca="1">INDEX(INDIRECT($C295&amp;"!P:P"),MATCH($B295,INDIRECT($C295&amp;"!B:B"),0))</f>
        <v>37.93</v>
      </c>
      <c r="E295" s="210">
        <f ca="1">D295-LARGE(D$2:D$486,RBCount+WRCount+TECount+QBCount)</f>
        <v>-73.27000000000001</v>
      </c>
      <c r="F295" t="str">
        <f ca="1">IF(H295&lt;=I295,"Starter",IF(G295&gt;=LARGE(G:G,FlexOn*LeagueInfo!$F$2),"Starter","Bench"))</f>
        <v>Bench</v>
      </c>
      <c r="G295">
        <f ca="1">IF(H295&gt;I295,D295,0)</f>
        <v>37.93</v>
      </c>
      <c r="H295">
        <f ca="1">INDEX(INDIRECT(""&amp;C295&amp;"!A2:A489"),MATCH(B295,INDIRECT(""&amp;C295&amp;"!B2:B489"),0))</f>
        <v>120</v>
      </c>
      <c r="I295">
        <f>IF(C295="RB",LeagueInfo!$D$4*LeagueInfo!$F$2,IF(C295="WR",LeagueInfo!$D$5*LeagueInfo!$F$2,IF(C295="TE",LeagueInfo!$D$6*LeagueInfo!$F$2,LeagueInfo!$D$3*LeagueInfo!$F$2)))</f>
        <v>24</v>
      </c>
    </row>
    <row r="296" spans="1:9" x14ac:dyDescent="0.25">
      <c r="A296">
        <f ca="1">RANK(E296,E$2:E$541)</f>
        <v>295</v>
      </c>
      <c r="B296" t="s">
        <v>720</v>
      </c>
      <c r="C296" t="s">
        <v>35</v>
      </c>
      <c r="D296">
        <f ca="1">INDEX(INDIRECT($C296&amp;"!P:P"),MATCH($B296,INDIRECT($C296&amp;"!B:B"),0))</f>
        <v>37.92</v>
      </c>
      <c r="E296" s="210">
        <f ca="1">D296-LARGE(D$2:D$486,RBCount+WRCount+TECount+QBCount)</f>
        <v>-73.28</v>
      </c>
      <c r="F296" t="str">
        <f ca="1">IF(H296&lt;=I296,"Starter",IF(G296&gt;=LARGE(G:G,FlexOn*LeagueInfo!$F$2),"Starter","Bench"))</f>
        <v>Bench</v>
      </c>
      <c r="G296">
        <f ca="1">IF(H296&gt;I296,D296,0)</f>
        <v>37.92</v>
      </c>
      <c r="H296">
        <f ca="1">INDEX(INDIRECT(""&amp;C296&amp;"!A2:A489"),MATCH(B296,INDIRECT(""&amp;C296&amp;"!B2:B489"),0))</f>
        <v>121</v>
      </c>
      <c r="I296">
        <f>IF(C296="RB",LeagueInfo!$D$4*LeagueInfo!$F$2,IF(C296="WR",LeagueInfo!$D$5*LeagueInfo!$F$2,IF(C296="TE",LeagueInfo!$D$6*LeagueInfo!$F$2,LeagueInfo!$D$3*LeagueInfo!$F$2)))</f>
        <v>24</v>
      </c>
    </row>
    <row r="297" spans="1:9" x14ac:dyDescent="0.25">
      <c r="A297">
        <f ca="1">RANK(E297,E$2:E$541)</f>
        <v>296</v>
      </c>
      <c r="B297" t="s">
        <v>822</v>
      </c>
      <c r="C297" t="s">
        <v>43</v>
      </c>
      <c r="D297">
        <f ca="1">INDEX(INDIRECT($C297&amp;"!P:P"),MATCH($B297,INDIRECT($C297&amp;"!B:B"),0))</f>
        <v>37.67</v>
      </c>
      <c r="E297" s="210">
        <f ca="1">D297-LARGE(D$2:D$486,RBCount+WRCount+TECount+QBCount)</f>
        <v>-73.53</v>
      </c>
      <c r="F297" t="str">
        <f ca="1">IF(H297&lt;=I297,"Starter",IF(G297&gt;=LARGE(G:G,FlexOn*LeagueInfo!$F$2),"Starter","Bench"))</f>
        <v>Bench</v>
      </c>
      <c r="G297">
        <f ca="1">IF(H297&gt;I297,D297,0)</f>
        <v>37.67</v>
      </c>
      <c r="H297">
        <f ca="1">INDEX(INDIRECT(""&amp;C297&amp;"!A2:A489"),MATCH(B297,INDIRECT(""&amp;C297&amp;"!B2:B489"),0))</f>
        <v>55</v>
      </c>
      <c r="I297">
        <f>IF(C297="RB",LeagueInfo!$D$4*LeagueInfo!$F$2,IF(C297="WR",LeagueInfo!$D$5*LeagueInfo!$F$2,IF(C297="TE",LeagueInfo!$D$6*LeagueInfo!$F$2,LeagueInfo!$D$3*LeagueInfo!$F$2)))</f>
        <v>12</v>
      </c>
    </row>
    <row r="298" spans="1:9" x14ac:dyDescent="0.25">
      <c r="A298">
        <f ca="1">RANK(E298,E$2:E$541)</f>
        <v>297</v>
      </c>
      <c r="B298" t="s">
        <v>847</v>
      </c>
      <c r="C298" t="s">
        <v>35</v>
      </c>
      <c r="D298">
        <f ca="1">INDEX(INDIRECT($C298&amp;"!P:P"),MATCH($B298,INDIRECT($C298&amp;"!B:B"),0))</f>
        <v>37.64</v>
      </c>
      <c r="E298" s="210">
        <f ca="1">D298-LARGE(D$2:D$486,RBCount+WRCount+TECount+QBCount)</f>
        <v>-73.56</v>
      </c>
      <c r="F298" t="str">
        <f ca="1">IF(H298&lt;=I298,"Starter",IF(G298&gt;=LARGE(G:G,FlexOn*LeagueInfo!$F$2),"Starter","Bench"))</f>
        <v>Bench</v>
      </c>
      <c r="G298">
        <f ca="1">IF(H298&gt;I298,D298,0)</f>
        <v>37.64</v>
      </c>
      <c r="H298">
        <f ca="1">INDEX(INDIRECT(""&amp;C298&amp;"!A2:A489"),MATCH(B298,INDIRECT(""&amp;C298&amp;"!B2:B489"),0))</f>
        <v>122</v>
      </c>
      <c r="I298">
        <f>IF(C298="RB",LeagueInfo!$D$4*LeagueInfo!$F$2,IF(C298="WR",LeagueInfo!$D$5*LeagueInfo!$F$2,IF(C298="TE",LeagueInfo!$D$6*LeagueInfo!$F$2,LeagueInfo!$D$3*LeagueInfo!$F$2)))</f>
        <v>24</v>
      </c>
    </row>
    <row r="299" spans="1:9" x14ac:dyDescent="0.25">
      <c r="A299">
        <f ca="1">RANK(E299,E$2:E$541)</f>
        <v>298</v>
      </c>
      <c r="B299" t="s">
        <v>939</v>
      </c>
      <c r="C299" t="s">
        <v>28</v>
      </c>
      <c r="D299">
        <f ca="1">INDEX(INDIRECT($C299&amp;"!P:P"),MATCH($B299,INDIRECT($C299&amp;"!B:B"),0))</f>
        <v>37</v>
      </c>
      <c r="E299" s="210">
        <f ca="1">D299-LARGE(D$2:D$486,RBCount+WRCount+TECount+QBCount)</f>
        <v>-74.2</v>
      </c>
      <c r="F299" t="str">
        <f ca="1">IF(H299&lt;=I299,"Starter",IF(G299&gt;=LARGE(G:G,FlexOn*LeagueInfo!$F$2),"Starter","Bench"))</f>
        <v>Bench</v>
      </c>
      <c r="G299">
        <f ca="1">IF(H299&gt;I299,D299,0)</f>
        <v>37</v>
      </c>
      <c r="H299">
        <f ca="1">INDEX(INDIRECT(""&amp;C299&amp;"!A2:A489"),MATCH(B299,INDIRECT(""&amp;C299&amp;"!B2:B489"),0))</f>
        <v>84</v>
      </c>
      <c r="I299">
        <f>IF(C299="RB",LeagueInfo!$D$4*LeagueInfo!$F$2,IF(C299="WR",LeagueInfo!$D$5*LeagueInfo!$F$2,IF(C299="TE",LeagueInfo!$D$6*LeagueInfo!$F$2,LeagueInfo!$D$3*LeagueInfo!$F$2)))</f>
        <v>24</v>
      </c>
    </row>
    <row r="300" spans="1:9" x14ac:dyDescent="0.25">
      <c r="A300">
        <f ca="1">RANK(E300,E$2:E$541)</f>
        <v>299</v>
      </c>
      <c r="B300" t="s">
        <v>2660</v>
      </c>
      <c r="C300" t="s">
        <v>35</v>
      </c>
      <c r="D300">
        <f ca="1">INDEX(INDIRECT($C300&amp;"!P:P"),MATCH($B300,INDIRECT($C300&amp;"!B:B"),0))</f>
        <v>36.480000000000004</v>
      </c>
      <c r="E300" s="210">
        <f ca="1">D300-LARGE(D$2:D$486,RBCount+WRCount+TECount+QBCount)</f>
        <v>-74.72</v>
      </c>
      <c r="F300" t="str">
        <f ca="1">IF(H300&lt;=I300,"Starter",IF(G300&gt;=LARGE(G:G,FlexOn*LeagueInfo!$F$2),"Starter","Bench"))</f>
        <v>Bench</v>
      </c>
      <c r="G300">
        <f ca="1">IF(H300&gt;I300,D300,0)</f>
        <v>36.480000000000004</v>
      </c>
      <c r="H300">
        <f ca="1">INDEX(INDIRECT(""&amp;C300&amp;"!A2:A489"),MATCH(B300,INDIRECT(""&amp;C300&amp;"!B2:B489"),0))</f>
        <v>123</v>
      </c>
      <c r="I300">
        <f>IF(C300="RB",LeagueInfo!$D$4*LeagueInfo!$F$2,IF(C300="WR",LeagueInfo!$D$5*LeagueInfo!$F$2,IF(C300="TE",LeagueInfo!$D$6*LeagueInfo!$F$2,LeagueInfo!$D$3*LeagueInfo!$F$2)))</f>
        <v>24</v>
      </c>
    </row>
    <row r="301" spans="1:9" x14ac:dyDescent="0.25">
      <c r="A301">
        <f ca="1">RANK(E301,E$2:E$541)</f>
        <v>300</v>
      </c>
      <c r="B301" t="s">
        <v>594</v>
      </c>
      <c r="C301" t="s">
        <v>43</v>
      </c>
      <c r="D301">
        <f ca="1">INDEX(INDIRECT($C301&amp;"!P:P"),MATCH($B301,INDIRECT($C301&amp;"!B:B"),0))</f>
        <v>36.47</v>
      </c>
      <c r="E301" s="210">
        <f ca="1">D301-LARGE(D$2:D$486,RBCount+WRCount+TECount+QBCount)</f>
        <v>-74.73</v>
      </c>
      <c r="F301" t="str">
        <f ca="1">IF(H301&lt;=I301,"Starter",IF(G301&gt;=LARGE(G:G,FlexOn*LeagueInfo!$F$2),"Starter","Bench"))</f>
        <v>Bench</v>
      </c>
      <c r="G301">
        <f ca="1">IF(H301&gt;I301,D301,0)</f>
        <v>36.47</v>
      </c>
      <c r="H301">
        <f ca="1">INDEX(INDIRECT(""&amp;C301&amp;"!A2:A489"),MATCH(B301,INDIRECT(""&amp;C301&amp;"!B2:B489"),0))</f>
        <v>56</v>
      </c>
      <c r="I301">
        <f>IF(C301="RB",LeagueInfo!$D$4*LeagueInfo!$F$2,IF(C301="WR",LeagueInfo!$D$5*LeagueInfo!$F$2,IF(C301="TE",LeagueInfo!$D$6*LeagueInfo!$F$2,LeagueInfo!$D$3*LeagueInfo!$F$2)))</f>
        <v>12</v>
      </c>
    </row>
    <row r="302" spans="1:9" x14ac:dyDescent="0.25">
      <c r="A302">
        <f ca="1">RANK(E302,E$2:E$541)</f>
        <v>301</v>
      </c>
      <c r="B302" t="s">
        <v>678</v>
      </c>
      <c r="C302" t="s">
        <v>28</v>
      </c>
      <c r="D302">
        <f ca="1">INDEX(INDIRECT($C302&amp;"!P:P"),MATCH($B302,INDIRECT($C302&amp;"!B:B"),0))</f>
        <v>36.250000000000007</v>
      </c>
      <c r="E302" s="210">
        <f ca="1">D302-LARGE(D$2:D$486,RBCount+WRCount+TECount+QBCount)</f>
        <v>-74.949999999999989</v>
      </c>
      <c r="F302" t="str">
        <f ca="1">IF(H302&lt;=I302,"Starter",IF(G302&gt;=LARGE(G:G,FlexOn*LeagueInfo!$F$2),"Starter","Bench"))</f>
        <v>Bench</v>
      </c>
      <c r="G302">
        <f ca="1">IF(H302&gt;I302,D302,0)</f>
        <v>36.250000000000007</v>
      </c>
      <c r="H302">
        <f ca="1">INDEX(INDIRECT(""&amp;C302&amp;"!A2:A489"),MATCH(B302,INDIRECT(""&amp;C302&amp;"!B2:B489"),0))</f>
        <v>85</v>
      </c>
      <c r="I302">
        <f>IF(C302="RB",LeagueInfo!$D$4*LeagueInfo!$F$2,IF(C302="WR",LeagueInfo!$D$5*LeagueInfo!$F$2,IF(C302="TE",LeagueInfo!$D$6*LeagueInfo!$F$2,LeagueInfo!$D$3*LeagueInfo!$F$2)))</f>
        <v>24</v>
      </c>
    </row>
    <row r="303" spans="1:9" x14ac:dyDescent="0.25">
      <c r="A303">
        <f ca="1">RANK(E303,E$2:E$541)</f>
        <v>302</v>
      </c>
      <c r="B303" t="s">
        <v>555</v>
      </c>
      <c r="C303" t="s">
        <v>28</v>
      </c>
      <c r="D303">
        <f ca="1">INDEX(INDIRECT($C303&amp;"!P:P"),MATCH($B303,INDIRECT($C303&amp;"!B:B"),0))</f>
        <v>36.020000000000003</v>
      </c>
      <c r="E303" s="210">
        <f ca="1">D303-LARGE(D$2:D$486,RBCount+WRCount+TECount+QBCount)</f>
        <v>-75.180000000000007</v>
      </c>
      <c r="F303" t="str">
        <f ca="1">IF(H303&lt;=I303,"Starter",IF(G303&gt;=LARGE(G:G,FlexOn*LeagueInfo!$F$2),"Starter","Bench"))</f>
        <v>Bench</v>
      </c>
      <c r="G303">
        <f ca="1">IF(H303&gt;I303,D303,0)</f>
        <v>36.020000000000003</v>
      </c>
      <c r="H303">
        <f ca="1">INDEX(INDIRECT(""&amp;C303&amp;"!A2:A489"),MATCH(B303,INDIRECT(""&amp;C303&amp;"!B2:B489"),0))</f>
        <v>86</v>
      </c>
      <c r="I303">
        <f>IF(C303="RB",LeagueInfo!$D$4*LeagueInfo!$F$2,IF(C303="WR",LeagueInfo!$D$5*LeagueInfo!$F$2,IF(C303="TE",LeagueInfo!$D$6*LeagueInfo!$F$2,LeagueInfo!$D$3*LeagueInfo!$F$2)))</f>
        <v>24</v>
      </c>
    </row>
    <row r="304" spans="1:9" x14ac:dyDescent="0.25">
      <c r="A304">
        <f ca="1">RANK(E304,E$2:E$541)</f>
        <v>303</v>
      </c>
      <c r="B304" t="s">
        <v>2476</v>
      </c>
      <c r="C304" t="s">
        <v>43</v>
      </c>
      <c r="D304">
        <f ca="1">INDEX(INDIRECT($C304&amp;"!P:P"),MATCH($B304,INDIRECT($C304&amp;"!B:B"),0))</f>
        <v>35.94</v>
      </c>
      <c r="E304" s="210">
        <f ca="1">D304-LARGE(D$2:D$486,RBCount+WRCount+TECount+QBCount)</f>
        <v>-75.260000000000005</v>
      </c>
      <c r="F304" t="str">
        <f ca="1">IF(H304&lt;=I304,"Starter",IF(G304&gt;=LARGE(G:G,FlexOn*LeagueInfo!$F$2),"Starter","Bench"))</f>
        <v>Bench</v>
      </c>
      <c r="G304">
        <f ca="1">IF(H304&gt;I304,D304,0)</f>
        <v>35.94</v>
      </c>
      <c r="H304">
        <f ca="1">INDEX(INDIRECT(""&amp;C304&amp;"!A2:A489"),MATCH(B304,INDIRECT(""&amp;C304&amp;"!B2:B489"),0))</f>
        <v>57</v>
      </c>
      <c r="I304">
        <f>IF(C304="RB",LeagueInfo!$D$4*LeagueInfo!$F$2,IF(C304="WR",LeagueInfo!$D$5*LeagueInfo!$F$2,IF(C304="TE",LeagueInfo!$D$6*LeagueInfo!$F$2,LeagueInfo!$D$3*LeagueInfo!$F$2)))</f>
        <v>12</v>
      </c>
    </row>
    <row r="305" spans="1:9" x14ac:dyDescent="0.25">
      <c r="A305">
        <f ca="1">RANK(E305,E$2:E$541)</f>
        <v>304</v>
      </c>
      <c r="B305" t="s">
        <v>1002</v>
      </c>
      <c r="C305" t="s">
        <v>35</v>
      </c>
      <c r="D305">
        <f ca="1">INDEX(INDIRECT($C305&amp;"!P:P"),MATCH($B305,INDIRECT($C305&amp;"!B:B"),0))</f>
        <v>35.92</v>
      </c>
      <c r="E305" s="210">
        <f ca="1">D305-LARGE(D$2:D$486,RBCount+WRCount+TECount+QBCount)</f>
        <v>-75.28</v>
      </c>
      <c r="F305" t="str">
        <f ca="1">IF(H305&lt;=I305,"Starter",IF(G305&gt;=LARGE(G:G,FlexOn*LeagueInfo!$F$2),"Starter","Bench"))</f>
        <v>Bench</v>
      </c>
      <c r="G305">
        <f ca="1">IF(H305&gt;I305,D305,0)</f>
        <v>35.92</v>
      </c>
      <c r="H305">
        <f ca="1">INDEX(INDIRECT(""&amp;C305&amp;"!A2:A489"),MATCH(B305,INDIRECT(""&amp;C305&amp;"!B2:B489"),0))</f>
        <v>124</v>
      </c>
      <c r="I305">
        <f>IF(C305="RB",LeagueInfo!$D$4*LeagueInfo!$F$2,IF(C305="WR",LeagueInfo!$D$5*LeagueInfo!$F$2,IF(C305="TE",LeagueInfo!$D$6*LeagueInfo!$F$2,LeagueInfo!$D$3*LeagueInfo!$F$2)))</f>
        <v>24</v>
      </c>
    </row>
    <row r="306" spans="1:9" x14ac:dyDescent="0.25">
      <c r="A306">
        <f ca="1">RANK(E306,E$2:E$541)</f>
        <v>305</v>
      </c>
      <c r="B306" t="s">
        <v>677</v>
      </c>
      <c r="C306" t="s">
        <v>28</v>
      </c>
      <c r="D306">
        <f ca="1">INDEX(INDIRECT($C306&amp;"!P:P"),MATCH($B306,INDIRECT($C306&amp;"!B:B"),0))</f>
        <v>35.39</v>
      </c>
      <c r="E306" s="210">
        <f ca="1">D306-LARGE(D$2:D$486,RBCount+WRCount+TECount+QBCount)</f>
        <v>-75.81</v>
      </c>
      <c r="F306" t="str">
        <f ca="1">IF(H306&lt;=I306,"Starter",IF(G306&gt;=LARGE(G:G,FlexOn*LeagueInfo!$F$2),"Starter","Bench"))</f>
        <v>Bench</v>
      </c>
      <c r="G306">
        <f ca="1">IF(H306&gt;I306,D306,0)</f>
        <v>35.39</v>
      </c>
      <c r="H306">
        <f ca="1">INDEX(INDIRECT(""&amp;C306&amp;"!A2:A489"),MATCH(B306,INDIRECT(""&amp;C306&amp;"!B2:B489"),0))</f>
        <v>87</v>
      </c>
      <c r="I306">
        <f>IF(C306="RB",LeagueInfo!$D$4*LeagueInfo!$F$2,IF(C306="WR",LeagueInfo!$D$5*LeagueInfo!$F$2,IF(C306="TE",LeagueInfo!$D$6*LeagueInfo!$F$2,LeagueInfo!$D$3*LeagueInfo!$F$2)))</f>
        <v>24</v>
      </c>
    </row>
    <row r="307" spans="1:9" x14ac:dyDescent="0.25">
      <c r="A307">
        <f ca="1">RANK(E307,E$2:E$541)</f>
        <v>306</v>
      </c>
      <c r="B307" t="s">
        <v>887</v>
      </c>
      <c r="C307" t="s">
        <v>28</v>
      </c>
      <c r="D307">
        <f ca="1">INDEX(INDIRECT($C307&amp;"!P:P"),MATCH($B307,INDIRECT($C307&amp;"!B:B"),0))</f>
        <v>35.200000000000003</v>
      </c>
      <c r="E307" s="210">
        <f ca="1">D307-LARGE(D$2:D$486,RBCount+WRCount+TECount+QBCount)</f>
        <v>-76</v>
      </c>
      <c r="F307" t="str">
        <f ca="1">IF(H307&lt;=I307,"Starter",IF(G307&gt;=LARGE(G:G,FlexOn*LeagueInfo!$F$2),"Starter","Bench"))</f>
        <v>Bench</v>
      </c>
      <c r="G307">
        <f ca="1">IF(H307&gt;I307,D307,0)</f>
        <v>35.200000000000003</v>
      </c>
      <c r="H307">
        <f ca="1">INDEX(INDIRECT(""&amp;C307&amp;"!A2:A489"),MATCH(B307,INDIRECT(""&amp;C307&amp;"!B2:B489"),0))</f>
        <v>88</v>
      </c>
      <c r="I307">
        <f>IF(C307="RB",LeagueInfo!$D$4*LeagueInfo!$F$2,IF(C307="WR",LeagueInfo!$D$5*LeagueInfo!$F$2,IF(C307="TE",LeagueInfo!$D$6*LeagueInfo!$F$2,LeagueInfo!$D$3*LeagueInfo!$F$2)))</f>
        <v>24</v>
      </c>
    </row>
    <row r="308" spans="1:9" x14ac:dyDescent="0.25">
      <c r="A308">
        <f ca="1">RANK(E308,E$2:E$541)</f>
        <v>307</v>
      </c>
      <c r="B308" t="s">
        <v>394</v>
      </c>
      <c r="C308" t="s">
        <v>35</v>
      </c>
      <c r="D308">
        <f ca="1">INDEX(INDIRECT($C308&amp;"!P:P"),MATCH($B308,INDIRECT($C308&amp;"!B:B"),0))</f>
        <v>35.159999999999997</v>
      </c>
      <c r="E308" s="210">
        <f ca="1">D308-LARGE(D$2:D$486,RBCount+WRCount+TECount+QBCount)</f>
        <v>-76.040000000000006</v>
      </c>
      <c r="F308" t="str">
        <f ca="1">IF(H308&lt;=I308,"Starter",IF(G308&gt;=LARGE(G:G,FlexOn*LeagueInfo!$F$2),"Starter","Bench"))</f>
        <v>Bench</v>
      </c>
      <c r="G308">
        <f ca="1">IF(H308&gt;I308,D308,0)</f>
        <v>35.159999999999997</v>
      </c>
      <c r="H308">
        <f ca="1">INDEX(INDIRECT(""&amp;C308&amp;"!A2:A489"),MATCH(B308,INDIRECT(""&amp;C308&amp;"!B2:B489"),0))</f>
        <v>125</v>
      </c>
      <c r="I308">
        <f>IF(C308="RB",LeagueInfo!$D$4*LeagueInfo!$F$2,IF(C308="WR",LeagueInfo!$D$5*LeagueInfo!$F$2,IF(C308="TE",LeagueInfo!$D$6*LeagueInfo!$F$2,LeagueInfo!$D$3*LeagueInfo!$F$2)))</f>
        <v>24</v>
      </c>
    </row>
    <row r="309" spans="1:9" x14ac:dyDescent="0.25">
      <c r="A309">
        <f ca="1">RANK(E309,E$2:E$541)</f>
        <v>308</v>
      </c>
      <c r="B309" t="s">
        <v>981</v>
      </c>
      <c r="C309" t="s">
        <v>43</v>
      </c>
      <c r="D309">
        <f ca="1">INDEX(INDIRECT($C309&amp;"!P:P"),MATCH($B309,INDIRECT($C309&amp;"!B:B"),0))</f>
        <v>34.42</v>
      </c>
      <c r="E309" s="210">
        <f ca="1">D309-LARGE(D$2:D$486,RBCount+WRCount+TECount+QBCount)</f>
        <v>-76.78</v>
      </c>
      <c r="F309" t="str">
        <f ca="1">IF(H309&lt;=I309,"Starter",IF(G309&gt;=LARGE(G:G,FlexOn*LeagueInfo!$F$2),"Starter","Bench"))</f>
        <v>Bench</v>
      </c>
      <c r="G309">
        <f ca="1">IF(H309&gt;I309,D309,0)</f>
        <v>34.42</v>
      </c>
      <c r="H309">
        <f ca="1">INDEX(INDIRECT(""&amp;C309&amp;"!A2:A489"),MATCH(B309,INDIRECT(""&amp;C309&amp;"!B2:B489"),0))</f>
        <v>58</v>
      </c>
      <c r="I309">
        <f>IF(C309="RB",LeagueInfo!$D$4*LeagueInfo!$F$2,IF(C309="WR",LeagueInfo!$D$5*LeagueInfo!$F$2,IF(C309="TE",LeagueInfo!$D$6*LeagueInfo!$F$2,LeagueInfo!$D$3*LeagueInfo!$F$2)))</f>
        <v>12</v>
      </c>
    </row>
    <row r="310" spans="1:9" x14ac:dyDescent="0.25">
      <c r="A310">
        <f ca="1">RANK(E310,E$2:E$541)</f>
        <v>309</v>
      </c>
      <c r="B310" t="s">
        <v>895</v>
      </c>
      <c r="C310" t="s">
        <v>28</v>
      </c>
      <c r="D310">
        <f ca="1">INDEX(INDIRECT($C310&amp;"!P:P"),MATCH($B310,INDIRECT($C310&amp;"!B:B"),0))</f>
        <v>33.909999999999997</v>
      </c>
      <c r="E310" s="210">
        <f ca="1">D310-LARGE(D$2:D$486,RBCount+WRCount+TECount+QBCount)</f>
        <v>-77.290000000000006</v>
      </c>
      <c r="F310" t="str">
        <f ca="1">IF(H310&lt;=I310,"Starter",IF(G310&gt;=LARGE(G:G,FlexOn*LeagueInfo!$F$2),"Starter","Bench"))</f>
        <v>Bench</v>
      </c>
      <c r="G310">
        <f ca="1">IF(H310&gt;I310,D310,0)</f>
        <v>33.909999999999997</v>
      </c>
      <c r="H310">
        <f ca="1">INDEX(INDIRECT(""&amp;C310&amp;"!A2:A489"),MATCH(B310,INDIRECT(""&amp;C310&amp;"!B2:B489"),0))</f>
        <v>89</v>
      </c>
      <c r="I310">
        <f>IF(C310="RB",LeagueInfo!$D$4*LeagueInfo!$F$2,IF(C310="WR",LeagueInfo!$D$5*LeagueInfo!$F$2,IF(C310="TE",LeagueInfo!$D$6*LeagueInfo!$F$2,LeagueInfo!$D$3*LeagueInfo!$F$2)))</f>
        <v>24</v>
      </c>
    </row>
    <row r="311" spans="1:9" x14ac:dyDescent="0.25">
      <c r="A311">
        <f ca="1">RANK(E311,E$2:E$541)</f>
        <v>310</v>
      </c>
      <c r="B311" t="s">
        <v>886</v>
      </c>
      <c r="C311" t="s">
        <v>28</v>
      </c>
      <c r="D311">
        <f ca="1">INDEX(INDIRECT($C311&amp;"!P:P"),MATCH($B311,INDIRECT($C311&amp;"!B:B"),0))</f>
        <v>33.51</v>
      </c>
      <c r="E311" s="210">
        <f ca="1">D311-LARGE(D$2:D$486,RBCount+WRCount+TECount+QBCount)</f>
        <v>-77.69</v>
      </c>
      <c r="F311" t="str">
        <f ca="1">IF(H311&lt;=I311,"Starter",IF(G311&gt;=LARGE(G:G,FlexOn*LeagueInfo!$F$2),"Starter","Bench"))</f>
        <v>Bench</v>
      </c>
      <c r="G311">
        <f ca="1">IF(H311&gt;I311,D311,0)</f>
        <v>33.51</v>
      </c>
      <c r="H311">
        <f ca="1">INDEX(INDIRECT(""&amp;C311&amp;"!A2:A489"),MATCH(B311,INDIRECT(""&amp;C311&amp;"!B2:B489"),0))</f>
        <v>90</v>
      </c>
      <c r="I311">
        <f>IF(C311="RB",LeagueInfo!$D$4*LeagueInfo!$F$2,IF(C311="WR",LeagueInfo!$D$5*LeagueInfo!$F$2,IF(C311="TE",LeagueInfo!$D$6*LeagueInfo!$F$2,LeagueInfo!$D$3*LeagueInfo!$F$2)))</f>
        <v>24</v>
      </c>
    </row>
    <row r="312" spans="1:9" x14ac:dyDescent="0.25">
      <c r="A312">
        <f ca="1">RANK(E312,E$2:E$541)</f>
        <v>311</v>
      </c>
      <c r="B312" t="s">
        <v>883</v>
      </c>
      <c r="C312" t="s">
        <v>28</v>
      </c>
      <c r="D312">
        <f ca="1">INDEX(INDIRECT($C312&amp;"!P:P"),MATCH($B312,INDIRECT($C312&amp;"!B:B"),0))</f>
        <v>33.339999999999996</v>
      </c>
      <c r="E312" s="210">
        <f ca="1">D312-LARGE(D$2:D$486,RBCount+WRCount+TECount+QBCount)</f>
        <v>-77.860000000000014</v>
      </c>
      <c r="F312" t="str">
        <f ca="1">IF(H312&lt;=I312,"Starter",IF(G312&gt;=LARGE(G:G,FlexOn*LeagueInfo!$F$2),"Starter","Bench"))</f>
        <v>Bench</v>
      </c>
      <c r="G312">
        <f ca="1">IF(H312&gt;I312,D312,0)</f>
        <v>33.339999999999996</v>
      </c>
      <c r="H312">
        <f ca="1">INDEX(INDIRECT(""&amp;C312&amp;"!A2:A489"),MATCH(B312,INDIRECT(""&amp;C312&amp;"!B2:B489"),0))</f>
        <v>91</v>
      </c>
      <c r="I312">
        <f>IF(C312="RB",LeagueInfo!$D$4*LeagueInfo!$F$2,IF(C312="WR",LeagueInfo!$D$5*LeagueInfo!$F$2,IF(C312="TE",LeagueInfo!$D$6*LeagueInfo!$F$2,LeagueInfo!$D$3*LeagueInfo!$F$2)))</f>
        <v>24</v>
      </c>
    </row>
    <row r="313" spans="1:9" x14ac:dyDescent="0.25">
      <c r="A313">
        <f ca="1">RANK(E313,E$2:E$541)</f>
        <v>312</v>
      </c>
      <c r="B313" t="s">
        <v>596</v>
      </c>
      <c r="C313" t="s">
        <v>43</v>
      </c>
      <c r="D313">
        <f ca="1">INDEX(INDIRECT($C313&amp;"!P:P"),MATCH($B313,INDIRECT($C313&amp;"!B:B"),0))</f>
        <v>33.31</v>
      </c>
      <c r="E313" s="210">
        <f ca="1">D313-LARGE(D$2:D$486,RBCount+WRCount+TECount+QBCount)</f>
        <v>-77.89</v>
      </c>
      <c r="F313" t="str">
        <f ca="1">IF(H313&lt;=I313,"Starter",IF(G313&gt;=LARGE(G:G,FlexOn*LeagueInfo!$F$2),"Starter","Bench"))</f>
        <v>Bench</v>
      </c>
      <c r="G313">
        <f ca="1">IF(H313&gt;I313,D313,0)</f>
        <v>33.31</v>
      </c>
      <c r="H313">
        <f ca="1">INDEX(INDIRECT(""&amp;C313&amp;"!A2:A489"),MATCH(B313,INDIRECT(""&amp;C313&amp;"!B2:B489"),0))</f>
        <v>59</v>
      </c>
      <c r="I313">
        <f>IF(C313="RB",LeagueInfo!$D$4*LeagueInfo!$F$2,IF(C313="WR",LeagueInfo!$D$5*LeagueInfo!$F$2,IF(C313="TE",LeagueInfo!$D$6*LeagueInfo!$F$2,LeagueInfo!$D$3*LeagueInfo!$F$2)))</f>
        <v>12</v>
      </c>
    </row>
    <row r="314" spans="1:9" x14ac:dyDescent="0.25">
      <c r="A314">
        <f ca="1">RANK(E314,E$2:E$541)</f>
        <v>313</v>
      </c>
      <c r="B314" t="s">
        <v>960</v>
      </c>
      <c r="C314" t="s">
        <v>35</v>
      </c>
      <c r="D314">
        <f ca="1">INDEX(INDIRECT($C314&amp;"!P:P"),MATCH($B314,INDIRECT($C314&amp;"!B:B"),0))</f>
        <v>33.080000000000005</v>
      </c>
      <c r="E314" s="210">
        <f ca="1">D314-LARGE(D$2:D$486,RBCount+WRCount+TECount+QBCount)</f>
        <v>-78.12</v>
      </c>
      <c r="F314" t="str">
        <f ca="1">IF(H314&lt;=I314,"Starter",IF(G314&gt;=LARGE(G:G,FlexOn*LeagueInfo!$F$2),"Starter","Bench"))</f>
        <v>Bench</v>
      </c>
      <c r="G314">
        <f ca="1">IF(H314&gt;I314,D314,0)</f>
        <v>33.080000000000005</v>
      </c>
      <c r="H314">
        <f ca="1">INDEX(INDIRECT(""&amp;C314&amp;"!A2:A489"),MATCH(B314,INDIRECT(""&amp;C314&amp;"!B2:B489"),0))</f>
        <v>126</v>
      </c>
      <c r="I314">
        <f>IF(C314="RB",LeagueInfo!$D$4*LeagueInfo!$F$2,IF(C314="WR",LeagueInfo!$D$5*LeagueInfo!$F$2,IF(C314="TE",LeagueInfo!$D$6*LeagueInfo!$F$2,LeagueInfo!$D$3*LeagueInfo!$F$2)))</f>
        <v>24</v>
      </c>
    </row>
    <row r="315" spans="1:9" x14ac:dyDescent="0.25">
      <c r="A315">
        <f ca="1">RANK(E315,E$2:E$541)</f>
        <v>314</v>
      </c>
      <c r="B315" t="s">
        <v>371</v>
      </c>
      <c r="C315" t="s">
        <v>35</v>
      </c>
      <c r="D315">
        <f ca="1">INDEX(INDIRECT($C315&amp;"!P:P"),MATCH($B315,INDIRECT($C315&amp;"!B:B"),0))</f>
        <v>32.589999999999996</v>
      </c>
      <c r="E315" s="210">
        <f ca="1">D315-LARGE(D$2:D$486,RBCount+WRCount+TECount+QBCount)</f>
        <v>-78.610000000000014</v>
      </c>
      <c r="F315" t="str">
        <f ca="1">IF(H315&lt;=I315,"Starter",IF(G315&gt;=LARGE(G:G,FlexOn*LeagueInfo!$F$2),"Starter","Bench"))</f>
        <v>Bench</v>
      </c>
      <c r="G315">
        <f ca="1">IF(H315&gt;I315,D315,0)</f>
        <v>32.589999999999996</v>
      </c>
      <c r="H315">
        <f ca="1">INDEX(INDIRECT(""&amp;C315&amp;"!A2:A489"),MATCH(B315,INDIRECT(""&amp;C315&amp;"!B2:B489"),0))</f>
        <v>127</v>
      </c>
      <c r="I315">
        <f>IF(C315="RB",LeagueInfo!$D$4*LeagueInfo!$F$2,IF(C315="WR",LeagueInfo!$D$5*LeagueInfo!$F$2,IF(C315="TE",LeagueInfo!$D$6*LeagueInfo!$F$2,LeagueInfo!$D$3*LeagueInfo!$F$2)))</f>
        <v>24</v>
      </c>
    </row>
    <row r="316" spans="1:9" x14ac:dyDescent="0.25">
      <c r="A316">
        <f ca="1">RANK(E316,E$2:E$541)</f>
        <v>315</v>
      </c>
      <c r="B316" t="s">
        <v>2437</v>
      </c>
      <c r="C316" t="s">
        <v>35</v>
      </c>
      <c r="D316">
        <f ca="1">INDEX(INDIRECT($C316&amp;"!P:P"),MATCH($B316,INDIRECT($C316&amp;"!B:B"),0))</f>
        <v>32.28</v>
      </c>
      <c r="E316" s="210">
        <f ca="1">D316-LARGE(D$2:D$486,RBCount+WRCount+TECount+QBCount)</f>
        <v>-78.92</v>
      </c>
      <c r="F316" t="str">
        <f ca="1">IF(H316&lt;=I316,"Starter",IF(G316&gt;=LARGE(G:G,FlexOn*LeagueInfo!$F$2),"Starter","Bench"))</f>
        <v>Bench</v>
      </c>
      <c r="G316">
        <f ca="1">IF(H316&gt;I316,D316,0)</f>
        <v>32.28</v>
      </c>
      <c r="H316">
        <f ca="1">INDEX(INDIRECT(""&amp;C316&amp;"!A2:A489"),MATCH(B316,INDIRECT(""&amp;C316&amp;"!B2:B489"),0))</f>
        <v>128</v>
      </c>
      <c r="I316">
        <f>IF(C316="RB",LeagueInfo!$D$4*LeagueInfo!$F$2,IF(C316="WR",LeagueInfo!$D$5*LeagueInfo!$F$2,IF(C316="TE",LeagueInfo!$D$6*LeagueInfo!$F$2,LeagueInfo!$D$3*LeagueInfo!$F$2)))</f>
        <v>24</v>
      </c>
    </row>
    <row r="317" spans="1:9" x14ac:dyDescent="0.25">
      <c r="A317">
        <f ca="1">RANK(E317,E$2:E$541)</f>
        <v>316</v>
      </c>
      <c r="B317" t="s">
        <v>2560</v>
      </c>
      <c r="C317" t="s">
        <v>35</v>
      </c>
      <c r="D317">
        <f ca="1">INDEX(INDIRECT($C317&amp;"!P:P"),MATCH($B317,INDIRECT($C317&amp;"!B:B"),0))</f>
        <v>31.68</v>
      </c>
      <c r="E317" s="210">
        <f ca="1">D317-LARGE(D$2:D$486,RBCount+WRCount+TECount+QBCount)</f>
        <v>-79.52000000000001</v>
      </c>
      <c r="F317" t="str">
        <f ca="1">IF(H317&lt;=I317,"Starter",IF(G317&gt;=LARGE(G:G,FlexOn*LeagueInfo!$F$2),"Starter","Bench"))</f>
        <v>Bench</v>
      </c>
      <c r="G317">
        <f ca="1">IF(H317&gt;I317,D317,0)</f>
        <v>31.68</v>
      </c>
      <c r="H317">
        <f ca="1">INDEX(INDIRECT(""&amp;C317&amp;"!A2:A489"),MATCH(B317,INDIRECT(""&amp;C317&amp;"!B2:B489"),0))</f>
        <v>129</v>
      </c>
      <c r="I317">
        <f>IF(C317="RB",LeagueInfo!$D$4*LeagueInfo!$F$2,IF(C317="WR",LeagueInfo!$D$5*LeagueInfo!$F$2,IF(C317="TE",LeagueInfo!$D$6*LeagueInfo!$F$2,LeagueInfo!$D$3*LeagueInfo!$F$2)))</f>
        <v>24</v>
      </c>
    </row>
    <row r="318" spans="1:9" x14ac:dyDescent="0.25">
      <c r="A318">
        <f ca="1">RANK(E318,E$2:E$541)</f>
        <v>317</v>
      </c>
      <c r="B318" t="s">
        <v>580</v>
      </c>
      <c r="C318" t="s">
        <v>35</v>
      </c>
      <c r="D318">
        <f ca="1">INDEX(INDIRECT($C318&amp;"!P:P"),MATCH($B318,INDIRECT($C318&amp;"!B:B"),0))</f>
        <v>31.66</v>
      </c>
      <c r="E318" s="210">
        <f ca="1">D318-LARGE(D$2:D$486,RBCount+WRCount+TECount+QBCount)</f>
        <v>-79.540000000000006</v>
      </c>
      <c r="F318" t="str">
        <f ca="1">IF(H318&lt;=I318,"Starter",IF(G318&gt;=LARGE(G:G,FlexOn*LeagueInfo!$F$2),"Starter","Bench"))</f>
        <v>Bench</v>
      </c>
      <c r="G318">
        <f ca="1">IF(H318&gt;I318,D318,0)</f>
        <v>31.66</v>
      </c>
      <c r="H318">
        <f ca="1">INDEX(INDIRECT(""&amp;C318&amp;"!A2:A489"),MATCH(B318,INDIRECT(""&amp;C318&amp;"!B2:B489"),0))</f>
        <v>130</v>
      </c>
      <c r="I318">
        <f>IF(C318="RB",LeagueInfo!$D$4*LeagueInfo!$F$2,IF(C318="WR",LeagueInfo!$D$5*LeagueInfo!$F$2,IF(C318="TE",LeagueInfo!$D$6*LeagueInfo!$F$2,LeagueInfo!$D$3*LeagueInfo!$F$2)))</f>
        <v>24</v>
      </c>
    </row>
    <row r="319" spans="1:9" x14ac:dyDescent="0.25">
      <c r="A319">
        <f ca="1">RANK(E319,E$2:E$541)</f>
        <v>318</v>
      </c>
      <c r="B319" t="s">
        <v>855</v>
      </c>
      <c r="C319" t="s">
        <v>35</v>
      </c>
      <c r="D319">
        <f ca="1">INDEX(INDIRECT($C319&amp;"!P:P"),MATCH($B319,INDIRECT($C319&amp;"!B:B"),0))</f>
        <v>31.580000000000002</v>
      </c>
      <c r="E319" s="210">
        <f ca="1">D319-LARGE(D$2:D$486,RBCount+WRCount+TECount+QBCount)</f>
        <v>-79.62</v>
      </c>
      <c r="F319" t="str">
        <f ca="1">IF(H319&lt;=I319,"Starter",IF(G319&gt;=LARGE(G:G,FlexOn*LeagueInfo!$F$2),"Starter","Bench"))</f>
        <v>Bench</v>
      </c>
      <c r="G319">
        <f ca="1">IF(H319&gt;I319,D319,0)</f>
        <v>31.580000000000002</v>
      </c>
      <c r="H319">
        <f ca="1">INDEX(INDIRECT(""&amp;C319&amp;"!A2:A489"),MATCH(B319,INDIRECT(""&amp;C319&amp;"!B2:B489"),0))</f>
        <v>131</v>
      </c>
      <c r="I319">
        <f>IF(C319="RB",LeagueInfo!$D$4*LeagueInfo!$F$2,IF(C319="WR",LeagueInfo!$D$5*LeagueInfo!$F$2,IF(C319="TE",LeagueInfo!$D$6*LeagueInfo!$F$2,LeagueInfo!$D$3*LeagueInfo!$F$2)))</f>
        <v>24</v>
      </c>
    </row>
    <row r="320" spans="1:9" x14ac:dyDescent="0.25">
      <c r="A320">
        <f ca="1">RANK(E320,E$2:E$541)</f>
        <v>319</v>
      </c>
      <c r="B320" t="s">
        <v>421</v>
      </c>
      <c r="C320" t="s">
        <v>43</v>
      </c>
      <c r="D320">
        <f ca="1">INDEX(INDIRECT($C320&amp;"!P:P"),MATCH($B320,INDIRECT($C320&amp;"!B:B"),0))</f>
        <v>31.55</v>
      </c>
      <c r="E320" s="210">
        <f ca="1">D320-LARGE(D$2:D$486,RBCount+WRCount+TECount+QBCount)</f>
        <v>-79.650000000000006</v>
      </c>
      <c r="F320" t="str">
        <f ca="1">IF(H320&lt;=I320,"Starter",IF(G320&gt;=LARGE(G:G,FlexOn*LeagueInfo!$F$2),"Starter","Bench"))</f>
        <v>Bench</v>
      </c>
      <c r="G320">
        <f ca="1">IF(H320&gt;I320,D320,0)</f>
        <v>31.55</v>
      </c>
      <c r="H320">
        <f ca="1">INDEX(INDIRECT(""&amp;C320&amp;"!A2:A489"),MATCH(B320,INDIRECT(""&amp;C320&amp;"!B2:B489"),0))</f>
        <v>60</v>
      </c>
      <c r="I320">
        <f>IF(C320="RB",LeagueInfo!$D$4*LeagueInfo!$F$2,IF(C320="WR",LeagueInfo!$D$5*LeagueInfo!$F$2,IF(C320="TE",LeagueInfo!$D$6*LeagueInfo!$F$2,LeagueInfo!$D$3*LeagueInfo!$F$2)))</f>
        <v>12</v>
      </c>
    </row>
    <row r="321" spans="1:9" x14ac:dyDescent="0.25">
      <c r="A321">
        <f ca="1">RANK(E321,E$2:E$541)</f>
        <v>320</v>
      </c>
      <c r="B321" t="s">
        <v>574</v>
      </c>
      <c r="C321" t="s">
        <v>35</v>
      </c>
      <c r="D321">
        <f ca="1">INDEX(INDIRECT($C321&amp;"!P:P"),MATCH($B321,INDIRECT($C321&amp;"!B:B"),0))</f>
        <v>31.180000000000007</v>
      </c>
      <c r="E321" s="210">
        <f ca="1">D321-LARGE(D$2:D$486,RBCount+WRCount+TECount+QBCount)</f>
        <v>-80.02</v>
      </c>
      <c r="F321" t="str">
        <f ca="1">IF(H321&lt;=I321,"Starter",IF(G321&gt;=LARGE(G:G,FlexOn*LeagueInfo!$F$2),"Starter","Bench"))</f>
        <v>Bench</v>
      </c>
      <c r="G321">
        <f ca="1">IF(H321&gt;I321,D321,0)</f>
        <v>31.180000000000007</v>
      </c>
      <c r="H321">
        <f ca="1">INDEX(INDIRECT(""&amp;C321&amp;"!A2:A489"),MATCH(B321,INDIRECT(""&amp;C321&amp;"!B2:B489"),0))</f>
        <v>132</v>
      </c>
      <c r="I321">
        <f>IF(C321="RB",LeagueInfo!$D$4*LeagueInfo!$F$2,IF(C321="WR",LeagueInfo!$D$5*LeagueInfo!$F$2,IF(C321="TE",LeagueInfo!$D$6*LeagueInfo!$F$2,LeagueInfo!$D$3*LeagueInfo!$F$2)))</f>
        <v>24</v>
      </c>
    </row>
    <row r="322" spans="1:9" x14ac:dyDescent="0.25">
      <c r="A322">
        <f ca="1">RANK(E322,E$2:E$541)</f>
        <v>321</v>
      </c>
      <c r="B322" t="s">
        <v>681</v>
      </c>
      <c r="C322" t="s">
        <v>28</v>
      </c>
      <c r="D322">
        <f ca="1">INDEX(INDIRECT($C322&amp;"!P:P"),MATCH($B322,INDIRECT($C322&amp;"!B:B"),0))</f>
        <v>30.84</v>
      </c>
      <c r="E322" s="210">
        <f ca="1">D322-LARGE(D$2:D$486,RBCount+WRCount+TECount+QBCount)</f>
        <v>-80.36</v>
      </c>
      <c r="F322" t="str">
        <f ca="1">IF(H322&lt;=I322,"Starter",IF(G322&gt;=LARGE(G:G,FlexOn*LeagueInfo!$F$2),"Starter","Bench"))</f>
        <v>Bench</v>
      </c>
      <c r="G322">
        <f ca="1">IF(H322&gt;I322,D322,0)</f>
        <v>30.84</v>
      </c>
      <c r="H322">
        <f ca="1">INDEX(INDIRECT(""&amp;C322&amp;"!A2:A489"),MATCH(B322,INDIRECT(""&amp;C322&amp;"!B2:B489"),0))</f>
        <v>92</v>
      </c>
      <c r="I322">
        <f>IF(C322="RB",LeagueInfo!$D$4*LeagueInfo!$F$2,IF(C322="WR",LeagueInfo!$D$5*LeagueInfo!$F$2,IF(C322="TE",LeagueInfo!$D$6*LeagueInfo!$F$2,LeagueInfo!$D$3*LeagueInfo!$F$2)))</f>
        <v>24</v>
      </c>
    </row>
    <row r="323" spans="1:9" x14ac:dyDescent="0.25">
      <c r="A323">
        <f ca="1">RANK(E323,E$2:E$541)</f>
        <v>322</v>
      </c>
      <c r="B323" t="s">
        <v>327</v>
      </c>
      <c r="C323" t="s">
        <v>28</v>
      </c>
      <c r="D323">
        <f ca="1">INDEX(INDIRECT($C323&amp;"!P:P"),MATCH($B323,INDIRECT($C323&amp;"!B:B"),0))</f>
        <v>30.620000000000005</v>
      </c>
      <c r="E323" s="210">
        <f ca="1">D323-LARGE(D$2:D$486,RBCount+WRCount+TECount+QBCount)</f>
        <v>-80.58</v>
      </c>
      <c r="F323" t="str">
        <f ca="1">IF(H323&lt;=I323,"Starter",IF(G323&gt;=LARGE(G:G,FlexOn*LeagueInfo!$F$2),"Starter","Bench"))</f>
        <v>Bench</v>
      </c>
      <c r="G323">
        <f ca="1">IF(H323&gt;I323,D323,0)</f>
        <v>30.620000000000005</v>
      </c>
      <c r="H323">
        <f ca="1">INDEX(INDIRECT(""&amp;C323&amp;"!A2:A489"),MATCH(B323,INDIRECT(""&amp;C323&amp;"!B2:B489"),0))</f>
        <v>93</v>
      </c>
      <c r="I323">
        <f>IF(C323="RB",LeagueInfo!$D$4*LeagueInfo!$F$2,IF(C323="WR",LeagueInfo!$D$5*LeagueInfo!$F$2,IF(C323="TE",LeagueInfo!$D$6*LeagueInfo!$F$2,LeagueInfo!$D$3*LeagueInfo!$F$2)))</f>
        <v>24</v>
      </c>
    </row>
    <row r="324" spans="1:9" x14ac:dyDescent="0.25">
      <c r="A324">
        <f ca="1">RANK(E324,E$2:E$541)</f>
        <v>323</v>
      </c>
      <c r="B324" t="s">
        <v>404</v>
      </c>
      <c r="C324" t="s">
        <v>35</v>
      </c>
      <c r="D324">
        <f ca="1">INDEX(INDIRECT($C324&amp;"!P:P"),MATCH($B324,INDIRECT($C324&amp;"!B:B"),0))</f>
        <v>30.549999999999997</v>
      </c>
      <c r="E324" s="210">
        <f ca="1">D324-LARGE(D$2:D$486,RBCount+WRCount+TECount+QBCount)</f>
        <v>-80.650000000000006</v>
      </c>
      <c r="F324" t="str">
        <f ca="1">IF(H324&lt;=I324,"Starter",IF(G324&gt;=LARGE(G:G,FlexOn*LeagueInfo!$F$2),"Starter","Bench"))</f>
        <v>Bench</v>
      </c>
      <c r="G324">
        <f ca="1">IF(H324&gt;I324,D324,0)</f>
        <v>30.549999999999997</v>
      </c>
      <c r="H324">
        <f ca="1">INDEX(INDIRECT(""&amp;C324&amp;"!A2:A489"),MATCH(B324,INDIRECT(""&amp;C324&amp;"!B2:B489"),0))</f>
        <v>133</v>
      </c>
      <c r="I324">
        <f>IF(C324="RB",LeagueInfo!$D$4*LeagueInfo!$F$2,IF(C324="WR",LeagueInfo!$D$5*LeagueInfo!$F$2,IF(C324="TE",LeagueInfo!$D$6*LeagueInfo!$F$2,LeagueInfo!$D$3*LeagueInfo!$F$2)))</f>
        <v>24</v>
      </c>
    </row>
    <row r="325" spans="1:9" x14ac:dyDescent="0.25">
      <c r="A325">
        <f ca="1">RANK(E325,E$2:E$541)</f>
        <v>324</v>
      </c>
      <c r="B325" t="s">
        <v>321</v>
      </c>
      <c r="C325" t="s">
        <v>43</v>
      </c>
      <c r="D325">
        <f ca="1">INDEX(INDIRECT($C325&amp;"!P:P"),MATCH($B325,INDIRECT($C325&amp;"!B:B"),0))</f>
        <v>30.450000000000003</v>
      </c>
      <c r="E325" s="210">
        <f ca="1">D325-LARGE(D$2:D$486,RBCount+WRCount+TECount+QBCount)</f>
        <v>-80.75</v>
      </c>
      <c r="F325" t="str">
        <f ca="1">IF(H325&lt;=I325,"Starter",IF(G325&gt;=LARGE(G:G,FlexOn*LeagueInfo!$F$2),"Starter","Bench"))</f>
        <v>Bench</v>
      </c>
      <c r="G325">
        <f ca="1">IF(H325&gt;I325,D325,0)</f>
        <v>30.450000000000003</v>
      </c>
      <c r="H325">
        <f ca="1">INDEX(INDIRECT(""&amp;C325&amp;"!A2:A489"),MATCH(B325,INDIRECT(""&amp;C325&amp;"!B2:B489"),0))</f>
        <v>61</v>
      </c>
      <c r="I325">
        <f>IF(C325="RB",LeagueInfo!$D$4*LeagueInfo!$F$2,IF(C325="WR",LeagueInfo!$D$5*LeagueInfo!$F$2,IF(C325="TE",LeagueInfo!$D$6*LeagueInfo!$F$2,LeagueInfo!$D$3*LeagueInfo!$F$2)))</f>
        <v>12</v>
      </c>
    </row>
    <row r="326" spans="1:9" x14ac:dyDescent="0.25">
      <c r="A326">
        <f ca="1">RANK(E326,E$2:E$541)</f>
        <v>325</v>
      </c>
      <c r="B326" t="s">
        <v>732</v>
      </c>
      <c r="C326" t="s">
        <v>35</v>
      </c>
      <c r="D326">
        <f ca="1">INDEX(INDIRECT($C326&amp;"!P:P"),MATCH($B326,INDIRECT($C326&amp;"!B:B"),0))</f>
        <v>30.44</v>
      </c>
      <c r="E326" s="210">
        <f ca="1">D326-LARGE(D$2:D$486,RBCount+WRCount+TECount+QBCount)</f>
        <v>-80.760000000000005</v>
      </c>
      <c r="F326" t="str">
        <f ca="1">IF(H326&lt;=I326,"Starter",IF(G326&gt;=LARGE(G:G,FlexOn*LeagueInfo!$F$2),"Starter","Bench"))</f>
        <v>Bench</v>
      </c>
      <c r="G326">
        <f ca="1">IF(H326&gt;I326,D326,0)</f>
        <v>30.44</v>
      </c>
      <c r="H326">
        <f ca="1">INDEX(INDIRECT(""&amp;C326&amp;"!A2:A489"),MATCH(B326,INDIRECT(""&amp;C326&amp;"!B2:B489"),0))</f>
        <v>134</v>
      </c>
      <c r="I326">
        <f>IF(C326="RB",LeagueInfo!$D$4*LeagueInfo!$F$2,IF(C326="WR",LeagueInfo!$D$5*LeagueInfo!$F$2,IF(C326="TE",LeagueInfo!$D$6*LeagueInfo!$F$2,LeagueInfo!$D$3*LeagueInfo!$F$2)))</f>
        <v>24</v>
      </c>
    </row>
    <row r="327" spans="1:9" x14ac:dyDescent="0.25">
      <c r="A327">
        <f ca="1">RANK(E327,E$2:E$541)</f>
        <v>326</v>
      </c>
      <c r="B327" t="s">
        <v>958</v>
      </c>
      <c r="C327" t="s">
        <v>35</v>
      </c>
      <c r="D327">
        <f ca="1">INDEX(INDIRECT($C327&amp;"!P:P"),MATCH($B327,INDIRECT($C327&amp;"!B:B"),0))</f>
        <v>30.240000000000002</v>
      </c>
      <c r="E327" s="210">
        <f ca="1">D327-LARGE(D$2:D$486,RBCount+WRCount+TECount+QBCount)</f>
        <v>-80.960000000000008</v>
      </c>
      <c r="F327" t="str">
        <f ca="1">IF(H327&lt;=I327,"Starter",IF(G327&gt;=LARGE(G:G,FlexOn*LeagueInfo!$F$2),"Starter","Bench"))</f>
        <v>Bench</v>
      </c>
      <c r="G327">
        <f ca="1">IF(H327&gt;I327,D327,0)</f>
        <v>30.240000000000002</v>
      </c>
      <c r="H327">
        <f ca="1">INDEX(INDIRECT(""&amp;C327&amp;"!A2:A489"),MATCH(B327,INDIRECT(""&amp;C327&amp;"!B2:B489"),0))</f>
        <v>135</v>
      </c>
      <c r="I327">
        <f>IF(C327="RB",LeagueInfo!$D$4*LeagueInfo!$F$2,IF(C327="WR",LeagueInfo!$D$5*LeagueInfo!$F$2,IF(C327="TE",LeagueInfo!$D$6*LeagueInfo!$F$2,LeagueInfo!$D$3*LeagueInfo!$F$2)))</f>
        <v>24</v>
      </c>
    </row>
    <row r="328" spans="1:9" x14ac:dyDescent="0.25">
      <c r="A328">
        <f ca="1">RANK(E328,E$2:E$541)</f>
        <v>327</v>
      </c>
      <c r="B328" t="s">
        <v>997</v>
      </c>
      <c r="C328" t="s">
        <v>43</v>
      </c>
      <c r="D328">
        <f ca="1">INDEX(INDIRECT($C328&amp;"!P:P"),MATCH($B328,INDIRECT($C328&amp;"!B:B"),0))</f>
        <v>30.230000000000004</v>
      </c>
      <c r="E328" s="210">
        <f ca="1">D328-LARGE(D$2:D$486,RBCount+WRCount+TECount+QBCount)</f>
        <v>-80.97</v>
      </c>
      <c r="F328" t="str">
        <f ca="1">IF(H328&lt;=I328,"Starter",IF(G328&gt;=LARGE(G:G,FlexOn*LeagueInfo!$F$2),"Starter","Bench"))</f>
        <v>Bench</v>
      </c>
      <c r="G328">
        <f ca="1">IF(H328&gt;I328,D328,0)</f>
        <v>30.230000000000004</v>
      </c>
      <c r="H328">
        <f ca="1">INDEX(INDIRECT(""&amp;C328&amp;"!A2:A489"),MATCH(B328,INDIRECT(""&amp;C328&amp;"!B2:B489"),0))</f>
        <v>62</v>
      </c>
      <c r="I328">
        <f>IF(C328="RB",LeagueInfo!$D$4*LeagueInfo!$F$2,IF(C328="WR",LeagueInfo!$D$5*LeagueInfo!$F$2,IF(C328="TE",LeagueInfo!$D$6*LeagueInfo!$F$2,LeagueInfo!$D$3*LeagueInfo!$F$2)))</f>
        <v>12</v>
      </c>
    </row>
    <row r="329" spans="1:9" x14ac:dyDescent="0.25">
      <c r="A329">
        <f ca="1">RANK(E329,E$2:E$541)</f>
        <v>328</v>
      </c>
      <c r="B329" t="s">
        <v>645</v>
      </c>
      <c r="C329" t="s">
        <v>35</v>
      </c>
      <c r="D329">
        <f ca="1">INDEX(INDIRECT($C329&amp;"!P:P"),MATCH($B329,INDIRECT($C329&amp;"!B:B"),0))</f>
        <v>29.94</v>
      </c>
      <c r="E329" s="210">
        <f ca="1">D329-LARGE(D$2:D$486,RBCount+WRCount+TECount+QBCount)</f>
        <v>-81.260000000000005</v>
      </c>
      <c r="F329" t="str">
        <f ca="1">IF(H329&lt;=I329,"Starter",IF(G329&gt;=LARGE(G:G,FlexOn*LeagueInfo!$F$2),"Starter","Bench"))</f>
        <v>Bench</v>
      </c>
      <c r="G329">
        <f ca="1">IF(H329&gt;I329,D329,0)</f>
        <v>29.94</v>
      </c>
      <c r="H329">
        <f ca="1">INDEX(INDIRECT(""&amp;C329&amp;"!A2:A489"),MATCH(B329,INDIRECT(""&amp;C329&amp;"!B2:B489"),0))</f>
        <v>136</v>
      </c>
      <c r="I329">
        <f>IF(C329="RB",LeagueInfo!$D$4*LeagueInfo!$F$2,IF(C329="WR",LeagueInfo!$D$5*LeagueInfo!$F$2,IF(C329="TE",LeagueInfo!$D$6*LeagueInfo!$F$2,LeagueInfo!$D$3*LeagueInfo!$F$2)))</f>
        <v>24</v>
      </c>
    </row>
    <row r="330" spans="1:9" x14ac:dyDescent="0.25">
      <c r="A330">
        <f ca="1">RANK(E330,E$2:E$541)</f>
        <v>329</v>
      </c>
      <c r="B330" t="s">
        <v>134</v>
      </c>
      <c r="C330" t="s">
        <v>28</v>
      </c>
      <c r="D330">
        <f ca="1">INDEX(INDIRECT($C330&amp;"!P:P"),MATCH($B330,INDIRECT($C330&amp;"!B:B"),0))</f>
        <v>29.84</v>
      </c>
      <c r="E330" s="210">
        <f ca="1">D330-LARGE(D$2:D$486,RBCount+WRCount+TECount+QBCount)</f>
        <v>-81.36</v>
      </c>
      <c r="F330" t="str">
        <f ca="1">IF(H330&lt;=I330,"Starter",IF(G330&gt;=LARGE(G:G,FlexOn*LeagueInfo!$F$2),"Starter","Bench"))</f>
        <v>Bench</v>
      </c>
      <c r="G330">
        <f ca="1">IF(H330&gt;I330,D330,0)</f>
        <v>29.84</v>
      </c>
      <c r="H330">
        <f ca="1">INDEX(INDIRECT(""&amp;C330&amp;"!A2:A489"),MATCH(B330,INDIRECT(""&amp;C330&amp;"!B2:B489"),0))</f>
        <v>94</v>
      </c>
      <c r="I330">
        <f>IF(C330="RB",LeagueInfo!$D$4*LeagueInfo!$F$2,IF(C330="WR",LeagueInfo!$D$5*LeagueInfo!$F$2,IF(C330="TE",LeagueInfo!$D$6*LeagueInfo!$F$2,LeagueInfo!$D$3*LeagueInfo!$F$2)))</f>
        <v>24</v>
      </c>
    </row>
    <row r="331" spans="1:9" x14ac:dyDescent="0.25">
      <c r="A331">
        <f ca="1">RANK(E331,E$2:E$541)</f>
        <v>330</v>
      </c>
      <c r="B331" t="s">
        <v>961</v>
      </c>
      <c r="C331" t="s">
        <v>35</v>
      </c>
      <c r="D331">
        <f ca="1">INDEX(INDIRECT($C331&amp;"!P:P"),MATCH($B331,INDIRECT($C331&amp;"!B:B"),0))</f>
        <v>29.430000000000003</v>
      </c>
      <c r="E331" s="210">
        <f ca="1">D331-LARGE(D$2:D$486,RBCount+WRCount+TECount+QBCount)</f>
        <v>-81.77</v>
      </c>
      <c r="F331" t="str">
        <f ca="1">IF(H331&lt;=I331,"Starter",IF(G331&gt;=LARGE(G:G,FlexOn*LeagueInfo!$F$2),"Starter","Bench"))</f>
        <v>Bench</v>
      </c>
      <c r="G331">
        <f ca="1">IF(H331&gt;I331,D331,0)</f>
        <v>29.430000000000003</v>
      </c>
      <c r="H331">
        <f ca="1">INDEX(INDIRECT(""&amp;C331&amp;"!A2:A489"),MATCH(B331,INDIRECT(""&amp;C331&amp;"!B2:B489"),0))</f>
        <v>137</v>
      </c>
      <c r="I331">
        <f>IF(C331="RB",LeagueInfo!$D$4*LeagueInfo!$F$2,IF(C331="WR",LeagueInfo!$D$5*LeagueInfo!$F$2,IF(C331="TE",LeagueInfo!$D$6*LeagueInfo!$F$2,LeagueInfo!$D$3*LeagueInfo!$F$2)))</f>
        <v>24</v>
      </c>
    </row>
    <row r="332" spans="1:9" x14ac:dyDescent="0.25">
      <c r="A332">
        <f ca="1">RANK(E332,E$2:E$541)</f>
        <v>331</v>
      </c>
      <c r="B332" t="s">
        <v>673</v>
      </c>
      <c r="C332" t="s">
        <v>28</v>
      </c>
      <c r="D332">
        <f ca="1">INDEX(INDIRECT($C332&amp;"!P:P"),MATCH($B332,INDIRECT($C332&amp;"!B:B"),0))</f>
        <v>29.260000000000005</v>
      </c>
      <c r="E332" s="210">
        <f ca="1">D332-LARGE(D$2:D$486,RBCount+WRCount+TECount+QBCount)</f>
        <v>-81.94</v>
      </c>
      <c r="F332" t="str">
        <f ca="1">IF(H332&lt;=I332,"Starter",IF(G332&gt;=LARGE(G:G,FlexOn*LeagueInfo!$F$2),"Starter","Bench"))</f>
        <v>Bench</v>
      </c>
      <c r="G332">
        <f ca="1">IF(H332&gt;I332,D332,0)</f>
        <v>29.260000000000005</v>
      </c>
      <c r="H332">
        <f ca="1">INDEX(INDIRECT(""&amp;C332&amp;"!A2:A489"),MATCH(B332,INDIRECT(""&amp;C332&amp;"!B2:B489"),0))</f>
        <v>95</v>
      </c>
      <c r="I332">
        <f>IF(C332="RB",LeagueInfo!$D$4*LeagueInfo!$F$2,IF(C332="WR",LeagueInfo!$D$5*LeagueInfo!$F$2,IF(C332="TE",LeagueInfo!$D$6*LeagueInfo!$F$2,LeagueInfo!$D$3*LeagueInfo!$F$2)))</f>
        <v>24</v>
      </c>
    </row>
    <row r="333" spans="1:9" x14ac:dyDescent="0.25">
      <c r="A333">
        <f ca="1">RANK(E333,E$2:E$541)</f>
        <v>332</v>
      </c>
      <c r="B333" t="s">
        <v>2460</v>
      </c>
      <c r="C333" t="s">
        <v>28</v>
      </c>
      <c r="D333">
        <f ca="1">INDEX(INDIRECT($C333&amp;"!P:P"),MATCH($B333,INDIRECT($C333&amp;"!B:B"),0))</f>
        <v>28.400000000000002</v>
      </c>
      <c r="E333" s="210">
        <f ca="1">D333-LARGE(D$2:D$486,RBCount+WRCount+TECount+QBCount)</f>
        <v>-82.8</v>
      </c>
      <c r="F333" t="str">
        <f ca="1">IF(H333&lt;=I333,"Starter",IF(G333&gt;=LARGE(G:G,FlexOn*LeagueInfo!$F$2),"Starter","Bench"))</f>
        <v>Bench</v>
      </c>
      <c r="G333">
        <f ca="1">IF(H333&gt;I333,D333,0)</f>
        <v>28.400000000000002</v>
      </c>
      <c r="H333">
        <f ca="1">INDEX(INDIRECT(""&amp;C333&amp;"!A2:A489"),MATCH(B333,INDIRECT(""&amp;C333&amp;"!B2:B489"),0))</f>
        <v>96</v>
      </c>
      <c r="I333">
        <f>IF(C333="RB",LeagueInfo!$D$4*LeagueInfo!$F$2,IF(C333="WR",LeagueInfo!$D$5*LeagueInfo!$F$2,IF(C333="TE",LeagueInfo!$D$6*LeagueInfo!$F$2,LeagueInfo!$D$3*LeagueInfo!$F$2)))</f>
        <v>24</v>
      </c>
    </row>
    <row r="334" spans="1:9" x14ac:dyDescent="0.25">
      <c r="A334">
        <f ca="1">RANK(E334,E$2:E$541)</f>
        <v>333</v>
      </c>
      <c r="B334" t="s">
        <v>728</v>
      </c>
      <c r="C334" t="s">
        <v>35</v>
      </c>
      <c r="D334">
        <f ca="1">INDEX(INDIRECT($C334&amp;"!P:P"),MATCH($B334,INDIRECT($C334&amp;"!B:B"),0))</f>
        <v>28.39</v>
      </c>
      <c r="E334" s="210">
        <f ca="1">D334-LARGE(D$2:D$486,RBCount+WRCount+TECount+QBCount)</f>
        <v>-82.81</v>
      </c>
      <c r="F334" t="str">
        <f ca="1">IF(H334&lt;=I334,"Starter",IF(G334&gt;=LARGE(G:G,FlexOn*LeagueInfo!$F$2),"Starter","Bench"))</f>
        <v>Bench</v>
      </c>
      <c r="G334">
        <f ca="1">IF(H334&gt;I334,D334,0)</f>
        <v>28.39</v>
      </c>
      <c r="H334">
        <f ca="1">INDEX(INDIRECT(""&amp;C334&amp;"!A2:A489"),MATCH(B334,INDIRECT(""&amp;C334&amp;"!B2:B489"),0))</f>
        <v>138</v>
      </c>
      <c r="I334">
        <f>IF(C334="RB",LeagueInfo!$D$4*LeagueInfo!$F$2,IF(C334="WR",LeagueInfo!$D$5*LeagueInfo!$F$2,IF(C334="TE",LeagueInfo!$D$6*LeagueInfo!$F$2,LeagueInfo!$D$3*LeagueInfo!$F$2)))</f>
        <v>24</v>
      </c>
    </row>
    <row r="335" spans="1:9" x14ac:dyDescent="0.25">
      <c r="A335">
        <f ca="1">RANK(E335,E$2:E$541)</f>
        <v>334</v>
      </c>
      <c r="B335" t="s">
        <v>2735</v>
      </c>
      <c r="C335" t="s">
        <v>28</v>
      </c>
      <c r="D335">
        <f ca="1">INDEX(INDIRECT($C335&amp;"!P:P"),MATCH($B335,INDIRECT($C335&amp;"!B:B"),0))</f>
        <v>28.110000000000003</v>
      </c>
      <c r="E335" s="210">
        <f ca="1">D335-LARGE(D$2:D$486,RBCount+WRCount+TECount+QBCount)</f>
        <v>-83.09</v>
      </c>
      <c r="F335" t="str">
        <f ca="1">IF(H335&lt;=I335,"Starter",IF(G335&gt;=LARGE(G:G,FlexOn*LeagueInfo!$F$2),"Starter","Bench"))</f>
        <v>Bench</v>
      </c>
      <c r="G335">
        <f ca="1">IF(H335&gt;I335,D335,0)</f>
        <v>28.110000000000003</v>
      </c>
      <c r="H335">
        <f ca="1">INDEX(INDIRECT(""&amp;C335&amp;"!A2:A489"),MATCH(B335,INDIRECT(""&amp;C335&amp;"!B2:B489"),0))</f>
        <v>97</v>
      </c>
      <c r="I335">
        <f>IF(C335="RB",LeagueInfo!$D$4*LeagueInfo!$F$2,IF(C335="WR",LeagueInfo!$D$5*LeagueInfo!$F$2,IF(C335="TE",LeagueInfo!$D$6*LeagueInfo!$F$2,LeagueInfo!$D$3*LeagueInfo!$F$2)))</f>
        <v>24</v>
      </c>
    </row>
    <row r="336" spans="1:9" x14ac:dyDescent="0.25">
      <c r="A336">
        <f ca="1">RANK(E336,E$2:E$541)</f>
        <v>335</v>
      </c>
      <c r="B336" t="s">
        <v>2468</v>
      </c>
      <c r="C336" t="s">
        <v>28</v>
      </c>
      <c r="D336">
        <f ca="1">INDEX(INDIRECT($C336&amp;"!P:P"),MATCH($B336,INDIRECT($C336&amp;"!B:B"),0))</f>
        <v>28.070000000000004</v>
      </c>
      <c r="E336" s="210">
        <f ca="1">D336-LARGE(D$2:D$486,RBCount+WRCount+TECount+QBCount)</f>
        <v>-83.13</v>
      </c>
      <c r="F336" t="str">
        <f ca="1">IF(H336&lt;=I336,"Starter",IF(G336&gt;=LARGE(G:G,FlexOn*LeagueInfo!$F$2),"Starter","Bench"))</f>
        <v>Bench</v>
      </c>
      <c r="G336">
        <f ca="1">IF(H336&gt;I336,D336,0)</f>
        <v>28.070000000000004</v>
      </c>
      <c r="H336">
        <f ca="1">INDEX(INDIRECT(""&amp;C336&amp;"!A2:A489"),MATCH(B336,INDIRECT(""&amp;C336&amp;"!B2:B489"),0))</f>
        <v>98</v>
      </c>
      <c r="I336">
        <f>IF(C336="RB",LeagueInfo!$D$4*LeagueInfo!$F$2,IF(C336="WR",LeagueInfo!$D$5*LeagueInfo!$F$2,IF(C336="TE",LeagueInfo!$D$6*LeagueInfo!$F$2,LeagueInfo!$D$3*LeagueInfo!$F$2)))</f>
        <v>24</v>
      </c>
    </row>
    <row r="337" spans="1:9" x14ac:dyDescent="0.25">
      <c r="A337">
        <f ca="1">RANK(E337,E$2:E$541)</f>
        <v>336</v>
      </c>
      <c r="B337" t="s">
        <v>957</v>
      </c>
      <c r="C337" t="s">
        <v>35</v>
      </c>
      <c r="D337">
        <f ca="1">INDEX(INDIRECT($C337&amp;"!P:P"),MATCH($B337,INDIRECT($C337&amp;"!B:B"),0))</f>
        <v>27.860000000000003</v>
      </c>
      <c r="E337" s="210">
        <f ca="1">D337-LARGE(D$2:D$486,RBCount+WRCount+TECount+QBCount)</f>
        <v>-83.34</v>
      </c>
      <c r="F337" t="str">
        <f ca="1">IF(H337&lt;=I337,"Starter",IF(G337&gt;=LARGE(G:G,FlexOn*LeagueInfo!$F$2),"Starter","Bench"))</f>
        <v>Bench</v>
      </c>
      <c r="G337">
        <f ca="1">IF(H337&gt;I337,D337,0)</f>
        <v>27.860000000000003</v>
      </c>
      <c r="H337">
        <f ca="1">INDEX(INDIRECT(""&amp;C337&amp;"!A2:A489"),MATCH(B337,INDIRECT(""&amp;C337&amp;"!B2:B489"),0))</f>
        <v>139</v>
      </c>
      <c r="I337">
        <f>IF(C337="RB",LeagueInfo!$D$4*LeagueInfo!$F$2,IF(C337="WR",LeagueInfo!$D$5*LeagueInfo!$F$2,IF(C337="TE",LeagueInfo!$D$6*LeagueInfo!$F$2,LeagueInfo!$D$3*LeagueInfo!$F$2)))</f>
        <v>24</v>
      </c>
    </row>
    <row r="338" spans="1:9" x14ac:dyDescent="0.25">
      <c r="A338">
        <f ca="1">RANK(E338,E$2:E$541)</f>
        <v>337</v>
      </c>
      <c r="B338" t="s">
        <v>197</v>
      </c>
      <c r="C338" t="s">
        <v>29</v>
      </c>
      <c r="D338">
        <f ca="1">INDEX(INDIRECT($C338&amp;"!P:P"),MATCH($B338,INDIRECT($C338&amp;"!B:B"),0))</f>
        <v>27.852</v>
      </c>
      <c r="E338" s="210">
        <f ca="1">D338-LARGE(D$2:D$486,RBCount+WRCount+TECount+QBCount)</f>
        <v>-83.347999999999999</v>
      </c>
      <c r="F338" t="str">
        <f ca="1">IF(H338&lt;=I338,"Starter",IF(G338&gt;=LARGE(G:G,FlexOn*LeagueInfo!$F$2),"Starter","Bench"))</f>
        <v>Bench</v>
      </c>
      <c r="G338">
        <f ca="1">IF(H338&gt;I338,D338,0)</f>
        <v>27.852</v>
      </c>
      <c r="H338">
        <f ca="1">INDEX(INDIRECT(""&amp;C338&amp;"!A2:A489"),MATCH(B338,INDIRECT(""&amp;C338&amp;"!B2:B489"),0))</f>
        <v>38</v>
      </c>
      <c r="I338">
        <f>IF(C338="RB",LeagueInfo!$D$4*LeagueInfo!$F$2,IF(C338="WR",LeagueInfo!$D$5*LeagueInfo!$F$2,IF(C338="TE",LeagueInfo!$D$6*LeagueInfo!$F$2,LeagueInfo!$D$3*LeagueInfo!$F$2)))</f>
        <v>12</v>
      </c>
    </row>
    <row r="339" spans="1:9" x14ac:dyDescent="0.25">
      <c r="A339">
        <f ca="1">RANK(E339,E$2:E$541)</f>
        <v>338</v>
      </c>
      <c r="B339" t="s">
        <v>993</v>
      </c>
      <c r="C339" t="s">
        <v>43</v>
      </c>
      <c r="D339">
        <f ca="1">INDEX(INDIRECT($C339&amp;"!P:P"),MATCH($B339,INDIRECT($C339&amp;"!B:B"),0))</f>
        <v>27.8</v>
      </c>
      <c r="E339" s="210">
        <f ca="1">D339-LARGE(D$2:D$486,RBCount+WRCount+TECount+QBCount)</f>
        <v>-83.4</v>
      </c>
      <c r="F339" t="str">
        <f ca="1">IF(H339&lt;=I339,"Starter",IF(G339&gt;=LARGE(G:G,FlexOn*LeagueInfo!$F$2),"Starter","Bench"))</f>
        <v>Bench</v>
      </c>
      <c r="G339">
        <f ca="1">IF(H339&gt;I339,D339,0)</f>
        <v>27.8</v>
      </c>
      <c r="H339">
        <f ca="1">INDEX(INDIRECT(""&amp;C339&amp;"!A2:A489"),MATCH(B339,INDIRECT(""&amp;C339&amp;"!B2:B489"),0))</f>
        <v>63</v>
      </c>
      <c r="I339">
        <f>IF(C339="RB",LeagueInfo!$D$4*LeagueInfo!$F$2,IF(C339="WR",LeagueInfo!$D$5*LeagueInfo!$F$2,IF(C339="TE",LeagueInfo!$D$6*LeagueInfo!$F$2,LeagueInfo!$D$3*LeagueInfo!$F$2)))</f>
        <v>12</v>
      </c>
    </row>
    <row r="340" spans="1:9" x14ac:dyDescent="0.25">
      <c r="A340">
        <f ca="1">RANK(E340,E$2:E$541)</f>
        <v>339</v>
      </c>
      <c r="B340" t="s">
        <v>689</v>
      </c>
      <c r="C340" t="s">
        <v>28</v>
      </c>
      <c r="D340">
        <f ca="1">INDEX(INDIRECT($C340&amp;"!P:P"),MATCH($B340,INDIRECT($C340&amp;"!B:B"),0))</f>
        <v>27.750000000000004</v>
      </c>
      <c r="E340" s="210">
        <f ca="1">D340-LARGE(D$2:D$486,RBCount+WRCount+TECount+QBCount)</f>
        <v>-83.45</v>
      </c>
      <c r="F340" t="str">
        <f ca="1">IF(H340&lt;=I340,"Starter",IF(G340&gt;=LARGE(G:G,FlexOn*LeagueInfo!$F$2),"Starter","Bench"))</f>
        <v>Bench</v>
      </c>
      <c r="G340">
        <f ca="1">IF(H340&gt;I340,D340,0)</f>
        <v>27.750000000000004</v>
      </c>
      <c r="H340">
        <f ca="1">INDEX(INDIRECT(""&amp;C340&amp;"!A2:A489"),MATCH(B340,INDIRECT(""&amp;C340&amp;"!B2:B489"),0))</f>
        <v>99</v>
      </c>
      <c r="I340">
        <f>IF(C340="RB",LeagueInfo!$D$4*LeagueInfo!$F$2,IF(C340="WR",LeagueInfo!$D$5*LeagueInfo!$F$2,IF(C340="TE",LeagueInfo!$D$6*LeagueInfo!$F$2,LeagueInfo!$D$3*LeagueInfo!$F$2)))</f>
        <v>24</v>
      </c>
    </row>
    <row r="341" spans="1:9" x14ac:dyDescent="0.25">
      <c r="A341">
        <f ca="1">RANK(E341,E$2:E$541)</f>
        <v>339</v>
      </c>
      <c r="B341" t="s">
        <v>2480</v>
      </c>
      <c r="C341" t="s">
        <v>43</v>
      </c>
      <c r="D341">
        <f ca="1">INDEX(INDIRECT($C341&amp;"!P:P"),MATCH($B341,INDIRECT($C341&amp;"!B:B"),0))</f>
        <v>27.75</v>
      </c>
      <c r="E341" s="210">
        <f ca="1">D341-LARGE(D$2:D$486,RBCount+WRCount+TECount+QBCount)</f>
        <v>-83.45</v>
      </c>
      <c r="F341" t="str">
        <f ca="1">IF(H341&lt;=I341,"Starter",IF(G341&gt;=LARGE(G:G,FlexOn*LeagueInfo!$F$2),"Starter","Bench"))</f>
        <v>Bench</v>
      </c>
      <c r="G341">
        <f ca="1">IF(H341&gt;I341,D341,0)</f>
        <v>27.75</v>
      </c>
      <c r="H341">
        <f ca="1">INDEX(INDIRECT(""&amp;C341&amp;"!A2:A489"),MATCH(B341,INDIRECT(""&amp;C341&amp;"!B2:B489"),0))</f>
        <v>64</v>
      </c>
      <c r="I341">
        <f>IF(C341="RB",LeagueInfo!$D$4*LeagueInfo!$F$2,IF(C341="WR",LeagueInfo!$D$5*LeagueInfo!$F$2,IF(C341="TE",LeagueInfo!$D$6*LeagueInfo!$F$2,LeagueInfo!$D$3*LeagueInfo!$F$2)))</f>
        <v>12</v>
      </c>
    </row>
    <row r="342" spans="1:9" x14ac:dyDescent="0.25">
      <c r="A342">
        <f ca="1">RANK(E342,E$2:E$541)</f>
        <v>341</v>
      </c>
      <c r="B342" t="s">
        <v>2430</v>
      </c>
      <c r="C342" t="s">
        <v>35</v>
      </c>
      <c r="D342">
        <f ca="1">INDEX(INDIRECT($C342&amp;"!P:P"),MATCH($B342,INDIRECT($C342&amp;"!B:B"),0))</f>
        <v>27.21</v>
      </c>
      <c r="E342" s="210">
        <f ca="1">D342-LARGE(D$2:D$486,RBCount+WRCount+TECount+QBCount)</f>
        <v>-83.990000000000009</v>
      </c>
      <c r="F342" t="str">
        <f ca="1">IF(H342&lt;=I342,"Starter",IF(G342&gt;=LARGE(G:G,FlexOn*LeagueInfo!$F$2),"Starter","Bench"))</f>
        <v>Bench</v>
      </c>
      <c r="G342">
        <f ca="1">IF(H342&gt;I342,D342,0)</f>
        <v>27.21</v>
      </c>
      <c r="H342">
        <f ca="1">INDEX(INDIRECT(""&amp;C342&amp;"!A2:A489"),MATCH(B342,INDIRECT(""&amp;C342&amp;"!B2:B489"),0))</f>
        <v>140</v>
      </c>
      <c r="I342">
        <f>IF(C342="RB",LeagueInfo!$D$4*LeagueInfo!$F$2,IF(C342="WR",LeagueInfo!$D$5*LeagueInfo!$F$2,IF(C342="TE",LeagueInfo!$D$6*LeagueInfo!$F$2,LeagueInfo!$D$3*LeagueInfo!$F$2)))</f>
        <v>24</v>
      </c>
    </row>
    <row r="343" spans="1:9" x14ac:dyDescent="0.25">
      <c r="A343">
        <f ca="1">RANK(E343,E$2:E$541)</f>
        <v>342</v>
      </c>
      <c r="B343" t="s">
        <v>2459</v>
      </c>
      <c r="C343" t="s">
        <v>28</v>
      </c>
      <c r="D343">
        <f ca="1">INDEX(INDIRECT($C343&amp;"!P:P"),MATCH($B343,INDIRECT($C343&amp;"!B:B"),0))</f>
        <v>27.040000000000006</v>
      </c>
      <c r="E343" s="210">
        <f ca="1">D343-LARGE(D$2:D$486,RBCount+WRCount+TECount+QBCount)</f>
        <v>-84.16</v>
      </c>
      <c r="F343" t="str">
        <f ca="1">IF(H343&lt;=I343,"Starter",IF(G343&gt;=LARGE(G:G,FlexOn*LeagueInfo!$F$2),"Starter","Bench"))</f>
        <v>Bench</v>
      </c>
      <c r="G343">
        <f ca="1">IF(H343&gt;I343,D343,0)</f>
        <v>27.040000000000006</v>
      </c>
      <c r="H343">
        <f ca="1">INDEX(INDIRECT(""&amp;C343&amp;"!A2:A489"),MATCH(B343,INDIRECT(""&amp;C343&amp;"!B2:B489"),0))</f>
        <v>100</v>
      </c>
      <c r="I343">
        <f>IF(C343="RB",LeagueInfo!$D$4*LeagueInfo!$F$2,IF(C343="WR",LeagueInfo!$D$5*LeagueInfo!$F$2,IF(C343="TE",LeagueInfo!$D$6*LeagueInfo!$F$2,LeagueInfo!$D$3*LeagueInfo!$F$2)))</f>
        <v>24</v>
      </c>
    </row>
    <row r="344" spans="1:9" x14ac:dyDescent="0.25">
      <c r="A344">
        <f ca="1">RANK(E344,E$2:E$541)</f>
        <v>343</v>
      </c>
      <c r="B344" t="s">
        <v>424</v>
      </c>
      <c r="C344" t="s">
        <v>43</v>
      </c>
      <c r="D344">
        <f ca="1">INDEX(INDIRECT($C344&amp;"!P:P"),MATCH($B344,INDIRECT($C344&amp;"!B:B"),0))</f>
        <v>26.72</v>
      </c>
      <c r="E344" s="210">
        <f ca="1">D344-LARGE(D$2:D$486,RBCount+WRCount+TECount+QBCount)</f>
        <v>-84.48</v>
      </c>
      <c r="F344" t="str">
        <f ca="1">IF(H344&lt;=I344,"Starter",IF(G344&gt;=LARGE(G:G,FlexOn*LeagueInfo!$F$2),"Starter","Bench"))</f>
        <v>Bench</v>
      </c>
      <c r="G344">
        <f ca="1">IF(H344&gt;I344,D344,0)</f>
        <v>26.72</v>
      </c>
      <c r="H344">
        <f ca="1">INDEX(INDIRECT(""&amp;C344&amp;"!A2:A489"),MATCH(B344,INDIRECT(""&amp;C344&amp;"!B2:B489"),0))</f>
        <v>65</v>
      </c>
      <c r="I344">
        <f>IF(C344="RB",LeagueInfo!$D$4*LeagueInfo!$F$2,IF(C344="WR",LeagueInfo!$D$5*LeagueInfo!$F$2,IF(C344="TE",LeagueInfo!$D$6*LeagueInfo!$F$2,LeagueInfo!$D$3*LeagueInfo!$F$2)))</f>
        <v>12</v>
      </c>
    </row>
    <row r="345" spans="1:9" x14ac:dyDescent="0.25">
      <c r="A345">
        <f ca="1">RANK(E345,E$2:E$541)</f>
        <v>344</v>
      </c>
      <c r="B345" t="s">
        <v>2479</v>
      </c>
      <c r="C345" t="s">
        <v>43</v>
      </c>
      <c r="D345">
        <f ca="1">INDEX(INDIRECT($C345&amp;"!P:P"),MATCH($B345,INDIRECT($C345&amp;"!B:B"),0))</f>
        <v>26.6</v>
      </c>
      <c r="E345" s="210">
        <f ca="1">D345-LARGE(D$2:D$486,RBCount+WRCount+TECount+QBCount)</f>
        <v>-84.6</v>
      </c>
      <c r="F345" t="str">
        <f ca="1">IF(H345&lt;=I345,"Starter",IF(G345&gt;=LARGE(G:G,FlexOn*LeagueInfo!$F$2),"Starter","Bench"))</f>
        <v>Bench</v>
      </c>
      <c r="G345">
        <f ca="1">IF(H345&gt;I345,D345,0)</f>
        <v>26.6</v>
      </c>
      <c r="H345">
        <f ca="1">INDEX(INDIRECT(""&amp;C345&amp;"!A2:A489"),MATCH(B345,INDIRECT(""&amp;C345&amp;"!B2:B489"),0))</f>
        <v>66</v>
      </c>
      <c r="I345">
        <f>IF(C345="RB",LeagueInfo!$D$4*LeagueInfo!$F$2,IF(C345="WR",LeagueInfo!$D$5*LeagueInfo!$F$2,IF(C345="TE",LeagueInfo!$D$6*LeagueInfo!$F$2,LeagueInfo!$D$3*LeagueInfo!$F$2)))</f>
        <v>12</v>
      </c>
    </row>
    <row r="346" spans="1:9" x14ac:dyDescent="0.25">
      <c r="A346">
        <f ca="1">RANK(E346,E$2:E$541)</f>
        <v>345</v>
      </c>
      <c r="B346" t="s">
        <v>2674</v>
      </c>
      <c r="C346" t="s">
        <v>35</v>
      </c>
      <c r="D346">
        <f ca="1">INDEX(INDIRECT($C346&amp;"!P:P"),MATCH($B346,INDIRECT($C346&amp;"!B:B"),0))</f>
        <v>26.55</v>
      </c>
      <c r="E346" s="210">
        <f ca="1">D346-LARGE(D$2:D$486,RBCount+WRCount+TECount+QBCount)</f>
        <v>-84.65</v>
      </c>
      <c r="F346" t="str">
        <f ca="1">IF(H346&lt;=I346,"Starter",IF(G346&gt;=LARGE(G:G,FlexOn*LeagueInfo!$F$2),"Starter","Bench"))</f>
        <v>Bench</v>
      </c>
      <c r="G346">
        <f ca="1">IF(H346&gt;I346,D346,0)</f>
        <v>26.55</v>
      </c>
      <c r="H346">
        <f ca="1">INDEX(INDIRECT(""&amp;C346&amp;"!A2:A489"),MATCH(B346,INDIRECT(""&amp;C346&amp;"!B2:B489"),0))</f>
        <v>141</v>
      </c>
      <c r="I346">
        <f>IF(C346="RB",LeagueInfo!$D$4*LeagueInfo!$F$2,IF(C346="WR",LeagueInfo!$D$5*LeagueInfo!$F$2,IF(C346="TE",LeagueInfo!$D$6*LeagueInfo!$F$2,LeagueInfo!$D$3*LeagueInfo!$F$2)))</f>
        <v>24</v>
      </c>
    </row>
    <row r="347" spans="1:9" x14ac:dyDescent="0.25">
      <c r="A347">
        <f ca="1">RANK(E347,E$2:E$541)</f>
        <v>346</v>
      </c>
      <c r="B347" t="s">
        <v>2456</v>
      </c>
      <c r="C347" t="s">
        <v>28</v>
      </c>
      <c r="D347">
        <f ca="1">INDEX(INDIRECT($C347&amp;"!P:P"),MATCH($B347,INDIRECT($C347&amp;"!B:B"),0))</f>
        <v>26.500000000000004</v>
      </c>
      <c r="E347" s="210">
        <f ca="1">D347-LARGE(D$2:D$486,RBCount+WRCount+TECount+QBCount)</f>
        <v>-84.7</v>
      </c>
      <c r="F347" t="str">
        <f ca="1">IF(H347&lt;=I347,"Starter",IF(G347&gt;=LARGE(G:G,FlexOn*LeagueInfo!$F$2),"Starter","Bench"))</f>
        <v>Bench</v>
      </c>
      <c r="G347">
        <f ca="1">IF(H347&gt;I347,D347,0)</f>
        <v>26.500000000000004</v>
      </c>
      <c r="H347">
        <f ca="1">INDEX(INDIRECT(""&amp;C347&amp;"!A2:A489"),MATCH(B347,INDIRECT(""&amp;C347&amp;"!B2:B489"),0))</f>
        <v>101</v>
      </c>
      <c r="I347">
        <f>IF(C347="RB",LeagueInfo!$D$4*LeagueInfo!$F$2,IF(C347="WR",LeagueInfo!$D$5*LeagueInfo!$F$2,IF(C347="TE",LeagueInfo!$D$6*LeagueInfo!$F$2,LeagueInfo!$D$3*LeagueInfo!$F$2)))</f>
        <v>24</v>
      </c>
    </row>
    <row r="348" spans="1:9" x14ac:dyDescent="0.25">
      <c r="A348">
        <f ca="1">RANK(E348,E$2:E$541)</f>
        <v>347</v>
      </c>
      <c r="B348" t="s">
        <v>856</v>
      </c>
      <c r="C348" t="s">
        <v>35</v>
      </c>
      <c r="D348">
        <f ca="1">INDEX(INDIRECT($C348&amp;"!P:P"),MATCH($B348,INDIRECT($C348&amp;"!B:B"),0))</f>
        <v>26.459999999999997</v>
      </c>
      <c r="E348" s="210">
        <f ca="1">D348-LARGE(D$2:D$486,RBCount+WRCount+TECount+QBCount)</f>
        <v>-84.740000000000009</v>
      </c>
      <c r="F348" t="str">
        <f ca="1">IF(H348&lt;=I348,"Starter",IF(G348&gt;=LARGE(G:G,FlexOn*LeagueInfo!$F$2),"Starter","Bench"))</f>
        <v>Bench</v>
      </c>
      <c r="G348">
        <f ca="1">IF(H348&gt;I348,D348,0)</f>
        <v>26.459999999999997</v>
      </c>
      <c r="H348">
        <f ca="1">INDEX(INDIRECT(""&amp;C348&amp;"!A2:A489"),MATCH(B348,INDIRECT(""&amp;C348&amp;"!B2:B489"),0))</f>
        <v>142</v>
      </c>
      <c r="I348">
        <f>IF(C348="RB",LeagueInfo!$D$4*LeagueInfo!$F$2,IF(C348="WR",LeagueInfo!$D$5*LeagueInfo!$F$2,IF(C348="TE",LeagueInfo!$D$6*LeagueInfo!$F$2,LeagueInfo!$D$3*LeagueInfo!$F$2)))</f>
        <v>24</v>
      </c>
    </row>
    <row r="349" spans="1:9" x14ac:dyDescent="0.25">
      <c r="A349">
        <f ca="1">RANK(E349,E$2:E$541)</f>
        <v>348</v>
      </c>
      <c r="B349" t="s">
        <v>833</v>
      </c>
      <c r="C349" t="s">
        <v>35</v>
      </c>
      <c r="D349">
        <f ca="1">INDEX(INDIRECT($C349&amp;"!P:P"),MATCH($B349,INDIRECT($C349&amp;"!B:B"),0))</f>
        <v>26.37</v>
      </c>
      <c r="E349" s="210">
        <f ca="1">D349-LARGE(D$2:D$486,RBCount+WRCount+TECount+QBCount)</f>
        <v>-84.83</v>
      </c>
      <c r="F349" t="str">
        <f ca="1">IF(H349&lt;=I349,"Starter",IF(G349&gt;=LARGE(G:G,FlexOn*LeagueInfo!$F$2),"Starter","Bench"))</f>
        <v>Bench</v>
      </c>
      <c r="G349">
        <f ca="1">IF(H349&gt;I349,D349,0)</f>
        <v>26.37</v>
      </c>
      <c r="H349">
        <f ca="1">INDEX(INDIRECT(""&amp;C349&amp;"!A2:A489"),MATCH(B349,INDIRECT(""&amp;C349&amp;"!B2:B489"),0))</f>
        <v>143</v>
      </c>
      <c r="I349">
        <f>IF(C349="RB",LeagueInfo!$D$4*LeagueInfo!$F$2,IF(C349="WR",LeagueInfo!$D$5*LeagueInfo!$F$2,IF(C349="TE",LeagueInfo!$D$6*LeagueInfo!$F$2,LeagueInfo!$D$3*LeagueInfo!$F$2)))</f>
        <v>24</v>
      </c>
    </row>
    <row r="350" spans="1:9" x14ac:dyDescent="0.25">
      <c r="A350">
        <f ca="1">RANK(E350,E$2:E$541)</f>
        <v>349</v>
      </c>
      <c r="B350" t="s">
        <v>934</v>
      </c>
      <c r="C350" t="s">
        <v>28</v>
      </c>
      <c r="D350">
        <f ca="1">INDEX(INDIRECT($C350&amp;"!P:P"),MATCH($B350,INDIRECT($C350&amp;"!B:B"),0))</f>
        <v>25.62</v>
      </c>
      <c r="E350" s="210">
        <f ca="1">D350-LARGE(D$2:D$486,RBCount+WRCount+TECount+QBCount)</f>
        <v>-85.58</v>
      </c>
      <c r="F350" t="str">
        <f ca="1">IF(H350&lt;=I350,"Starter",IF(G350&gt;=LARGE(G:G,FlexOn*LeagueInfo!$F$2),"Starter","Bench"))</f>
        <v>Bench</v>
      </c>
      <c r="G350">
        <f ca="1">IF(H350&gt;I350,D350,0)</f>
        <v>25.62</v>
      </c>
      <c r="H350">
        <f ca="1">INDEX(INDIRECT(""&amp;C350&amp;"!A2:A489"),MATCH(B350,INDIRECT(""&amp;C350&amp;"!B2:B489"),0))</f>
        <v>102</v>
      </c>
      <c r="I350">
        <f>IF(C350="RB",LeagueInfo!$D$4*LeagueInfo!$F$2,IF(C350="WR",LeagueInfo!$D$5*LeagueInfo!$F$2,IF(C350="TE",LeagueInfo!$D$6*LeagueInfo!$F$2,LeagueInfo!$D$3*LeagueInfo!$F$2)))</f>
        <v>24</v>
      </c>
    </row>
    <row r="351" spans="1:9" x14ac:dyDescent="0.25">
      <c r="A351">
        <f ca="1">RANK(E351,E$2:E$541)</f>
        <v>350</v>
      </c>
      <c r="B351" t="s">
        <v>2463</v>
      </c>
      <c r="C351" t="s">
        <v>28</v>
      </c>
      <c r="D351">
        <f ca="1">INDEX(INDIRECT($C351&amp;"!P:P"),MATCH($B351,INDIRECT($C351&amp;"!B:B"),0))</f>
        <v>25.580000000000005</v>
      </c>
      <c r="E351" s="210">
        <f ca="1">D351-LARGE(D$2:D$486,RBCount+WRCount+TECount+QBCount)</f>
        <v>-85.62</v>
      </c>
      <c r="F351" t="str">
        <f ca="1">IF(H351&lt;=I351,"Starter",IF(G351&gt;=LARGE(G:G,FlexOn*LeagueInfo!$F$2),"Starter","Bench"))</f>
        <v>Bench</v>
      </c>
      <c r="G351">
        <f ca="1">IF(H351&gt;I351,D351,0)</f>
        <v>25.580000000000005</v>
      </c>
      <c r="H351">
        <f ca="1">INDEX(INDIRECT(""&amp;C351&amp;"!A2:A489"),MATCH(B351,INDIRECT(""&amp;C351&amp;"!B2:B489"),0))</f>
        <v>103</v>
      </c>
      <c r="I351">
        <f>IF(C351="RB",LeagueInfo!$D$4*LeagueInfo!$F$2,IF(C351="WR",LeagueInfo!$D$5*LeagueInfo!$F$2,IF(C351="TE",LeagueInfo!$D$6*LeagueInfo!$F$2,LeagueInfo!$D$3*LeagueInfo!$F$2)))</f>
        <v>24</v>
      </c>
    </row>
    <row r="352" spans="1:9" x14ac:dyDescent="0.25">
      <c r="A352">
        <f ca="1">RANK(E352,E$2:E$541)</f>
        <v>351</v>
      </c>
      <c r="B352" t="s">
        <v>692</v>
      </c>
      <c r="C352" t="s">
        <v>28</v>
      </c>
      <c r="D352">
        <f ca="1">INDEX(INDIRECT($C352&amp;"!P:P"),MATCH($B352,INDIRECT($C352&amp;"!B:B"),0))</f>
        <v>25.419999999999998</v>
      </c>
      <c r="E352" s="210">
        <f ca="1">D352-LARGE(D$2:D$486,RBCount+WRCount+TECount+QBCount)</f>
        <v>-85.78</v>
      </c>
      <c r="F352" t="str">
        <f ca="1">IF(H352&lt;=I352,"Starter",IF(G352&gt;=LARGE(G:G,FlexOn*LeagueInfo!$F$2),"Starter","Bench"))</f>
        <v>Bench</v>
      </c>
      <c r="G352">
        <f ca="1">IF(H352&gt;I352,D352,0)</f>
        <v>25.419999999999998</v>
      </c>
      <c r="H352">
        <f ca="1">INDEX(INDIRECT(""&amp;C352&amp;"!A2:A489"),MATCH(B352,INDIRECT(""&amp;C352&amp;"!B2:B489"),0))</f>
        <v>104</v>
      </c>
      <c r="I352">
        <f>IF(C352="RB",LeagueInfo!$D$4*LeagueInfo!$F$2,IF(C352="WR",LeagueInfo!$D$5*LeagueInfo!$F$2,IF(C352="TE",LeagueInfo!$D$6*LeagueInfo!$F$2,LeagueInfo!$D$3*LeagueInfo!$F$2)))</f>
        <v>24</v>
      </c>
    </row>
    <row r="353" spans="1:9" x14ac:dyDescent="0.25">
      <c r="A353">
        <f ca="1">RANK(E353,E$2:E$541)</f>
        <v>352</v>
      </c>
      <c r="B353" t="s">
        <v>2618</v>
      </c>
      <c r="C353" t="s">
        <v>28</v>
      </c>
      <c r="D353">
        <f ca="1">INDEX(INDIRECT($C353&amp;"!P:P"),MATCH($B353,INDIRECT($C353&amp;"!B:B"),0))</f>
        <v>25.410000000000004</v>
      </c>
      <c r="E353" s="210">
        <f ca="1">D353-LARGE(D$2:D$486,RBCount+WRCount+TECount+QBCount)</f>
        <v>-85.789999999999992</v>
      </c>
      <c r="F353" t="str">
        <f ca="1">IF(H353&lt;=I353,"Starter",IF(G353&gt;=LARGE(G:G,FlexOn*LeagueInfo!$F$2),"Starter","Bench"))</f>
        <v>Bench</v>
      </c>
      <c r="G353">
        <f ca="1">IF(H353&gt;I353,D353,0)</f>
        <v>25.410000000000004</v>
      </c>
      <c r="H353">
        <f ca="1">INDEX(INDIRECT(""&amp;C353&amp;"!A2:A489"),MATCH(B353,INDIRECT(""&amp;C353&amp;"!B2:B489"),0))</f>
        <v>105</v>
      </c>
      <c r="I353">
        <f>IF(C353="RB",LeagueInfo!$D$4*LeagueInfo!$F$2,IF(C353="WR",LeagueInfo!$D$5*LeagueInfo!$F$2,IF(C353="TE",LeagueInfo!$D$6*LeagueInfo!$F$2,LeagueInfo!$D$3*LeagueInfo!$F$2)))</f>
        <v>24</v>
      </c>
    </row>
    <row r="354" spans="1:9" x14ac:dyDescent="0.25">
      <c r="A354">
        <f ca="1">RANK(E354,E$2:E$541)</f>
        <v>353</v>
      </c>
      <c r="B354" t="s">
        <v>977</v>
      </c>
      <c r="C354" t="s">
        <v>43</v>
      </c>
      <c r="D354">
        <f ca="1">INDEX(INDIRECT($C354&amp;"!P:P"),MATCH($B354,INDIRECT($C354&amp;"!B:B"),0))</f>
        <v>25.200000000000003</v>
      </c>
      <c r="E354" s="210">
        <f ca="1">D354-LARGE(D$2:D$486,RBCount+WRCount+TECount+QBCount)</f>
        <v>-86</v>
      </c>
      <c r="F354" t="str">
        <f ca="1">IF(H354&lt;=I354,"Starter",IF(G354&gt;=LARGE(G:G,FlexOn*LeagueInfo!$F$2),"Starter","Bench"))</f>
        <v>Bench</v>
      </c>
      <c r="G354">
        <f ca="1">IF(H354&gt;I354,D354,0)</f>
        <v>25.200000000000003</v>
      </c>
      <c r="H354">
        <f ca="1">INDEX(INDIRECT(""&amp;C354&amp;"!A2:A489"),MATCH(B354,INDIRECT(""&amp;C354&amp;"!B2:B489"),0))</f>
        <v>67</v>
      </c>
      <c r="I354">
        <f>IF(C354="RB",LeagueInfo!$D$4*LeagueInfo!$F$2,IF(C354="WR",LeagueInfo!$D$5*LeagueInfo!$F$2,IF(C354="TE",LeagueInfo!$D$6*LeagueInfo!$F$2,LeagueInfo!$D$3*LeagueInfo!$F$2)))</f>
        <v>12</v>
      </c>
    </row>
    <row r="355" spans="1:9" x14ac:dyDescent="0.25">
      <c r="A355">
        <f ca="1">RANK(E355,E$2:E$541)</f>
        <v>354</v>
      </c>
      <c r="B355" t="s">
        <v>542</v>
      </c>
      <c r="C355" t="s">
        <v>28</v>
      </c>
      <c r="D355">
        <f ca="1">INDEX(INDIRECT($C355&amp;"!P:P"),MATCH($B355,INDIRECT($C355&amp;"!B:B"),0))</f>
        <v>25.119999999999997</v>
      </c>
      <c r="E355" s="210">
        <f ca="1">D355-LARGE(D$2:D$486,RBCount+WRCount+TECount+QBCount)</f>
        <v>-86.080000000000013</v>
      </c>
      <c r="F355" t="str">
        <f ca="1">IF(H355&lt;=I355,"Starter",IF(G355&gt;=LARGE(G:G,FlexOn*LeagueInfo!$F$2),"Starter","Bench"))</f>
        <v>Bench</v>
      </c>
      <c r="G355">
        <f ca="1">IF(H355&gt;I355,D355,0)</f>
        <v>25.119999999999997</v>
      </c>
      <c r="H355">
        <f ca="1">INDEX(INDIRECT(""&amp;C355&amp;"!A2:A489"),MATCH(B355,INDIRECT(""&amp;C355&amp;"!B2:B489"),0))</f>
        <v>106</v>
      </c>
      <c r="I355">
        <f>IF(C355="RB",LeagueInfo!$D$4*LeagueInfo!$F$2,IF(C355="WR",LeagueInfo!$D$5*LeagueInfo!$F$2,IF(C355="TE",LeagueInfo!$D$6*LeagueInfo!$F$2,LeagueInfo!$D$3*LeagueInfo!$F$2)))</f>
        <v>24</v>
      </c>
    </row>
    <row r="356" spans="1:9" x14ac:dyDescent="0.25">
      <c r="A356">
        <f ca="1">RANK(E356,E$2:E$541)</f>
        <v>355</v>
      </c>
      <c r="B356" t="s">
        <v>912</v>
      </c>
      <c r="C356" t="s">
        <v>35</v>
      </c>
      <c r="D356">
        <f ca="1">INDEX(INDIRECT($C356&amp;"!P:P"),MATCH($B356,INDIRECT($C356&amp;"!B:B"),0))</f>
        <v>25.080000000000002</v>
      </c>
      <c r="E356" s="210">
        <f ca="1">D356-LARGE(D$2:D$486,RBCount+WRCount+TECount+QBCount)</f>
        <v>-86.12</v>
      </c>
      <c r="F356" t="str">
        <f ca="1">IF(H356&lt;=I356,"Starter",IF(G356&gt;=LARGE(G:G,FlexOn*LeagueInfo!$F$2),"Starter","Bench"))</f>
        <v>Bench</v>
      </c>
      <c r="G356">
        <f ca="1">IF(H356&gt;I356,D356,0)</f>
        <v>25.080000000000002</v>
      </c>
      <c r="H356">
        <f ca="1">INDEX(INDIRECT(""&amp;C356&amp;"!A2:A489"),MATCH(B356,INDIRECT(""&amp;C356&amp;"!B2:B489"),0))</f>
        <v>144</v>
      </c>
      <c r="I356">
        <f>IF(C356="RB",LeagueInfo!$D$4*LeagueInfo!$F$2,IF(C356="WR",LeagueInfo!$D$5*LeagueInfo!$F$2,IF(C356="TE",LeagueInfo!$D$6*LeagueInfo!$F$2,LeagueInfo!$D$3*LeagueInfo!$F$2)))</f>
        <v>24</v>
      </c>
    </row>
    <row r="357" spans="1:9" x14ac:dyDescent="0.25">
      <c r="A357">
        <f ca="1">RANK(E357,E$2:E$541)</f>
        <v>356</v>
      </c>
      <c r="B357" t="s">
        <v>824</v>
      </c>
      <c r="C357" t="s">
        <v>43</v>
      </c>
      <c r="D357">
        <f ca="1">INDEX(INDIRECT($C357&amp;"!P:P"),MATCH($B357,INDIRECT($C357&amp;"!B:B"),0))</f>
        <v>25.030000000000005</v>
      </c>
      <c r="E357" s="210">
        <f ca="1">D357-LARGE(D$2:D$486,RBCount+WRCount+TECount+QBCount)</f>
        <v>-86.17</v>
      </c>
      <c r="F357" t="str">
        <f ca="1">IF(H357&lt;=I357,"Starter",IF(G357&gt;=LARGE(G:G,FlexOn*LeagueInfo!$F$2),"Starter","Bench"))</f>
        <v>Bench</v>
      </c>
      <c r="G357">
        <f ca="1">IF(H357&gt;I357,D357,0)</f>
        <v>25.030000000000005</v>
      </c>
      <c r="H357">
        <f ca="1">INDEX(INDIRECT(""&amp;C357&amp;"!A2:A489"),MATCH(B357,INDIRECT(""&amp;C357&amp;"!B2:B489"),0))</f>
        <v>68</v>
      </c>
      <c r="I357">
        <f>IF(C357="RB",LeagueInfo!$D$4*LeagueInfo!$F$2,IF(C357="WR",LeagueInfo!$D$5*LeagueInfo!$F$2,IF(C357="TE",LeagueInfo!$D$6*LeagueInfo!$F$2,LeagueInfo!$D$3*LeagueInfo!$F$2)))</f>
        <v>12</v>
      </c>
    </row>
    <row r="358" spans="1:9" x14ac:dyDescent="0.25">
      <c r="A358">
        <f ca="1">RANK(E358,E$2:E$541)</f>
        <v>357</v>
      </c>
      <c r="B358" t="s">
        <v>733</v>
      </c>
      <c r="C358" t="s">
        <v>35</v>
      </c>
      <c r="D358">
        <f ca="1">INDEX(INDIRECT($C358&amp;"!P:P"),MATCH($B358,INDIRECT($C358&amp;"!B:B"),0))</f>
        <v>24.690000000000005</v>
      </c>
      <c r="E358" s="210">
        <f ca="1">D358-LARGE(D$2:D$486,RBCount+WRCount+TECount+QBCount)</f>
        <v>-86.509999999999991</v>
      </c>
      <c r="F358" t="str">
        <f ca="1">IF(H358&lt;=I358,"Starter",IF(G358&gt;=LARGE(G:G,FlexOn*LeagueInfo!$F$2),"Starter","Bench"))</f>
        <v>Bench</v>
      </c>
      <c r="G358">
        <f ca="1">IF(H358&gt;I358,D358,0)</f>
        <v>24.690000000000005</v>
      </c>
      <c r="H358">
        <f ca="1">INDEX(INDIRECT(""&amp;C358&amp;"!A2:A489"),MATCH(B358,INDIRECT(""&amp;C358&amp;"!B2:B489"),0))</f>
        <v>145</v>
      </c>
      <c r="I358">
        <f>IF(C358="RB",LeagueInfo!$D$4*LeagueInfo!$F$2,IF(C358="WR",LeagueInfo!$D$5*LeagueInfo!$F$2,IF(C358="TE",LeagueInfo!$D$6*LeagueInfo!$F$2,LeagueInfo!$D$3*LeagueInfo!$F$2)))</f>
        <v>24</v>
      </c>
    </row>
    <row r="359" spans="1:9" x14ac:dyDescent="0.25">
      <c r="A359">
        <f ca="1">RANK(E359,E$2:E$541)</f>
        <v>358</v>
      </c>
      <c r="B359" t="s">
        <v>682</v>
      </c>
      <c r="C359" t="s">
        <v>28</v>
      </c>
      <c r="D359">
        <f ca="1">INDEX(INDIRECT($C359&amp;"!P:P"),MATCH($B359,INDIRECT($C359&amp;"!B:B"),0))</f>
        <v>24.67</v>
      </c>
      <c r="E359" s="210">
        <f ca="1">D359-LARGE(D$2:D$486,RBCount+WRCount+TECount+QBCount)</f>
        <v>-86.53</v>
      </c>
      <c r="F359" t="str">
        <f ca="1">IF(H359&lt;=I359,"Starter",IF(G359&gt;=LARGE(G:G,FlexOn*LeagueInfo!$F$2),"Starter","Bench"))</f>
        <v>Bench</v>
      </c>
      <c r="G359">
        <f ca="1">IF(H359&gt;I359,D359,0)</f>
        <v>24.67</v>
      </c>
      <c r="H359">
        <f ca="1">INDEX(INDIRECT(""&amp;C359&amp;"!A2:A489"),MATCH(B359,INDIRECT(""&amp;C359&amp;"!B2:B489"),0))</f>
        <v>107</v>
      </c>
      <c r="I359">
        <f>IF(C359="RB",LeagueInfo!$D$4*LeagueInfo!$F$2,IF(C359="WR",LeagueInfo!$D$5*LeagueInfo!$F$2,IF(C359="TE",LeagueInfo!$D$6*LeagueInfo!$F$2,LeagueInfo!$D$3*LeagueInfo!$F$2)))</f>
        <v>24</v>
      </c>
    </row>
    <row r="360" spans="1:9" x14ac:dyDescent="0.25">
      <c r="A360">
        <f ca="1">RANK(E360,E$2:E$541)</f>
        <v>359</v>
      </c>
      <c r="B360" t="s">
        <v>2489</v>
      </c>
      <c r="C360" t="s">
        <v>43</v>
      </c>
      <c r="D360">
        <f ca="1">INDEX(INDIRECT($C360&amp;"!P:P"),MATCH($B360,INDIRECT($C360&amp;"!B:B"),0))</f>
        <v>24.200000000000003</v>
      </c>
      <c r="E360" s="210">
        <f ca="1">D360-LARGE(D$2:D$486,RBCount+WRCount+TECount+QBCount)</f>
        <v>-87</v>
      </c>
      <c r="F360" t="str">
        <f ca="1">IF(H360&lt;=I360,"Starter",IF(G360&gt;=LARGE(G:G,FlexOn*LeagueInfo!$F$2),"Starter","Bench"))</f>
        <v>Bench</v>
      </c>
      <c r="G360">
        <f ca="1">IF(H360&gt;I360,D360,0)</f>
        <v>24.200000000000003</v>
      </c>
      <c r="H360">
        <f ca="1">INDEX(INDIRECT(""&amp;C360&amp;"!A2:A489"),MATCH(B360,INDIRECT(""&amp;C360&amp;"!B2:B489"),0))</f>
        <v>69</v>
      </c>
      <c r="I360">
        <f>IF(C360="RB",LeagueInfo!$D$4*LeagueInfo!$F$2,IF(C360="WR",LeagueInfo!$D$5*LeagueInfo!$F$2,IF(C360="TE",LeagueInfo!$D$6*LeagueInfo!$F$2,LeagueInfo!$D$3*LeagueInfo!$F$2)))</f>
        <v>12</v>
      </c>
    </row>
    <row r="361" spans="1:9" x14ac:dyDescent="0.25">
      <c r="A361">
        <f ca="1">RANK(E361,E$2:E$541)</f>
        <v>359</v>
      </c>
      <c r="B361" t="s">
        <v>2680</v>
      </c>
      <c r="C361" t="s">
        <v>43</v>
      </c>
      <c r="D361">
        <f ca="1">INDEX(INDIRECT($C361&amp;"!P:P"),MATCH($B361,INDIRECT($C361&amp;"!B:B"),0))</f>
        <v>24.200000000000003</v>
      </c>
      <c r="E361" s="210">
        <f ca="1">D361-LARGE(D$2:D$486,RBCount+WRCount+TECount+QBCount)</f>
        <v>-87</v>
      </c>
      <c r="F361" t="str">
        <f ca="1">IF(H361&lt;=I361,"Starter",IF(G361&gt;=LARGE(G:G,FlexOn*LeagueInfo!$F$2),"Starter","Bench"))</f>
        <v>Bench</v>
      </c>
      <c r="G361">
        <f ca="1">IF(H361&gt;I361,D361,0)</f>
        <v>24.200000000000003</v>
      </c>
      <c r="H361">
        <f ca="1">INDEX(INDIRECT(""&amp;C361&amp;"!A2:A489"),MATCH(B361,INDIRECT(""&amp;C361&amp;"!B2:B489"),0))</f>
        <v>69</v>
      </c>
      <c r="I361">
        <f>IF(C361="RB",LeagueInfo!$D$4*LeagueInfo!$F$2,IF(C361="WR",LeagueInfo!$D$5*LeagueInfo!$F$2,IF(C361="TE",LeagueInfo!$D$6*LeagueInfo!$F$2,LeagueInfo!$D$3*LeagueInfo!$F$2)))</f>
        <v>12</v>
      </c>
    </row>
    <row r="362" spans="1:9" x14ac:dyDescent="0.25">
      <c r="A362">
        <f ca="1">RANK(E362,E$2:E$541)</f>
        <v>361</v>
      </c>
      <c r="B362" t="s">
        <v>888</v>
      </c>
      <c r="C362" t="s">
        <v>28</v>
      </c>
      <c r="D362">
        <f ca="1">INDEX(INDIRECT($C362&amp;"!P:P"),MATCH($B362,INDIRECT($C362&amp;"!B:B"),0))</f>
        <v>23.54</v>
      </c>
      <c r="E362" s="210">
        <f ca="1">D362-LARGE(D$2:D$486,RBCount+WRCount+TECount+QBCount)</f>
        <v>-87.66</v>
      </c>
      <c r="F362" t="str">
        <f ca="1">IF(H362&lt;=I362,"Starter",IF(G362&gt;=LARGE(G:G,FlexOn*LeagueInfo!$F$2),"Starter","Bench"))</f>
        <v>Bench</v>
      </c>
      <c r="G362">
        <f ca="1">IF(H362&gt;I362,D362,0)</f>
        <v>23.54</v>
      </c>
      <c r="H362">
        <f ca="1">INDEX(INDIRECT(""&amp;C362&amp;"!A2:A489"),MATCH(B362,INDIRECT(""&amp;C362&amp;"!B2:B489"),0))</f>
        <v>108</v>
      </c>
      <c r="I362">
        <f>IF(C362="RB",LeagueInfo!$D$4*LeagueInfo!$F$2,IF(C362="WR",LeagueInfo!$D$5*LeagueInfo!$F$2,IF(C362="TE",LeagueInfo!$D$6*LeagueInfo!$F$2,LeagueInfo!$D$3*LeagueInfo!$F$2)))</f>
        <v>24</v>
      </c>
    </row>
    <row r="363" spans="1:9" x14ac:dyDescent="0.25">
      <c r="A363">
        <f ca="1">RANK(E363,E$2:E$541)</f>
        <v>362</v>
      </c>
      <c r="B363" t="s">
        <v>435</v>
      </c>
      <c r="C363" t="s">
        <v>43</v>
      </c>
      <c r="D363">
        <f ca="1">INDEX(INDIRECT($C363&amp;"!P:P"),MATCH($B363,INDIRECT($C363&amp;"!B:B"),0))</f>
        <v>23.509999999999998</v>
      </c>
      <c r="E363" s="210">
        <f ca="1">D363-LARGE(D$2:D$486,RBCount+WRCount+TECount+QBCount)</f>
        <v>-87.69</v>
      </c>
      <c r="F363" t="str">
        <f ca="1">IF(H363&lt;=I363,"Starter",IF(G363&gt;=LARGE(G:G,FlexOn*LeagueInfo!$F$2),"Starter","Bench"))</f>
        <v>Bench</v>
      </c>
      <c r="G363">
        <f ca="1">IF(H363&gt;I363,D363,0)</f>
        <v>23.509999999999998</v>
      </c>
      <c r="H363">
        <f ca="1">INDEX(INDIRECT(""&amp;C363&amp;"!A2:A489"),MATCH(B363,INDIRECT(""&amp;C363&amp;"!B2:B489"),0))</f>
        <v>71</v>
      </c>
      <c r="I363">
        <f>IF(C363="RB",LeagueInfo!$D$4*LeagueInfo!$F$2,IF(C363="WR",LeagueInfo!$D$5*LeagueInfo!$F$2,IF(C363="TE",LeagueInfo!$D$6*LeagueInfo!$F$2,LeagueInfo!$D$3*LeagueInfo!$F$2)))</f>
        <v>12</v>
      </c>
    </row>
    <row r="364" spans="1:9" x14ac:dyDescent="0.25">
      <c r="A364">
        <f ca="1">RANK(E364,E$2:E$541)</f>
        <v>363</v>
      </c>
      <c r="B364" t="s">
        <v>2436</v>
      </c>
      <c r="C364" t="s">
        <v>35</v>
      </c>
      <c r="D364">
        <f ca="1">INDEX(INDIRECT($C364&amp;"!P:P"),MATCH($B364,INDIRECT($C364&amp;"!B:B"),0))</f>
        <v>23.480000000000004</v>
      </c>
      <c r="E364" s="210">
        <f ca="1">D364-LARGE(D$2:D$486,RBCount+WRCount+TECount+QBCount)</f>
        <v>-87.72</v>
      </c>
      <c r="F364" t="str">
        <f ca="1">IF(H364&lt;=I364,"Starter",IF(G364&gt;=LARGE(G:G,FlexOn*LeagueInfo!$F$2),"Starter","Bench"))</f>
        <v>Bench</v>
      </c>
      <c r="G364">
        <f ca="1">IF(H364&gt;I364,D364,0)</f>
        <v>23.480000000000004</v>
      </c>
      <c r="H364">
        <f ca="1">INDEX(INDIRECT(""&amp;C364&amp;"!A2:A489"),MATCH(B364,INDIRECT(""&amp;C364&amp;"!B2:B489"),0))</f>
        <v>146</v>
      </c>
      <c r="I364">
        <f>IF(C364="RB",LeagueInfo!$D$4*LeagueInfo!$F$2,IF(C364="WR",LeagueInfo!$D$5*LeagueInfo!$F$2,IF(C364="TE",LeagueInfo!$D$6*LeagueInfo!$F$2,LeagueInfo!$D$3*LeagueInfo!$F$2)))</f>
        <v>24</v>
      </c>
    </row>
    <row r="365" spans="1:9" x14ac:dyDescent="0.25">
      <c r="A365">
        <f ca="1">RANK(E365,E$2:E$541)</f>
        <v>364</v>
      </c>
      <c r="B365" t="s">
        <v>2493</v>
      </c>
      <c r="C365" t="s">
        <v>43</v>
      </c>
      <c r="D365">
        <f ca="1">INDEX(INDIRECT($C365&amp;"!P:P"),MATCH($B365,INDIRECT($C365&amp;"!B:B"),0))</f>
        <v>23.44</v>
      </c>
      <c r="E365" s="210">
        <f ca="1">D365-LARGE(D$2:D$486,RBCount+WRCount+TECount+QBCount)</f>
        <v>-87.76</v>
      </c>
      <c r="F365" t="str">
        <f ca="1">IF(H365&lt;=I365,"Starter",IF(G365&gt;=LARGE(G:G,FlexOn*LeagueInfo!$F$2),"Starter","Bench"))</f>
        <v>Bench</v>
      </c>
      <c r="G365">
        <f ca="1">IF(H365&gt;I365,D365,0)</f>
        <v>23.44</v>
      </c>
      <c r="H365">
        <f ca="1">INDEX(INDIRECT(""&amp;C365&amp;"!A2:A489"),MATCH(B365,INDIRECT(""&amp;C365&amp;"!B2:B489"),0))</f>
        <v>72</v>
      </c>
      <c r="I365">
        <f>IF(C365="RB",LeagueInfo!$D$4*LeagueInfo!$F$2,IF(C365="WR",LeagueInfo!$D$5*LeagueInfo!$F$2,IF(C365="TE",LeagueInfo!$D$6*LeagueInfo!$F$2,LeagueInfo!$D$3*LeagueInfo!$F$2)))</f>
        <v>12</v>
      </c>
    </row>
    <row r="366" spans="1:9" x14ac:dyDescent="0.25">
      <c r="A366">
        <f ca="1">RANK(E366,E$2:E$541)</f>
        <v>365</v>
      </c>
      <c r="B366" t="s">
        <v>2675</v>
      </c>
      <c r="C366" t="s">
        <v>35</v>
      </c>
      <c r="D366">
        <f ca="1">INDEX(INDIRECT($C366&amp;"!P:P"),MATCH($B366,INDIRECT($C366&amp;"!B:B"),0))</f>
        <v>23.009999999999998</v>
      </c>
      <c r="E366" s="210">
        <f ca="1">D366-LARGE(D$2:D$486,RBCount+WRCount+TECount+QBCount)</f>
        <v>-88.19</v>
      </c>
      <c r="F366" t="str">
        <f ca="1">IF(H366&lt;=I366,"Starter",IF(G366&gt;=LARGE(G:G,FlexOn*LeagueInfo!$F$2),"Starter","Bench"))</f>
        <v>Bench</v>
      </c>
      <c r="G366">
        <f ca="1">IF(H366&gt;I366,D366,0)</f>
        <v>23.009999999999998</v>
      </c>
      <c r="H366">
        <f ca="1">INDEX(INDIRECT(""&amp;C366&amp;"!A2:A489"),MATCH(B366,INDIRECT(""&amp;C366&amp;"!B2:B489"),0))</f>
        <v>147</v>
      </c>
      <c r="I366">
        <f>IF(C366="RB",LeagueInfo!$D$4*LeagueInfo!$F$2,IF(C366="WR",LeagueInfo!$D$5*LeagueInfo!$F$2,IF(C366="TE",LeagueInfo!$D$6*LeagueInfo!$F$2,LeagueInfo!$D$3*LeagueInfo!$F$2)))</f>
        <v>24</v>
      </c>
    </row>
    <row r="367" spans="1:9" x14ac:dyDescent="0.25">
      <c r="A367">
        <f ca="1">RANK(E367,E$2:E$541)</f>
        <v>366</v>
      </c>
      <c r="B367" t="s">
        <v>2481</v>
      </c>
      <c r="C367" t="s">
        <v>43</v>
      </c>
      <c r="D367">
        <f ca="1">INDEX(INDIRECT($C367&amp;"!P:P"),MATCH($B367,INDIRECT($C367&amp;"!B:B"),0))</f>
        <v>22.980000000000004</v>
      </c>
      <c r="E367" s="210">
        <f ca="1">D367-LARGE(D$2:D$486,RBCount+WRCount+TECount+QBCount)</f>
        <v>-88.22</v>
      </c>
      <c r="F367" t="str">
        <f ca="1">IF(H367&lt;=I367,"Starter",IF(G367&gt;=LARGE(G:G,FlexOn*LeagueInfo!$F$2),"Starter","Bench"))</f>
        <v>Bench</v>
      </c>
      <c r="G367">
        <f ca="1">IF(H367&gt;I367,D367,0)</f>
        <v>22.980000000000004</v>
      </c>
      <c r="H367">
        <f ca="1">INDEX(INDIRECT(""&amp;C367&amp;"!A2:A489"),MATCH(B367,INDIRECT(""&amp;C367&amp;"!B2:B489"),0))</f>
        <v>73</v>
      </c>
      <c r="I367">
        <f>IF(C367="RB",LeagueInfo!$D$4*LeagueInfo!$F$2,IF(C367="WR",LeagueInfo!$D$5*LeagueInfo!$F$2,IF(C367="TE",LeagueInfo!$D$6*LeagueInfo!$F$2,LeagueInfo!$D$3*LeagueInfo!$F$2)))</f>
        <v>12</v>
      </c>
    </row>
    <row r="368" spans="1:9" x14ac:dyDescent="0.25">
      <c r="A368">
        <f ca="1">RANK(E368,E$2:E$541)</f>
        <v>367</v>
      </c>
      <c r="B368" t="s">
        <v>2431</v>
      </c>
      <c r="C368" t="s">
        <v>35</v>
      </c>
      <c r="D368">
        <f ca="1">INDEX(INDIRECT($C368&amp;"!P:P"),MATCH($B368,INDIRECT($C368&amp;"!B:B"),0))</f>
        <v>22.91</v>
      </c>
      <c r="E368" s="210">
        <f ca="1">D368-LARGE(D$2:D$486,RBCount+WRCount+TECount+QBCount)</f>
        <v>-88.29</v>
      </c>
      <c r="F368" t="str">
        <f ca="1">IF(H368&lt;=I368,"Starter",IF(G368&gt;=LARGE(G:G,FlexOn*LeagueInfo!$F$2),"Starter","Bench"))</f>
        <v>Bench</v>
      </c>
      <c r="G368">
        <f ca="1">IF(H368&gt;I368,D368,0)</f>
        <v>22.91</v>
      </c>
      <c r="H368">
        <f ca="1">INDEX(INDIRECT(""&amp;C368&amp;"!A2:A489"),MATCH(B368,INDIRECT(""&amp;C368&amp;"!B2:B489"),0))</f>
        <v>148</v>
      </c>
      <c r="I368">
        <f>IF(C368="RB",LeagueInfo!$D$4*LeagueInfo!$F$2,IF(C368="WR",LeagueInfo!$D$5*LeagueInfo!$F$2,IF(C368="TE",LeagueInfo!$D$6*LeagueInfo!$F$2,LeagueInfo!$D$3*LeagueInfo!$F$2)))</f>
        <v>24</v>
      </c>
    </row>
    <row r="369" spans="1:9" x14ac:dyDescent="0.25">
      <c r="A369">
        <f ca="1">RANK(E369,E$2:E$541)</f>
        <v>367</v>
      </c>
      <c r="B369" t="s">
        <v>869</v>
      </c>
      <c r="C369" t="s">
        <v>35</v>
      </c>
      <c r="D369">
        <f ca="1">INDEX(INDIRECT($C369&amp;"!P:P"),MATCH($B369,INDIRECT($C369&amp;"!B:B"),0))</f>
        <v>22.91</v>
      </c>
      <c r="E369" s="210">
        <f ca="1">D369-LARGE(D$2:D$486,RBCount+WRCount+TECount+QBCount)</f>
        <v>-88.29</v>
      </c>
      <c r="F369" t="str">
        <f ca="1">IF(H369&lt;=I369,"Starter",IF(G369&gt;=LARGE(G:G,FlexOn*LeagueInfo!$F$2),"Starter","Bench"))</f>
        <v>Bench</v>
      </c>
      <c r="G369">
        <f ca="1">IF(H369&gt;I369,D369,0)</f>
        <v>22.91</v>
      </c>
      <c r="H369">
        <f ca="1">INDEX(INDIRECT(""&amp;C369&amp;"!A2:A489"),MATCH(B369,INDIRECT(""&amp;C369&amp;"!B2:B489"),0))</f>
        <v>148</v>
      </c>
      <c r="I369">
        <f>IF(C369="RB",LeagueInfo!$D$4*LeagueInfo!$F$2,IF(C369="WR",LeagueInfo!$D$5*LeagueInfo!$F$2,IF(C369="TE",LeagueInfo!$D$6*LeagueInfo!$F$2,LeagueInfo!$D$3*LeagueInfo!$F$2)))</f>
        <v>24</v>
      </c>
    </row>
    <row r="370" spans="1:9" x14ac:dyDescent="0.25">
      <c r="A370">
        <f ca="1">RANK(E370,E$2:E$541)</f>
        <v>369</v>
      </c>
      <c r="B370" t="s">
        <v>1030</v>
      </c>
      <c r="C370" t="s">
        <v>43</v>
      </c>
      <c r="D370">
        <f ca="1">INDEX(INDIRECT($C370&amp;"!P:P"),MATCH($B370,INDIRECT($C370&amp;"!B:B"),0))</f>
        <v>22.9</v>
      </c>
      <c r="E370" s="210">
        <f ca="1">D370-LARGE(D$2:D$486,RBCount+WRCount+TECount+QBCount)</f>
        <v>-88.300000000000011</v>
      </c>
      <c r="F370" t="str">
        <f ca="1">IF(H370&lt;=I370,"Starter",IF(G370&gt;=LARGE(G:G,FlexOn*LeagueInfo!$F$2),"Starter","Bench"))</f>
        <v>Bench</v>
      </c>
      <c r="G370">
        <f ca="1">IF(H370&gt;I370,D370,0)</f>
        <v>22.9</v>
      </c>
      <c r="H370">
        <f ca="1">INDEX(INDIRECT(""&amp;C370&amp;"!A2:A489"),MATCH(B370,INDIRECT(""&amp;C370&amp;"!B2:B489"),0))</f>
        <v>74</v>
      </c>
      <c r="I370">
        <f>IF(C370="RB",LeagueInfo!$D$4*LeagueInfo!$F$2,IF(C370="WR",LeagueInfo!$D$5*LeagueInfo!$F$2,IF(C370="TE",LeagueInfo!$D$6*LeagueInfo!$F$2,LeagueInfo!$D$3*LeagueInfo!$F$2)))</f>
        <v>12</v>
      </c>
    </row>
    <row r="371" spans="1:9" x14ac:dyDescent="0.25">
      <c r="A371">
        <f ca="1">RANK(E371,E$2:E$541)</f>
        <v>370</v>
      </c>
      <c r="B371" t="s">
        <v>937</v>
      </c>
      <c r="C371" t="s">
        <v>28</v>
      </c>
      <c r="D371">
        <f ca="1">INDEX(INDIRECT($C371&amp;"!P:P"),MATCH($B371,INDIRECT($C371&amp;"!B:B"),0))</f>
        <v>22.720000000000006</v>
      </c>
      <c r="E371" s="210">
        <f ca="1">D371-LARGE(D$2:D$486,RBCount+WRCount+TECount+QBCount)</f>
        <v>-88.47999999999999</v>
      </c>
      <c r="F371" t="str">
        <f ca="1">IF(H371&lt;=I371,"Starter",IF(G371&gt;=LARGE(G:G,FlexOn*LeagueInfo!$F$2),"Starter","Bench"))</f>
        <v>Bench</v>
      </c>
      <c r="G371">
        <f ca="1">IF(H371&gt;I371,D371,0)</f>
        <v>22.720000000000006</v>
      </c>
      <c r="H371">
        <f ca="1">INDEX(INDIRECT(""&amp;C371&amp;"!A2:A489"),MATCH(B371,INDIRECT(""&amp;C371&amp;"!B2:B489"),0))</f>
        <v>109</v>
      </c>
      <c r="I371">
        <f>IF(C371="RB",LeagueInfo!$D$4*LeagueInfo!$F$2,IF(C371="WR",LeagueInfo!$D$5*LeagueInfo!$F$2,IF(C371="TE",LeagueInfo!$D$6*LeagueInfo!$F$2,LeagueInfo!$D$3*LeagueInfo!$F$2)))</f>
        <v>24</v>
      </c>
    </row>
    <row r="372" spans="1:9" x14ac:dyDescent="0.25">
      <c r="A372">
        <f ca="1">RANK(E372,E$2:E$541)</f>
        <v>371</v>
      </c>
      <c r="B372" t="s">
        <v>756</v>
      </c>
      <c r="C372" t="s">
        <v>43</v>
      </c>
      <c r="D372">
        <f ca="1">INDEX(INDIRECT($C372&amp;"!P:P"),MATCH($B372,INDIRECT($C372&amp;"!B:B"),0))</f>
        <v>22.71</v>
      </c>
      <c r="E372" s="210">
        <f ca="1">D372-LARGE(D$2:D$486,RBCount+WRCount+TECount+QBCount)</f>
        <v>-88.490000000000009</v>
      </c>
      <c r="F372" t="str">
        <f ca="1">IF(H372&lt;=I372,"Starter",IF(G372&gt;=LARGE(G:G,FlexOn*LeagueInfo!$F$2),"Starter","Bench"))</f>
        <v>Bench</v>
      </c>
      <c r="G372">
        <f ca="1">IF(H372&gt;I372,D372,0)</f>
        <v>22.71</v>
      </c>
      <c r="H372">
        <f ca="1">INDEX(INDIRECT(""&amp;C372&amp;"!A2:A489"),MATCH(B372,INDIRECT(""&amp;C372&amp;"!B2:B489"),0))</f>
        <v>75</v>
      </c>
      <c r="I372">
        <f>IF(C372="RB",LeagueInfo!$D$4*LeagueInfo!$F$2,IF(C372="WR",LeagueInfo!$D$5*LeagueInfo!$F$2,IF(C372="TE",LeagueInfo!$D$6*LeagueInfo!$F$2,LeagueInfo!$D$3*LeagueInfo!$F$2)))</f>
        <v>12</v>
      </c>
    </row>
    <row r="373" spans="1:9" x14ac:dyDescent="0.25">
      <c r="A373">
        <f ca="1">RANK(E373,E$2:E$541)</f>
        <v>372</v>
      </c>
      <c r="B373" t="s">
        <v>966</v>
      </c>
      <c r="C373" t="s">
        <v>35</v>
      </c>
      <c r="D373">
        <f ca="1">INDEX(INDIRECT($C373&amp;"!P:P"),MATCH($B373,INDIRECT($C373&amp;"!B:B"),0))</f>
        <v>22.680000000000003</v>
      </c>
      <c r="E373" s="210">
        <f ca="1">D373-LARGE(D$2:D$486,RBCount+WRCount+TECount+QBCount)</f>
        <v>-88.52</v>
      </c>
      <c r="F373" t="str">
        <f ca="1">IF(H373&lt;=I373,"Starter",IF(G373&gt;=LARGE(G:G,FlexOn*LeagueInfo!$F$2),"Starter","Bench"))</f>
        <v>Bench</v>
      </c>
      <c r="G373">
        <f ca="1">IF(H373&gt;I373,D373,0)</f>
        <v>22.680000000000003</v>
      </c>
      <c r="H373">
        <f ca="1">INDEX(INDIRECT(""&amp;C373&amp;"!A2:A489"),MATCH(B373,INDIRECT(""&amp;C373&amp;"!B2:B489"),0))</f>
        <v>150</v>
      </c>
      <c r="I373">
        <f>IF(C373="RB",LeagueInfo!$D$4*LeagueInfo!$F$2,IF(C373="WR",LeagueInfo!$D$5*LeagueInfo!$F$2,IF(C373="TE",LeagueInfo!$D$6*LeagueInfo!$F$2,LeagueInfo!$D$3*LeagueInfo!$F$2)))</f>
        <v>24</v>
      </c>
    </row>
    <row r="374" spans="1:9" x14ac:dyDescent="0.25">
      <c r="A374">
        <f ca="1">RANK(E374,E$2:E$541)</f>
        <v>372</v>
      </c>
      <c r="B374" t="s">
        <v>735</v>
      </c>
      <c r="C374" t="s">
        <v>35</v>
      </c>
      <c r="D374">
        <f ca="1">INDEX(INDIRECT($C374&amp;"!P:P"),MATCH($B374,INDIRECT($C374&amp;"!B:B"),0))</f>
        <v>22.680000000000003</v>
      </c>
      <c r="E374" s="210">
        <f ca="1">D374-LARGE(D$2:D$486,RBCount+WRCount+TECount+QBCount)</f>
        <v>-88.52</v>
      </c>
      <c r="F374" t="str">
        <f ca="1">IF(H374&lt;=I374,"Starter",IF(G374&gt;=LARGE(G:G,FlexOn*LeagueInfo!$F$2),"Starter","Bench"))</f>
        <v>Bench</v>
      </c>
      <c r="G374">
        <f ca="1">IF(H374&gt;I374,D374,0)</f>
        <v>22.680000000000003</v>
      </c>
      <c r="H374">
        <f ca="1">INDEX(INDIRECT(""&amp;C374&amp;"!A2:A489"),MATCH(B374,INDIRECT(""&amp;C374&amp;"!B2:B489"),0))</f>
        <v>150</v>
      </c>
      <c r="I374">
        <f>IF(C374="RB",LeagueInfo!$D$4*LeagueInfo!$F$2,IF(C374="WR",LeagueInfo!$D$5*LeagueInfo!$F$2,IF(C374="TE",LeagueInfo!$D$6*LeagueInfo!$F$2,LeagueInfo!$D$3*LeagueInfo!$F$2)))</f>
        <v>24</v>
      </c>
    </row>
    <row r="375" spans="1:9" x14ac:dyDescent="0.25">
      <c r="A375">
        <f ca="1">RANK(E375,E$2:E$541)</f>
        <v>374</v>
      </c>
      <c r="B375" t="s">
        <v>432</v>
      </c>
      <c r="C375" t="s">
        <v>43</v>
      </c>
      <c r="D375">
        <f ca="1">INDEX(INDIRECT($C375&amp;"!P:P"),MATCH($B375,INDIRECT($C375&amp;"!B:B"),0))</f>
        <v>22.610000000000003</v>
      </c>
      <c r="E375" s="210">
        <f ca="1">D375-LARGE(D$2:D$486,RBCount+WRCount+TECount+QBCount)</f>
        <v>-88.59</v>
      </c>
      <c r="F375" t="str">
        <f ca="1">IF(H375&lt;=I375,"Starter",IF(G375&gt;=LARGE(G:G,FlexOn*LeagueInfo!$F$2),"Starter","Bench"))</f>
        <v>Bench</v>
      </c>
      <c r="G375">
        <f ca="1">IF(H375&gt;I375,D375,0)</f>
        <v>22.610000000000003</v>
      </c>
      <c r="H375">
        <f ca="1">INDEX(INDIRECT(""&amp;C375&amp;"!A2:A489"),MATCH(B375,INDIRECT(""&amp;C375&amp;"!B2:B489"),0))</f>
        <v>76</v>
      </c>
      <c r="I375">
        <f>IF(C375="RB",LeagueInfo!$D$4*LeagueInfo!$F$2,IF(C375="WR",LeagueInfo!$D$5*LeagueInfo!$F$2,IF(C375="TE",LeagueInfo!$D$6*LeagueInfo!$F$2,LeagueInfo!$D$3*LeagueInfo!$F$2)))</f>
        <v>12</v>
      </c>
    </row>
    <row r="376" spans="1:9" x14ac:dyDescent="0.25">
      <c r="A376">
        <f ca="1">RANK(E376,E$2:E$541)</f>
        <v>374</v>
      </c>
      <c r="B376" t="s">
        <v>754</v>
      </c>
      <c r="C376" t="s">
        <v>43</v>
      </c>
      <c r="D376">
        <f ca="1">INDEX(INDIRECT($C376&amp;"!P:P"),MATCH($B376,INDIRECT($C376&amp;"!B:B"),0))</f>
        <v>22.61</v>
      </c>
      <c r="E376" s="210">
        <f ca="1">D376-LARGE(D$2:D$486,RBCount+WRCount+TECount+QBCount)</f>
        <v>-88.59</v>
      </c>
      <c r="F376" t="str">
        <f ca="1">IF(H376&lt;=I376,"Starter",IF(G376&gt;=LARGE(G:G,FlexOn*LeagueInfo!$F$2),"Starter","Bench"))</f>
        <v>Bench</v>
      </c>
      <c r="G376">
        <f ca="1">IF(H376&gt;I376,D376,0)</f>
        <v>22.61</v>
      </c>
      <c r="H376">
        <f ca="1">INDEX(INDIRECT(""&amp;C376&amp;"!A2:A489"),MATCH(B376,INDIRECT(""&amp;C376&amp;"!B2:B489"),0))</f>
        <v>77</v>
      </c>
      <c r="I376">
        <f>IF(C376="RB",LeagueInfo!$D$4*LeagueInfo!$F$2,IF(C376="WR",LeagueInfo!$D$5*LeagueInfo!$F$2,IF(C376="TE",LeagueInfo!$D$6*LeagueInfo!$F$2,LeagueInfo!$D$3*LeagueInfo!$F$2)))</f>
        <v>12</v>
      </c>
    </row>
    <row r="377" spans="1:9" x14ac:dyDescent="0.25">
      <c r="A377">
        <f ca="1">RANK(E377,E$2:E$541)</f>
        <v>376</v>
      </c>
      <c r="B377" t="s">
        <v>425</v>
      </c>
      <c r="C377" t="s">
        <v>43</v>
      </c>
      <c r="D377">
        <f ca="1">INDEX(INDIRECT($C377&amp;"!P:P"),MATCH($B377,INDIRECT($C377&amp;"!B:B"),0))</f>
        <v>22.560000000000002</v>
      </c>
      <c r="E377" s="210">
        <f ca="1">D377-LARGE(D$2:D$486,RBCount+WRCount+TECount+QBCount)</f>
        <v>-88.64</v>
      </c>
      <c r="F377" t="str">
        <f ca="1">IF(H377&lt;=I377,"Starter",IF(G377&gt;=LARGE(G:G,FlexOn*LeagueInfo!$F$2),"Starter","Bench"))</f>
        <v>Bench</v>
      </c>
      <c r="G377">
        <f ca="1">IF(H377&gt;I377,D377,0)</f>
        <v>22.560000000000002</v>
      </c>
      <c r="H377">
        <f ca="1">INDEX(INDIRECT(""&amp;C377&amp;"!A2:A489"),MATCH(B377,INDIRECT(""&amp;C377&amp;"!B2:B489"),0))</f>
        <v>78</v>
      </c>
      <c r="I377">
        <f>IF(C377="RB",LeagueInfo!$D$4*LeagueInfo!$F$2,IF(C377="WR",LeagueInfo!$D$5*LeagueInfo!$F$2,IF(C377="TE",LeagueInfo!$D$6*LeagueInfo!$F$2,LeagueInfo!$D$3*LeagueInfo!$F$2)))</f>
        <v>12</v>
      </c>
    </row>
    <row r="378" spans="1:9" x14ac:dyDescent="0.25">
      <c r="A378">
        <f ca="1">RANK(E378,E$2:E$541)</f>
        <v>377</v>
      </c>
      <c r="B378" t="s">
        <v>2458</v>
      </c>
      <c r="C378" t="s">
        <v>35</v>
      </c>
      <c r="D378">
        <f ca="1">INDEX(INDIRECT($C378&amp;"!P:P"),MATCH($B378,INDIRECT($C378&amp;"!B:B"),0))</f>
        <v>22.51</v>
      </c>
      <c r="E378" s="210">
        <f ca="1">D378-LARGE(D$2:D$486,RBCount+WRCount+TECount+QBCount)</f>
        <v>-88.69</v>
      </c>
      <c r="F378" t="str">
        <f ca="1">IF(H378&lt;=I378,"Starter",IF(G378&gt;=LARGE(G:G,FlexOn*LeagueInfo!$F$2),"Starter","Bench"))</f>
        <v>Bench</v>
      </c>
      <c r="G378">
        <f ca="1">IF(H378&gt;I378,D378,0)</f>
        <v>22.51</v>
      </c>
      <c r="H378">
        <f ca="1">INDEX(INDIRECT(""&amp;C378&amp;"!A2:A489"),MATCH(B378,INDIRECT(""&amp;C378&amp;"!B2:B489"),0))</f>
        <v>152</v>
      </c>
      <c r="I378">
        <f>IF(C378="RB",LeagueInfo!$D$4*LeagueInfo!$F$2,IF(C378="WR",LeagueInfo!$D$5*LeagueInfo!$F$2,IF(C378="TE",LeagueInfo!$D$6*LeagueInfo!$F$2,LeagueInfo!$D$3*LeagueInfo!$F$2)))</f>
        <v>24</v>
      </c>
    </row>
    <row r="379" spans="1:9" x14ac:dyDescent="0.25">
      <c r="A379">
        <f ca="1">RANK(E379,E$2:E$541)</f>
        <v>378</v>
      </c>
      <c r="B379" t="s">
        <v>1028</v>
      </c>
      <c r="C379" t="s">
        <v>35</v>
      </c>
      <c r="D379">
        <f ca="1">INDEX(INDIRECT($C379&amp;"!P:P"),MATCH($B379,INDIRECT($C379&amp;"!B:B"),0))</f>
        <v>22.39</v>
      </c>
      <c r="E379" s="210">
        <f ca="1">D379-LARGE(D$2:D$486,RBCount+WRCount+TECount+QBCount)</f>
        <v>-88.81</v>
      </c>
      <c r="F379" t="str">
        <f ca="1">IF(H379&lt;=I379,"Starter",IF(G379&gt;=LARGE(G:G,FlexOn*LeagueInfo!$F$2),"Starter","Bench"))</f>
        <v>Bench</v>
      </c>
      <c r="G379">
        <f ca="1">IF(H379&gt;I379,D379,0)</f>
        <v>22.39</v>
      </c>
      <c r="H379">
        <f ca="1">INDEX(INDIRECT(""&amp;C379&amp;"!A2:A489"),MATCH(B379,INDIRECT(""&amp;C379&amp;"!B2:B489"),0))</f>
        <v>153</v>
      </c>
      <c r="I379">
        <f>IF(C379="RB",LeagueInfo!$D$4*LeagueInfo!$F$2,IF(C379="WR",LeagueInfo!$D$5*LeagueInfo!$F$2,IF(C379="TE",LeagueInfo!$D$6*LeagueInfo!$F$2,LeagueInfo!$D$3*LeagueInfo!$F$2)))</f>
        <v>24</v>
      </c>
    </row>
    <row r="380" spans="1:9" x14ac:dyDescent="0.25">
      <c r="A380">
        <f ca="1">RANK(E380,E$2:E$541)</f>
        <v>379</v>
      </c>
      <c r="B380" t="s">
        <v>998</v>
      </c>
      <c r="C380" t="s">
        <v>35</v>
      </c>
      <c r="D380">
        <f ca="1">INDEX(INDIRECT($C380&amp;"!P:P"),MATCH($B380,INDIRECT($C380&amp;"!B:B"),0))</f>
        <v>21.62</v>
      </c>
      <c r="E380" s="210">
        <f ca="1">D380-LARGE(D$2:D$486,RBCount+WRCount+TECount+QBCount)</f>
        <v>-89.58</v>
      </c>
      <c r="F380" t="str">
        <f ca="1">IF(H380&lt;=I380,"Starter",IF(G380&gt;=LARGE(G:G,FlexOn*LeagueInfo!$F$2),"Starter","Bench"))</f>
        <v>Bench</v>
      </c>
      <c r="G380">
        <f ca="1">IF(H380&gt;I380,D380,0)</f>
        <v>21.62</v>
      </c>
      <c r="H380">
        <f ca="1">INDEX(INDIRECT(""&amp;C380&amp;"!A2:A489"),MATCH(B380,INDIRECT(""&amp;C380&amp;"!B2:B489"),0))</f>
        <v>154</v>
      </c>
      <c r="I380">
        <f>IF(C380="RB",LeagueInfo!$D$4*LeagueInfo!$F$2,IF(C380="WR",LeagueInfo!$D$5*LeagueInfo!$F$2,IF(C380="TE",LeagueInfo!$D$6*LeagueInfo!$F$2,LeagueInfo!$D$3*LeagueInfo!$F$2)))</f>
        <v>24</v>
      </c>
    </row>
    <row r="381" spans="1:9" x14ac:dyDescent="0.25">
      <c r="A381">
        <f ca="1">RANK(E381,E$2:E$541)</f>
        <v>380</v>
      </c>
      <c r="B381" t="s">
        <v>2497</v>
      </c>
      <c r="C381" t="s">
        <v>43</v>
      </c>
      <c r="D381">
        <f ca="1">INDEX(INDIRECT($C381&amp;"!P:P"),MATCH($B381,INDIRECT($C381&amp;"!B:B"),0))</f>
        <v>21.6</v>
      </c>
      <c r="E381" s="210">
        <f ca="1">D381-LARGE(D$2:D$486,RBCount+WRCount+TECount+QBCount)</f>
        <v>-89.6</v>
      </c>
      <c r="F381" t="str">
        <f ca="1">IF(H381&lt;=I381,"Starter",IF(G381&gt;=LARGE(G:G,FlexOn*LeagueInfo!$F$2),"Starter","Bench"))</f>
        <v>Bench</v>
      </c>
      <c r="G381">
        <f ca="1">IF(H381&gt;I381,D381,0)</f>
        <v>21.6</v>
      </c>
      <c r="H381">
        <f ca="1">INDEX(INDIRECT(""&amp;C381&amp;"!A2:A489"),MATCH(B381,INDIRECT(""&amp;C381&amp;"!B2:B489"),0))</f>
        <v>79</v>
      </c>
      <c r="I381">
        <f>IF(C381="RB",LeagueInfo!$D$4*LeagueInfo!$F$2,IF(C381="WR",LeagueInfo!$D$5*LeagueInfo!$F$2,IF(C381="TE",LeagueInfo!$D$6*LeagueInfo!$F$2,LeagueInfo!$D$3*LeagueInfo!$F$2)))</f>
        <v>12</v>
      </c>
    </row>
    <row r="382" spans="1:9" x14ac:dyDescent="0.25">
      <c r="A382">
        <f ca="1">RANK(E382,E$2:E$541)</f>
        <v>381</v>
      </c>
      <c r="B382" t="s">
        <v>968</v>
      </c>
      <c r="C382" t="s">
        <v>35</v>
      </c>
      <c r="D382">
        <f ca="1">INDEX(INDIRECT($C382&amp;"!P:P"),MATCH($B382,INDIRECT($C382&amp;"!B:B"),0))</f>
        <v>21.470000000000002</v>
      </c>
      <c r="E382" s="210">
        <f ca="1">D382-LARGE(D$2:D$486,RBCount+WRCount+TECount+QBCount)</f>
        <v>-89.73</v>
      </c>
      <c r="F382" t="str">
        <f ca="1">IF(H382&lt;=I382,"Starter",IF(G382&gt;=LARGE(G:G,FlexOn*LeagueInfo!$F$2),"Starter","Bench"))</f>
        <v>Bench</v>
      </c>
      <c r="G382">
        <f ca="1">IF(H382&gt;I382,D382,0)</f>
        <v>21.470000000000002</v>
      </c>
      <c r="H382">
        <f ca="1">INDEX(INDIRECT(""&amp;C382&amp;"!A2:A489"),MATCH(B382,INDIRECT(""&amp;C382&amp;"!B2:B489"),0))</f>
        <v>155</v>
      </c>
      <c r="I382">
        <f>IF(C382="RB",LeagueInfo!$D$4*LeagueInfo!$F$2,IF(C382="WR",LeagueInfo!$D$5*LeagueInfo!$F$2,IF(C382="TE",LeagueInfo!$D$6*LeagueInfo!$F$2,LeagueInfo!$D$3*LeagueInfo!$F$2)))</f>
        <v>24</v>
      </c>
    </row>
    <row r="383" spans="1:9" x14ac:dyDescent="0.25">
      <c r="A383">
        <f ca="1">RANK(E383,E$2:E$541)</f>
        <v>381</v>
      </c>
      <c r="B383" t="s">
        <v>2482</v>
      </c>
      <c r="C383" t="s">
        <v>43</v>
      </c>
      <c r="D383">
        <f ca="1">INDEX(INDIRECT($C383&amp;"!P:P"),MATCH($B383,INDIRECT($C383&amp;"!B:B"),0))</f>
        <v>21.470000000000002</v>
      </c>
      <c r="E383" s="210">
        <f ca="1">D383-LARGE(D$2:D$486,RBCount+WRCount+TECount+QBCount)</f>
        <v>-89.73</v>
      </c>
      <c r="F383" t="str">
        <f ca="1">IF(H383&lt;=I383,"Starter",IF(G383&gt;=LARGE(G:G,FlexOn*LeagueInfo!$F$2),"Starter","Bench"))</f>
        <v>Bench</v>
      </c>
      <c r="G383">
        <f ca="1">IF(H383&gt;I383,D383,0)</f>
        <v>21.470000000000002</v>
      </c>
      <c r="H383">
        <f ca="1">INDEX(INDIRECT(""&amp;C383&amp;"!A2:A489"),MATCH(B383,INDIRECT(""&amp;C383&amp;"!B2:B489"),0))</f>
        <v>80</v>
      </c>
      <c r="I383">
        <f>IF(C383="RB",LeagueInfo!$D$4*LeagueInfo!$F$2,IF(C383="WR",LeagueInfo!$D$5*LeagueInfo!$F$2,IF(C383="TE",LeagueInfo!$D$6*LeagueInfo!$F$2,LeagueInfo!$D$3*LeagueInfo!$F$2)))</f>
        <v>12</v>
      </c>
    </row>
    <row r="384" spans="1:9" x14ac:dyDescent="0.25">
      <c r="A384">
        <f ca="1">RANK(E384,E$2:E$541)</f>
        <v>383</v>
      </c>
      <c r="B384" t="s">
        <v>2433</v>
      </c>
      <c r="C384" t="s">
        <v>35</v>
      </c>
      <c r="D384">
        <f ca="1">INDEX(INDIRECT($C384&amp;"!P:P"),MATCH($B384,INDIRECT($C384&amp;"!B:B"),0))</f>
        <v>21.3</v>
      </c>
      <c r="E384" s="210">
        <f ca="1">D384-LARGE(D$2:D$486,RBCount+WRCount+TECount+QBCount)</f>
        <v>-89.9</v>
      </c>
      <c r="F384" t="str">
        <f ca="1">IF(H384&lt;=I384,"Starter",IF(G384&gt;=LARGE(G:G,FlexOn*LeagueInfo!$F$2),"Starter","Bench"))</f>
        <v>Bench</v>
      </c>
      <c r="G384">
        <f ca="1">IF(H384&gt;I384,D384,0)</f>
        <v>21.3</v>
      </c>
      <c r="H384">
        <f ca="1">INDEX(INDIRECT(""&amp;C384&amp;"!A2:A489"),MATCH(B384,INDIRECT(""&amp;C384&amp;"!B2:B489"),0))</f>
        <v>156</v>
      </c>
      <c r="I384">
        <f>IF(C384="RB",LeagueInfo!$D$4*LeagueInfo!$F$2,IF(C384="WR",LeagueInfo!$D$5*LeagueInfo!$F$2,IF(C384="TE",LeagueInfo!$D$6*LeagueInfo!$F$2,LeagueInfo!$D$3*LeagueInfo!$F$2)))</f>
        <v>24</v>
      </c>
    </row>
    <row r="385" spans="1:9" x14ac:dyDescent="0.25">
      <c r="A385">
        <f ca="1">RANK(E385,E$2:E$541)</f>
        <v>383</v>
      </c>
      <c r="B385" t="s">
        <v>978</v>
      </c>
      <c r="C385" t="s">
        <v>43</v>
      </c>
      <c r="D385">
        <f ca="1">INDEX(INDIRECT($C385&amp;"!P:P"),MATCH($B385,INDIRECT($C385&amp;"!B:B"),0))</f>
        <v>21.3</v>
      </c>
      <c r="E385" s="210">
        <f ca="1">D385-LARGE(D$2:D$486,RBCount+WRCount+TECount+QBCount)</f>
        <v>-89.9</v>
      </c>
      <c r="F385" t="str">
        <f ca="1">IF(H385&lt;=I385,"Starter",IF(G385&gt;=LARGE(G:G,FlexOn*LeagueInfo!$F$2),"Starter","Bench"))</f>
        <v>Bench</v>
      </c>
      <c r="G385">
        <f ca="1">IF(H385&gt;I385,D385,0)</f>
        <v>21.3</v>
      </c>
      <c r="H385">
        <f ca="1">INDEX(INDIRECT(""&amp;C385&amp;"!A2:A489"),MATCH(B385,INDIRECT(""&amp;C385&amp;"!B2:B489"),0))</f>
        <v>81</v>
      </c>
      <c r="I385">
        <f>IF(C385="RB",LeagueInfo!$D$4*LeagueInfo!$F$2,IF(C385="WR",LeagueInfo!$D$5*LeagueInfo!$F$2,IF(C385="TE",LeagueInfo!$D$6*LeagueInfo!$F$2,LeagueInfo!$D$3*LeagueInfo!$F$2)))</f>
        <v>12</v>
      </c>
    </row>
    <row r="386" spans="1:9" x14ac:dyDescent="0.25">
      <c r="A386">
        <f ca="1">RANK(E386,E$2:E$541)</f>
        <v>385</v>
      </c>
      <c r="B386" t="s">
        <v>2484</v>
      </c>
      <c r="C386" t="s">
        <v>43</v>
      </c>
      <c r="D386">
        <f ca="1">INDEX(INDIRECT($C386&amp;"!P:P"),MATCH($B386,INDIRECT($C386&amp;"!B:B"),0))</f>
        <v>21.150000000000002</v>
      </c>
      <c r="E386" s="210">
        <f ca="1">D386-LARGE(D$2:D$486,RBCount+WRCount+TECount+QBCount)</f>
        <v>-90.05</v>
      </c>
      <c r="F386" t="str">
        <f ca="1">IF(H386&lt;=I386,"Starter",IF(G386&gt;=LARGE(G:G,FlexOn*LeagueInfo!$F$2),"Starter","Bench"))</f>
        <v>Bench</v>
      </c>
      <c r="G386">
        <f ca="1">IF(H386&gt;I386,D386,0)</f>
        <v>21.150000000000002</v>
      </c>
      <c r="H386">
        <f ca="1">INDEX(INDIRECT(""&amp;C386&amp;"!A2:A489"),MATCH(B386,INDIRECT(""&amp;C386&amp;"!B2:B489"),0))</f>
        <v>82</v>
      </c>
      <c r="I386">
        <f>IF(C386="RB",LeagueInfo!$D$4*LeagueInfo!$F$2,IF(C386="WR",LeagueInfo!$D$5*LeagueInfo!$F$2,IF(C386="TE",LeagueInfo!$D$6*LeagueInfo!$F$2,LeagueInfo!$D$3*LeagueInfo!$F$2)))</f>
        <v>12</v>
      </c>
    </row>
    <row r="387" spans="1:9" x14ac:dyDescent="0.25">
      <c r="A387">
        <f ca="1">RANK(E387,E$2:E$541)</f>
        <v>386</v>
      </c>
      <c r="B387" t="s">
        <v>2438</v>
      </c>
      <c r="C387" t="s">
        <v>35</v>
      </c>
      <c r="D387">
        <f ca="1">INDEX(INDIRECT($C387&amp;"!P:P"),MATCH($B387,INDIRECT($C387&amp;"!B:B"),0))</f>
        <v>21.09</v>
      </c>
      <c r="E387" s="210">
        <f ca="1">D387-LARGE(D$2:D$486,RBCount+WRCount+TECount+QBCount)</f>
        <v>-90.11</v>
      </c>
      <c r="F387" t="str">
        <f ca="1">IF(H387&lt;=I387,"Starter",IF(G387&gt;=LARGE(G:G,FlexOn*LeagueInfo!$F$2),"Starter","Bench"))</f>
        <v>Bench</v>
      </c>
      <c r="G387">
        <f ca="1">IF(H387&gt;I387,D387,0)</f>
        <v>21.09</v>
      </c>
      <c r="H387">
        <f ca="1">INDEX(INDIRECT(""&amp;C387&amp;"!A2:A489"),MATCH(B387,INDIRECT(""&amp;C387&amp;"!B2:B489"),0))</f>
        <v>157</v>
      </c>
      <c r="I387">
        <f>IF(C387="RB",LeagueInfo!$D$4*LeagueInfo!$F$2,IF(C387="WR",LeagueInfo!$D$5*LeagueInfo!$F$2,IF(C387="TE",LeagueInfo!$D$6*LeagueInfo!$F$2,LeagueInfo!$D$3*LeagueInfo!$F$2)))</f>
        <v>24</v>
      </c>
    </row>
    <row r="388" spans="1:9" x14ac:dyDescent="0.25">
      <c r="A388">
        <f ca="1">RANK(E388,E$2:E$541)</f>
        <v>387</v>
      </c>
      <c r="B388" t="s">
        <v>2458</v>
      </c>
      <c r="C388" t="s">
        <v>28</v>
      </c>
      <c r="D388">
        <f ca="1">INDEX(INDIRECT($C388&amp;"!P:P"),MATCH($B388,INDIRECT($C388&amp;"!B:B"),0))</f>
        <v>20.94</v>
      </c>
      <c r="E388" s="210">
        <f ca="1">D388-LARGE(D$2:D$486,RBCount+WRCount+TECount+QBCount)</f>
        <v>-90.26</v>
      </c>
      <c r="F388" t="str">
        <f ca="1">IF(H388&lt;=I388,"Starter",IF(G388&gt;=LARGE(G:G,FlexOn*LeagueInfo!$F$2),"Starter","Bench"))</f>
        <v>Bench</v>
      </c>
      <c r="G388">
        <f ca="1">IF(H388&gt;I388,D388,0)</f>
        <v>20.94</v>
      </c>
      <c r="H388">
        <f ca="1">INDEX(INDIRECT(""&amp;C388&amp;"!A2:A489"),MATCH(B388,INDIRECT(""&amp;C388&amp;"!B2:B489"),0))</f>
        <v>110</v>
      </c>
      <c r="I388">
        <f>IF(C388="RB",LeagueInfo!$D$4*LeagueInfo!$F$2,IF(C388="WR",LeagueInfo!$D$5*LeagueInfo!$F$2,IF(C388="TE",LeagueInfo!$D$6*LeagueInfo!$F$2,LeagueInfo!$D$3*LeagueInfo!$F$2)))</f>
        <v>24</v>
      </c>
    </row>
    <row r="389" spans="1:9" x14ac:dyDescent="0.25">
      <c r="A389">
        <f ca="1">RANK(E389,E$2:E$541)</f>
        <v>388</v>
      </c>
      <c r="B389" t="s">
        <v>737</v>
      </c>
      <c r="C389" t="s">
        <v>35</v>
      </c>
      <c r="D389">
        <f ca="1">INDEX(INDIRECT($C389&amp;"!P:P"),MATCH($B389,INDIRECT($C389&amp;"!B:B"),0))</f>
        <v>20.9</v>
      </c>
      <c r="E389" s="210">
        <f ca="1">D389-LARGE(D$2:D$486,RBCount+WRCount+TECount+QBCount)</f>
        <v>-90.300000000000011</v>
      </c>
      <c r="F389" t="str">
        <f ca="1">IF(H389&lt;=I389,"Starter",IF(G389&gt;=LARGE(G:G,FlexOn*LeagueInfo!$F$2),"Starter","Bench"))</f>
        <v>Bench</v>
      </c>
      <c r="G389">
        <f ca="1">IF(H389&gt;I389,D389,0)</f>
        <v>20.9</v>
      </c>
      <c r="H389">
        <f ca="1">INDEX(INDIRECT(""&amp;C389&amp;"!A2:A489"),MATCH(B389,INDIRECT(""&amp;C389&amp;"!B2:B489"),0))</f>
        <v>158</v>
      </c>
      <c r="I389">
        <f>IF(C389="RB",LeagueInfo!$D$4*LeagueInfo!$F$2,IF(C389="WR",LeagueInfo!$D$5*LeagueInfo!$F$2,IF(C389="TE",LeagueInfo!$D$6*LeagueInfo!$F$2,LeagueInfo!$D$3*LeagueInfo!$F$2)))</f>
        <v>24</v>
      </c>
    </row>
    <row r="390" spans="1:9" x14ac:dyDescent="0.25">
      <c r="A390">
        <f ca="1">RANK(E390,E$2:E$541)</f>
        <v>389</v>
      </c>
      <c r="B390" t="s">
        <v>2461</v>
      </c>
      <c r="C390" t="s">
        <v>28</v>
      </c>
      <c r="D390">
        <f ca="1">INDEX(INDIRECT($C390&amp;"!P:P"),MATCH($B390,INDIRECT($C390&amp;"!B:B"),0))</f>
        <v>20.89</v>
      </c>
      <c r="E390" s="210">
        <f ca="1">D390-LARGE(D$2:D$486,RBCount+WRCount+TECount+QBCount)</f>
        <v>-90.31</v>
      </c>
      <c r="F390" t="str">
        <f ca="1">IF(H390&lt;=I390,"Starter",IF(G390&gt;=LARGE(G:G,FlexOn*LeagueInfo!$F$2),"Starter","Bench"))</f>
        <v>Bench</v>
      </c>
      <c r="G390">
        <f ca="1">IF(H390&gt;I390,D390,0)</f>
        <v>20.89</v>
      </c>
      <c r="H390">
        <f ca="1">INDEX(INDIRECT(""&amp;C390&amp;"!A2:A489"),MATCH(B390,INDIRECT(""&amp;C390&amp;"!B2:B489"),0))</f>
        <v>111</v>
      </c>
      <c r="I390">
        <f>IF(C390="RB",LeagueInfo!$D$4*LeagueInfo!$F$2,IF(C390="WR",LeagueInfo!$D$5*LeagueInfo!$F$2,IF(C390="TE",LeagueInfo!$D$6*LeagueInfo!$F$2,LeagueInfo!$D$3*LeagueInfo!$F$2)))</f>
        <v>24</v>
      </c>
    </row>
    <row r="391" spans="1:9" x14ac:dyDescent="0.25">
      <c r="A391">
        <f ca="1">RANK(E391,E$2:E$541)</f>
        <v>390</v>
      </c>
      <c r="B391" t="s">
        <v>2469</v>
      </c>
      <c r="C391" t="s">
        <v>28</v>
      </c>
      <c r="D391">
        <f ca="1">INDEX(INDIRECT($C391&amp;"!P:P"),MATCH($B391,INDIRECT($C391&amp;"!B:B"),0))</f>
        <v>20.82</v>
      </c>
      <c r="E391" s="210">
        <f ca="1">D391-LARGE(D$2:D$486,RBCount+WRCount+TECount+QBCount)</f>
        <v>-90.38</v>
      </c>
      <c r="F391" t="str">
        <f ca="1">IF(H391&lt;=I391,"Starter",IF(G391&gt;=LARGE(G:G,FlexOn*LeagueInfo!$F$2),"Starter","Bench"))</f>
        <v>Bench</v>
      </c>
      <c r="G391">
        <f ca="1">IF(H391&gt;I391,D391,0)</f>
        <v>20.82</v>
      </c>
      <c r="H391">
        <f ca="1">INDEX(INDIRECT(""&amp;C391&amp;"!A2:A489"),MATCH(B391,INDIRECT(""&amp;C391&amp;"!B2:B489"),0))</f>
        <v>112</v>
      </c>
      <c r="I391">
        <f>IF(C391="RB",LeagueInfo!$D$4*LeagueInfo!$F$2,IF(C391="WR",LeagueInfo!$D$5*LeagueInfo!$F$2,IF(C391="TE",LeagueInfo!$D$6*LeagueInfo!$F$2,LeagueInfo!$D$3*LeagueInfo!$F$2)))</f>
        <v>24</v>
      </c>
    </row>
    <row r="392" spans="1:9" x14ac:dyDescent="0.25">
      <c r="A392">
        <f ca="1">RANK(E392,E$2:E$541)</f>
        <v>391</v>
      </c>
      <c r="B392" t="s">
        <v>751</v>
      </c>
      <c r="C392" t="s">
        <v>43</v>
      </c>
      <c r="D392">
        <f ca="1">INDEX(INDIRECT($C392&amp;"!P:P"),MATCH($B392,INDIRECT($C392&amp;"!B:B"),0))</f>
        <v>20.520000000000003</v>
      </c>
      <c r="E392" s="210">
        <f ca="1">D392-LARGE(D$2:D$486,RBCount+WRCount+TECount+QBCount)</f>
        <v>-90.68</v>
      </c>
      <c r="F392" t="str">
        <f ca="1">IF(H392&lt;=I392,"Starter",IF(G392&gt;=LARGE(G:G,FlexOn*LeagueInfo!$F$2),"Starter","Bench"))</f>
        <v>Bench</v>
      </c>
      <c r="G392">
        <f ca="1">IF(H392&gt;I392,D392,0)</f>
        <v>20.520000000000003</v>
      </c>
      <c r="H392">
        <f ca="1">INDEX(INDIRECT(""&amp;C392&amp;"!A2:A489"),MATCH(B392,INDIRECT(""&amp;C392&amp;"!B2:B489"),0))</f>
        <v>83</v>
      </c>
      <c r="I392">
        <f>IF(C392="RB",LeagueInfo!$D$4*LeagueInfo!$F$2,IF(C392="WR",LeagueInfo!$D$5*LeagueInfo!$F$2,IF(C392="TE",LeagueInfo!$D$6*LeagueInfo!$F$2,LeagueInfo!$D$3*LeagueInfo!$F$2)))</f>
        <v>12</v>
      </c>
    </row>
    <row r="393" spans="1:9" x14ac:dyDescent="0.25">
      <c r="A393">
        <f ca="1">RANK(E393,E$2:E$541)</f>
        <v>392</v>
      </c>
      <c r="B393" t="s">
        <v>703</v>
      </c>
      <c r="C393" t="s">
        <v>35</v>
      </c>
      <c r="D393">
        <f ca="1">INDEX(INDIRECT($C393&amp;"!P:P"),MATCH($B393,INDIRECT($C393&amp;"!B:B"),0))</f>
        <v>20.39</v>
      </c>
      <c r="E393" s="210">
        <f ca="1">D393-LARGE(D$2:D$486,RBCount+WRCount+TECount+QBCount)</f>
        <v>-90.81</v>
      </c>
      <c r="F393" t="str">
        <f ca="1">IF(H393&lt;=I393,"Starter",IF(G393&gt;=LARGE(G:G,FlexOn*LeagueInfo!$F$2),"Starter","Bench"))</f>
        <v>Bench</v>
      </c>
      <c r="G393">
        <f ca="1">IF(H393&gt;I393,D393,0)</f>
        <v>20.39</v>
      </c>
      <c r="H393">
        <f ca="1">INDEX(INDIRECT(""&amp;C393&amp;"!A2:A489"),MATCH(B393,INDIRECT(""&amp;C393&amp;"!B2:B489"),0))</f>
        <v>159</v>
      </c>
      <c r="I393">
        <f>IF(C393="RB",LeagueInfo!$D$4*LeagueInfo!$F$2,IF(C393="WR",LeagueInfo!$D$5*LeagueInfo!$F$2,IF(C393="TE",LeagueInfo!$D$6*LeagueInfo!$F$2,LeagueInfo!$D$3*LeagueInfo!$F$2)))</f>
        <v>24</v>
      </c>
    </row>
    <row r="394" spans="1:9" x14ac:dyDescent="0.25">
      <c r="A394">
        <f ca="1">RANK(E394,E$2:E$541)</f>
        <v>393</v>
      </c>
      <c r="B394" t="s">
        <v>198</v>
      </c>
      <c r="C394" t="s">
        <v>29</v>
      </c>
      <c r="D394">
        <f ca="1">INDEX(INDIRECT($C394&amp;"!P:P"),MATCH($B394,INDIRECT($C394&amp;"!B:B"),0))</f>
        <v>19.918000000000003</v>
      </c>
      <c r="E394" s="210">
        <f ca="1">D394-LARGE(D$2:D$486,RBCount+WRCount+TECount+QBCount)</f>
        <v>-91.281999999999996</v>
      </c>
      <c r="F394" t="str">
        <f ca="1">IF(H394&lt;=I394,"Starter",IF(G394&gt;=LARGE(G:G,FlexOn*LeagueInfo!$F$2),"Starter","Bench"))</f>
        <v>Bench</v>
      </c>
      <c r="G394">
        <f ca="1">IF(H394&gt;I394,D394,0)</f>
        <v>19.918000000000003</v>
      </c>
      <c r="H394">
        <f ca="1">INDEX(INDIRECT(""&amp;C394&amp;"!A2:A489"),MATCH(B394,INDIRECT(""&amp;C394&amp;"!B2:B489"),0))</f>
        <v>39</v>
      </c>
      <c r="I394">
        <f>IF(C394="RB",LeagueInfo!$D$4*LeagueInfo!$F$2,IF(C394="WR",LeagueInfo!$D$5*LeagueInfo!$F$2,IF(C394="TE",LeagueInfo!$D$6*LeagueInfo!$F$2,LeagueInfo!$D$3*LeagueInfo!$F$2)))</f>
        <v>12</v>
      </c>
    </row>
    <row r="395" spans="1:9" x14ac:dyDescent="0.25">
      <c r="A395">
        <f ca="1">RANK(E395,E$2:E$541)</f>
        <v>394</v>
      </c>
      <c r="B395" t="s">
        <v>2466</v>
      </c>
      <c r="C395" t="s">
        <v>28</v>
      </c>
      <c r="D395">
        <f ca="1">INDEX(INDIRECT($C395&amp;"!P:P"),MATCH($B395,INDIRECT($C395&amp;"!B:B"),0))</f>
        <v>19.72</v>
      </c>
      <c r="E395" s="210">
        <f ca="1">D395-LARGE(D$2:D$486,RBCount+WRCount+TECount+QBCount)</f>
        <v>-91.48</v>
      </c>
      <c r="F395" t="str">
        <f ca="1">IF(H395&lt;=I395,"Starter",IF(G395&gt;=LARGE(G:G,FlexOn*LeagueInfo!$F$2),"Starter","Bench"))</f>
        <v>Bench</v>
      </c>
      <c r="G395">
        <f ca="1">IF(H395&gt;I395,D395,0)</f>
        <v>19.72</v>
      </c>
      <c r="H395">
        <f ca="1">INDEX(INDIRECT(""&amp;C395&amp;"!A2:A489"),MATCH(B395,INDIRECT(""&amp;C395&amp;"!B2:B489"),0))</f>
        <v>113</v>
      </c>
      <c r="I395">
        <f>IF(C395="RB",LeagueInfo!$D$4*LeagueInfo!$F$2,IF(C395="WR",LeagueInfo!$D$5*LeagueInfo!$F$2,IF(C395="TE",LeagueInfo!$D$6*LeagueInfo!$F$2,LeagueInfo!$D$3*LeagueInfo!$F$2)))</f>
        <v>24</v>
      </c>
    </row>
    <row r="396" spans="1:9" x14ac:dyDescent="0.25">
      <c r="A396">
        <f ca="1">RANK(E396,E$2:E$541)</f>
        <v>395</v>
      </c>
      <c r="B396" t="s">
        <v>532</v>
      </c>
      <c r="C396" t="s">
        <v>29</v>
      </c>
      <c r="D396">
        <f ca="1">INDEX(INDIRECT($C396&amp;"!P:P"),MATCH($B396,INDIRECT($C396&amp;"!B:B"),0))</f>
        <v>19.654000000000003</v>
      </c>
      <c r="E396" s="210">
        <f ca="1">D396-LARGE(D$2:D$486,RBCount+WRCount+TECount+QBCount)</f>
        <v>-91.545999999999992</v>
      </c>
      <c r="F396" t="str">
        <f ca="1">IF(H396&lt;=I396,"Starter",IF(G396&gt;=LARGE(G:G,FlexOn*LeagueInfo!$F$2),"Starter","Bench"))</f>
        <v>Bench</v>
      </c>
      <c r="G396">
        <f ca="1">IF(H396&gt;I396,D396,0)</f>
        <v>19.654000000000003</v>
      </c>
      <c r="H396">
        <f ca="1">INDEX(INDIRECT(""&amp;C396&amp;"!A2:A489"),MATCH(B396,INDIRECT(""&amp;C396&amp;"!B2:B489"),0))</f>
        <v>40</v>
      </c>
      <c r="I396">
        <f>IF(C396="RB",LeagueInfo!$D$4*LeagueInfo!$F$2,IF(C396="WR",LeagueInfo!$D$5*LeagueInfo!$F$2,IF(C396="TE",LeagueInfo!$D$6*LeagueInfo!$F$2,LeagueInfo!$D$3*LeagueInfo!$F$2)))</f>
        <v>12</v>
      </c>
    </row>
    <row r="397" spans="1:9" x14ac:dyDescent="0.25">
      <c r="A397">
        <f ca="1">RANK(E397,E$2:E$541)</f>
        <v>396</v>
      </c>
      <c r="B397" t="s">
        <v>885</v>
      </c>
      <c r="C397" t="s">
        <v>28</v>
      </c>
      <c r="D397">
        <f ca="1">INDEX(INDIRECT($C397&amp;"!P:P"),MATCH($B397,INDIRECT($C397&amp;"!B:B"),0))</f>
        <v>19.590000000000003</v>
      </c>
      <c r="E397" s="210">
        <f ca="1">D397-LARGE(D$2:D$486,RBCount+WRCount+TECount+QBCount)</f>
        <v>-91.61</v>
      </c>
      <c r="F397" t="str">
        <f ca="1">IF(H397&lt;=I397,"Starter",IF(G397&gt;=LARGE(G:G,FlexOn*LeagueInfo!$F$2),"Starter","Bench"))</f>
        <v>Bench</v>
      </c>
      <c r="G397">
        <f ca="1">IF(H397&gt;I397,D397,0)</f>
        <v>19.590000000000003</v>
      </c>
      <c r="H397">
        <f ca="1">INDEX(INDIRECT(""&amp;C397&amp;"!A2:A489"),MATCH(B397,INDIRECT(""&amp;C397&amp;"!B2:B489"),0))</f>
        <v>114</v>
      </c>
      <c r="I397">
        <f>IF(C397="RB",LeagueInfo!$D$4*LeagueInfo!$F$2,IF(C397="WR",LeagueInfo!$D$5*LeagueInfo!$F$2,IF(C397="TE",LeagueInfo!$D$6*LeagueInfo!$F$2,LeagueInfo!$D$3*LeagueInfo!$F$2)))</f>
        <v>24</v>
      </c>
    </row>
    <row r="398" spans="1:9" x14ac:dyDescent="0.25">
      <c r="A398">
        <f ca="1">RANK(E398,E$2:E$541)</f>
        <v>397</v>
      </c>
      <c r="B398" t="s">
        <v>693</v>
      </c>
      <c r="C398" t="s">
        <v>28</v>
      </c>
      <c r="D398">
        <f ca="1">INDEX(INDIRECT($C398&amp;"!P:P"),MATCH($B398,INDIRECT($C398&amp;"!B:B"),0))</f>
        <v>19.540000000000003</v>
      </c>
      <c r="E398" s="210">
        <f ca="1">D398-LARGE(D$2:D$486,RBCount+WRCount+TECount+QBCount)</f>
        <v>-91.66</v>
      </c>
      <c r="F398" t="str">
        <f ca="1">IF(H398&lt;=I398,"Starter",IF(G398&gt;=LARGE(G:G,FlexOn*LeagueInfo!$F$2),"Starter","Bench"))</f>
        <v>Bench</v>
      </c>
      <c r="G398">
        <f ca="1">IF(H398&gt;I398,D398,0)</f>
        <v>19.540000000000003</v>
      </c>
      <c r="H398">
        <f ca="1">INDEX(INDIRECT(""&amp;C398&amp;"!A2:A489"),MATCH(B398,INDIRECT(""&amp;C398&amp;"!B2:B489"),0))</f>
        <v>115</v>
      </c>
      <c r="I398">
        <f>IF(C398="RB",LeagueInfo!$D$4*LeagueInfo!$F$2,IF(C398="WR",LeagueInfo!$D$5*LeagueInfo!$F$2,IF(C398="TE",LeagueInfo!$D$6*LeagueInfo!$F$2,LeagueInfo!$D$3*LeagueInfo!$F$2)))</f>
        <v>24</v>
      </c>
    </row>
    <row r="399" spans="1:9" x14ac:dyDescent="0.25">
      <c r="A399">
        <f ca="1">RANK(E399,E$2:E$541)</f>
        <v>398</v>
      </c>
      <c r="B399" t="s">
        <v>2462</v>
      </c>
      <c r="C399" t="s">
        <v>28</v>
      </c>
      <c r="D399">
        <f ca="1">INDEX(INDIRECT($C399&amp;"!P:P"),MATCH($B399,INDIRECT($C399&amp;"!B:B"),0))</f>
        <v>19.47</v>
      </c>
      <c r="E399" s="210">
        <f ca="1">D399-LARGE(D$2:D$486,RBCount+WRCount+TECount+QBCount)</f>
        <v>-91.73</v>
      </c>
      <c r="F399" t="str">
        <f ca="1">IF(H399&lt;=I399,"Starter",IF(G399&gt;=LARGE(G:G,FlexOn*LeagueInfo!$F$2),"Starter","Bench"))</f>
        <v>Bench</v>
      </c>
      <c r="G399">
        <f ca="1">IF(H399&gt;I399,D399,0)</f>
        <v>19.47</v>
      </c>
      <c r="H399">
        <f ca="1">INDEX(INDIRECT(""&amp;C399&amp;"!A2:A489"),MATCH(B399,INDIRECT(""&amp;C399&amp;"!B2:B489"),0))</f>
        <v>116</v>
      </c>
      <c r="I399">
        <f>IF(C399="RB",LeagueInfo!$D$4*LeagueInfo!$F$2,IF(C399="WR",LeagueInfo!$D$5*LeagueInfo!$F$2,IF(C399="TE",LeagueInfo!$D$6*LeagueInfo!$F$2,LeagueInfo!$D$3*LeagueInfo!$F$2)))</f>
        <v>24</v>
      </c>
    </row>
    <row r="400" spans="1:9" x14ac:dyDescent="0.25">
      <c r="A400">
        <f ca="1">RANK(E400,E$2:E$541)</f>
        <v>399</v>
      </c>
      <c r="B400" t="s">
        <v>943</v>
      </c>
      <c r="C400" t="s">
        <v>28</v>
      </c>
      <c r="D400">
        <f ca="1">INDEX(INDIRECT($C400&amp;"!P:P"),MATCH($B400,INDIRECT($C400&amp;"!B:B"),0))</f>
        <v>19.380000000000003</v>
      </c>
      <c r="E400" s="210">
        <f ca="1">D400-LARGE(D$2:D$486,RBCount+WRCount+TECount+QBCount)</f>
        <v>-91.82</v>
      </c>
      <c r="F400" t="str">
        <f ca="1">IF(H400&lt;=I400,"Starter",IF(G400&gt;=LARGE(G:G,FlexOn*LeagueInfo!$F$2),"Starter","Bench"))</f>
        <v>Bench</v>
      </c>
      <c r="G400">
        <f ca="1">IF(H400&gt;I400,D400,0)</f>
        <v>19.380000000000003</v>
      </c>
      <c r="H400">
        <f ca="1">INDEX(INDIRECT(""&amp;C400&amp;"!A2:A489"),MATCH(B400,INDIRECT(""&amp;C400&amp;"!B2:B489"),0))</f>
        <v>117</v>
      </c>
      <c r="I400">
        <f>IF(C400="RB",LeagueInfo!$D$4*LeagueInfo!$F$2,IF(C400="WR",LeagueInfo!$D$5*LeagueInfo!$F$2,IF(C400="TE",LeagueInfo!$D$6*LeagueInfo!$F$2,LeagueInfo!$D$3*LeagueInfo!$F$2)))</f>
        <v>24</v>
      </c>
    </row>
    <row r="401" spans="1:9" x14ac:dyDescent="0.25">
      <c r="A401">
        <f ca="1">RANK(E401,E$2:E$541)</f>
        <v>400</v>
      </c>
      <c r="B401" t="s">
        <v>539</v>
      </c>
      <c r="C401" t="s">
        <v>29</v>
      </c>
      <c r="D401">
        <f ca="1">INDEX(INDIRECT($C401&amp;"!P:P"),MATCH($B401,INDIRECT($C401&amp;"!B:B"),0))</f>
        <v>19.372</v>
      </c>
      <c r="E401" s="210">
        <f ca="1">D401-LARGE(D$2:D$486,RBCount+WRCount+TECount+QBCount)</f>
        <v>-91.828000000000003</v>
      </c>
      <c r="F401" t="str">
        <f ca="1">IF(H401&lt;=I401,"Starter",IF(G401&gt;=LARGE(G:G,FlexOn*LeagueInfo!$F$2),"Starter","Bench"))</f>
        <v>Bench</v>
      </c>
      <c r="G401">
        <f ca="1">IF(H401&gt;I401,D401,0)</f>
        <v>19.372</v>
      </c>
      <c r="H401">
        <f ca="1">INDEX(INDIRECT(""&amp;C401&amp;"!A2:A489"),MATCH(B401,INDIRECT(""&amp;C401&amp;"!B2:B489"),0))</f>
        <v>41</v>
      </c>
      <c r="I401">
        <f>IF(C401="RB",LeagueInfo!$D$4*LeagueInfo!$F$2,IF(C401="WR",LeagueInfo!$D$5*LeagueInfo!$F$2,IF(C401="TE",LeagueInfo!$D$6*LeagueInfo!$F$2,LeagueInfo!$D$3*LeagueInfo!$F$2)))</f>
        <v>12</v>
      </c>
    </row>
    <row r="402" spans="1:9" x14ac:dyDescent="0.25">
      <c r="A402">
        <f ca="1">RANK(E402,E$2:E$541)</f>
        <v>401</v>
      </c>
      <c r="B402" t="s">
        <v>969</v>
      </c>
      <c r="C402" t="s">
        <v>35</v>
      </c>
      <c r="D402">
        <f ca="1">INDEX(INDIRECT($C402&amp;"!P:P"),MATCH($B402,INDIRECT($C402&amp;"!B:B"),0))</f>
        <v>19.309999999999999</v>
      </c>
      <c r="E402" s="210">
        <f ca="1">D402-LARGE(D$2:D$486,RBCount+WRCount+TECount+QBCount)</f>
        <v>-91.89</v>
      </c>
      <c r="F402" t="str">
        <f ca="1">IF(H402&lt;=I402,"Starter",IF(G402&gt;=LARGE(G:G,FlexOn*LeagueInfo!$F$2),"Starter","Bench"))</f>
        <v>Bench</v>
      </c>
      <c r="G402">
        <f ca="1">IF(H402&gt;I402,D402,0)</f>
        <v>19.309999999999999</v>
      </c>
      <c r="H402">
        <f ca="1">INDEX(INDIRECT(""&amp;C402&amp;"!A2:A489"),MATCH(B402,INDIRECT(""&amp;C402&amp;"!B2:B489"),0))</f>
        <v>160</v>
      </c>
      <c r="I402">
        <f>IF(C402="RB",LeagueInfo!$D$4*LeagueInfo!$F$2,IF(C402="WR",LeagueInfo!$D$5*LeagueInfo!$F$2,IF(C402="TE",LeagueInfo!$D$6*LeagueInfo!$F$2,LeagueInfo!$D$3*LeagueInfo!$F$2)))</f>
        <v>24</v>
      </c>
    </row>
    <row r="403" spans="1:9" x14ac:dyDescent="0.25">
      <c r="A403">
        <f ca="1">RANK(E403,E$2:E$541)</f>
        <v>402</v>
      </c>
      <c r="B403" t="s">
        <v>803</v>
      </c>
      <c r="C403" t="s">
        <v>35</v>
      </c>
      <c r="D403">
        <f ca="1">INDEX(INDIRECT($C403&amp;"!P:P"),MATCH($B403,INDIRECT($C403&amp;"!B:B"),0))</f>
        <v>18.950000000000003</v>
      </c>
      <c r="E403" s="210">
        <f ca="1">D403-LARGE(D$2:D$486,RBCount+WRCount+TECount+QBCount)</f>
        <v>-92.25</v>
      </c>
      <c r="F403" t="str">
        <f ca="1">IF(H403&lt;=I403,"Starter",IF(G403&gt;=LARGE(G:G,FlexOn*LeagueInfo!$F$2),"Starter","Bench"))</f>
        <v>Bench</v>
      </c>
      <c r="G403">
        <f ca="1">IF(H403&gt;I403,D403,0)</f>
        <v>18.950000000000003</v>
      </c>
      <c r="H403">
        <f ca="1">INDEX(INDIRECT(""&amp;C403&amp;"!A2:A489"),MATCH(B403,INDIRECT(""&amp;C403&amp;"!B2:B489"),0))</f>
        <v>161</v>
      </c>
      <c r="I403">
        <f>IF(C403="RB",LeagueInfo!$D$4*LeagueInfo!$F$2,IF(C403="WR",LeagueInfo!$D$5*LeagueInfo!$F$2,IF(C403="TE",LeagueInfo!$D$6*LeagueInfo!$F$2,LeagueInfo!$D$3*LeagueInfo!$F$2)))</f>
        <v>24</v>
      </c>
    </row>
    <row r="404" spans="1:9" x14ac:dyDescent="0.25">
      <c r="A404">
        <f ca="1">RANK(E404,E$2:E$541)</f>
        <v>403</v>
      </c>
      <c r="B404" t="s">
        <v>925</v>
      </c>
      <c r="C404" t="s">
        <v>29</v>
      </c>
      <c r="D404">
        <f ca="1">INDEX(INDIRECT($C404&amp;"!P:P"),MATCH($B404,INDIRECT($C404&amp;"!B:B"),0))</f>
        <v>18.91</v>
      </c>
      <c r="E404" s="210">
        <f ca="1">D404-LARGE(D$2:D$486,RBCount+WRCount+TECount+QBCount)</f>
        <v>-92.29</v>
      </c>
      <c r="F404" t="str">
        <f ca="1">IF(H404&lt;=I404,"Starter",IF(G404&gt;=LARGE(G:G,FlexOn*LeagueInfo!$F$2),"Starter","Bench"))</f>
        <v>Bench</v>
      </c>
      <c r="G404">
        <f ca="1">IF(H404&gt;I404,D404,0)</f>
        <v>18.91</v>
      </c>
      <c r="H404">
        <f ca="1">INDEX(INDIRECT(""&amp;C404&amp;"!A2:A489"),MATCH(B404,INDIRECT(""&amp;C404&amp;"!B2:B489"),0))</f>
        <v>42</v>
      </c>
      <c r="I404">
        <f>IF(C404="RB",LeagueInfo!$D$4*LeagueInfo!$F$2,IF(C404="WR",LeagueInfo!$D$5*LeagueInfo!$F$2,IF(C404="TE",LeagueInfo!$D$6*LeagueInfo!$F$2,LeagueInfo!$D$3*LeagueInfo!$F$2)))</f>
        <v>12</v>
      </c>
    </row>
    <row r="405" spans="1:9" x14ac:dyDescent="0.25">
      <c r="A405">
        <f ca="1">RANK(E405,E$2:E$541)</f>
        <v>404</v>
      </c>
      <c r="B405" t="s">
        <v>736</v>
      </c>
      <c r="C405" t="s">
        <v>35</v>
      </c>
      <c r="D405">
        <f ca="1">INDEX(INDIRECT($C405&amp;"!P:P"),MATCH($B405,INDIRECT($C405&amp;"!B:B"),0))</f>
        <v>18.78</v>
      </c>
      <c r="E405" s="210">
        <f ca="1">D405-LARGE(D$2:D$486,RBCount+WRCount+TECount+QBCount)</f>
        <v>-92.42</v>
      </c>
      <c r="F405" t="str">
        <f ca="1">IF(H405&lt;=I405,"Starter",IF(G405&gt;=LARGE(G:G,FlexOn*LeagueInfo!$F$2),"Starter","Bench"))</f>
        <v>Bench</v>
      </c>
      <c r="G405">
        <f ca="1">IF(H405&gt;I405,D405,0)</f>
        <v>18.78</v>
      </c>
      <c r="H405">
        <f ca="1">INDEX(INDIRECT(""&amp;C405&amp;"!A2:A489"),MATCH(B405,INDIRECT(""&amp;C405&amp;"!B2:B489"),0))</f>
        <v>162</v>
      </c>
      <c r="I405">
        <f>IF(C405="RB",LeagueInfo!$D$4*LeagueInfo!$F$2,IF(C405="WR",LeagueInfo!$D$5*LeagueInfo!$F$2,IF(C405="TE",LeagueInfo!$D$6*LeagueInfo!$F$2,LeagueInfo!$D$3*LeagueInfo!$F$2)))</f>
        <v>24</v>
      </c>
    </row>
    <row r="406" spans="1:9" x14ac:dyDescent="0.25">
      <c r="A406">
        <f ca="1">RANK(E406,E$2:E$541)</f>
        <v>405</v>
      </c>
      <c r="B406" t="s">
        <v>980</v>
      </c>
      <c r="C406" t="s">
        <v>43</v>
      </c>
      <c r="D406">
        <f ca="1">INDEX(INDIRECT($C406&amp;"!P:P"),MATCH($B406,INDIRECT($C406&amp;"!B:B"),0))</f>
        <v>18.75</v>
      </c>
      <c r="E406" s="210">
        <f ca="1">D406-LARGE(D$2:D$486,RBCount+WRCount+TECount+QBCount)</f>
        <v>-92.45</v>
      </c>
      <c r="F406" t="str">
        <f ca="1">IF(H406&lt;=I406,"Starter",IF(G406&gt;=LARGE(G:G,FlexOn*LeagueInfo!$F$2),"Starter","Bench"))</f>
        <v>Bench</v>
      </c>
      <c r="G406">
        <f ca="1">IF(H406&gt;I406,D406,0)</f>
        <v>18.75</v>
      </c>
      <c r="H406">
        <f ca="1">INDEX(INDIRECT(""&amp;C406&amp;"!A2:A489"),MATCH(B406,INDIRECT(""&amp;C406&amp;"!B2:B489"),0))</f>
        <v>84</v>
      </c>
      <c r="I406">
        <f>IF(C406="RB",LeagueInfo!$D$4*LeagueInfo!$F$2,IF(C406="WR",LeagueInfo!$D$5*LeagueInfo!$F$2,IF(C406="TE",LeagueInfo!$D$6*LeagueInfo!$F$2,LeagueInfo!$D$3*LeagueInfo!$F$2)))</f>
        <v>12</v>
      </c>
    </row>
    <row r="407" spans="1:9" x14ac:dyDescent="0.25">
      <c r="A407">
        <f ca="1">RANK(E407,E$2:E$541)</f>
        <v>406</v>
      </c>
      <c r="B407" t="s">
        <v>2435</v>
      </c>
      <c r="C407" t="s">
        <v>35</v>
      </c>
      <c r="D407">
        <f ca="1">INDEX(INDIRECT($C407&amp;"!P:P"),MATCH($B407,INDIRECT($C407&amp;"!B:B"),0))</f>
        <v>18.68</v>
      </c>
      <c r="E407" s="210">
        <f ca="1">D407-LARGE(D$2:D$486,RBCount+WRCount+TECount+QBCount)</f>
        <v>-92.52000000000001</v>
      </c>
      <c r="F407" t="str">
        <f ca="1">IF(H407&lt;=I407,"Starter",IF(G407&gt;=LARGE(G:G,FlexOn*LeagueInfo!$F$2),"Starter","Bench"))</f>
        <v>Bench</v>
      </c>
      <c r="G407">
        <f ca="1">IF(H407&gt;I407,D407,0)</f>
        <v>18.68</v>
      </c>
      <c r="H407">
        <f ca="1">INDEX(INDIRECT(""&amp;C407&amp;"!A2:A489"),MATCH(B407,INDIRECT(""&amp;C407&amp;"!B2:B489"),0))</f>
        <v>163</v>
      </c>
      <c r="I407">
        <f>IF(C407="RB",LeagueInfo!$D$4*LeagueInfo!$F$2,IF(C407="WR",LeagueInfo!$D$5*LeagueInfo!$F$2,IF(C407="TE",LeagueInfo!$D$6*LeagueInfo!$F$2,LeagueInfo!$D$3*LeagueInfo!$F$2)))</f>
        <v>24</v>
      </c>
    </row>
    <row r="408" spans="1:9" x14ac:dyDescent="0.25">
      <c r="A408">
        <f ca="1">RANK(E408,E$2:E$541)</f>
        <v>407</v>
      </c>
      <c r="B408" t="s">
        <v>941</v>
      </c>
      <c r="C408" t="s">
        <v>28</v>
      </c>
      <c r="D408">
        <f ca="1">INDEX(INDIRECT($C408&amp;"!P:P"),MATCH($B408,INDIRECT($C408&amp;"!B:B"),0))</f>
        <v>18.630000000000003</v>
      </c>
      <c r="E408" s="210">
        <f ca="1">D408-LARGE(D$2:D$486,RBCount+WRCount+TECount+QBCount)</f>
        <v>-92.57</v>
      </c>
      <c r="F408" t="str">
        <f ca="1">IF(H408&lt;=I408,"Starter",IF(G408&gt;=LARGE(G:G,FlexOn*LeagueInfo!$F$2),"Starter","Bench"))</f>
        <v>Bench</v>
      </c>
      <c r="G408">
        <f ca="1">IF(H408&gt;I408,D408,0)</f>
        <v>18.630000000000003</v>
      </c>
      <c r="H408">
        <f ca="1">INDEX(INDIRECT(""&amp;C408&amp;"!A2:A489"),MATCH(B408,INDIRECT(""&amp;C408&amp;"!B2:B489"),0))</f>
        <v>118</v>
      </c>
      <c r="I408">
        <f>IF(C408="RB",LeagueInfo!$D$4*LeagueInfo!$F$2,IF(C408="WR",LeagueInfo!$D$5*LeagueInfo!$F$2,IF(C408="TE",LeagueInfo!$D$6*LeagueInfo!$F$2,LeagueInfo!$D$3*LeagueInfo!$F$2)))</f>
        <v>24</v>
      </c>
    </row>
    <row r="409" spans="1:9" x14ac:dyDescent="0.25">
      <c r="A409">
        <f ca="1">RANK(E409,E$2:E$541)</f>
        <v>408</v>
      </c>
      <c r="B409" t="s">
        <v>2432</v>
      </c>
      <c r="C409" t="s">
        <v>35</v>
      </c>
      <c r="D409">
        <f ca="1">INDEX(INDIRECT($C409&amp;"!P:P"),MATCH($B409,INDIRECT($C409&amp;"!B:B"),0))</f>
        <v>18.610000000000003</v>
      </c>
      <c r="E409" s="210">
        <f ca="1">D409-LARGE(D$2:D$486,RBCount+WRCount+TECount+QBCount)</f>
        <v>-92.59</v>
      </c>
      <c r="F409" t="str">
        <f ca="1">IF(H409&lt;=I409,"Starter",IF(G409&gt;=LARGE(G:G,FlexOn*LeagueInfo!$F$2),"Starter","Bench"))</f>
        <v>Bench</v>
      </c>
      <c r="G409">
        <f ca="1">IF(H409&gt;I409,D409,0)</f>
        <v>18.610000000000003</v>
      </c>
      <c r="H409">
        <f ca="1">INDEX(INDIRECT(""&amp;C409&amp;"!A2:A489"),MATCH(B409,INDIRECT(""&amp;C409&amp;"!B2:B489"),0))</f>
        <v>164</v>
      </c>
      <c r="I409">
        <f>IF(C409="RB",LeagueInfo!$D$4*LeagueInfo!$F$2,IF(C409="WR",LeagueInfo!$D$5*LeagueInfo!$F$2,IF(C409="TE",LeagueInfo!$D$6*LeagueInfo!$F$2,LeagueInfo!$D$3*LeagueInfo!$F$2)))</f>
        <v>24</v>
      </c>
    </row>
    <row r="410" spans="1:9" x14ac:dyDescent="0.25">
      <c r="A410">
        <f ca="1">RANK(E410,E$2:E$541)</f>
        <v>408</v>
      </c>
      <c r="B410" t="s">
        <v>962</v>
      </c>
      <c r="C410" t="s">
        <v>35</v>
      </c>
      <c r="D410">
        <f ca="1">INDEX(INDIRECT($C410&amp;"!P:P"),MATCH($B410,INDIRECT($C410&amp;"!B:B"),0))</f>
        <v>18.61</v>
      </c>
      <c r="E410" s="210">
        <f ca="1">D410-LARGE(D$2:D$486,RBCount+WRCount+TECount+QBCount)</f>
        <v>-92.59</v>
      </c>
      <c r="F410" t="str">
        <f ca="1">IF(H410&lt;=I410,"Starter",IF(G410&gt;=LARGE(G:G,FlexOn*LeagueInfo!$F$2),"Starter","Bench"))</f>
        <v>Bench</v>
      </c>
      <c r="G410">
        <f ca="1">IF(H410&gt;I410,D410,0)</f>
        <v>18.61</v>
      </c>
      <c r="H410">
        <f ca="1">INDEX(INDIRECT(""&amp;C410&amp;"!A2:A489"),MATCH(B410,INDIRECT(""&amp;C410&amp;"!B2:B489"),0))</f>
        <v>165</v>
      </c>
      <c r="I410">
        <f>IF(C410="RB",LeagueInfo!$D$4*LeagueInfo!$F$2,IF(C410="WR",LeagueInfo!$D$5*LeagueInfo!$F$2,IF(C410="TE",LeagueInfo!$D$6*LeagueInfo!$F$2,LeagueInfo!$D$3*LeagueInfo!$F$2)))</f>
        <v>24</v>
      </c>
    </row>
    <row r="411" spans="1:9" x14ac:dyDescent="0.25">
      <c r="A411">
        <f ca="1">RANK(E411,E$2:E$541)</f>
        <v>410</v>
      </c>
      <c r="B411" t="s">
        <v>2670</v>
      </c>
      <c r="C411" t="s">
        <v>28</v>
      </c>
      <c r="D411">
        <f ca="1">INDEX(INDIRECT($C411&amp;"!P:P"),MATCH($B411,INDIRECT($C411&amp;"!B:B"),0))</f>
        <v>18.12</v>
      </c>
      <c r="E411" s="210">
        <f ca="1">D411-LARGE(D$2:D$486,RBCount+WRCount+TECount+QBCount)</f>
        <v>-93.08</v>
      </c>
      <c r="F411" t="str">
        <f ca="1">IF(H411&lt;=I411,"Starter",IF(G411&gt;=LARGE(G:G,FlexOn*LeagueInfo!$F$2),"Starter","Bench"))</f>
        <v>Bench</v>
      </c>
      <c r="G411">
        <f ca="1">IF(H411&gt;I411,D411,0)</f>
        <v>18.12</v>
      </c>
      <c r="H411">
        <f ca="1">INDEX(INDIRECT(""&amp;C411&amp;"!A2:A489"),MATCH(B411,INDIRECT(""&amp;C411&amp;"!B2:B489"),0))</f>
        <v>119</v>
      </c>
      <c r="I411">
        <f>IF(C411="RB",LeagueInfo!$D$4*LeagueInfo!$F$2,IF(C411="WR",LeagueInfo!$D$5*LeagueInfo!$F$2,IF(C411="TE",LeagueInfo!$D$6*LeagueInfo!$F$2,LeagueInfo!$D$3*LeagueInfo!$F$2)))</f>
        <v>24</v>
      </c>
    </row>
    <row r="412" spans="1:9" x14ac:dyDescent="0.25">
      <c r="A412">
        <f ca="1">RANK(E412,E$2:E$541)</f>
        <v>411</v>
      </c>
      <c r="B412" t="s">
        <v>967</v>
      </c>
      <c r="C412" t="s">
        <v>35</v>
      </c>
      <c r="D412">
        <f ca="1">INDEX(INDIRECT($C412&amp;"!P:P"),MATCH($B412,INDIRECT($C412&amp;"!B:B"),0))</f>
        <v>18.060000000000002</v>
      </c>
      <c r="E412" s="210">
        <f ca="1">D412-LARGE(D$2:D$486,RBCount+WRCount+TECount+QBCount)</f>
        <v>-93.14</v>
      </c>
      <c r="F412" t="str">
        <f ca="1">IF(H412&lt;=I412,"Starter",IF(G412&gt;=LARGE(G:G,FlexOn*LeagueInfo!$F$2),"Starter","Bench"))</f>
        <v>Bench</v>
      </c>
      <c r="G412">
        <f ca="1">IF(H412&gt;I412,D412,0)</f>
        <v>18.060000000000002</v>
      </c>
      <c r="H412">
        <f ca="1">INDEX(INDIRECT(""&amp;C412&amp;"!A2:A489"),MATCH(B412,INDIRECT(""&amp;C412&amp;"!B2:B489"),0))</f>
        <v>166</v>
      </c>
      <c r="I412">
        <f>IF(C412="RB",LeagueInfo!$D$4*LeagueInfo!$F$2,IF(C412="WR",LeagueInfo!$D$5*LeagueInfo!$F$2,IF(C412="TE",LeagueInfo!$D$6*LeagueInfo!$F$2,LeagueInfo!$D$3*LeagueInfo!$F$2)))</f>
        <v>24</v>
      </c>
    </row>
    <row r="413" spans="1:9" x14ac:dyDescent="0.25">
      <c r="A413">
        <f ca="1">RANK(E413,E$2:E$541)</f>
        <v>412</v>
      </c>
      <c r="B413" t="s">
        <v>2483</v>
      </c>
      <c r="C413" t="s">
        <v>43</v>
      </c>
      <c r="D413">
        <f ca="1">INDEX(INDIRECT($C413&amp;"!P:P"),MATCH($B413,INDIRECT($C413&amp;"!B:B"),0))</f>
        <v>17.97</v>
      </c>
      <c r="E413" s="210">
        <f ca="1">D413-LARGE(D$2:D$486,RBCount+WRCount+TECount+QBCount)</f>
        <v>-93.23</v>
      </c>
      <c r="F413" t="str">
        <f ca="1">IF(H413&lt;=I413,"Starter",IF(G413&gt;=LARGE(G:G,FlexOn*LeagueInfo!$F$2),"Starter","Bench"))</f>
        <v>Bench</v>
      </c>
      <c r="G413">
        <f ca="1">IF(H413&gt;I413,D413,0)</f>
        <v>17.97</v>
      </c>
      <c r="H413">
        <f ca="1">INDEX(INDIRECT(""&amp;C413&amp;"!A2:A489"),MATCH(B413,INDIRECT(""&amp;C413&amp;"!B2:B489"),0))</f>
        <v>85</v>
      </c>
      <c r="I413">
        <f>IF(C413="RB",LeagueInfo!$D$4*LeagueInfo!$F$2,IF(C413="WR",LeagueInfo!$D$5*LeagueInfo!$F$2,IF(C413="TE",LeagueInfo!$D$6*LeagueInfo!$F$2,LeagueInfo!$D$3*LeagueInfo!$F$2)))</f>
        <v>12</v>
      </c>
    </row>
    <row r="414" spans="1:9" x14ac:dyDescent="0.25">
      <c r="A414">
        <f ca="1">RANK(E414,E$2:E$541)</f>
        <v>413</v>
      </c>
      <c r="B414" t="s">
        <v>652</v>
      </c>
      <c r="C414" t="s">
        <v>29</v>
      </c>
      <c r="D414">
        <f ca="1">INDEX(INDIRECT($C414&amp;"!P:P"),MATCH($B414,INDIRECT($C414&amp;"!B:B"),0))</f>
        <v>17.558</v>
      </c>
      <c r="E414" s="210">
        <f ca="1">D414-LARGE(D$2:D$486,RBCount+WRCount+TECount+QBCount)</f>
        <v>-93.641999999999996</v>
      </c>
      <c r="F414" t="str">
        <f ca="1">IF(H414&lt;=I414,"Starter",IF(G414&gt;=LARGE(G:G,FlexOn*LeagueInfo!$F$2),"Starter","Bench"))</f>
        <v>Bench</v>
      </c>
      <c r="G414">
        <f ca="1">IF(H414&gt;I414,D414,0)</f>
        <v>17.558</v>
      </c>
      <c r="H414">
        <f ca="1">INDEX(INDIRECT(""&amp;C414&amp;"!A2:A489"),MATCH(B414,INDIRECT(""&amp;C414&amp;"!B2:B489"),0))</f>
        <v>43</v>
      </c>
      <c r="I414">
        <f>IF(C414="RB",LeagueInfo!$D$4*LeagueInfo!$F$2,IF(C414="WR",LeagueInfo!$D$5*LeagueInfo!$F$2,IF(C414="TE",LeagueInfo!$D$6*LeagueInfo!$F$2,LeagueInfo!$D$3*LeagueInfo!$F$2)))</f>
        <v>12</v>
      </c>
    </row>
    <row r="415" spans="1:9" x14ac:dyDescent="0.25">
      <c r="A415">
        <f ca="1">RANK(E415,E$2:E$541)</f>
        <v>414</v>
      </c>
      <c r="B415" t="s">
        <v>2464</v>
      </c>
      <c r="C415" t="s">
        <v>28</v>
      </c>
      <c r="D415">
        <f ca="1">INDEX(INDIRECT($C415&amp;"!P:P"),MATCH($B415,INDIRECT($C415&amp;"!B:B"),0))</f>
        <v>17.490000000000006</v>
      </c>
      <c r="E415" s="210">
        <f ca="1">D415-LARGE(D$2:D$486,RBCount+WRCount+TECount+QBCount)</f>
        <v>-93.71</v>
      </c>
      <c r="F415" t="str">
        <f ca="1">IF(H415&lt;=I415,"Starter",IF(G415&gt;=LARGE(G:G,FlexOn*LeagueInfo!$F$2),"Starter","Bench"))</f>
        <v>Bench</v>
      </c>
      <c r="G415">
        <f ca="1">IF(H415&gt;I415,D415,0)</f>
        <v>17.490000000000006</v>
      </c>
      <c r="H415">
        <f ca="1">INDEX(INDIRECT(""&amp;C415&amp;"!A2:A489"),MATCH(B415,INDIRECT(""&amp;C415&amp;"!B2:B489"),0))</f>
        <v>120</v>
      </c>
      <c r="I415">
        <f>IF(C415="RB",LeagueInfo!$D$4*LeagueInfo!$F$2,IF(C415="WR",LeagueInfo!$D$5*LeagueInfo!$F$2,IF(C415="TE",LeagueInfo!$D$6*LeagueInfo!$F$2,LeagueInfo!$D$3*LeagueInfo!$F$2)))</f>
        <v>24</v>
      </c>
    </row>
    <row r="416" spans="1:9" x14ac:dyDescent="0.25">
      <c r="A416">
        <f ca="1">RANK(E416,E$2:E$541)</f>
        <v>415</v>
      </c>
      <c r="B416" t="s">
        <v>686</v>
      </c>
      <c r="C416" t="s">
        <v>28</v>
      </c>
      <c r="D416">
        <f ca="1">INDEX(INDIRECT($C416&amp;"!P:P"),MATCH($B416,INDIRECT($C416&amp;"!B:B"),0))</f>
        <v>17.43</v>
      </c>
      <c r="E416" s="210">
        <f ca="1">D416-LARGE(D$2:D$486,RBCount+WRCount+TECount+QBCount)</f>
        <v>-93.77000000000001</v>
      </c>
      <c r="F416" t="str">
        <f ca="1">IF(H416&lt;=I416,"Starter",IF(G416&gt;=LARGE(G:G,FlexOn*LeagueInfo!$F$2),"Starter","Bench"))</f>
        <v>Bench</v>
      </c>
      <c r="G416">
        <f ca="1">IF(H416&gt;I416,D416,0)</f>
        <v>17.43</v>
      </c>
      <c r="H416">
        <f ca="1">INDEX(INDIRECT(""&amp;C416&amp;"!A2:A489"),MATCH(B416,INDIRECT(""&amp;C416&amp;"!B2:B489"),0))</f>
        <v>121</v>
      </c>
      <c r="I416">
        <f>IF(C416="RB",LeagueInfo!$D$4*LeagueInfo!$F$2,IF(C416="WR",LeagueInfo!$D$5*LeagueInfo!$F$2,IF(C416="TE",LeagueInfo!$D$6*LeagueInfo!$F$2,LeagueInfo!$D$3*LeagueInfo!$F$2)))</f>
        <v>24</v>
      </c>
    </row>
    <row r="417" spans="1:9" x14ac:dyDescent="0.25">
      <c r="A417">
        <f ca="1">RANK(E417,E$2:E$541)</f>
        <v>416</v>
      </c>
      <c r="B417" t="s">
        <v>2681</v>
      </c>
      <c r="C417" t="s">
        <v>43</v>
      </c>
      <c r="D417">
        <f ca="1">INDEX(INDIRECT($C417&amp;"!P:P"),MATCH($B417,INDIRECT($C417&amp;"!B:B"),0))</f>
        <v>17.400000000000002</v>
      </c>
      <c r="E417" s="210">
        <f ca="1">D417-LARGE(D$2:D$486,RBCount+WRCount+TECount+QBCount)</f>
        <v>-93.8</v>
      </c>
      <c r="F417" t="str">
        <f ca="1">IF(H417&lt;=I417,"Starter",IF(G417&gt;=LARGE(G:G,FlexOn*LeagueInfo!$F$2),"Starter","Bench"))</f>
        <v>Bench</v>
      </c>
      <c r="G417">
        <f ca="1">IF(H417&gt;I417,D417,0)</f>
        <v>17.400000000000002</v>
      </c>
      <c r="H417">
        <f ca="1">INDEX(INDIRECT(""&amp;C417&amp;"!A2:A489"),MATCH(B417,INDIRECT(""&amp;C417&amp;"!B2:B489"),0))</f>
        <v>86</v>
      </c>
      <c r="I417">
        <f>IF(C417="RB",LeagueInfo!$D$4*LeagueInfo!$F$2,IF(C417="WR",LeagueInfo!$D$5*LeagueInfo!$F$2,IF(C417="TE",LeagueInfo!$D$6*LeagueInfo!$F$2,LeagueInfo!$D$3*LeagueInfo!$F$2)))</f>
        <v>12</v>
      </c>
    </row>
    <row r="418" spans="1:9" x14ac:dyDescent="0.25">
      <c r="A418">
        <f ca="1">RANK(E418,E$2:E$541)</f>
        <v>417</v>
      </c>
      <c r="B418" t="s">
        <v>2457</v>
      </c>
      <c r="C418" t="s">
        <v>28</v>
      </c>
      <c r="D418">
        <f ca="1">INDEX(INDIRECT($C418&amp;"!P:P"),MATCH($B418,INDIRECT($C418&amp;"!B:B"),0))</f>
        <v>17.39</v>
      </c>
      <c r="E418" s="210">
        <f ca="1">D418-LARGE(D$2:D$486,RBCount+WRCount+TECount+QBCount)</f>
        <v>-93.81</v>
      </c>
      <c r="F418" t="str">
        <f ca="1">IF(H418&lt;=I418,"Starter",IF(G418&gt;=LARGE(G:G,FlexOn*LeagueInfo!$F$2),"Starter","Bench"))</f>
        <v>Bench</v>
      </c>
      <c r="G418">
        <f ca="1">IF(H418&gt;I418,D418,0)</f>
        <v>17.39</v>
      </c>
      <c r="H418">
        <f ca="1">INDEX(INDIRECT(""&amp;C418&amp;"!A2:A489"),MATCH(B418,INDIRECT(""&amp;C418&amp;"!B2:B489"),0))</f>
        <v>122</v>
      </c>
      <c r="I418">
        <f>IF(C418="RB",LeagueInfo!$D$4*LeagueInfo!$F$2,IF(C418="WR",LeagueInfo!$D$5*LeagueInfo!$F$2,IF(C418="TE",LeagueInfo!$D$6*LeagueInfo!$F$2,LeagueInfo!$D$3*LeagueInfo!$F$2)))</f>
        <v>24</v>
      </c>
    </row>
    <row r="419" spans="1:9" x14ac:dyDescent="0.25">
      <c r="A419">
        <f ca="1">RANK(E419,E$2:E$541)</f>
        <v>418</v>
      </c>
      <c r="B419" t="s">
        <v>2441</v>
      </c>
      <c r="C419" t="s">
        <v>35</v>
      </c>
      <c r="D419">
        <f ca="1">INDEX(INDIRECT($C419&amp;"!P:P"),MATCH($B419,INDIRECT($C419&amp;"!B:B"),0))</f>
        <v>17.13</v>
      </c>
      <c r="E419" s="210">
        <f ca="1">D419-LARGE(D$2:D$486,RBCount+WRCount+TECount+QBCount)</f>
        <v>-94.070000000000007</v>
      </c>
      <c r="F419" t="str">
        <f ca="1">IF(H419&lt;=I419,"Starter",IF(G419&gt;=LARGE(G:G,FlexOn*LeagueInfo!$F$2),"Starter","Bench"))</f>
        <v>Bench</v>
      </c>
      <c r="G419">
        <f ca="1">IF(H419&gt;I419,D419,0)</f>
        <v>17.13</v>
      </c>
      <c r="H419">
        <f ca="1">INDEX(INDIRECT(""&amp;C419&amp;"!A2:A489"),MATCH(B419,INDIRECT(""&amp;C419&amp;"!B2:B489"),0))</f>
        <v>167</v>
      </c>
      <c r="I419">
        <f>IF(C419="RB",LeagueInfo!$D$4*LeagueInfo!$F$2,IF(C419="WR",LeagueInfo!$D$5*LeagueInfo!$F$2,IF(C419="TE",LeagueInfo!$D$6*LeagueInfo!$F$2,LeagueInfo!$D$3*LeagueInfo!$F$2)))</f>
        <v>24</v>
      </c>
    </row>
    <row r="420" spans="1:9" x14ac:dyDescent="0.25">
      <c r="A420">
        <f ca="1">RANK(E420,E$2:E$541)</f>
        <v>419</v>
      </c>
      <c r="B420" t="s">
        <v>685</v>
      </c>
      <c r="C420" t="s">
        <v>28</v>
      </c>
      <c r="D420">
        <f ca="1">INDEX(INDIRECT($C420&amp;"!P:P"),MATCH($B420,INDIRECT($C420&amp;"!B:B"),0))</f>
        <v>17.12</v>
      </c>
      <c r="E420" s="210">
        <f ca="1">D420-LARGE(D$2:D$486,RBCount+WRCount+TECount+QBCount)</f>
        <v>-94.08</v>
      </c>
      <c r="F420" t="str">
        <f ca="1">IF(H420&lt;=I420,"Starter",IF(G420&gt;=LARGE(G:G,FlexOn*LeagueInfo!$F$2),"Starter","Bench"))</f>
        <v>Bench</v>
      </c>
      <c r="G420">
        <f ca="1">IF(H420&gt;I420,D420,0)</f>
        <v>17.12</v>
      </c>
      <c r="H420">
        <f ca="1">INDEX(INDIRECT(""&amp;C420&amp;"!A2:A489"),MATCH(B420,INDIRECT(""&amp;C420&amp;"!B2:B489"),0))</f>
        <v>123</v>
      </c>
      <c r="I420">
        <f>IF(C420="RB",LeagueInfo!$D$4*LeagueInfo!$F$2,IF(C420="WR",LeagueInfo!$D$5*LeagueInfo!$F$2,IF(C420="TE",LeagueInfo!$D$6*LeagueInfo!$F$2,LeagueInfo!$D$3*LeagueInfo!$F$2)))</f>
        <v>24</v>
      </c>
    </row>
    <row r="421" spans="1:9" x14ac:dyDescent="0.25">
      <c r="A421">
        <f ca="1">RANK(E421,E$2:E$541)</f>
        <v>420</v>
      </c>
      <c r="B421" t="s">
        <v>1029</v>
      </c>
      <c r="C421" t="s">
        <v>35</v>
      </c>
      <c r="D421">
        <f ca="1">INDEX(INDIRECT($C421&amp;"!P:P"),MATCH($B421,INDIRECT($C421&amp;"!B:B"),0))</f>
        <v>16.97</v>
      </c>
      <c r="E421" s="210">
        <f ca="1">D421-LARGE(D$2:D$486,RBCount+WRCount+TECount+QBCount)</f>
        <v>-94.23</v>
      </c>
      <c r="F421" t="str">
        <f ca="1">IF(H421&lt;=I421,"Starter",IF(G421&gt;=LARGE(G:G,FlexOn*LeagueInfo!$F$2),"Starter","Bench"))</f>
        <v>Bench</v>
      </c>
      <c r="G421">
        <f ca="1">IF(H421&gt;I421,D421,0)</f>
        <v>16.97</v>
      </c>
      <c r="H421">
        <f ca="1">INDEX(INDIRECT(""&amp;C421&amp;"!A2:A489"),MATCH(B421,INDIRECT(""&amp;C421&amp;"!B2:B489"),0))</f>
        <v>168</v>
      </c>
      <c r="I421">
        <f>IF(C421="RB",LeagueInfo!$D$4*LeagueInfo!$F$2,IF(C421="WR",LeagueInfo!$D$5*LeagueInfo!$F$2,IF(C421="TE",LeagueInfo!$D$6*LeagueInfo!$F$2,LeagueInfo!$D$3*LeagueInfo!$F$2)))</f>
        <v>24</v>
      </c>
    </row>
    <row r="422" spans="1:9" x14ac:dyDescent="0.25">
      <c r="A422">
        <f ca="1">RANK(E422,E$2:E$541)</f>
        <v>421</v>
      </c>
      <c r="B422" t="s">
        <v>669</v>
      </c>
      <c r="C422" t="s">
        <v>28</v>
      </c>
      <c r="D422">
        <f ca="1">INDEX(INDIRECT($C422&amp;"!P:P"),MATCH($B422,INDIRECT($C422&amp;"!B:B"),0))</f>
        <v>16.940000000000001</v>
      </c>
      <c r="E422" s="210">
        <f ca="1">D422-LARGE(D$2:D$486,RBCount+WRCount+TECount+QBCount)</f>
        <v>-94.26</v>
      </c>
      <c r="F422" t="str">
        <f ca="1">IF(H422&lt;=I422,"Starter",IF(G422&gt;=LARGE(G:G,FlexOn*LeagueInfo!$F$2),"Starter","Bench"))</f>
        <v>Bench</v>
      </c>
      <c r="G422">
        <f ca="1">IF(H422&gt;I422,D422,0)</f>
        <v>16.940000000000001</v>
      </c>
      <c r="H422">
        <f ca="1">INDEX(INDIRECT(""&amp;C422&amp;"!A2:A489"),MATCH(B422,INDIRECT(""&amp;C422&amp;"!B2:B489"),0))</f>
        <v>124</v>
      </c>
      <c r="I422">
        <f>IF(C422="RB",LeagueInfo!$D$4*LeagueInfo!$F$2,IF(C422="WR",LeagueInfo!$D$5*LeagueInfo!$F$2,IF(C422="TE",LeagueInfo!$D$6*LeagueInfo!$F$2,LeagueInfo!$D$3*LeagueInfo!$F$2)))</f>
        <v>24</v>
      </c>
    </row>
    <row r="423" spans="1:9" x14ac:dyDescent="0.25">
      <c r="A423">
        <f ca="1">RANK(E423,E$2:E$541)</f>
        <v>422</v>
      </c>
      <c r="B423" t="s">
        <v>892</v>
      </c>
      <c r="C423" t="s">
        <v>28</v>
      </c>
      <c r="D423">
        <f ca="1">INDEX(INDIRECT($C423&amp;"!P:P"),MATCH($B423,INDIRECT($C423&amp;"!B:B"),0))</f>
        <v>16.830000000000002</v>
      </c>
      <c r="E423" s="210">
        <f ca="1">D423-LARGE(D$2:D$486,RBCount+WRCount+TECount+QBCount)</f>
        <v>-94.37</v>
      </c>
      <c r="F423" t="str">
        <f ca="1">IF(H423&lt;=I423,"Starter",IF(G423&gt;=LARGE(G:G,FlexOn*LeagueInfo!$F$2),"Starter","Bench"))</f>
        <v>Bench</v>
      </c>
      <c r="G423">
        <f ca="1">IF(H423&gt;I423,D423,0)</f>
        <v>16.830000000000002</v>
      </c>
      <c r="H423">
        <f ca="1">INDEX(INDIRECT(""&amp;C423&amp;"!A2:A489"),MATCH(B423,INDIRECT(""&amp;C423&amp;"!B2:B489"),0))</f>
        <v>125</v>
      </c>
      <c r="I423">
        <f>IF(C423="RB",LeagueInfo!$D$4*LeagueInfo!$F$2,IF(C423="WR",LeagueInfo!$D$5*LeagueInfo!$F$2,IF(C423="TE",LeagueInfo!$D$6*LeagueInfo!$F$2,LeagueInfo!$D$3*LeagueInfo!$F$2)))</f>
        <v>24</v>
      </c>
    </row>
    <row r="424" spans="1:9" x14ac:dyDescent="0.25">
      <c r="A424">
        <f ca="1">RANK(E424,E$2:E$541)</f>
        <v>423</v>
      </c>
      <c r="B424" t="s">
        <v>562</v>
      </c>
      <c r="C424" t="s">
        <v>28</v>
      </c>
      <c r="D424">
        <f ca="1">INDEX(INDIRECT($C424&amp;"!P:P"),MATCH($B424,INDIRECT($C424&amp;"!B:B"),0))</f>
        <v>16.7</v>
      </c>
      <c r="E424" s="210">
        <f ca="1">D424-LARGE(D$2:D$486,RBCount+WRCount+TECount+QBCount)</f>
        <v>-94.5</v>
      </c>
      <c r="F424" t="str">
        <f ca="1">IF(H424&lt;=I424,"Starter",IF(G424&gt;=LARGE(G:G,FlexOn*LeagueInfo!$F$2),"Starter","Bench"))</f>
        <v>Bench</v>
      </c>
      <c r="G424">
        <f ca="1">IF(H424&gt;I424,D424,0)</f>
        <v>16.7</v>
      </c>
      <c r="H424">
        <f ca="1">INDEX(INDIRECT(""&amp;C424&amp;"!A2:A489"),MATCH(B424,INDIRECT(""&amp;C424&amp;"!B2:B489"),0))</f>
        <v>126</v>
      </c>
      <c r="I424">
        <f>IF(C424="RB",LeagueInfo!$D$4*LeagueInfo!$F$2,IF(C424="WR",LeagueInfo!$D$5*LeagueInfo!$F$2,IF(C424="TE",LeagueInfo!$D$6*LeagueInfo!$F$2,LeagueInfo!$D$3*LeagueInfo!$F$2)))</f>
        <v>24</v>
      </c>
    </row>
    <row r="425" spans="1:9" x14ac:dyDescent="0.25">
      <c r="A425">
        <f ca="1">RANK(E425,E$2:E$541)</f>
        <v>424</v>
      </c>
      <c r="B425" t="s">
        <v>2738</v>
      </c>
      <c r="C425" t="s">
        <v>43</v>
      </c>
      <c r="D425">
        <f ca="1">INDEX(INDIRECT($C425&amp;"!P:P"),MATCH($B425,INDIRECT($C425&amp;"!B:B"),0))</f>
        <v>16.66</v>
      </c>
      <c r="E425" s="210">
        <f ca="1">D425-LARGE(D$2:D$486,RBCount+WRCount+TECount+QBCount)</f>
        <v>-94.54</v>
      </c>
      <c r="F425" t="str">
        <f ca="1">IF(H425&lt;=I425,"Starter",IF(G425&gt;=LARGE(G:G,FlexOn*LeagueInfo!$F$2),"Starter","Bench"))</f>
        <v>Bench</v>
      </c>
      <c r="G425">
        <f ca="1">IF(H425&gt;I425,D425,0)</f>
        <v>16.66</v>
      </c>
      <c r="H425">
        <f ca="1">INDEX(INDIRECT(""&amp;C425&amp;"!A2:A489"),MATCH(B425,INDIRECT(""&amp;C425&amp;"!B2:B489"),0))</f>
        <v>87</v>
      </c>
      <c r="I425">
        <f>IF(C425="RB",LeagueInfo!$D$4*LeagueInfo!$F$2,IF(C425="WR",LeagueInfo!$D$5*LeagueInfo!$F$2,IF(C425="TE",LeagueInfo!$D$6*LeagueInfo!$F$2,LeagueInfo!$D$3*LeagueInfo!$F$2)))</f>
        <v>12</v>
      </c>
    </row>
    <row r="426" spans="1:9" x14ac:dyDescent="0.25">
      <c r="A426">
        <f ca="1">RANK(E426,E$2:E$541)</f>
        <v>425</v>
      </c>
      <c r="B426" t="s">
        <v>936</v>
      </c>
      <c r="C426" t="s">
        <v>28</v>
      </c>
      <c r="D426">
        <f ca="1">INDEX(INDIRECT($C426&amp;"!P:P"),MATCH($B426,INDIRECT($C426&amp;"!B:B"),0))</f>
        <v>16.62</v>
      </c>
      <c r="E426" s="210">
        <f ca="1">D426-LARGE(D$2:D$486,RBCount+WRCount+TECount+QBCount)</f>
        <v>-94.58</v>
      </c>
      <c r="F426" t="str">
        <f ca="1">IF(H426&lt;=I426,"Starter",IF(G426&gt;=LARGE(G:G,FlexOn*LeagueInfo!$F$2),"Starter","Bench"))</f>
        <v>Bench</v>
      </c>
      <c r="G426">
        <f ca="1">IF(H426&gt;I426,D426,0)</f>
        <v>16.62</v>
      </c>
      <c r="H426">
        <f ca="1">INDEX(INDIRECT(""&amp;C426&amp;"!A2:A489"),MATCH(B426,INDIRECT(""&amp;C426&amp;"!B2:B489"),0))</f>
        <v>127</v>
      </c>
      <c r="I426">
        <f>IF(C426="RB",LeagueInfo!$D$4*LeagueInfo!$F$2,IF(C426="WR",LeagueInfo!$D$5*LeagueInfo!$F$2,IF(C426="TE",LeagueInfo!$D$6*LeagueInfo!$F$2,LeagueInfo!$D$3*LeagueInfo!$F$2)))</f>
        <v>24</v>
      </c>
    </row>
    <row r="427" spans="1:9" x14ac:dyDescent="0.25">
      <c r="A427">
        <f ca="1">RANK(E427,E$2:E$541)</f>
        <v>426</v>
      </c>
      <c r="B427" t="s">
        <v>638</v>
      </c>
      <c r="C427" t="s">
        <v>28</v>
      </c>
      <c r="D427">
        <f ca="1">INDEX(INDIRECT($C427&amp;"!P:P"),MATCH($B427,INDIRECT($C427&amp;"!B:B"),0))</f>
        <v>16.580000000000002</v>
      </c>
      <c r="E427" s="210">
        <f ca="1">D427-LARGE(D$2:D$486,RBCount+WRCount+TECount+QBCount)</f>
        <v>-94.62</v>
      </c>
      <c r="F427" t="str">
        <f ca="1">IF(H427&lt;=I427,"Starter",IF(G427&gt;=LARGE(G:G,FlexOn*LeagueInfo!$F$2),"Starter","Bench"))</f>
        <v>Bench</v>
      </c>
      <c r="G427">
        <f ca="1">IF(H427&gt;I427,D427,0)</f>
        <v>16.580000000000002</v>
      </c>
      <c r="H427">
        <f ca="1">INDEX(INDIRECT(""&amp;C427&amp;"!A2:A489"),MATCH(B427,INDIRECT(""&amp;C427&amp;"!B2:B489"),0))</f>
        <v>128</v>
      </c>
      <c r="I427">
        <f>IF(C427="RB",LeagueInfo!$D$4*LeagueInfo!$F$2,IF(C427="WR",LeagueInfo!$D$5*LeagueInfo!$F$2,IF(C427="TE",LeagueInfo!$D$6*LeagueInfo!$F$2,LeagueInfo!$D$3*LeagueInfo!$F$2)))</f>
        <v>24</v>
      </c>
    </row>
    <row r="428" spans="1:9" x14ac:dyDescent="0.25">
      <c r="A428">
        <f ca="1">RANK(E428,E$2:E$541)</f>
        <v>427</v>
      </c>
      <c r="B428" t="s">
        <v>816</v>
      </c>
      <c r="C428" t="s">
        <v>43</v>
      </c>
      <c r="D428">
        <f ca="1">INDEX(INDIRECT($C428&amp;"!P:P"),MATCH($B428,INDIRECT($C428&amp;"!B:B"),0))</f>
        <v>16.420000000000002</v>
      </c>
      <c r="E428" s="210">
        <f ca="1">D428-LARGE(D$2:D$486,RBCount+WRCount+TECount+QBCount)</f>
        <v>-94.78</v>
      </c>
      <c r="F428" t="str">
        <f ca="1">IF(H428&lt;=I428,"Starter",IF(G428&gt;=LARGE(G:G,FlexOn*LeagueInfo!$F$2),"Starter","Bench"))</f>
        <v>Bench</v>
      </c>
      <c r="G428">
        <f ca="1">IF(H428&gt;I428,D428,0)</f>
        <v>16.420000000000002</v>
      </c>
      <c r="H428">
        <f ca="1">INDEX(INDIRECT(""&amp;C428&amp;"!A2:A489"),MATCH(B428,INDIRECT(""&amp;C428&amp;"!B2:B489"),0))</f>
        <v>88</v>
      </c>
      <c r="I428">
        <f>IF(C428="RB",LeagueInfo!$D$4*LeagueInfo!$F$2,IF(C428="WR",LeagueInfo!$D$5*LeagueInfo!$F$2,IF(C428="TE",LeagueInfo!$D$6*LeagueInfo!$F$2,LeagueInfo!$D$3*LeagueInfo!$F$2)))</f>
        <v>12</v>
      </c>
    </row>
    <row r="429" spans="1:9" x14ac:dyDescent="0.25">
      <c r="A429">
        <f ca="1">RANK(E429,E$2:E$541)</f>
        <v>428</v>
      </c>
      <c r="B429" t="s">
        <v>2666</v>
      </c>
      <c r="C429" t="s">
        <v>29</v>
      </c>
      <c r="D429">
        <f ca="1">INDEX(INDIRECT($C429&amp;"!P:P"),MATCH($B429,INDIRECT($C429&amp;"!B:B"),0))</f>
        <v>16.214000000000006</v>
      </c>
      <c r="E429" s="210">
        <f ca="1">D429-LARGE(D$2:D$486,RBCount+WRCount+TECount+QBCount)</f>
        <v>-94.98599999999999</v>
      </c>
      <c r="F429" t="str">
        <f ca="1">IF(H429&lt;=I429,"Starter",IF(G429&gt;=LARGE(G:G,FlexOn*LeagueInfo!$F$2),"Starter","Bench"))</f>
        <v>Bench</v>
      </c>
      <c r="G429">
        <f ca="1">IF(H429&gt;I429,D429,0)</f>
        <v>16.214000000000006</v>
      </c>
      <c r="H429">
        <f ca="1">INDEX(INDIRECT(""&amp;C429&amp;"!A2:A489"),MATCH(B429,INDIRECT(""&amp;C429&amp;"!B2:B489"),0))</f>
        <v>44</v>
      </c>
      <c r="I429">
        <f>IF(C429="RB",LeagueInfo!$D$4*LeagueInfo!$F$2,IF(C429="WR",LeagueInfo!$D$5*LeagueInfo!$F$2,IF(C429="TE",LeagueInfo!$D$6*LeagueInfo!$F$2,LeagueInfo!$D$3*LeagueInfo!$F$2)))</f>
        <v>12</v>
      </c>
    </row>
    <row r="430" spans="1:9" x14ac:dyDescent="0.25">
      <c r="A430">
        <f ca="1">RANK(E430,E$2:E$541)</f>
        <v>429</v>
      </c>
      <c r="B430" t="s">
        <v>938</v>
      </c>
      <c r="C430" t="s">
        <v>28</v>
      </c>
      <c r="D430">
        <f ca="1">INDEX(INDIRECT($C430&amp;"!P:P"),MATCH($B430,INDIRECT($C430&amp;"!B:B"),0))</f>
        <v>16.2</v>
      </c>
      <c r="E430" s="210">
        <f ca="1">D430-LARGE(D$2:D$486,RBCount+WRCount+TECount+QBCount)</f>
        <v>-95</v>
      </c>
      <c r="F430" t="str">
        <f ca="1">IF(H430&lt;=I430,"Starter",IF(G430&gt;=LARGE(G:G,FlexOn*LeagueInfo!$F$2),"Starter","Bench"))</f>
        <v>Bench</v>
      </c>
      <c r="G430">
        <f ca="1">IF(H430&gt;I430,D430,0)</f>
        <v>16.2</v>
      </c>
      <c r="H430">
        <f ca="1">INDEX(INDIRECT(""&amp;C430&amp;"!A2:A489"),MATCH(B430,INDIRECT(""&amp;C430&amp;"!B2:B489"),0))</f>
        <v>129</v>
      </c>
      <c r="I430">
        <f>IF(C430="RB",LeagueInfo!$D$4*LeagueInfo!$F$2,IF(C430="WR",LeagueInfo!$D$5*LeagueInfo!$F$2,IF(C430="TE",LeagueInfo!$D$6*LeagueInfo!$F$2,LeagueInfo!$D$3*LeagueInfo!$F$2)))</f>
        <v>24</v>
      </c>
    </row>
    <row r="431" spans="1:9" x14ac:dyDescent="0.25">
      <c r="A431">
        <f ca="1">RANK(E431,E$2:E$541)</f>
        <v>430</v>
      </c>
      <c r="B431" t="s">
        <v>845</v>
      </c>
      <c r="C431" t="s">
        <v>35</v>
      </c>
      <c r="D431">
        <f ca="1">INDEX(INDIRECT($C431&amp;"!P:P"),MATCH($B431,INDIRECT($C431&amp;"!B:B"),0))</f>
        <v>16.170000000000002</v>
      </c>
      <c r="E431" s="210">
        <f ca="1">D431-LARGE(D$2:D$486,RBCount+WRCount+TECount+QBCount)</f>
        <v>-95.03</v>
      </c>
      <c r="F431" t="str">
        <f ca="1">IF(H431&lt;=I431,"Starter",IF(G431&gt;=LARGE(G:G,FlexOn*LeagueInfo!$F$2),"Starter","Bench"))</f>
        <v>Bench</v>
      </c>
      <c r="G431">
        <f ca="1">IF(H431&gt;I431,D431,0)</f>
        <v>16.170000000000002</v>
      </c>
      <c r="H431">
        <f ca="1">INDEX(INDIRECT(""&amp;C431&amp;"!A2:A489"),MATCH(B431,INDIRECT(""&amp;C431&amp;"!B2:B489"),0))</f>
        <v>169</v>
      </c>
      <c r="I431">
        <f>IF(C431="RB",LeagueInfo!$D$4*LeagueInfo!$F$2,IF(C431="WR",LeagueInfo!$D$5*LeagueInfo!$F$2,IF(C431="TE",LeagueInfo!$D$6*LeagueInfo!$F$2,LeagueInfo!$D$3*LeagueInfo!$F$2)))</f>
        <v>24</v>
      </c>
    </row>
    <row r="432" spans="1:9" x14ac:dyDescent="0.25">
      <c r="A432">
        <f ca="1">RANK(E432,E$2:E$541)</f>
        <v>431</v>
      </c>
      <c r="B432" t="s">
        <v>2740</v>
      </c>
      <c r="C432" t="s">
        <v>35</v>
      </c>
      <c r="D432">
        <f ca="1">INDEX(INDIRECT($C432&amp;"!P:P"),MATCH($B432,INDIRECT($C432&amp;"!B:B"),0))</f>
        <v>16.100000000000001</v>
      </c>
      <c r="E432" s="210">
        <f ca="1">D432-LARGE(D$2:D$486,RBCount+WRCount+TECount+QBCount)</f>
        <v>-95.1</v>
      </c>
      <c r="F432" t="str">
        <f ca="1">IF(H432&lt;=I432,"Starter",IF(G432&gt;=LARGE(G:G,FlexOn*LeagueInfo!$F$2),"Starter","Bench"))</f>
        <v>Bench</v>
      </c>
      <c r="G432">
        <f ca="1">IF(H432&gt;I432,D432,0)</f>
        <v>16.100000000000001</v>
      </c>
      <c r="H432">
        <f ca="1">INDEX(INDIRECT(""&amp;C432&amp;"!A2:A489"),MATCH(B432,INDIRECT(""&amp;C432&amp;"!B2:B489"),0))</f>
        <v>170</v>
      </c>
      <c r="I432">
        <f>IF(C432="RB",LeagueInfo!$D$4*LeagueInfo!$F$2,IF(C432="WR",LeagueInfo!$D$5*LeagueInfo!$F$2,IF(C432="TE",LeagueInfo!$D$6*LeagueInfo!$F$2,LeagueInfo!$D$3*LeagueInfo!$F$2)))</f>
        <v>24</v>
      </c>
    </row>
    <row r="433" spans="1:9" x14ac:dyDescent="0.25">
      <c r="A433">
        <f ca="1">RANK(E433,E$2:E$541)</f>
        <v>432</v>
      </c>
      <c r="B433" t="s">
        <v>319</v>
      </c>
      <c r="C433" t="s">
        <v>29</v>
      </c>
      <c r="D433">
        <f ca="1">INDEX(INDIRECT($C433&amp;"!P:P"),MATCH($B433,INDIRECT($C433&amp;"!B:B"),0))</f>
        <v>15.936</v>
      </c>
      <c r="E433" s="210">
        <f ca="1">D433-LARGE(D$2:D$486,RBCount+WRCount+TECount+QBCount)</f>
        <v>-95.26400000000001</v>
      </c>
      <c r="F433" t="str">
        <f ca="1">IF(H433&lt;=I433,"Starter",IF(G433&gt;=LARGE(G:G,FlexOn*LeagueInfo!$F$2),"Starter","Bench"))</f>
        <v>Bench</v>
      </c>
      <c r="G433">
        <f ca="1">IF(H433&gt;I433,D433,0)</f>
        <v>15.936</v>
      </c>
      <c r="H433">
        <f ca="1">INDEX(INDIRECT(""&amp;C433&amp;"!A2:A489"),MATCH(B433,INDIRECT(""&amp;C433&amp;"!B2:B489"),0))</f>
        <v>45</v>
      </c>
      <c r="I433">
        <f>IF(C433="RB",LeagueInfo!$D$4*LeagueInfo!$F$2,IF(C433="WR",LeagueInfo!$D$5*LeagueInfo!$F$2,IF(C433="TE",LeagueInfo!$D$6*LeagueInfo!$F$2,LeagueInfo!$D$3*LeagueInfo!$F$2)))</f>
        <v>12</v>
      </c>
    </row>
    <row r="434" spans="1:9" x14ac:dyDescent="0.25">
      <c r="A434">
        <f ca="1">RANK(E434,E$2:E$541)</f>
        <v>433</v>
      </c>
      <c r="B434" t="s">
        <v>2676</v>
      </c>
      <c r="C434" t="s">
        <v>35</v>
      </c>
      <c r="D434">
        <f ca="1">INDEX(INDIRECT($C434&amp;"!P:P"),MATCH($B434,INDIRECT($C434&amp;"!B:B"),0))</f>
        <v>15.91</v>
      </c>
      <c r="E434" s="210">
        <f ca="1">D434-LARGE(D$2:D$486,RBCount+WRCount+TECount+QBCount)</f>
        <v>-95.29</v>
      </c>
      <c r="F434" t="str">
        <f ca="1">IF(H434&lt;=I434,"Starter",IF(G434&gt;=LARGE(G:G,FlexOn*LeagueInfo!$F$2),"Starter","Bench"))</f>
        <v>Bench</v>
      </c>
      <c r="G434">
        <f ca="1">IF(H434&gt;I434,D434,0)</f>
        <v>15.91</v>
      </c>
      <c r="H434">
        <f ca="1">INDEX(INDIRECT(""&amp;C434&amp;"!A2:A489"),MATCH(B434,INDIRECT(""&amp;C434&amp;"!B2:B489"),0))</f>
        <v>171</v>
      </c>
      <c r="I434">
        <f>IF(C434="RB",LeagueInfo!$D$4*LeagueInfo!$F$2,IF(C434="WR",LeagueInfo!$D$5*LeagueInfo!$F$2,IF(C434="TE",LeagueInfo!$D$6*LeagueInfo!$F$2,LeagueInfo!$D$3*LeagueInfo!$F$2)))</f>
        <v>24</v>
      </c>
    </row>
    <row r="435" spans="1:9" x14ac:dyDescent="0.25">
      <c r="A435">
        <f ca="1">RANK(E435,E$2:E$541)</f>
        <v>434</v>
      </c>
      <c r="B435" t="s">
        <v>761</v>
      </c>
      <c r="C435" t="s">
        <v>43</v>
      </c>
      <c r="D435">
        <f ca="1">INDEX(INDIRECT($C435&amp;"!P:P"),MATCH($B435,INDIRECT($C435&amp;"!B:B"),0))</f>
        <v>15.87</v>
      </c>
      <c r="E435" s="210">
        <f ca="1">D435-LARGE(D$2:D$486,RBCount+WRCount+TECount+QBCount)</f>
        <v>-95.33</v>
      </c>
      <c r="F435" t="str">
        <f ca="1">IF(H435&lt;=I435,"Starter",IF(G435&gt;=LARGE(G:G,FlexOn*LeagueInfo!$F$2),"Starter","Bench"))</f>
        <v>Bench</v>
      </c>
      <c r="G435">
        <f ca="1">IF(H435&gt;I435,D435,0)</f>
        <v>15.87</v>
      </c>
      <c r="H435">
        <f ca="1">INDEX(INDIRECT(""&amp;C435&amp;"!A2:A489"),MATCH(B435,INDIRECT(""&amp;C435&amp;"!B2:B489"),0))</f>
        <v>89</v>
      </c>
      <c r="I435">
        <f>IF(C435="RB",LeagueInfo!$D$4*LeagueInfo!$F$2,IF(C435="WR",LeagueInfo!$D$5*LeagueInfo!$F$2,IF(C435="TE",LeagueInfo!$D$6*LeagueInfo!$F$2,LeagueInfo!$D$3*LeagueInfo!$F$2)))</f>
        <v>12</v>
      </c>
    </row>
    <row r="436" spans="1:9" x14ac:dyDescent="0.25">
      <c r="A436">
        <f ca="1">RANK(E436,E$2:E$541)</f>
        <v>435</v>
      </c>
      <c r="B436" t="s">
        <v>392</v>
      </c>
      <c r="C436" t="s">
        <v>35</v>
      </c>
      <c r="D436">
        <f ca="1">INDEX(INDIRECT($C436&amp;"!P:P"),MATCH($B436,INDIRECT($C436&amp;"!B:B"),0))</f>
        <v>15.82</v>
      </c>
      <c r="E436" s="210">
        <f ca="1">D436-LARGE(D$2:D$486,RBCount+WRCount+TECount+QBCount)</f>
        <v>-95.38</v>
      </c>
      <c r="F436" t="str">
        <f ca="1">IF(H436&lt;=I436,"Starter",IF(G436&gt;=LARGE(G:G,FlexOn*LeagueInfo!$F$2),"Starter","Bench"))</f>
        <v>Bench</v>
      </c>
      <c r="G436">
        <f ca="1">IF(H436&gt;I436,D436,0)</f>
        <v>15.82</v>
      </c>
      <c r="H436">
        <f ca="1">INDEX(INDIRECT(""&amp;C436&amp;"!A2:A489"),MATCH(B436,INDIRECT(""&amp;C436&amp;"!B2:B489"),0))</f>
        <v>172</v>
      </c>
      <c r="I436">
        <f>IF(C436="RB",LeagueInfo!$D$4*LeagueInfo!$F$2,IF(C436="WR",LeagueInfo!$D$5*LeagueInfo!$F$2,IF(C436="TE",LeagueInfo!$D$6*LeagueInfo!$F$2,LeagueInfo!$D$3*LeagueInfo!$F$2)))</f>
        <v>24</v>
      </c>
    </row>
    <row r="437" spans="1:9" x14ac:dyDescent="0.25">
      <c r="A437">
        <f ca="1">RANK(E437,E$2:E$541)</f>
        <v>436</v>
      </c>
      <c r="B437" t="s">
        <v>2434</v>
      </c>
      <c r="C437" t="s">
        <v>35</v>
      </c>
      <c r="D437">
        <f ca="1">INDEX(INDIRECT($C437&amp;"!P:P"),MATCH($B437,INDIRECT($C437&amp;"!B:B"),0))</f>
        <v>15.690000000000001</v>
      </c>
      <c r="E437" s="210">
        <f ca="1">D437-LARGE(D$2:D$486,RBCount+WRCount+TECount+QBCount)</f>
        <v>-95.51</v>
      </c>
      <c r="F437" t="str">
        <f ca="1">IF(H437&lt;=I437,"Starter",IF(G437&gt;=LARGE(G:G,FlexOn*LeagueInfo!$F$2),"Starter","Bench"))</f>
        <v>Bench</v>
      </c>
      <c r="G437">
        <f ca="1">IF(H437&gt;I437,D437,0)</f>
        <v>15.690000000000001</v>
      </c>
      <c r="H437">
        <f ca="1">INDEX(INDIRECT(""&amp;C437&amp;"!A2:A489"),MATCH(B437,INDIRECT(""&amp;C437&amp;"!B2:B489"),0))</f>
        <v>173</v>
      </c>
      <c r="I437">
        <f>IF(C437="RB",LeagueInfo!$D$4*LeagueInfo!$F$2,IF(C437="WR",LeagueInfo!$D$5*LeagueInfo!$F$2,IF(C437="TE",LeagueInfo!$D$6*LeagueInfo!$F$2,LeagueInfo!$D$3*LeagueInfo!$F$2)))</f>
        <v>24</v>
      </c>
    </row>
    <row r="438" spans="1:9" x14ac:dyDescent="0.25">
      <c r="A438">
        <f ca="1">RANK(E438,E$2:E$541)</f>
        <v>436</v>
      </c>
      <c r="B438" t="s">
        <v>760</v>
      </c>
      <c r="C438" t="s">
        <v>43</v>
      </c>
      <c r="D438">
        <f ca="1">INDEX(INDIRECT($C438&amp;"!P:P"),MATCH($B438,INDIRECT($C438&amp;"!B:B"),0))</f>
        <v>15.690000000000001</v>
      </c>
      <c r="E438" s="210">
        <f ca="1">D438-LARGE(D$2:D$486,RBCount+WRCount+TECount+QBCount)</f>
        <v>-95.51</v>
      </c>
      <c r="F438" t="str">
        <f ca="1">IF(H438&lt;=I438,"Starter",IF(G438&gt;=LARGE(G:G,FlexOn*LeagueInfo!$F$2),"Starter","Bench"))</f>
        <v>Bench</v>
      </c>
      <c r="G438">
        <f ca="1">IF(H438&gt;I438,D438,0)</f>
        <v>15.690000000000001</v>
      </c>
      <c r="H438">
        <f ca="1">INDEX(INDIRECT(""&amp;C438&amp;"!A2:A489"),MATCH(B438,INDIRECT(""&amp;C438&amp;"!B2:B489"),0))</f>
        <v>90</v>
      </c>
      <c r="I438">
        <f>IF(C438="RB",LeagueInfo!$D$4*LeagueInfo!$F$2,IF(C438="WR",LeagueInfo!$D$5*LeagueInfo!$F$2,IF(C438="TE",LeagueInfo!$D$6*LeagueInfo!$F$2,LeagueInfo!$D$3*LeagueInfo!$F$2)))</f>
        <v>12</v>
      </c>
    </row>
    <row r="439" spans="1:9" x14ac:dyDescent="0.25">
      <c r="A439">
        <f ca="1">RANK(E439,E$2:E$541)</f>
        <v>438</v>
      </c>
      <c r="B439" t="s">
        <v>910</v>
      </c>
      <c r="C439" t="s">
        <v>28</v>
      </c>
      <c r="D439">
        <f ca="1">INDEX(INDIRECT($C439&amp;"!P:P"),MATCH($B439,INDIRECT($C439&amp;"!B:B"),0))</f>
        <v>15.560000000000002</v>
      </c>
      <c r="E439" s="210">
        <f ca="1">D439-LARGE(D$2:D$486,RBCount+WRCount+TECount+QBCount)</f>
        <v>-95.64</v>
      </c>
      <c r="F439" t="str">
        <f ca="1">IF(H439&lt;=I439,"Starter",IF(G439&gt;=LARGE(G:G,FlexOn*LeagueInfo!$F$2),"Starter","Bench"))</f>
        <v>Bench</v>
      </c>
      <c r="G439">
        <f ca="1">IF(H439&gt;I439,D439,0)</f>
        <v>15.560000000000002</v>
      </c>
      <c r="H439">
        <f ca="1">INDEX(INDIRECT(""&amp;C439&amp;"!A2:A489"),MATCH(B439,INDIRECT(""&amp;C439&amp;"!B2:B489"),0))</f>
        <v>130</v>
      </c>
      <c r="I439">
        <f>IF(C439="RB",LeagueInfo!$D$4*LeagueInfo!$F$2,IF(C439="WR",LeagueInfo!$D$5*LeagueInfo!$F$2,IF(C439="TE",LeagueInfo!$D$6*LeagueInfo!$F$2,LeagueInfo!$D$3*LeagueInfo!$F$2)))</f>
        <v>24</v>
      </c>
    </row>
    <row r="440" spans="1:9" x14ac:dyDescent="0.25">
      <c r="A440">
        <f ca="1">RANK(E440,E$2:E$541)</f>
        <v>439</v>
      </c>
      <c r="B440" t="s">
        <v>805</v>
      </c>
      <c r="C440" t="s">
        <v>29</v>
      </c>
      <c r="D440">
        <f ca="1">INDEX(INDIRECT($C440&amp;"!P:P"),MATCH($B440,INDIRECT($C440&amp;"!B:B"),0))</f>
        <v>15.557999999999998</v>
      </c>
      <c r="E440" s="210">
        <f ca="1">D440-LARGE(D$2:D$486,RBCount+WRCount+TECount+QBCount)</f>
        <v>-95.64200000000001</v>
      </c>
      <c r="F440" t="str">
        <f ca="1">IF(H440&lt;=I440,"Starter",IF(G440&gt;=LARGE(G:G,FlexOn*LeagueInfo!$F$2),"Starter","Bench"))</f>
        <v>Bench</v>
      </c>
      <c r="G440">
        <f ca="1">IF(H440&gt;I440,D440,0)</f>
        <v>15.557999999999998</v>
      </c>
      <c r="H440">
        <f ca="1">INDEX(INDIRECT(""&amp;C440&amp;"!A2:A489"),MATCH(B440,INDIRECT(""&amp;C440&amp;"!B2:B489"),0))</f>
        <v>46</v>
      </c>
      <c r="I440">
        <f>IF(C440="RB",LeagueInfo!$D$4*LeagueInfo!$F$2,IF(C440="WR",LeagueInfo!$D$5*LeagueInfo!$F$2,IF(C440="TE",LeagueInfo!$D$6*LeagueInfo!$F$2,LeagueInfo!$D$3*LeagueInfo!$F$2)))</f>
        <v>12</v>
      </c>
    </row>
    <row r="441" spans="1:9" x14ac:dyDescent="0.25">
      <c r="A441">
        <f ca="1">RANK(E441,E$2:E$541)</f>
        <v>440</v>
      </c>
      <c r="B441" t="s">
        <v>900</v>
      </c>
      <c r="C441" t="s">
        <v>28</v>
      </c>
      <c r="D441">
        <f ca="1">INDEX(INDIRECT($C441&amp;"!P:P"),MATCH($B441,INDIRECT($C441&amp;"!B:B"),0))</f>
        <v>15.470000000000002</v>
      </c>
      <c r="E441" s="210">
        <f ca="1">D441-LARGE(D$2:D$486,RBCount+WRCount+TECount+QBCount)</f>
        <v>-95.73</v>
      </c>
      <c r="F441" t="str">
        <f ca="1">IF(H441&lt;=I441,"Starter",IF(G441&gt;=LARGE(G:G,FlexOn*LeagueInfo!$F$2),"Starter","Bench"))</f>
        <v>Bench</v>
      </c>
      <c r="G441">
        <f ca="1">IF(H441&gt;I441,D441,0)</f>
        <v>15.470000000000002</v>
      </c>
      <c r="H441">
        <f ca="1">INDEX(INDIRECT(""&amp;C441&amp;"!A2:A489"),MATCH(B441,INDIRECT(""&amp;C441&amp;"!B2:B489"),0))</f>
        <v>131</v>
      </c>
      <c r="I441">
        <f>IF(C441="RB",LeagueInfo!$D$4*LeagueInfo!$F$2,IF(C441="WR",LeagueInfo!$D$5*LeagueInfo!$F$2,IF(C441="TE",LeagueInfo!$D$6*LeagueInfo!$F$2,LeagueInfo!$D$3*LeagueInfo!$F$2)))</f>
        <v>24</v>
      </c>
    </row>
    <row r="442" spans="1:9" x14ac:dyDescent="0.25">
      <c r="A442">
        <f ca="1">RANK(E442,E$2:E$541)</f>
        <v>441</v>
      </c>
      <c r="B442" t="s">
        <v>986</v>
      </c>
      <c r="C442" t="s">
        <v>43</v>
      </c>
      <c r="D442">
        <f ca="1">INDEX(INDIRECT($C442&amp;"!P:P"),MATCH($B442,INDIRECT($C442&amp;"!B:B"),0))</f>
        <v>15.42</v>
      </c>
      <c r="E442" s="210">
        <f ca="1">D442-LARGE(D$2:D$486,RBCount+WRCount+TECount+QBCount)</f>
        <v>-95.78</v>
      </c>
      <c r="F442" t="str">
        <f ca="1">IF(H442&lt;=I442,"Starter",IF(G442&gt;=LARGE(G:G,FlexOn*LeagueInfo!$F$2),"Starter","Bench"))</f>
        <v>Bench</v>
      </c>
      <c r="G442">
        <f ca="1">IF(H442&gt;I442,D442,0)</f>
        <v>15.42</v>
      </c>
      <c r="H442">
        <f ca="1">INDEX(INDIRECT(""&amp;C442&amp;"!A2:A489"),MATCH(B442,INDIRECT(""&amp;C442&amp;"!B2:B489"),0))</f>
        <v>91</v>
      </c>
      <c r="I442">
        <f>IF(C442="RB",LeagueInfo!$D$4*LeagueInfo!$F$2,IF(C442="WR",LeagueInfo!$D$5*LeagueInfo!$F$2,IF(C442="TE",LeagueInfo!$D$6*LeagueInfo!$F$2,LeagueInfo!$D$3*LeagueInfo!$F$2)))</f>
        <v>12</v>
      </c>
    </row>
    <row r="443" spans="1:9" x14ac:dyDescent="0.25">
      <c r="A443">
        <f ca="1">RANK(E443,E$2:E$541)</f>
        <v>442</v>
      </c>
      <c r="B443" t="s">
        <v>354</v>
      </c>
      <c r="C443" t="s">
        <v>28</v>
      </c>
      <c r="D443">
        <f ca="1">INDEX(INDIRECT($C443&amp;"!P:P"),MATCH($B443,INDIRECT($C443&amp;"!B:B"),0))</f>
        <v>15.400000000000002</v>
      </c>
      <c r="E443" s="210">
        <f ca="1">D443-LARGE(D$2:D$486,RBCount+WRCount+TECount+QBCount)</f>
        <v>-95.8</v>
      </c>
      <c r="F443" t="str">
        <f ca="1">IF(H443&lt;=I443,"Starter",IF(G443&gt;=LARGE(G:G,FlexOn*LeagueInfo!$F$2),"Starter","Bench"))</f>
        <v>Bench</v>
      </c>
      <c r="G443">
        <f ca="1">IF(H443&gt;I443,D443,0)</f>
        <v>15.400000000000002</v>
      </c>
      <c r="H443">
        <f ca="1">INDEX(INDIRECT(""&amp;C443&amp;"!A2:A489"),MATCH(B443,INDIRECT(""&amp;C443&amp;"!B2:B489"),0))</f>
        <v>132</v>
      </c>
      <c r="I443">
        <f>IF(C443="RB",LeagueInfo!$D$4*LeagueInfo!$F$2,IF(C443="WR",LeagueInfo!$D$5*LeagueInfo!$F$2,IF(C443="TE",LeagueInfo!$D$6*LeagueInfo!$F$2,LeagueInfo!$D$3*LeagueInfo!$F$2)))</f>
        <v>24</v>
      </c>
    </row>
    <row r="444" spans="1:9" x14ac:dyDescent="0.25">
      <c r="A444">
        <f ca="1">RANK(E444,E$2:E$541)</f>
        <v>443</v>
      </c>
      <c r="B444" t="s">
        <v>983</v>
      </c>
      <c r="C444" t="s">
        <v>43</v>
      </c>
      <c r="D444">
        <f ca="1">INDEX(INDIRECT($C444&amp;"!P:P"),MATCH($B444,INDIRECT($C444&amp;"!B:B"),0))</f>
        <v>15.260000000000002</v>
      </c>
      <c r="E444" s="210">
        <f ca="1">D444-LARGE(D$2:D$486,RBCount+WRCount+TECount+QBCount)</f>
        <v>-95.94</v>
      </c>
      <c r="F444" t="str">
        <f ca="1">IF(H444&lt;=I444,"Starter",IF(G444&gt;=LARGE(G:G,FlexOn*LeagueInfo!$F$2),"Starter","Bench"))</f>
        <v>Bench</v>
      </c>
      <c r="G444">
        <f ca="1">IF(H444&gt;I444,D444,0)</f>
        <v>15.260000000000002</v>
      </c>
      <c r="H444">
        <f ca="1">INDEX(INDIRECT(""&amp;C444&amp;"!A2:A489"),MATCH(B444,INDIRECT(""&amp;C444&amp;"!B2:B489"),0))</f>
        <v>92</v>
      </c>
      <c r="I444">
        <f>IF(C444="RB",LeagueInfo!$D$4*LeagueInfo!$F$2,IF(C444="WR",LeagueInfo!$D$5*LeagueInfo!$F$2,IF(C444="TE",LeagueInfo!$D$6*LeagueInfo!$F$2,LeagueInfo!$D$3*LeagueInfo!$F$2)))</f>
        <v>12</v>
      </c>
    </row>
    <row r="445" spans="1:9" x14ac:dyDescent="0.25">
      <c r="A445">
        <f ca="1">RANK(E445,E$2:E$541)</f>
        <v>444</v>
      </c>
      <c r="B445" t="s">
        <v>430</v>
      </c>
      <c r="C445" t="s">
        <v>43</v>
      </c>
      <c r="D445">
        <f ca="1">INDEX(INDIRECT($C445&amp;"!P:P"),MATCH($B445,INDIRECT($C445&amp;"!B:B"),0))</f>
        <v>15.25</v>
      </c>
      <c r="E445" s="210">
        <f ca="1">D445-LARGE(D$2:D$486,RBCount+WRCount+TECount+QBCount)</f>
        <v>-95.95</v>
      </c>
      <c r="F445" t="str">
        <f ca="1">IF(H445&lt;=I445,"Starter",IF(G445&gt;=LARGE(G:G,FlexOn*LeagueInfo!$F$2),"Starter","Bench"))</f>
        <v>Bench</v>
      </c>
      <c r="G445">
        <f ca="1">IF(H445&gt;I445,D445,0)</f>
        <v>15.25</v>
      </c>
      <c r="H445">
        <f ca="1">INDEX(INDIRECT(""&amp;C445&amp;"!A2:A489"),MATCH(B445,INDIRECT(""&amp;C445&amp;"!B2:B489"),0))</f>
        <v>93</v>
      </c>
      <c r="I445">
        <f>IF(C445="RB",LeagueInfo!$D$4*LeagueInfo!$F$2,IF(C445="WR",LeagueInfo!$D$5*LeagueInfo!$F$2,IF(C445="TE",LeagueInfo!$D$6*LeagueInfo!$F$2,LeagueInfo!$D$3*LeagueInfo!$F$2)))</f>
        <v>12</v>
      </c>
    </row>
    <row r="446" spans="1:9" x14ac:dyDescent="0.25">
      <c r="A446">
        <f ca="1">RANK(E446,E$2:E$541)</f>
        <v>445</v>
      </c>
      <c r="B446" t="s">
        <v>536</v>
      </c>
      <c r="C446" t="s">
        <v>29</v>
      </c>
      <c r="D446">
        <f ca="1">INDEX(INDIRECT($C446&amp;"!P:P"),MATCH($B446,INDIRECT($C446&amp;"!B:B"),0))</f>
        <v>15.11</v>
      </c>
      <c r="E446" s="210">
        <f ca="1">D446-LARGE(D$2:D$486,RBCount+WRCount+TECount+QBCount)</f>
        <v>-96.09</v>
      </c>
      <c r="F446" t="str">
        <f ca="1">IF(H446&lt;=I446,"Starter",IF(G446&gt;=LARGE(G:G,FlexOn*LeagueInfo!$F$2),"Starter","Bench"))</f>
        <v>Bench</v>
      </c>
      <c r="G446">
        <f ca="1">IF(H446&gt;I446,D446,0)</f>
        <v>15.11</v>
      </c>
      <c r="H446">
        <f ca="1">INDEX(INDIRECT(""&amp;C446&amp;"!A2:A489"),MATCH(B446,INDIRECT(""&amp;C446&amp;"!B2:B489"),0))</f>
        <v>47</v>
      </c>
      <c r="I446">
        <f>IF(C446="RB",LeagueInfo!$D$4*LeagueInfo!$F$2,IF(C446="WR",LeagueInfo!$D$5*LeagueInfo!$F$2,IF(C446="TE",LeagueInfo!$D$6*LeagueInfo!$F$2,LeagueInfo!$D$3*LeagueInfo!$F$2)))</f>
        <v>12</v>
      </c>
    </row>
    <row r="447" spans="1:9" x14ac:dyDescent="0.25">
      <c r="A447">
        <f ca="1">RANK(E447,E$2:E$541)</f>
        <v>446</v>
      </c>
      <c r="B447" t="s">
        <v>804</v>
      </c>
      <c r="C447" t="s">
        <v>35</v>
      </c>
      <c r="D447">
        <f ca="1">INDEX(INDIRECT($C447&amp;"!P:P"),MATCH($B447,INDIRECT($C447&amp;"!B:B"),0))</f>
        <v>15.059999999999999</v>
      </c>
      <c r="E447" s="210">
        <f ca="1">D447-LARGE(D$2:D$486,RBCount+WRCount+TECount+QBCount)</f>
        <v>-96.14</v>
      </c>
      <c r="F447" t="str">
        <f ca="1">IF(H447&lt;=I447,"Starter",IF(G447&gt;=LARGE(G:G,FlexOn*LeagueInfo!$F$2),"Starter","Bench"))</f>
        <v>Bench</v>
      </c>
      <c r="G447">
        <f ca="1">IF(H447&gt;I447,D447,0)</f>
        <v>15.059999999999999</v>
      </c>
      <c r="H447">
        <f ca="1">INDEX(INDIRECT(""&amp;C447&amp;"!A2:A489"),MATCH(B447,INDIRECT(""&amp;C447&amp;"!B2:B489"),0))</f>
        <v>174</v>
      </c>
      <c r="I447">
        <f>IF(C447="RB",LeagueInfo!$D$4*LeagueInfo!$F$2,IF(C447="WR",LeagueInfo!$D$5*LeagueInfo!$F$2,IF(C447="TE",LeagueInfo!$D$6*LeagueInfo!$F$2,LeagueInfo!$D$3*LeagueInfo!$F$2)))</f>
        <v>24</v>
      </c>
    </row>
    <row r="448" spans="1:9" x14ac:dyDescent="0.25">
      <c r="A448">
        <f ca="1">RANK(E448,E$2:E$541)</f>
        <v>447</v>
      </c>
      <c r="B448" t="s">
        <v>870</v>
      </c>
      <c r="C448" t="s">
        <v>29</v>
      </c>
      <c r="D448">
        <f ca="1">INDEX(INDIRECT($C448&amp;"!P:P"),MATCH($B448,INDIRECT($C448&amp;"!B:B"),0))</f>
        <v>15.012</v>
      </c>
      <c r="E448" s="210">
        <f ca="1">D448-LARGE(D$2:D$486,RBCount+WRCount+TECount+QBCount)</f>
        <v>-96.188000000000002</v>
      </c>
      <c r="F448" t="str">
        <f ca="1">IF(H448&lt;=I448,"Starter",IF(G448&gt;=LARGE(G:G,FlexOn*LeagueInfo!$F$2),"Starter","Bench"))</f>
        <v>Bench</v>
      </c>
      <c r="G448">
        <f ca="1">IF(H448&gt;I448,D448,0)</f>
        <v>15.012</v>
      </c>
      <c r="H448">
        <f ca="1">INDEX(INDIRECT(""&amp;C448&amp;"!A2:A489"),MATCH(B448,INDIRECT(""&amp;C448&amp;"!B2:B489"),0))</f>
        <v>48</v>
      </c>
      <c r="I448">
        <f>IF(C448="RB",LeagueInfo!$D$4*LeagueInfo!$F$2,IF(C448="WR",LeagueInfo!$D$5*LeagueInfo!$F$2,IF(C448="TE",LeagueInfo!$D$6*LeagueInfo!$F$2,LeagueInfo!$D$3*LeagueInfo!$F$2)))</f>
        <v>12</v>
      </c>
    </row>
    <row r="449" spans="1:9" x14ac:dyDescent="0.25">
      <c r="A449">
        <f ca="1">RANK(E449,E$2:E$541)</f>
        <v>448</v>
      </c>
      <c r="B449" t="s">
        <v>684</v>
      </c>
      <c r="C449" t="s">
        <v>28</v>
      </c>
      <c r="D449">
        <f ca="1">INDEX(INDIRECT($C449&amp;"!P:P"),MATCH($B449,INDIRECT($C449&amp;"!B:B"),0))</f>
        <v>14.899999999999999</v>
      </c>
      <c r="E449" s="210">
        <f ca="1">D449-LARGE(D$2:D$486,RBCount+WRCount+TECount+QBCount)</f>
        <v>-96.300000000000011</v>
      </c>
      <c r="F449" t="str">
        <f ca="1">IF(H449&lt;=I449,"Starter",IF(G449&gt;=LARGE(G:G,FlexOn*LeagueInfo!$F$2),"Starter","Bench"))</f>
        <v>Bench</v>
      </c>
      <c r="G449">
        <f ca="1">IF(H449&gt;I449,D449,0)</f>
        <v>14.899999999999999</v>
      </c>
      <c r="H449">
        <f ca="1">INDEX(INDIRECT(""&amp;C449&amp;"!A2:A489"),MATCH(B449,INDIRECT(""&amp;C449&amp;"!B2:B489"),0))</f>
        <v>133</v>
      </c>
      <c r="I449">
        <f>IF(C449="RB",LeagueInfo!$D$4*LeagueInfo!$F$2,IF(C449="WR",LeagueInfo!$D$5*LeagueInfo!$F$2,IF(C449="TE",LeagueInfo!$D$6*LeagueInfo!$F$2,LeagueInfo!$D$3*LeagueInfo!$F$2)))</f>
        <v>24</v>
      </c>
    </row>
    <row r="450" spans="1:9" x14ac:dyDescent="0.25">
      <c r="A450">
        <f ca="1">RANK(E450,E$2:E$541)</f>
        <v>449</v>
      </c>
      <c r="B450" t="s">
        <v>2488</v>
      </c>
      <c r="C450" t="s">
        <v>43</v>
      </c>
      <c r="D450">
        <f ca="1">INDEX(INDIRECT($C450&amp;"!P:P"),MATCH($B450,INDIRECT($C450&amp;"!B:B"),0))</f>
        <v>14.690000000000001</v>
      </c>
      <c r="E450" s="210">
        <f ca="1">D450-LARGE(D$2:D$486,RBCount+WRCount+TECount+QBCount)</f>
        <v>-96.51</v>
      </c>
      <c r="F450" t="str">
        <f ca="1">IF(H450&lt;=I450,"Starter",IF(G450&gt;=LARGE(G:G,FlexOn*LeagueInfo!$F$2),"Starter","Bench"))</f>
        <v>Bench</v>
      </c>
      <c r="G450">
        <f ca="1">IF(H450&gt;I450,D450,0)</f>
        <v>14.690000000000001</v>
      </c>
      <c r="H450">
        <f ca="1">INDEX(INDIRECT(""&amp;C450&amp;"!A2:A489"),MATCH(B450,INDIRECT(""&amp;C450&amp;"!B2:B489"),0))</f>
        <v>94</v>
      </c>
      <c r="I450">
        <f>IF(C450="RB",LeagueInfo!$D$4*LeagueInfo!$F$2,IF(C450="WR",LeagueInfo!$D$5*LeagueInfo!$F$2,IF(C450="TE",LeagueInfo!$D$6*LeagueInfo!$F$2,LeagueInfo!$D$3*LeagueInfo!$F$2)))</f>
        <v>12</v>
      </c>
    </row>
    <row r="451" spans="1:9" x14ac:dyDescent="0.25">
      <c r="A451">
        <f ca="1">RANK(E451,E$2:E$541)</f>
        <v>450</v>
      </c>
      <c r="B451" t="s">
        <v>305</v>
      </c>
      <c r="C451" t="s">
        <v>29</v>
      </c>
      <c r="D451">
        <f ca="1">INDEX(INDIRECT($C451&amp;"!P:P"),MATCH($B451,INDIRECT($C451&amp;"!B:B"),0))</f>
        <v>14.626000000000001</v>
      </c>
      <c r="E451" s="210">
        <f ca="1">D451-LARGE(D$2:D$486,RBCount+WRCount+TECount+QBCount)</f>
        <v>-96.573999999999998</v>
      </c>
      <c r="F451" t="str">
        <f ca="1">IF(H451&lt;=I451,"Starter",IF(G451&gt;=LARGE(G:G,FlexOn*LeagueInfo!$F$2),"Starter","Bench"))</f>
        <v>Bench</v>
      </c>
      <c r="G451">
        <f ca="1">IF(H451&gt;I451,D451,0)</f>
        <v>14.626000000000001</v>
      </c>
      <c r="H451">
        <f ca="1">INDEX(INDIRECT(""&amp;C451&amp;"!A2:A489"),MATCH(B451,INDIRECT(""&amp;C451&amp;"!B2:B489"),0))</f>
        <v>49</v>
      </c>
      <c r="I451">
        <f>IF(C451="RB",LeagueInfo!$D$4*LeagueInfo!$F$2,IF(C451="WR",LeagueInfo!$D$5*LeagueInfo!$F$2,IF(C451="TE",LeagueInfo!$D$6*LeagueInfo!$F$2,LeagueInfo!$D$3*LeagueInfo!$F$2)))</f>
        <v>12</v>
      </c>
    </row>
    <row r="452" spans="1:9" x14ac:dyDescent="0.25">
      <c r="A452">
        <f ca="1">RANK(E452,E$2:E$541)</f>
        <v>451</v>
      </c>
      <c r="B452" t="s">
        <v>657</v>
      </c>
      <c r="C452" t="s">
        <v>43</v>
      </c>
      <c r="D452">
        <f ca="1">INDEX(INDIRECT($C452&amp;"!P:P"),MATCH($B452,INDIRECT($C452&amp;"!B:B"),0))</f>
        <v>14.53</v>
      </c>
      <c r="E452" s="210">
        <f ca="1">D452-LARGE(D$2:D$486,RBCount+WRCount+TECount+QBCount)</f>
        <v>-96.67</v>
      </c>
      <c r="F452" t="str">
        <f ca="1">IF(H452&lt;=I452,"Starter",IF(G452&gt;=LARGE(G:G,FlexOn*LeagueInfo!$F$2),"Starter","Bench"))</f>
        <v>Bench</v>
      </c>
      <c r="G452">
        <f ca="1">IF(H452&gt;I452,D452,0)</f>
        <v>14.53</v>
      </c>
      <c r="H452">
        <f ca="1">INDEX(INDIRECT(""&amp;C452&amp;"!A2:A489"),MATCH(B452,INDIRECT(""&amp;C452&amp;"!B2:B489"),0))</f>
        <v>95</v>
      </c>
      <c r="I452">
        <f>IF(C452="RB",LeagueInfo!$D$4*LeagueInfo!$F$2,IF(C452="WR",LeagueInfo!$D$5*LeagueInfo!$F$2,IF(C452="TE",LeagueInfo!$D$6*LeagueInfo!$F$2,LeagueInfo!$D$3*LeagueInfo!$F$2)))</f>
        <v>12</v>
      </c>
    </row>
    <row r="453" spans="1:9" x14ac:dyDescent="0.25">
      <c r="A453">
        <f ca="1">RANK(E453,E$2:E$541)</f>
        <v>452</v>
      </c>
      <c r="B453" t="s">
        <v>2491</v>
      </c>
      <c r="C453" t="s">
        <v>43</v>
      </c>
      <c r="D453">
        <f ca="1">INDEX(INDIRECT($C453&amp;"!P:P"),MATCH($B453,INDIRECT($C453&amp;"!B:B"),0))</f>
        <v>14.5</v>
      </c>
      <c r="E453" s="210">
        <f ca="1">D453-LARGE(D$2:D$486,RBCount+WRCount+TECount+QBCount)</f>
        <v>-96.7</v>
      </c>
      <c r="F453" t="str">
        <f ca="1">IF(H453&lt;=I453,"Starter",IF(G453&gt;=LARGE(G:G,FlexOn*LeagueInfo!$F$2),"Starter","Bench"))</f>
        <v>Bench</v>
      </c>
      <c r="G453">
        <f ca="1">IF(H453&gt;I453,D453,0)</f>
        <v>14.5</v>
      </c>
      <c r="H453">
        <f ca="1">INDEX(INDIRECT(""&amp;C453&amp;"!A2:A489"),MATCH(B453,INDIRECT(""&amp;C453&amp;"!B2:B489"),0))</f>
        <v>96</v>
      </c>
      <c r="I453">
        <f>IF(C453="RB",LeagueInfo!$D$4*LeagueInfo!$F$2,IF(C453="WR",LeagueInfo!$D$5*LeagueInfo!$F$2,IF(C453="TE",LeagueInfo!$D$6*LeagueInfo!$F$2,LeagueInfo!$D$3*LeagueInfo!$F$2)))</f>
        <v>12</v>
      </c>
    </row>
    <row r="454" spans="1:9" x14ac:dyDescent="0.25">
      <c r="A454">
        <f ca="1">RANK(E454,E$2:E$541)</f>
        <v>453</v>
      </c>
      <c r="B454" t="s">
        <v>2678</v>
      </c>
      <c r="C454" t="s">
        <v>35</v>
      </c>
      <c r="D454">
        <f ca="1">INDEX(INDIRECT($C454&amp;"!P:P"),MATCH($B454,INDIRECT($C454&amp;"!B:B"),0))</f>
        <v>14.480000000000002</v>
      </c>
      <c r="E454" s="210">
        <f ca="1">D454-LARGE(D$2:D$486,RBCount+WRCount+TECount+QBCount)</f>
        <v>-96.72</v>
      </c>
      <c r="F454" t="str">
        <f ca="1">IF(H454&lt;=I454,"Starter",IF(G454&gt;=LARGE(G:G,FlexOn*LeagueInfo!$F$2),"Starter","Bench"))</f>
        <v>Bench</v>
      </c>
      <c r="G454">
        <f ca="1">IF(H454&gt;I454,D454,0)</f>
        <v>14.480000000000002</v>
      </c>
      <c r="H454">
        <f ca="1">INDEX(INDIRECT(""&amp;C454&amp;"!A2:A489"),MATCH(B454,INDIRECT(""&amp;C454&amp;"!B2:B489"),0))</f>
        <v>175</v>
      </c>
      <c r="I454">
        <f>IF(C454="RB",LeagueInfo!$D$4*LeagueInfo!$F$2,IF(C454="WR",LeagueInfo!$D$5*LeagueInfo!$F$2,IF(C454="TE",LeagueInfo!$D$6*LeagueInfo!$F$2,LeagueInfo!$D$3*LeagueInfo!$F$2)))</f>
        <v>24</v>
      </c>
    </row>
    <row r="455" spans="1:9" x14ac:dyDescent="0.25">
      <c r="A455">
        <f ca="1">RANK(E455,E$2:E$541)</f>
        <v>454</v>
      </c>
      <c r="B455" t="s">
        <v>403</v>
      </c>
      <c r="C455" t="s">
        <v>35</v>
      </c>
      <c r="D455">
        <f ca="1">INDEX(INDIRECT($C455&amp;"!P:P"),MATCH($B455,INDIRECT($C455&amp;"!B:B"),0))</f>
        <v>14.36</v>
      </c>
      <c r="E455" s="210">
        <f ca="1">D455-LARGE(D$2:D$486,RBCount+WRCount+TECount+QBCount)</f>
        <v>-96.84</v>
      </c>
      <c r="F455" t="str">
        <f ca="1">IF(H455&lt;=I455,"Starter",IF(G455&gt;=LARGE(G:G,FlexOn*LeagueInfo!$F$2),"Starter","Bench"))</f>
        <v>Bench</v>
      </c>
      <c r="G455">
        <f ca="1">IF(H455&gt;I455,D455,0)</f>
        <v>14.36</v>
      </c>
      <c r="H455">
        <f ca="1">INDEX(INDIRECT(""&amp;C455&amp;"!A2:A489"),MATCH(B455,INDIRECT(""&amp;C455&amp;"!B2:B489"),0))</f>
        <v>176</v>
      </c>
      <c r="I455">
        <f>IF(C455="RB",LeagueInfo!$D$4*LeagueInfo!$F$2,IF(C455="WR",LeagueInfo!$D$5*LeagueInfo!$F$2,IF(C455="TE",LeagueInfo!$D$6*LeagueInfo!$F$2,LeagueInfo!$D$3*LeagueInfo!$F$2)))</f>
        <v>24</v>
      </c>
    </row>
    <row r="456" spans="1:9" x14ac:dyDescent="0.25">
      <c r="A456">
        <f ca="1">RANK(E456,E$2:E$541)</f>
        <v>455</v>
      </c>
      <c r="B456" t="s">
        <v>994</v>
      </c>
      <c r="C456" t="s">
        <v>35</v>
      </c>
      <c r="D456">
        <f ca="1">INDEX(INDIRECT($C456&amp;"!P:P"),MATCH($B456,INDIRECT($C456&amp;"!B:B"),0))</f>
        <v>14.25</v>
      </c>
      <c r="E456" s="210">
        <f ca="1">D456-LARGE(D$2:D$486,RBCount+WRCount+TECount+QBCount)</f>
        <v>-96.95</v>
      </c>
      <c r="F456" t="str">
        <f ca="1">IF(H456&lt;=I456,"Starter",IF(G456&gt;=LARGE(G:G,FlexOn*LeagueInfo!$F$2),"Starter","Bench"))</f>
        <v>Bench</v>
      </c>
      <c r="G456">
        <f ca="1">IF(H456&gt;I456,D456,0)</f>
        <v>14.25</v>
      </c>
      <c r="H456">
        <f ca="1">INDEX(INDIRECT(""&amp;C456&amp;"!A2:A489"),MATCH(B456,INDIRECT(""&amp;C456&amp;"!B2:B489"),0))</f>
        <v>177</v>
      </c>
      <c r="I456">
        <f>IF(C456="RB",LeagueInfo!$D$4*LeagueInfo!$F$2,IF(C456="WR",LeagueInfo!$D$5*LeagueInfo!$F$2,IF(C456="TE",LeagueInfo!$D$6*LeagueInfo!$F$2,LeagueInfo!$D$3*LeagueInfo!$F$2)))</f>
        <v>24</v>
      </c>
    </row>
    <row r="457" spans="1:9" x14ac:dyDescent="0.25">
      <c r="A457">
        <f ca="1">RANK(E457,E$2:E$541)</f>
        <v>456</v>
      </c>
      <c r="B457" t="s">
        <v>999</v>
      </c>
      <c r="C457" t="s">
        <v>35</v>
      </c>
      <c r="D457">
        <f ca="1">INDEX(INDIRECT($C457&amp;"!P:P"),MATCH($B457,INDIRECT($C457&amp;"!B:B"),0))</f>
        <v>14.11</v>
      </c>
      <c r="E457" s="210">
        <f ca="1">D457-LARGE(D$2:D$486,RBCount+WRCount+TECount+QBCount)</f>
        <v>-97.09</v>
      </c>
      <c r="F457" t="str">
        <f ca="1">IF(H457&lt;=I457,"Starter",IF(G457&gt;=LARGE(G:G,FlexOn*LeagueInfo!$F$2),"Starter","Bench"))</f>
        <v>Bench</v>
      </c>
      <c r="G457">
        <f ca="1">IF(H457&gt;I457,D457,0)</f>
        <v>14.11</v>
      </c>
      <c r="H457">
        <f ca="1">INDEX(INDIRECT(""&amp;C457&amp;"!A2:A489"),MATCH(B457,INDIRECT(""&amp;C457&amp;"!B2:B489"),0))</f>
        <v>178</v>
      </c>
      <c r="I457">
        <f>IF(C457="RB",LeagueInfo!$D$4*LeagueInfo!$F$2,IF(C457="WR",LeagueInfo!$D$5*LeagueInfo!$F$2,IF(C457="TE",LeagueInfo!$D$6*LeagueInfo!$F$2,LeagueInfo!$D$3*LeagueInfo!$F$2)))</f>
        <v>24</v>
      </c>
    </row>
    <row r="458" spans="1:9" x14ac:dyDescent="0.25">
      <c r="A458">
        <f ca="1">RANK(E458,E$2:E$541)</f>
        <v>457</v>
      </c>
      <c r="B458" t="s">
        <v>853</v>
      </c>
      <c r="C458" t="s">
        <v>35</v>
      </c>
      <c r="D458">
        <f ca="1">INDEX(INDIRECT($C458&amp;"!P:P"),MATCH($B458,INDIRECT($C458&amp;"!B:B"),0))</f>
        <v>14.01</v>
      </c>
      <c r="E458" s="210">
        <f ca="1">D458-LARGE(D$2:D$486,RBCount+WRCount+TECount+QBCount)</f>
        <v>-97.19</v>
      </c>
      <c r="F458" t="str">
        <f ca="1">IF(H458&lt;=I458,"Starter",IF(G458&gt;=LARGE(G:G,FlexOn*LeagueInfo!$F$2),"Starter","Bench"))</f>
        <v>Bench</v>
      </c>
      <c r="G458">
        <f ca="1">IF(H458&gt;I458,D458,0)</f>
        <v>14.01</v>
      </c>
      <c r="H458">
        <f ca="1">INDEX(INDIRECT(""&amp;C458&amp;"!A2:A489"),MATCH(B458,INDIRECT(""&amp;C458&amp;"!B2:B489"),0))</f>
        <v>179</v>
      </c>
      <c r="I458">
        <f>IF(C458="RB",LeagueInfo!$D$4*LeagueInfo!$F$2,IF(C458="WR",LeagueInfo!$D$5*LeagueInfo!$F$2,IF(C458="TE",LeagueInfo!$D$6*LeagueInfo!$F$2,LeagueInfo!$D$3*LeagueInfo!$F$2)))</f>
        <v>24</v>
      </c>
    </row>
    <row r="459" spans="1:9" x14ac:dyDescent="0.25">
      <c r="A459">
        <f ca="1">RANK(E459,E$2:E$541)</f>
        <v>458</v>
      </c>
      <c r="B459" t="s">
        <v>2741</v>
      </c>
      <c r="C459" t="s">
        <v>35</v>
      </c>
      <c r="D459">
        <f ca="1">INDEX(INDIRECT($C459&amp;"!P:P"),MATCH($B459,INDIRECT($C459&amp;"!B:B"),0))</f>
        <v>13.920000000000002</v>
      </c>
      <c r="E459" s="210">
        <f ca="1">D459-LARGE(D$2:D$486,RBCount+WRCount+TECount+QBCount)</f>
        <v>-97.28</v>
      </c>
      <c r="F459" t="str">
        <f ca="1">IF(H459&lt;=I459,"Starter",IF(G459&gt;=LARGE(G:G,FlexOn*LeagueInfo!$F$2),"Starter","Bench"))</f>
        <v>Bench</v>
      </c>
      <c r="G459">
        <f ca="1">IF(H459&gt;I459,D459,0)</f>
        <v>13.920000000000002</v>
      </c>
      <c r="H459">
        <f ca="1">INDEX(INDIRECT(""&amp;C459&amp;"!A2:A489"),MATCH(B459,INDIRECT(""&amp;C459&amp;"!B2:B489"),0))</f>
        <v>180</v>
      </c>
      <c r="I459">
        <f>IF(C459="RB",LeagueInfo!$D$4*LeagueInfo!$F$2,IF(C459="WR",LeagueInfo!$D$5*LeagueInfo!$F$2,IF(C459="TE",LeagueInfo!$D$6*LeagueInfo!$F$2,LeagueInfo!$D$3*LeagueInfo!$F$2)))</f>
        <v>24</v>
      </c>
    </row>
    <row r="460" spans="1:9" x14ac:dyDescent="0.25">
      <c r="A460">
        <f ca="1">RANK(E460,E$2:E$541)</f>
        <v>459</v>
      </c>
      <c r="B460" t="s">
        <v>858</v>
      </c>
      <c r="C460" t="s">
        <v>35</v>
      </c>
      <c r="D460">
        <f ca="1">INDEX(INDIRECT($C460&amp;"!P:P"),MATCH($B460,INDIRECT($C460&amp;"!B:B"),0))</f>
        <v>13.890000000000002</v>
      </c>
      <c r="E460" s="210">
        <f ca="1">D460-LARGE(D$2:D$486,RBCount+WRCount+TECount+QBCount)</f>
        <v>-97.31</v>
      </c>
      <c r="F460" t="str">
        <f ca="1">IF(H460&lt;=I460,"Starter",IF(G460&gt;=LARGE(G:G,FlexOn*LeagueInfo!$F$2),"Starter","Bench"))</f>
        <v>Bench</v>
      </c>
      <c r="G460">
        <f ca="1">IF(H460&gt;I460,D460,0)</f>
        <v>13.890000000000002</v>
      </c>
      <c r="H460">
        <f ca="1">INDEX(INDIRECT(""&amp;C460&amp;"!A2:A489"),MATCH(B460,INDIRECT(""&amp;C460&amp;"!B2:B489"),0))</f>
        <v>181</v>
      </c>
      <c r="I460">
        <f>IF(C460="RB",LeagueInfo!$D$4*LeagueInfo!$F$2,IF(C460="WR",LeagueInfo!$D$5*LeagueInfo!$F$2,IF(C460="TE",LeagueInfo!$D$6*LeagueInfo!$F$2,LeagueInfo!$D$3*LeagueInfo!$F$2)))</f>
        <v>24</v>
      </c>
    </row>
    <row r="461" spans="1:9" x14ac:dyDescent="0.25">
      <c r="A461">
        <f ca="1">RANK(E461,E$2:E$541)</f>
        <v>460</v>
      </c>
      <c r="B461" t="s">
        <v>838</v>
      </c>
      <c r="C461" t="s">
        <v>35</v>
      </c>
      <c r="D461">
        <f ca="1">INDEX(INDIRECT($C461&amp;"!P:P"),MATCH($B461,INDIRECT($C461&amp;"!B:B"),0))</f>
        <v>13.729999999999999</v>
      </c>
      <c r="E461" s="210">
        <f ca="1">D461-LARGE(D$2:D$486,RBCount+WRCount+TECount+QBCount)</f>
        <v>-97.47</v>
      </c>
      <c r="F461" t="str">
        <f ca="1">IF(H461&lt;=I461,"Starter",IF(G461&gt;=LARGE(G:G,FlexOn*LeagueInfo!$F$2),"Starter","Bench"))</f>
        <v>Bench</v>
      </c>
      <c r="G461">
        <f ca="1">IF(H461&gt;I461,D461,0)</f>
        <v>13.729999999999999</v>
      </c>
      <c r="H461">
        <f ca="1">INDEX(INDIRECT(""&amp;C461&amp;"!A2:A489"),MATCH(B461,INDIRECT(""&amp;C461&amp;"!B2:B489"),0))</f>
        <v>182</v>
      </c>
      <c r="I461">
        <f>IF(C461="RB",LeagueInfo!$D$4*LeagueInfo!$F$2,IF(C461="WR",LeagueInfo!$D$5*LeagueInfo!$F$2,IF(C461="TE",LeagueInfo!$D$6*LeagueInfo!$F$2,LeagueInfo!$D$3*LeagueInfo!$F$2)))</f>
        <v>24</v>
      </c>
    </row>
    <row r="462" spans="1:9" x14ac:dyDescent="0.25">
      <c r="A462">
        <f ca="1">RANK(E462,E$2:E$541)</f>
        <v>461</v>
      </c>
      <c r="B462" t="s">
        <v>995</v>
      </c>
      <c r="C462" t="s">
        <v>35</v>
      </c>
      <c r="D462">
        <f ca="1">INDEX(INDIRECT($C462&amp;"!P:P"),MATCH($B462,INDIRECT($C462&amp;"!B:B"),0))</f>
        <v>13.64</v>
      </c>
      <c r="E462" s="210">
        <f ca="1">D462-LARGE(D$2:D$486,RBCount+WRCount+TECount+QBCount)</f>
        <v>-97.56</v>
      </c>
      <c r="F462" t="str">
        <f ca="1">IF(H462&lt;=I462,"Starter",IF(G462&gt;=LARGE(G:G,FlexOn*LeagueInfo!$F$2),"Starter","Bench"))</f>
        <v>Bench</v>
      </c>
      <c r="G462">
        <f ca="1">IF(H462&gt;I462,D462,0)</f>
        <v>13.64</v>
      </c>
      <c r="H462">
        <f ca="1">INDEX(INDIRECT(""&amp;C462&amp;"!A2:A489"),MATCH(B462,INDIRECT(""&amp;C462&amp;"!B2:B489"),0))</f>
        <v>183</v>
      </c>
      <c r="I462">
        <f>IF(C462="RB",LeagueInfo!$D$4*LeagueInfo!$F$2,IF(C462="WR",LeagueInfo!$D$5*LeagueInfo!$F$2,IF(C462="TE",LeagueInfo!$D$6*LeagueInfo!$F$2,LeagueInfo!$D$3*LeagueInfo!$F$2)))</f>
        <v>24</v>
      </c>
    </row>
    <row r="463" spans="1:9" x14ac:dyDescent="0.25">
      <c r="A463">
        <f ca="1">RANK(E463,E$2:E$541)</f>
        <v>462</v>
      </c>
      <c r="B463" t="s">
        <v>2622</v>
      </c>
      <c r="C463" t="s">
        <v>43</v>
      </c>
      <c r="D463">
        <f ca="1">INDEX(INDIRECT($C463&amp;"!P:P"),MATCH($B463,INDIRECT($C463&amp;"!B:B"),0))</f>
        <v>13.520000000000001</v>
      </c>
      <c r="E463" s="210">
        <f ca="1">D463-LARGE(D$2:D$486,RBCount+WRCount+TECount+QBCount)</f>
        <v>-97.68</v>
      </c>
      <c r="F463" t="str">
        <f ca="1">IF(H463&lt;=I463,"Starter",IF(G463&gt;=LARGE(G:G,FlexOn*LeagueInfo!$F$2),"Starter","Bench"))</f>
        <v>Bench</v>
      </c>
      <c r="G463">
        <f ca="1">IF(H463&gt;I463,D463,0)</f>
        <v>13.520000000000001</v>
      </c>
      <c r="H463">
        <f ca="1">INDEX(INDIRECT(""&amp;C463&amp;"!A2:A489"),MATCH(B463,INDIRECT(""&amp;C463&amp;"!B2:B489"),0))</f>
        <v>97</v>
      </c>
      <c r="I463">
        <f>IF(C463="RB",LeagueInfo!$D$4*LeagueInfo!$F$2,IF(C463="WR",LeagueInfo!$D$5*LeagueInfo!$F$2,IF(C463="TE",LeagueInfo!$D$6*LeagueInfo!$F$2,LeagueInfo!$D$3*LeagueInfo!$F$2)))</f>
        <v>12</v>
      </c>
    </row>
    <row r="464" spans="1:9" x14ac:dyDescent="0.25">
      <c r="A464">
        <f ca="1">RANK(E464,E$2:E$541)</f>
        <v>463</v>
      </c>
      <c r="B464" t="s">
        <v>956</v>
      </c>
      <c r="C464" t="s">
        <v>35</v>
      </c>
      <c r="D464">
        <f ca="1">INDEX(INDIRECT($C464&amp;"!P:P"),MATCH($B464,INDIRECT($C464&amp;"!B:B"),0))</f>
        <v>13.510000000000002</v>
      </c>
      <c r="E464" s="210">
        <f ca="1">D464-LARGE(D$2:D$486,RBCount+WRCount+TECount+QBCount)</f>
        <v>-97.69</v>
      </c>
      <c r="F464" t="str">
        <f ca="1">IF(H464&lt;=I464,"Starter",IF(G464&gt;=LARGE(G:G,FlexOn*LeagueInfo!$F$2),"Starter","Bench"))</f>
        <v>Bench</v>
      </c>
      <c r="G464">
        <f ca="1">IF(H464&gt;I464,D464,0)</f>
        <v>13.510000000000002</v>
      </c>
      <c r="H464">
        <f ca="1">INDEX(INDIRECT(""&amp;C464&amp;"!A2:A489"),MATCH(B464,INDIRECT(""&amp;C464&amp;"!B2:B489"),0))</f>
        <v>184</v>
      </c>
      <c r="I464">
        <f>IF(C464="RB",LeagueInfo!$D$4*LeagueInfo!$F$2,IF(C464="WR",LeagueInfo!$D$5*LeagueInfo!$F$2,IF(C464="TE",LeagueInfo!$D$6*LeagueInfo!$F$2,LeagueInfo!$D$3*LeagueInfo!$F$2)))</f>
        <v>24</v>
      </c>
    </row>
    <row r="465" spans="1:9" x14ac:dyDescent="0.25">
      <c r="A465">
        <f ca="1">RANK(E465,E$2:E$541)</f>
        <v>464</v>
      </c>
      <c r="B465" t="s">
        <v>970</v>
      </c>
      <c r="C465" t="s">
        <v>35</v>
      </c>
      <c r="D465">
        <f ca="1">INDEX(INDIRECT($C465&amp;"!P:P"),MATCH($B465,INDIRECT($C465&amp;"!B:B"),0))</f>
        <v>13.440000000000001</v>
      </c>
      <c r="E465" s="210">
        <f ca="1">D465-LARGE(D$2:D$486,RBCount+WRCount+TECount+QBCount)</f>
        <v>-97.76</v>
      </c>
      <c r="F465" t="str">
        <f ca="1">IF(H465&lt;=I465,"Starter",IF(G465&gt;=LARGE(G:G,FlexOn*LeagueInfo!$F$2),"Starter","Bench"))</f>
        <v>Bench</v>
      </c>
      <c r="G465">
        <f ca="1">IF(H465&gt;I465,D465,0)</f>
        <v>13.440000000000001</v>
      </c>
      <c r="H465">
        <f ca="1">INDEX(INDIRECT(""&amp;C465&amp;"!A2:A489"),MATCH(B465,INDIRECT(""&amp;C465&amp;"!B2:B489"),0))</f>
        <v>185</v>
      </c>
      <c r="I465">
        <f>IF(C465="RB",LeagueInfo!$D$4*LeagueInfo!$F$2,IF(C465="WR",LeagueInfo!$D$5*LeagueInfo!$F$2,IF(C465="TE",LeagueInfo!$D$6*LeagueInfo!$F$2,LeagueInfo!$D$3*LeagueInfo!$F$2)))</f>
        <v>24</v>
      </c>
    </row>
    <row r="466" spans="1:9" x14ac:dyDescent="0.25">
      <c r="A466">
        <f ca="1">RANK(E466,E$2:E$541)</f>
        <v>465</v>
      </c>
      <c r="B466" t="s">
        <v>2490</v>
      </c>
      <c r="C466" t="s">
        <v>43</v>
      </c>
      <c r="D466">
        <f ca="1">INDEX(INDIRECT($C466&amp;"!P:P"),MATCH($B466,INDIRECT($C466&amp;"!B:B"),0))</f>
        <v>13.270000000000001</v>
      </c>
      <c r="E466" s="210">
        <f ca="1">D466-LARGE(D$2:D$486,RBCount+WRCount+TECount+QBCount)</f>
        <v>-97.93</v>
      </c>
      <c r="F466" t="str">
        <f ca="1">IF(H466&lt;=I466,"Starter",IF(G466&gt;=LARGE(G:G,FlexOn*LeagueInfo!$F$2),"Starter","Bench"))</f>
        <v>Bench</v>
      </c>
      <c r="G466">
        <f ca="1">IF(H466&gt;I466,D466,0)</f>
        <v>13.270000000000001</v>
      </c>
      <c r="H466">
        <f ca="1">INDEX(INDIRECT(""&amp;C466&amp;"!A2:A489"),MATCH(B466,INDIRECT(""&amp;C466&amp;"!B2:B489"),0))</f>
        <v>98</v>
      </c>
      <c r="I466">
        <f>IF(C466="RB",LeagueInfo!$D$4*LeagueInfo!$F$2,IF(C466="WR",LeagueInfo!$D$5*LeagueInfo!$F$2,IF(C466="TE",LeagueInfo!$D$6*LeagueInfo!$F$2,LeagueInfo!$D$3*LeagueInfo!$F$2)))</f>
        <v>12</v>
      </c>
    </row>
    <row r="467" spans="1:9" x14ac:dyDescent="0.25">
      <c r="A467">
        <f ca="1">RANK(E467,E$2:E$541)</f>
        <v>466</v>
      </c>
      <c r="B467" t="s">
        <v>582</v>
      </c>
      <c r="C467" t="s">
        <v>35</v>
      </c>
      <c r="D467">
        <f ca="1">INDEX(INDIRECT($C467&amp;"!P:P"),MATCH($B467,INDIRECT($C467&amp;"!B:B"),0))</f>
        <v>13.26</v>
      </c>
      <c r="E467" s="210">
        <f ca="1">D467-LARGE(D$2:D$486,RBCount+WRCount+TECount+QBCount)</f>
        <v>-97.94</v>
      </c>
      <c r="F467" t="str">
        <f ca="1">IF(H467&lt;=I467,"Starter",IF(G467&gt;=LARGE(G:G,FlexOn*LeagueInfo!$F$2),"Starter","Bench"))</f>
        <v>Bench</v>
      </c>
      <c r="G467">
        <f ca="1">IF(H467&gt;I467,D467,0)</f>
        <v>13.26</v>
      </c>
      <c r="H467">
        <f ca="1">INDEX(INDIRECT(""&amp;C467&amp;"!A2:A489"),MATCH(B467,INDIRECT(""&amp;C467&amp;"!B2:B489"),0))</f>
        <v>186</v>
      </c>
      <c r="I467">
        <f>IF(C467="RB",LeagueInfo!$D$4*LeagueInfo!$F$2,IF(C467="WR",LeagueInfo!$D$5*LeagueInfo!$F$2,IF(C467="TE",LeagueInfo!$D$6*LeagueInfo!$F$2,LeagueInfo!$D$3*LeagueInfo!$F$2)))</f>
        <v>24</v>
      </c>
    </row>
    <row r="468" spans="1:9" x14ac:dyDescent="0.25">
      <c r="A468">
        <f ca="1">RANK(E468,E$2:E$541)</f>
        <v>467</v>
      </c>
      <c r="B468" t="s">
        <v>710</v>
      </c>
      <c r="C468" t="s">
        <v>35</v>
      </c>
      <c r="D468">
        <f ca="1">INDEX(INDIRECT($C468&amp;"!P:P"),MATCH($B468,INDIRECT($C468&amp;"!B:B"),0))</f>
        <v>13.040000000000001</v>
      </c>
      <c r="E468" s="210">
        <f ca="1">D468-LARGE(D$2:D$486,RBCount+WRCount+TECount+QBCount)</f>
        <v>-98.16</v>
      </c>
      <c r="F468" t="str">
        <f ca="1">IF(H468&lt;=I468,"Starter",IF(G468&gt;=LARGE(G:G,FlexOn*LeagueInfo!$F$2),"Starter","Bench"))</f>
        <v>Bench</v>
      </c>
      <c r="G468">
        <f ca="1">IF(H468&gt;I468,D468,0)</f>
        <v>13.040000000000001</v>
      </c>
      <c r="H468">
        <f ca="1">INDEX(INDIRECT(""&amp;C468&amp;"!A2:A489"),MATCH(B468,INDIRECT(""&amp;C468&amp;"!B2:B489"),0))</f>
        <v>187</v>
      </c>
      <c r="I468">
        <f>IF(C468="RB",LeagueInfo!$D$4*LeagueInfo!$F$2,IF(C468="WR",LeagueInfo!$D$5*LeagueInfo!$F$2,IF(C468="TE",LeagueInfo!$D$6*LeagueInfo!$F$2,LeagueInfo!$D$3*LeagueInfo!$F$2)))</f>
        <v>24</v>
      </c>
    </row>
    <row r="469" spans="1:9" x14ac:dyDescent="0.25">
      <c r="A469">
        <f ca="1">RANK(E469,E$2:E$541)</f>
        <v>468</v>
      </c>
      <c r="B469" t="s">
        <v>861</v>
      </c>
      <c r="C469" t="s">
        <v>35</v>
      </c>
      <c r="D469">
        <f ca="1">INDEX(INDIRECT($C469&amp;"!P:P"),MATCH($B469,INDIRECT($C469&amp;"!B:B"),0))</f>
        <v>13.020000000000001</v>
      </c>
      <c r="E469" s="210">
        <f ca="1">D469-LARGE(D$2:D$486,RBCount+WRCount+TECount+QBCount)</f>
        <v>-98.18</v>
      </c>
      <c r="F469" t="str">
        <f ca="1">IF(H469&lt;=I469,"Starter",IF(G469&gt;=LARGE(G:G,FlexOn*LeagueInfo!$F$2),"Starter","Bench"))</f>
        <v>Bench</v>
      </c>
      <c r="G469">
        <f ca="1">IF(H469&gt;I469,D469,0)</f>
        <v>13.020000000000001</v>
      </c>
      <c r="H469">
        <f ca="1">INDEX(INDIRECT(""&amp;C469&amp;"!A2:A489"),MATCH(B469,INDIRECT(""&amp;C469&amp;"!B2:B489"),0))</f>
        <v>188</v>
      </c>
      <c r="I469">
        <f>IF(C469="RB",LeagueInfo!$D$4*LeagueInfo!$F$2,IF(C469="WR",LeagueInfo!$D$5*LeagueInfo!$F$2,IF(C469="TE",LeagueInfo!$D$6*LeagueInfo!$F$2,LeagueInfo!$D$3*LeagueInfo!$F$2)))</f>
        <v>24</v>
      </c>
    </row>
    <row r="470" spans="1:9" x14ac:dyDescent="0.25">
      <c r="A470">
        <f ca="1">RANK(E470,E$2:E$541)</f>
        <v>469</v>
      </c>
      <c r="B470" t="s">
        <v>312</v>
      </c>
      <c r="C470" t="s">
        <v>29</v>
      </c>
      <c r="D470">
        <f ca="1">INDEX(INDIRECT($C470&amp;"!P:P"),MATCH($B470,INDIRECT($C470&amp;"!B:B"),0))</f>
        <v>12.794</v>
      </c>
      <c r="E470" s="210">
        <f ca="1">D470-LARGE(D$2:D$486,RBCount+WRCount+TECount+QBCount)</f>
        <v>-98.406000000000006</v>
      </c>
      <c r="F470" t="str">
        <f ca="1">IF(H470&lt;=I470,"Starter",IF(G470&gt;=LARGE(G:G,FlexOn*LeagueInfo!$F$2),"Starter","Bench"))</f>
        <v>Bench</v>
      </c>
      <c r="G470">
        <f ca="1">IF(H470&gt;I470,D470,0)</f>
        <v>12.794</v>
      </c>
      <c r="H470">
        <f ca="1">INDEX(INDIRECT(""&amp;C470&amp;"!A2:A489"),MATCH(B470,INDIRECT(""&amp;C470&amp;"!B2:B489"),0))</f>
        <v>50</v>
      </c>
      <c r="I470">
        <f>IF(C470="RB",LeagueInfo!$D$4*LeagueInfo!$F$2,IF(C470="WR",LeagueInfo!$D$5*LeagueInfo!$F$2,IF(C470="TE",LeagueInfo!$D$6*LeagueInfo!$F$2,LeagueInfo!$D$3*LeagueInfo!$F$2)))</f>
        <v>12</v>
      </c>
    </row>
    <row r="471" spans="1:9" x14ac:dyDescent="0.25">
      <c r="A471">
        <f ca="1">RANK(E471,E$2:E$541)</f>
        <v>470</v>
      </c>
      <c r="B471" t="s">
        <v>644</v>
      </c>
      <c r="C471" t="s">
        <v>35</v>
      </c>
      <c r="D471">
        <f ca="1">INDEX(INDIRECT($C471&amp;"!P:P"),MATCH($B471,INDIRECT($C471&amp;"!B:B"),0))</f>
        <v>12.740000000000002</v>
      </c>
      <c r="E471" s="210">
        <f ca="1">D471-LARGE(D$2:D$486,RBCount+WRCount+TECount+QBCount)</f>
        <v>-98.460000000000008</v>
      </c>
      <c r="F471" t="str">
        <f ca="1">IF(H471&lt;=I471,"Starter",IF(G471&gt;=LARGE(G:G,FlexOn*LeagueInfo!$F$2),"Starter","Bench"))</f>
        <v>Bench</v>
      </c>
      <c r="G471">
        <f ca="1">IF(H471&gt;I471,D471,0)</f>
        <v>12.740000000000002</v>
      </c>
      <c r="H471">
        <f ca="1">INDEX(INDIRECT(""&amp;C471&amp;"!A2:A489"),MATCH(B471,INDIRECT(""&amp;C471&amp;"!B2:B489"),0))</f>
        <v>189</v>
      </c>
      <c r="I471">
        <f>IF(C471="RB",LeagueInfo!$D$4*LeagueInfo!$F$2,IF(C471="WR",LeagueInfo!$D$5*LeagueInfo!$F$2,IF(C471="TE",LeagueInfo!$D$6*LeagueInfo!$F$2,LeagueInfo!$D$3*LeagueInfo!$F$2)))</f>
        <v>24</v>
      </c>
    </row>
    <row r="472" spans="1:9" x14ac:dyDescent="0.25">
      <c r="A472">
        <f ca="1">RANK(E472,E$2:E$541)</f>
        <v>471</v>
      </c>
      <c r="B472" t="s">
        <v>2492</v>
      </c>
      <c r="C472" t="s">
        <v>43</v>
      </c>
      <c r="D472">
        <f ca="1">INDEX(INDIRECT($C472&amp;"!P:P"),MATCH($B472,INDIRECT($C472&amp;"!B:B"),0))</f>
        <v>12.720000000000002</v>
      </c>
      <c r="E472" s="210">
        <f ca="1">D472-LARGE(D$2:D$486,RBCount+WRCount+TECount+QBCount)</f>
        <v>-98.48</v>
      </c>
      <c r="F472" t="str">
        <f ca="1">IF(H472&lt;=I472,"Starter",IF(G472&gt;=LARGE(G:G,FlexOn*LeagueInfo!$F$2),"Starter","Bench"))</f>
        <v>Bench</v>
      </c>
      <c r="G472">
        <f ca="1">IF(H472&gt;I472,D472,0)</f>
        <v>12.720000000000002</v>
      </c>
      <c r="H472">
        <f ca="1">INDEX(INDIRECT(""&amp;C472&amp;"!A2:A489"),MATCH(B472,INDIRECT(""&amp;C472&amp;"!B2:B489"),0))</f>
        <v>99</v>
      </c>
      <c r="I472">
        <f>IF(C472="RB",LeagueInfo!$D$4*LeagueInfo!$F$2,IF(C472="WR",LeagueInfo!$D$5*LeagueInfo!$F$2,IF(C472="TE",LeagueInfo!$D$6*LeagueInfo!$F$2,LeagueInfo!$D$3*LeagueInfo!$F$2)))</f>
        <v>12</v>
      </c>
    </row>
    <row r="473" spans="1:9" x14ac:dyDescent="0.25">
      <c r="A473">
        <f ca="1">RANK(E473,E$2:E$541)</f>
        <v>472</v>
      </c>
      <c r="B473" t="s">
        <v>2668</v>
      </c>
      <c r="C473" t="s">
        <v>43</v>
      </c>
      <c r="D473">
        <f ca="1">INDEX(INDIRECT($C473&amp;"!P:P"),MATCH($B473,INDIRECT($C473&amp;"!B:B"),0))</f>
        <v>12.61</v>
      </c>
      <c r="E473" s="210">
        <f ca="1">D473-LARGE(D$2:D$486,RBCount+WRCount+TECount+QBCount)</f>
        <v>-98.59</v>
      </c>
      <c r="F473" t="str">
        <f ca="1">IF(H473&lt;=I473,"Starter",IF(G473&gt;=LARGE(G:G,FlexOn*LeagueInfo!$F$2),"Starter","Bench"))</f>
        <v>Bench</v>
      </c>
      <c r="G473">
        <f ca="1">IF(H473&gt;I473,D473,0)</f>
        <v>12.61</v>
      </c>
      <c r="H473">
        <f ca="1">INDEX(INDIRECT(""&amp;C473&amp;"!A2:A489"),MATCH(B473,INDIRECT(""&amp;C473&amp;"!B2:B489"),0))</f>
        <v>100</v>
      </c>
      <c r="I473">
        <f>IF(C473="RB",LeagueInfo!$D$4*LeagueInfo!$F$2,IF(C473="WR",LeagueInfo!$D$5*LeagueInfo!$F$2,IF(C473="TE",LeagueInfo!$D$6*LeagueInfo!$F$2,LeagueInfo!$D$3*LeagueInfo!$F$2)))</f>
        <v>12</v>
      </c>
    </row>
    <row r="474" spans="1:9" x14ac:dyDescent="0.25">
      <c r="A474">
        <f ca="1">RANK(E474,E$2:E$541)</f>
        <v>473</v>
      </c>
      <c r="B474" t="s">
        <v>538</v>
      </c>
      <c r="C474" t="s">
        <v>29</v>
      </c>
      <c r="D474">
        <f ca="1">INDEX(INDIRECT($C474&amp;"!P:P"),MATCH($B474,INDIRECT($C474&amp;"!B:B"),0))</f>
        <v>12.532000000000002</v>
      </c>
      <c r="E474" s="210">
        <f ca="1">D474-LARGE(D$2:D$486,RBCount+WRCount+TECount+QBCount)</f>
        <v>-98.668000000000006</v>
      </c>
      <c r="F474" t="str">
        <f ca="1">IF(H474&lt;=I474,"Starter",IF(G474&gt;=LARGE(G:G,FlexOn*LeagueInfo!$F$2),"Starter","Bench"))</f>
        <v>Bench</v>
      </c>
      <c r="G474">
        <f ca="1">IF(H474&gt;I474,D474,0)</f>
        <v>12.532000000000002</v>
      </c>
      <c r="H474">
        <f ca="1">INDEX(INDIRECT(""&amp;C474&amp;"!A2:A489"),MATCH(B474,INDIRECT(""&amp;C474&amp;"!B2:B489"),0))</f>
        <v>51</v>
      </c>
      <c r="I474">
        <f>IF(C474="RB",LeagueInfo!$D$4*LeagueInfo!$F$2,IF(C474="WR",LeagueInfo!$D$5*LeagueInfo!$F$2,IF(C474="TE",LeagueInfo!$D$6*LeagueInfo!$F$2,LeagueInfo!$D$3*LeagueInfo!$F$2)))</f>
        <v>12</v>
      </c>
    </row>
    <row r="475" spans="1:9" x14ac:dyDescent="0.25">
      <c r="A475">
        <f ca="1">RANK(E475,E$2:E$541)</f>
        <v>474</v>
      </c>
      <c r="B475" t="s">
        <v>962</v>
      </c>
      <c r="C475" t="s">
        <v>43</v>
      </c>
      <c r="D475">
        <f ca="1">INDEX(INDIRECT($C475&amp;"!P:P"),MATCH($B475,INDIRECT($C475&amp;"!B:B"),0))</f>
        <v>12.38</v>
      </c>
      <c r="E475" s="210">
        <f ca="1">D475-LARGE(D$2:D$486,RBCount+WRCount+TECount+QBCount)</f>
        <v>-98.820000000000007</v>
      </c>
      <c r="F475" t="str">
        <f ca="1">IF(H475&lt;=I475,"Starter",IF(G475&gt;=LARGE(G:G,FlexOn*LeagueInfo!$F$2),"Starter","Bench"))</f>
        <v>Bench</v>
      </c>
      <c r="G475">
        <f ca="1">IF(H475&gt;I475,D475,0)</f>
        <v>12.38</v>
      </c>
      <c r="H475">
        <f ca="1">INDEX(INDIRECT(""&amp;C475&amp;"!A2:A489"),MATCH(B475,INDIRECT(""&amp;C475&amp;"!B2:B489"),0))</f>
        <v>101</v>
      </c>
      <c r="I475">
        <f>IF(C475="RB",LeagueInfo!$D$4*LeagueInfo!$F$2,IF(C475="WR",LeagueInfo!$D$5*LeagueInfo!$F$2,IF(C475="TE",LeagueInfo!$D$6*LeagueInfo!$F$2,LeagueInfo!$D$3*LeagueInfo!$F$2)))</f>
        <v>12</v>
      </c>
    </row>
    <row r="476" spans="1:9" x14ac:dyDescent="0.25">
      <c r="A476">
        <f ca="1">RANK(E476,E$2:E$541)</f>
        <v>475</v>
      </c>
      <c r="B476" t="s">
        <v>571</v>
      </c>
      <c r="C476" t="s">
        <v>35</v>
      </c>
      <c r="D476">
        <f ca="1">INDEX(INDIRECT($C476&amp;"!P:P"),MATCH($B476,INDIRECT($C476&amp;"!B:B"),0))</f>
        <v>12.030000000000001</v>
      </c>
      <c r="E476" s="210">
        <f ca="1">D476-LARGE(D$2:D$486,RBCount+WRCount+TECount+QBCount)</f>
        <v>-99.17</v>
      </c>
      <c r="F476" t="str">
        <f ca="1">IF(H476&lt;=I476,"Starter",IF(G476&gt;=LARGE(G:G,FlexOn*LeagueInfo!$F$2),"Starter","Bench"))</f>
        <v>Bench</v>
      </c>
      <c r="G476">
        <f ca="1">IF(H476&gt;I476,D476,0)</f>
        <v>12.030000000000001</v>
      </c>
      <c r="H476">
        <f ca="1">INDEX(INDIRECT(""&amp;C476&amp;"!A2:A489"),MATCH(B476,INDIRECT(""&amp;C476&amp;"!B2:B489"),0))</f>
        <v>190</v>
      </c>
      <c r="I476">
        <f>IF(C476="RB",LeagueInfo!$D$4*LeagueInfo!$F$2,IF(C476="WR",LeagueInfo!$D$5*LeagueInfo!$F$2,IF(C476="TE",LeagueInfo!$D$6*LeagueInfo!$F$2,LeagueInfo!$D$3*LeagueInfo!$F$2)))</f>
        <v>24</v>
      </c>
    </row>
    <row r="477" spans="1:9" x14ac:dyDescent="0.25">
      <c r="A477">
        <f ca="1">RANK(E477,E$2:E$541)</f>
        <v>476</v>
      </c>
      <c r="B477" t="s">
        <v>890</v>
      </c>
      <c r="C477" t="s">
        <v>28</v>
      </c>
      <c r="D477">
        <f ca="1">INDEX(INDIRECT($C477&amp;"!P:P"),MATCH($B477,INDIRECT($C477&amp;"!B:B"),0))</f>
        <v>11.95</v>
      </c>
      <c r="E477" s="210">
        <f ca="1">D477-LARGE(D$2:D$486,RBCount+WRCount+TECount+QBCount)</f>
        <v>-99.25</v>
      </c>
      <c r="F477" t="str">
        <f ca="1">IF(H477&lt;=I477,"Starter",IF(G477&gt;=LARGE(G:G,FlexOn*LeagueInfo!$F$2),"Starter","Bench"))</f>
        <v>Bench</v>
      </c>
      <c r="G477">
        <f ca="1">IF(H477&gt;I477,D477,0)</f>
        <v>11.95</v>
      </c>
      <c r="H477">
        <f ca="1">INDEX(INDIRECT(""&amp;C477&amp;"!A2:A489"),MATCH(B477,INDIRECT(""&amp;C477&amp;"!B2:B489"),0))</f>
        <v>134</v>
      </c>
      <c r="I477">
        <f>IF(C477="RB",LeagueInfo!$D$4*LeagueInfo!$F$2,IF(C477="WR",LeagueInfo!$D$5*LeagueInfo!$F$2,IF(C477="TE",LeagueInfo!$D$6*LeagueInfo!$F$2,LeagueInfo!$D$3*LeagueInfo!$F$2)))</f>
        <v>24</v>
      </c>
    </row>
    <row r="478" spans="1:9" x14ac:dyDescent="0.25">
      <c r="A478">
        <f ca="1">RANK(E478,E$2:E$541)</f>
        <v>477</v>
      </c>
      <c r="B478" t="s">
        <v>1033</v>
      </c>
      <c r="C478" t="s">
        <v>29</v>
      </c>
      <c r="D478">
        <f ca="1">INDEX(INDIRECT($C478&amp;"!P:P"),MATCH($B478,INDIRECT($C478&amp;"!B:B"),0))</f>
        <v>11.874000000000002</v>
      </c>
      <c r="E478" s="210">
        <f ca="1">D478-LARGE(D$2:D$486,RBCount+WRCount+TECount+QBCount)</f>
        <v>-99.325999999999993</v>
      </c>
      <c r="F478" t="str">
        <f ca="1">IF(H478&lt;=I478,"Starter",IF(G478&gt;=LARGE(G:G,FlexOn*LeagueInfo!$F$2),"Starter","Bench"))</f>
        <v>Bench</v>
      </c>
      <c r="G478">
        <f ca="1">IF(H478&gt;I478,D478,0)</f>
        <v>11.874000000000002</v>
      </c>
      <c r="H478">
        <f ca="1">INDEX(INDIRECT(""&amp;C478&amp;"!A2:A489"),MATCH(B478,INDIRECT(""&amp;C478&amp;"!B2:B489"),0))</f>
        <v>52</v>
      </c>
      <c r="I478">
        <f>IF(C478="RB",LeagueInfo!$D$4*LeagueInfo!$F$2,IF(C478="WR",LeagueInfo!$D$5*LeagueInfo!$F$2,IF(C478="TE",LeagueInfo!$D$6*LeagueInfo!$F$2,LeagueInfo!$D$3*LeagueInfo!$F$2)))</f>
        <v>12</v>
      </c>
    </row>
    <row r="479" spans="1:9" x14ac:dyDescent="0.25">
      <c r="A479">
        <f ca="1">RANK(E479,E$2:E$541)</f>
        <v>478</v>
      </c>
      <c r="B479" t="s">
        <v>2677</v>
      </c>
      <c r="C479" t="s">
        <v>35</v>
      </c>
      <c r="D479">
        <f ca="1">INDEX(INDIRECT($C479&amp;"!P:P"),MATCH($B479,INDIRECT($C479&amp;"!B:B"),0))</f>
        <v>11.73</v>
      </c>
      <c r="E479" s="210">
        <f ca="1">D479-LARGE(D$2:D$486,RBCount+WRCount+TECount+QBCount)</f>
        <v>-99.47</v>
      </c>
      <c r="F479" t="str">
        <f ca="1">IF(H479&lt;=I479,"Starter",IF(G479&gt;=LARGE(G:G,FlexOn*LeagueInfo!$F$2),"Starter","Bench"))</f>
        <v>Bench</v>
      </c>
      <c r="G479">
        <f ca="1">IF(H479&gt;I479,D479,0)</f>
        <v>11.73</v>
      </c>
      <c r="H479">
        <f ca="1">INDEX(INDIRECT(""&amp;C479&amp;"!A2:A489"),MATCH(B479,INDIRECT(""&amp;C479&amp;"!B2:B489"),0))</f>
        <v>191</v>
      </c>
      <c r="I479">
        <f>IF(C479="RB",LeagueInfo!$D$4*LeagueInfo!$F$2,IF(C479="WR",LeagueInfo!$D$5*LeagueInfo!$F$2,IF(C479="TE",LeagueInfo!$D$6*LeagueInfo!$F$2,LeagueInfo!$D$3*LeagueInfo!$F$2)))</f>
        <v>24</v>
      </c>
    </row>
    <row r="480" spans="1:9" x14ac:dyDescent="0.25">
      <c r="A480">
        <f ca="1">RANK(E480,E$2:E$541)</f>
        <v>479</v>
      </c>
      <c r="B480" t="s">
        <v>320</v>
      </c>
      <c r="C480" t="s">
        <v>29</v>
      </c>
      <c r="D480">
        <f ca="1">INDEX(INDIRECT($C480&amp;"!P:P"),MATCH($B480,INDIRECT($C480&amp;"!B:B"),0))</f>
        <v>11.69</v>
      </c>
      <c r="E480" s="210">
        <f ca="1">D480-LARGE(D$2:D$486,RBCount+WRCount+TECount+QBCount)</f>
        <v>-99.51</v>
      </c>
      <c r="F480" t="str">
        <f ca="1">IF(H480&lt;=I480,"Starter",IF(G480&gt;=LARGE(G:G,FlexOn*LeagueInfo!$F$2),"Starter","Bench"))</f>
        <v>Bench</v>
      </c>
      <c r="G480">
        <f ca="1">IF(H480&gt;I480,D480,0)</f>
        <v>11.69</v>
      </c>
      <c r="H480">
        <f ca="1">INDEX(INDIRECT(""&amp;C480&amp;"!A2:A489"),MATCH(B480,INDIRECT(""&amp;C480&amp;"!B2:B489"),0))</f>
        <v>53</v>
      </c>
      <c r="I480">
        <f>IF(C480="RB",LeagueInfo!$D$4*LeagueInfo!$F$2,IF(C480="WR",LeagueInfo!$D$5*LeagueInfo!$F$2,IF(C480="TE",LeagueInfo!$D$6*LeagueInfo!$F$2,LeagueInfo!$D$3*LeagueInfo!$F$2)))</f>
        <v>12</v>
      </c>
    </row>
    <row r="481" spans="1:9" x14ac:dyDescent="0.25">
      <c r="A481">
        <f ca="1">RANK(E481,E$2:E$541)</f>
        <v>480</v>
      </c>
      <c r="B481" t="s">
        <v>984</v>
      </c>
      <c r="C481" t="s">
        <v>43</v>
      </c>
      <c r="D481">
        <f ca="1">INDEX(INDIRECT($C481&amp;"!P:P"),MATCH($B481,INDIRECT($C481&amp;"!B:B"),0))</f>
        <v>11.68</v>
      </c>
      <c r="E481" s="210">
        <f ca="1">D481-LARGE(D$2:D$486,RBCount+WRCount+TECount+QBCount)</f>
        <v>-99.52000000000001</v>
      </c>
      <c r="F481" t="str">
        <f ca="1">IF(H481&lt;=I481,"Starter",IF(G481&gt;=LARGE(G:G,FlexOn*LeagueInfo!$F$2),"Starter","Bench"))</f>
        <v>Bench</v>
      </c>
      <c r="G481">
        <f ca="1">IF(H481&gt;I481,D481,0)</f>
        <v>11.68</v>
      </c>
      <c r="H481">
        <f ca="1">INDEX(INDIRECT(""&amp;C481&amp;"!A2:A489"),MATCH(B481,INDIRECT(""&amp;C481&amp;"!B2:B489"),0))</f>
        <v>102</v>
      </c>
      <c r="I481">
        <f>IF(C481="RB",LeagueInfo!$D$4*LeagueInfo!$F$2,IF(C481="WR",LeagueInfo!$D$5*LeagueInfo!$F$2,IF(C481="TE",LeagueInfo!$D$6*LeagueInfo!$F$2,LeagueInfo!$D$3*LeagueInfo!$F$2)))</f>
        <v>12</v>
      </c>
    </row>
    <row r="482" spans="1:9" x14ac:dyDescent="0.25">
      <c r="A482">
        <f ca="1">RANK(E482,E$2:E$541)</f>
        <v>481</v>
      </c>
      <c r="B482" t="s">
        <v>876</v>
      </c>
      <c r="C482" t="s">
        <v>29</v>
      </c>
      <c r="D482">
        <f ca="1">INDEX(INDIRECT($C482&amp;"!P:P"),MATCH($B482,INDIRECT($C482&amp;"!B:B"),0))</f>
        <v>11.642000000000001</v>
      </c>
      <c r="E482" s="210">
        <f ca="1">D482-LARGE(D$2:D$486,RBCount+WRCount+TECount+QBCount)</f>
        <v>-99.558000000000007</v>
      </c>
      <c r="F482" t="str">
        <f ca="1">IF(H482&lt;=I482,"Starter",IF(G482&gt;=LARGE(G:G,FlexOn*LeagueInfo!$F$2),"Starter","Bench"))</f>
        <v>Bench</v>
      </c>
      <c r="G482">
        <f ca="1">IF(H482&gt;I482,D482,0)</f>
        <v>11.642000000000001</v>
      </c>
      <c r="H482">
        <f ca="1">INDEX(INDIRECT(""&amp;C482&amp;"!A2:A489"),MATCH(B482,INDIRECT(""&amp;C482&amp;"!B2:B489"),0))</f>
        <v>54</v>
      </c>
      <c r="I482">
        <f>IF(C482="RB",LeagueInfo!$D$4*LeagueInfo!$F$2,IF(C482="WR",LeagueInfo!$D$5*LeagueInfo!$F$2,IF(C482="TE",LeagueInfo!$D$6*LeagueInfo!$F$2,LeagueInfo!$D$3*LeagueInfo!$F$2)))</f>
        <v>12</v>
      </c>
    </row>
    <row r="483" spans="1:9" x14ac:dyDescent="0.25">
      <c r="A483">
        <f ca="1">RANK(E483,E$2:E$541)</f>
        <v>482</v>
      </c>
      <c r="B483" t="s">
        <v>438</v>
      </c>
      <c r="C483" t="s">
        <v>43</v>
      </c>
      <c r="D483">
        <f ca="1">INDEX(INDIRECT($C483&amp;"!P:P"),MATCH($B483,INDIRECT($C483&amp;"!B:B"),0))</f>
        <v>11.49</v>
      </c>
      <c r="E483" s="210">
        <f ca="1">D483-LARGE(D$2:D$486,RBCount+WRCount+TECount+QBCount)</f>
        <v>-99.710000000000008</v>
      </c>
      <c r="F483" t="str">
        <f ca="1">IF(H483&lt;=I483,"Starter",IF(G483&gt;=LARGE(G:G,FlexOn*LeagueInfo!$F$2),"Starter","Bench"))</f>
        <v>Bench</v>
      </c>
      <c r="G483">
        <f ca="1">IF(H483&gt;I483,D483,0)</f>
        <v>11.49</v>
      </c>
      <c r="H483">
        <f ca="1">INDEX(INDIRECT(""&amp;C483&amp;"!A2:A489"),MATCH(B483,INDIRECT(""&amp;C483&amp;"!B2:B489"),0))</f>
        <v>103</v>
      </c>
      <c r="I483">
        <f>IF(C483="RB",LeagueInfo!$D$4*LeagueInfo!$F$2,IF(C483="WR",LeagueInfo!$D$5*LeagueInfo!$F$2,IF(C483="TE",LeagueInfo!$D$6*LeagueInfo!$F$2,LeagueInfo!$D$3*LeagueInfo!$F$2)))</f>
        <v>12</v>
      </c>
    </row>
    <row r="484" spans="1:9" x14ac:dyDescent="0.25">
      <c r="A484">
        <f ca="1">RANK(E484,E$2:E$541)</f>
        <v>483</v>
      </c>
      <c r="B484" t="s">
        <v>821</v>
      </c>
      <c r="C484" t="s">
        <v>43</v>
      </c>
      <c r="D484">
        <f ca="1">INDEX(INDIRECT($C484&amp;"!P:P"),MATCH($B484,INDIRECT($C484&amp;"!B:B"),0))</f>
        <v>11.41</v>
      </c>
      <c r="E484" s="210">
        <f ca="1">D484-LARGE(D$2:D$486,RBCount+WRCount+TECount+QBCount)</f>
        <v>-99.79</v>
      </c>
      <c r="F484" t="str">
        <f ca="1">IF(H484&lt;=I484,"Starter",IF(G484&gt;=LARGE(G:G,FlexOn*LeagueInfo!$F$2),"Starter","Bench"))</f>
        <v>Bench</v>
      </c>
      <c r="G484">
        <f ca="1">IF(H484&gt;I484,D484,0)</f>
        <v>11.41</v>
      </c>
      <c r="H484">
        <f ca="1">INDEX(INDIRECT(""&amp;C484&amp;"!A2:A489"),MATCH(B484,INDIRECT(""&amp;C484&amp;"!B2:B489"),0))</f>
        <v>104</v>
      </c>
      <c r="I484">
        <f>IF(C484="RB",LeagueInfo!$D$4*LeagueInfo!$F$2,IF(C484="WR",LeagueInfo!$D$5*LeagueInfo!$F$2,IF(C484="TE",LeagueInfo!$D$6*LeagueInfo!$F$2,LeagueInfo!$D$3*LeagueInfo!$F$2)))</f>
        <v>12</v>
      </c>
    </row>
    <row r="485" spans="1:9" x14ac:dyDescent="0.25">
      <c r="A485">
        <f ca="1">RANK(E485,E$2:E$541)</f>
        <v>484</v>
      </c>
      <c r="B485" t="s">
        <v>758</v>
      </c>
      <c r="C485" t="s">
        <v>43</v>
      </c>
      <c r="D485">
        <f ca="1">INDEX(INDIRECT($C485&amp;"!P:P"),MATCH($B485,INDIRECT($C485&amp;"!B:B"),0))</f>
        <v>11.33</v>
      </c>
      <c r="E485" s="210">
        <f ca="1">D485-LARGE(D$2:D$486,RBCount+WRCount+TECount+QBCount)</f>
        <v>-99.87</v>
      </c>
      <c r="F485" t="str">
        <f ca="1">IF(H485&lt;=I485,"Starter",IF(G485&gt;=LARGE(G:G,FlexOn*LeagueInfo!$F$2),"Starter","Bench"))</f>
        <v>Bench</v>
      </c>
      <c r="G485">
        <f ca="1">IF(H485&gt;I485,D485,0)</f>
        <v>11.33</v>
      </c>
      <c r="H485">
        <f ca="1">INDEX(INDIRECT(""&amp;C485&amp;"!A2:A489"),MATCH(B485,INDIRECT(""&amp;C485&amp;"!B2:B489"),0))</f>
        <v>105</v>
      </c>
      <c r="I485">
        <f>IF(C485="RB",LeagueInfo!$D$4*LeagueInfo!$F$2,IF(C485="WR",LeagueInfo!$D$5*LeagueInfo!$F$2,IF(C485="TE",LeagueInfo!$D$6*LeagueInfo!$F$2,LeagueInfo!$D$3*LeagueInfo!$F$2)))</f>
        <v>12</v>
      </c>
    </row>
    <row r="486" spans="1:9" x14ac:dyDescent="0.25">
      <c r="A486">
        <f ca="1">RANK(E486,E$2:E$541)</f>
        <v>485</v>
      </c>
      <c r="B486" t="s">
        <v>2439</v>
      </c>
      <c r="C486" t="s">
        <v>35</v>
      </c>
      <c r="D486">
        <f ca="1">INDEX(INDIRECT($C486&amp;"!P:P"),MATCH($B486,INDIRECT($C486&amp;"!B:B"),0))</f>
        <v>11.280000000000001</v>
      </c>
      <c r="E486" s="210">
        <f ca="1">D486-LARGE(D$2:D$486,RBCount+WRCount+TECount+QBCount)</f>
        <v>-99.92</v>
      </c>
      <c r="F486" t="str">
        <f ca="1">IF(H486&lt;=I486,"Starter",IF(G486&gt;=LARGE(G:G,FlexOn*LeagueInfo!$F$2),"Starter","Bench"))</f>
        <v>Bench</v>
      </c>
      <c r="G486">
        <f ca="1">IF(H486&gt;I486,D486,0)</f>
        <v>11.280000000000001</v>
      </c>
      <c r="H486">
        <f ca="1">INDEX(INDIRECT(""&amp;C486&amp;"!A2:A489"),MATCH(B486,INDIRECT(""&amp;C486&amp;"!B2:B489"),0))</f>
        <v>192</v>
      </c>
      <c r="I486">
        <f>IF(C486="RB",LeagueInfo!$D$4*LeagueInfo!$F$2,IF(C486="WR",LeagueInfo!$D$5*LeagueInfo!$F$2,IF(C486="TE",LeagueInfo!$D$6*LeagueInfo!$F$2,LeagueInfo!$D$3*LeagueInfo!$F$2)))</f>
        <v>24</v>
      </c>
    </row>
    <row r="487" spans="1:9" x14ac:dyDescent="0.25">
      <c r="A487">
        <f ca="1">RANK(E487,E$2:E$541)</f>
        <v>486</v>
      </c>
      <c r="B487" t="s">
        <v>750</v>
      </c>
      <c r="C487" t="s">
        <v>43</v>
      </c>
      <c r="D487">
        <f ca="1">INDEX(INDIRECT($C487&amp;"!P:P"),MATCH($B487,INDIRECT($C487&amp;"!B:B"),0))</f>
        <v>11.260000000000002</v>
      </c>
      <c r="E487" s="210">
        <f ca="1">D487-LARGE(D$2:D$486,RBCount+WRCount+TECount+QBCount)</f>
        <v>-99.94</v>
      </c>
      <c r="F487" t="str">
        <f ca="1">IF(H487&lt;=I487,"Starter",IF(G487&gt;=LARGE(G:G,FlexOn*LeagueInfo!$F$2),"Starter","Bench"))</f>
        <v>Bench</v>
      </c>
      <c r="G487">
        <f ca="1">IF(H487&gt;I487,D487,0)</f>
        <v>11.260000000000002</v>
      </c>
      <c r="H487">
        <f ca="1">INDEX(INDIRECT(""&amp;C487&amp;"!A2:A489"),MATCH(B487,INDIRECT(""&amp;C487&amp;"!B2:B489"),0))</f>
        <v>106</v>
      </c>
      <c r="I487">
        <f>IF(C487="RB",LeagueInfo!$D$4*LeagueInfo!$F$2,IF(C487="WR",LeagueInfo!$D$5*LeagueInfo!$F$2,IF(C487="TE",LeagueInfo!$D$6*LeagueInfo!$F$2,LeagueInfo!$D$3*LeagueInfo!$F$2)))</f>
        <v>12</v>
      </c>
    </row>
    <row r="488" spans="1:9" x14ac:dyDescent="0.25">
      <c r="A488">
        <f ca="1">RANK(E488,E$2:E$541)</f>
        <v>487</v>
      </c>
      <c r="B488" t="s">
        <v>656</v>
      </c>
      <c r="C488" t="s">
        <v>29</v>
      </c>
      <c r="D488">
        <f ca="1">INDEX(INDIRECT($C488&amp;"!P:P"),MATCH($B488,INDIRECT($C488&amp;"!B:B"),0))</f>
        <v>10.816000000000003</v>
      </c>
      <c r="E488" s="210">
        <f ca="1">D488-LARGE(D$2:D$486,RBCount+WRCount+TECount+QBCount)</f>
        <v>-100.384</v>
      </c>
      <c r="F488" t="str">
        <f ca="1">IF(H488&lt;=I488,"Starter",IF(G488&gt;=LARGE(G:G,FlexOn*LeagueInfo!$F$2),"Starter","Bench"))</f>
        <v>Bench</v>
      </c>
      <c r="G488">
        <f ca="1">IF(H488&gt;I488,D488,0)</f>
        <v>10.816000000000003</v>
      </c>
      <c r="H488">
        <f ca="1">INDEX(INDIRECT(""&amp;C488&amp;"!A2:A489"),MATCH(B488,INDIRECT(""&amp;C488&amp;"!B2:B489"),0))</f>
        <v>55</v>
      </c>
      <c r="I488">
        <f>IF(C488="RB",LeagueInfo!$D$4*LeagueInfo!$F$2,IF(C488="WR",LeagueInfo!$D$5*LeagueInfo!$F$2,IF(C488="TE",LeagueInfo!$D$6*LeagueInfo!$F$2,LeagueInfo!$D$3*LeagueInfo!$F$2)))</f>
        <v>12</v>
      </c>
    </row>
    <row r="489" spans="1:9" x14ac:dyDescent="0.25">
      <c r="A489">
        <f ca="1">RANK(E489,E$2:E$541)</f>
        <v>488</v>
      </c>
      <c r="B489" t="s">
        <v>976</v>
      </c>
      <c r="C489" t="s">
        <v>43</v>
      </c>
      <c r="D489">
        <f ca="1">INDEX(INDIRECT($C489&amp;"!P:P"),MATCH($B489,INDIRECT($C489&amp;"!B:B"),0))</f>
        <v>10.64</v>
      </c>
      <c r="E489" s="210">
        <f ca="1">D489-LARGE(D$2:D$486,RBCount+WRCount+TECount+QBCount)</f>
        <v>-100.56</v>
      </c>
      <c r="F489" t="str">
        <f ca="1">IF(H489&lt;=I489,"Starter",IF(G489&gt;=LARGE(G:G,FlexOn*LeagueInfo!$F$2),"Starter","Bench"))</f>
        <v>Bench</v>
      </c>
      <c r="G489">
        <f ca="1">IF(H489&gt;I489,D489,0)</f>
        <v>10.64</v>
      </c>
      <c r="H489">
        <f ca="1">INDEX(INDIRECT(""&amp;C489&amp;"!A2:A489"),MATCH(B489,INDIRECT(""&amp;C489&amp;"!B2:B489"),0))</f>
        <v>107</v>
      </c>
      <c r="I489">
        <f>IF(C489="RB",LeagueInfo!$D$4*LeagueInfo!$F$2,IF(C489="WR",LeagueInfo!$D$5*LeagueInfo!$F$2,IF(C489="TE",LeagueInfo!$D$6*LeagueInfo!$F$2,LeagueInfo!$D$3*LeagueInfo!$F$2)))</f>
        <v>12</v>
      </c>
    </row>
    <row r="490" spans="1:9" x14ac:dyDescent="0.25">
      <c r="A490">
        <f ca="1">RANK(E490,E$2:E$541)</f>
        <v>489</v>
      </c>
      <c r="B490" t="s">
        <v>300</v>
      </c>
      <c r="C490" t="s">
        <v>29</v>
      </c>
      <c r="D490">
        <f ca="1">INDEX(INDIRECT($C490&amp;"!P:P"),MATCH($B490,INDIRECT($C490&amp;"!B:B"),0))</f>
        <v>10.57</v>
      </c>
      <c r="E490" s="210">
        <f ca="1">D490-LARGE(D$2:D$486,RBCount+WRCount+TECount+QBCount)</f>
        <v>-100.63</v>
      </c>
      <c r="F490" t="str">
        <f ca="1">IF(H490&lt;=I490,"Starter",IF(G490&gt;=LARGE(G:G,FlexOn*LeagueInfo!$F$2),"Starter","Bench"))</f>
        <v>Bench</v>
      </c>
      <c r="G490">
        <f ca="1">IF(H490&gt;I490,D490,0)</f>
        <v>10.57</v>
      </c>
      <c r="H490">
        <f ca="1">INDEX(INDIRECT(""&amp;C490&amp;"!A2:A489"),MATCH(B490,INDIRECT(""&amp;C490&amp;"!B2:B489"),0))</f>
        <v>56</v>
      </c>
      <c r="I490">
        <f>IF(C490="RB",LeagueInfo!$D$4*LeagueInfo!$F$2,IF(C490="WR",LeagueInfo!$D$5*LeagueInfo!$F$2,IF(C490="TE",LeagueInfo!$D$6*LeagueInfo!$F$2,LeagueInfo!$D$3*LeagueInfo!$F$2)))</f>
        <v>12</v>
      </c>
    </row>
    <row r="491" spans="1:9" x14ac:dyDescent="0.25">
      <c r="A491">
        <f ca="1">RANK(E491,E$2:E$541)</f>
        <v>490</v>
      </c>
      <c r="B491" t="s">
        <v>667</v>
      </c>
      <c r="C491" t="s">
        <v>28</v>
      </c>
      <c r="D491">
        <f ca="1">INDEX(INDIRECT($C491&amp;"!P:P"),MATCH($B491,INDIRECT($C491&amp;"!B:B"),0))</f>
        <v>10.540000000000001</v>
      </c>
      <c r="E491" s="210">
        <f ca="1">D491-LARGE(D$2:D$486,RBCount+WRCount+TECount+QBCount)</f>
        <v>-100.66</v>
      </c>
      <c r="F491" t="str">
        <f ca="1">IF(H491&lt;=I491,"Starter",IF(G491&gt;=LARGE(G:G,FlexOn*LeagueInfo!$F$2),"Starter","Bench"))</f>
        <v>Bench</v>
      </c>
      <c r="G491">
        <f ca="1">IF(H491&gt;I491,D491,0)</f>
        <v>10.540000000000001</v>
      </c>
      <c r="H491">
        <f ca="1">INDEX(INDIRECT(""&amp;C491&amp;"!A2:A489"),MATCH(B491,INDIRECT(""&amp;C491&amp;"!B2:B489"),0))</f>
        <v>135</v>
      </c>
      <c r="I491">
        <f>IF(C491="RB",LeagueInfo!$D$4*LeagueInfo!$F$2,IF(C491="WR",LeagueInfo!$D$5*LeagueInfo!$F$2,IF(C491="TE",LeagueInfo!$D$6*LeagueInfo!$F$2,LeagueInfo!$D$3*LeagueInfo!$F$2)))</f>
        <v>24</v>
      </c>
    </row>
    <row r="492" spans="1:9" x14ac:dyDescent="0.25">
      <c r="A492">
        <f ca="1">RANK(E492,E$2:E$541)</f>
        <v>491</v>
      </c>
      <c r="B492" t="s">
        <v>313</v>
      </c>
      <c r="C492" t="s">
        <v>29</v>
      </c>
      <c r="D492">
        <f ca="1">INDEX(INDIRECT($C492&amp;"!P:P"),MATCH($B492,INDIRECT($C492&amp;"!B:B"),0))</f>
        <v>10.417999999999999</v>
      </c>
      <c r="E492" s="210">
        <f ca="1">D492-LARGE(D$2:D$486,RBCount+WRCount+TECount+QBCount)</f>
        <v>-100.78200000000001</v>
      </c>
      <c r="F492" t="str">
        <f ca="1">IF(H492&lt;=I492,"Starter",IF(G492&gt;=LARGE(G:G,FlexOn*LeagueInfo!$F$2),"Starter","Bench"))</f>
        <v>Bench</v>
      </c>
      <c r="G492">
        <f ca="1">IF(H492&gt;I492,D492,0)</f>
        <v>10.417999999999999</v>
      </c>
      <c r="H492">
        <f ca="1">INDEX(INDIRECT(""&amp;C492&amp;"!A2:A489"),MATCH(B492,INDIRECT(""&amp;C492&amp;"!B2:B489"),0))</f>
        <v>57</v>
      </c>
      <c r="I492">
        <f>IF(C492="RB",LeagueInfo!$D$4*LeagueInfo!$F$2,IF(C492="WR",LeagueInfo!$D$5*LeagueInfo!$F$2,IF(C492="TE",LeagueInfo!$D$6*LeagueInfo!$F$2,LeagueInfo!$D$3*LeagueInfo!$F$2)))</f>
        <v>12</v>
      </c>
    </row>
    <row r="493" spans="1:9" x14ac:dyDescent="0.25">
      <c r="A493">
        <f ca="1">RANK(E493,E$2:E$541)</f>
        <v>492</v>
      </c>
      <c r="B493" t="s">
        <v>393</v>
      </c>
      <c r="C493" t="s">
        <v>35</v>
      </c>
      <c r="D493">
        <f ca="1">INDEX(INDIRECT($C493&amp;"!P:P"),MATCH($B493,INDIRECT($C493&amp;"!B:B"),0))</f>
        <v>10.3</v>
      </c>
      <c r="E493" s="210">
        <f ca="1">D493-LARGE(D$2:D$486,RBCount+WRCount+TECount+QBCount)</f>
        <v>-100.9</v>
      </c>
      <c r="F493" t="str">
        <f ca="1">IF(H493&lt;=I493,"Starter",IF(G493&gt;=LARGE(G:G,FlexOn*LeagueInfo!$F$2),"Starter","Bench"))</f>
        <v>Bench</v>
      </c>
      <c r="G493">
        <f ca="1">IF(H493&gt;I493,D493,0)</f>
        <v>10.3</v>
      </c>
      <c r="H493">
        <f ca="1">INDEX(INDIRECT(""&amp;C493&amp;"!A2:A489"),MATCH(B493,INDIRECT(""&amp;C493&amp;"!B2:B489"),0))</f>
        <v>193</v>
      </c>
      <c r="I493">
        <f>IF(C493="RB",LeagueInfo!$D$4*LeagueInfo!$F$2,IF(C493="WR",LeagueInfo!$D$5*LeagueInfo!$F$2,IF(C493="TE",LeagueInfo!$D$6*LeagueInfo!$F$2,LeagueInfo!$D$3*LeagueInfo!$F$2)))</f>
        <v>24</v>
      </c>
    </row>
    <row r="494" spans="1:9" x14ac:dyDescent="0.25">
      <c r="A494">
        <f ca="1">RANK(E494,E$2:E$541)</f>
        <v>493</v>
      </c>
      <c r="B494" t="s">
        <v>436</v>
      </c>
      <c r="C494" t="s">
        <v>43</v>
      </c>
      <c r="D494">
        <f ca="1">INDEX(INDIRECT($C494&amp;"!P:P"),MATCH($B494,INDIRECT($C494&amp;"!B:B"),0))</f>
        <v>10.11</v>
      </c>
      <c r="E494" s="210">
        <f ca="1">D494-LARGE(D$2:D$486,RBCount+WRCount+TECount+QBCount)</f>
        <v>-101.09</v>
      </c>
      <c r="F494" t="str">
        <f ca="1">IF(H494&lt;=I494,"Starter",IF(G494&gt;=LARGE(G:G,FlexOn*LeagueInfo!$F$2),"Starter","Bench"))</f>
        <v>Bench</v>
      </c>
      <c r="G494">
        <f ca="1">IF(H494&gt;I494,D494,0)</f>
        <v>10.11</v>
      </c>
      <c r="H494">
        <f ca="1">INDEX(INDIRECT(""&amp;C494&amp;"!A2:A489"),MATCH(B494,INDIRECT(""&amp;C494&amp;"!B2:B489"),0))</f>
        <v>109</v>
      </c>
      <c r="I494">
        <f>IF(C494="RB",LeagueInfo!$D$4*LeagueInfo!$F$2,IF(C494="WR",LeagueInfo!$D$5*LeagueInfo!$F$2,IF(C494="TE",LeagueInfo!$D$6*LeagueInfo!$F$2,LeagueInfo!$D$3*LeagueInfo!$F$2)))</f>
        <v>12</v>
      </c>
    </row>
    <row r="495" spans="1:9" x14ac:dyDescent="0.25">
      <c r="A495">
        <f ca="1">RANK(E495,E$2:E$541)</f>
        <v>493</v>
      </c>
      <c r="B495" t="s">
        <v>829</v>
      </c>
      <c r="C495" t="s">
        <v>43</v>
      </c>
      <c r="D495">
        <f ca="1">INDEX(INDIRECT($C495&amp;"!P:P"),MATCH($B495,INDIRECT($C495&amp;"!B:B"),0))</f>
        <v>10.110000000000003</v>
      </c>
      <c r="E495" s="210">
        <f ca="1">D495-LARGE(D$2:D$486,RBCount+WRCount+TECount+QBCount)</f>
        <v>-101.09</v>
      </c>
      <c r="F495" t="str">
        <f ca="1">IF(H495&lt;=I495,"Starter",IF(G495&gt;=LARGE(G:G,FlexOn*LeagueInfo!$F$2),"Starter","Bench"))</f>
        <v>Bench</v>
      </c>
      <c r="G495">
        <f ca="1">IF(H495&gt;I495,D495,0)</f>
        <v>10.110000000000003</v>
      </c>
      <c r="H495">
        <f ca="1">INDEX(INDIRECT(""&amp;C495&amp;"!A2:A489"),MATCH(B495,INDIRECT(""&amp;C495&amp;"!B2:B489"),0))</f>
        <v>108</v>
      </c>
      <c r="I495">
        <f>IF(C495="RB",LeagueInfo!$D$4*LeagueInfo!$F$2,IF(C495="WR",LeagueInfo!$D$5*LeagueInfo!$F$2,IF(C495="TE",LeagueInfo!$D$6*LeagueInfo!$F$2,LeagueInfo!$D$3*LeagueInfo!$F$2)))</f>
        <v>12</v>
      </c>
    </row>
    <row r="496" spans="1:9" x14ac:dyDescent="0.25">
      <c r="A496">
        <f ca="1">RANK(E496,E$2:E$541)</f>
        <v>495</v>
      </c>
      <c r="B496" t="s">
        <v>865</v>
      </c>
      <c r="C496" t="s">
        <v>35</v>
      </c>
      <c r="D496">
        <f ca="1">INDEX(INDIRECT($C496&amp;"!P:P"),MATCH($B496,INDIRECT($C496&amp;"!B:B"),0))</f>
        <v>10.039999999999999</v>
      </c>
      <c r="E496" s="210">
        <f ca="1">D496-LARGE(D$2:D$486,RBCount+WRCount+TECount+QBCount)</f>
        <v>-101.16</v>
      </c>
      <c r="F496" t="str">
        <f ca="1">IF(H496&lt;=I496,"Starter",IF(G496&gt;=LARGE(G:G,FlexOn*LeagueInfo!$F$2),"Starter","Bench"))</f>
        <v>Bench</v>
      </c>
      <c r="G496">
        <f ca="1">IF(H496&gt;I496,D496,0)</f>
        <v>10.039999999999999</v>
      </c>
      <c r="H496">
        <f ca="1">INDEX(INDIRECT(""&amp;C496&amp;"!A2:A489"),MATCH(B496,INDIRECT(""&amp;C496&amp;"!B2:B489"),0))</f>
        <v>194</v>
      </c>
      <c r="I496">
        <f>IF(C496="RB",LeagueInfo!$D$4*LeagueInfo!$F$2,IF(C496="WR",LeagueInfo!$D$5*LeagueInfo!$F$2,IF(C496="TE",LeagueInfo!$D$6*LeagueInfo!$F$2,LeagueInfo!$D$3*LeagueInfo!$F$2)))</f>
        <v>24</v>
      </c>
    </row>
    <row r="497" spans="1:9" x14ac:dyDescent="0.25">
      <c r="A497">
        <f ca="1">RANK(E497,E$2:E$541)</f>
        <v>496</v>
      </c>
      <c r="B497" t="s">
        <v>931</v>
      </c>
      <c r="C497" t="s">
        <v>28</v>
      </c>
      <c r="D497">
        <f ca="1">INDEX(INDIRECT($C497&amp;"!P:P"),MATCH($B497,INDIRECT($C497&amp;"!B:B"),0))</f>
        <v>9.99</v>
      </c>
      <c r="E497" s="210">
        <f ca="1">D497-LARGE(D$2:D$486,RBCount+WRCount+TECount+QBCount)</f>
        <v>-101.21000000000001</v>
      </c>
      <c r="F497" t="str">
        <f ca="1">IF(H497&lt;=I497,"Starter",IF(G497&gt;=LARGE(G:G,FlexOn*LeagueInfo!$F$2),"Starter","Bench"))</f>
        <v>Bench</v>
      </c>
      <c r="G497">
        <f ca="1">IF(H497&gt;I497,D497,0)</f>
        <v>9.99</v>
      </c>
      <c r="H497">
        <f ca="1">INDEX(INDIRECT(""&amp;C497&amp;"!A2:A489"),MATCH(B497,INDIRECT(""&amp;C497&amp;"!B2:B489"),0))</f>
        <v>136</v>
      </c>
      <c r="I497">
        <f>IF(C497="RB",LeagueInfo!$D$4*LeagueInfo!$F$2,IF(C497="WR",LeagueInfo!$D$5*LeagueInfo!$F$2,IF(C497="TE",LeagueInfo!$D$6*LeagueInfo!$F$2,LeagueInfo!$D$3*LeagueInfo!$F$2)))</f>
        <v>24</v>
      </c>
    </row>
    <row r="498" spans="1:9" x14ac:dyDescent="0.25">
      <c r="A498">
        <f ca="1">RANK(E498,E$2:E$541)</f>
        <v>497</v>
      </c>
      <c r="B498" t="s">
        <v>655</v>
      </c>
      <c r="C498" t="s">
        <v>29</v>
      </c>
      <c r="D498">
        <f ca="1">INDEX(INDIRECT($C498&amp;"!P:P"),MATCH($B498,INDIRECT($C498&amp;"!B:B"),0))</f>
        <v>9.7800000000000011</v>
      </c>
      <c r="E498" s="210">
        <f ca="1">D498-LARGE(D$2:D$486,RBCount+WRCount+TECount+QBCount)</f>
        <v>-101.42</v>
      </c>
      <c r="F498" t="str">
        <f ca="1">IF(H498&lt;=I498,"Starter",IF(G498&gt;=LARGE(G:G,FlexOn*LeagueInfo!$F$2),"Starter","Bench"))</f>
        <v>Bench</v>
      </c>
      <c r="G498">
        <f ca="1">IF(H498&gt;I498,D498,0)</f>
        <v>9.7800000000000011</v>
      </c>
      <c r="H498">
        <f ca="1">INDEX(INDIRECT(""&amp;C498&amp;"!A2:A489"),MATCH(B498,INDIRECT(""&amp;C498&amp;"!B2:B489"),0))</f>
        <v>58</v>
      </c>
      <c r="I498">
        <f>IF(C498="RB",LeagueInfo!$D$4*LeagueInfo!$F$2,IF(C498="WR",LeagueInfo!$D$5*LeagueInfo!$F$2,IF(C498="TE",LeagueInfo!$D$6*LeagueInfo!$F$2,LeagueInfo!$D$3*LeagueInfo!$F$2)))</f>
        <v>12</v>
      </c>
    </row>
    <row r="499" spans="1:9" x14ac:dyDescent="0.25">
      <c r="A499">
        <f ca="1">RANK(E499,E$2:E$541)</f>
        <v>498</v>
      </c>
      <c r="B499" t="s">
        <v>631</v>
      </c>
      <c r="C499" t="s">
        <v>35</v>
      </c>
      <c r="D499">
        <f ca="1">INDEX(INDIRECT($C499&amp;"!P:P"),MATCH($B499,INDIRECT($C499&amp;"!B:B"),0))</f>
        <v>9.7100000000000009</v>
      </c>
      <c r="E499" s="210">
        <f ca="1">D499-LARGE(D$2:D$486,RBCount+WRCount+TECount+QBCount)</f>
        <v>-101.49000000000001</v>
      </c>
      <c r="F499" t="str">
        <f ca="1">IF(H499&lt;=I499,"Starter",IF(G499&gt;=LARGE(G:G,FlexOn*LeagueInfo!$F$2),"Starter","Bench"))</f>
        <v>Bench</v>
      </c>
      <c r="G499">
        <f ca="1">IF(H499&gt;I499,D499,0)</f>
        <v>9.7100000000000009</v>
      </c>
      <c r="H499">
        <f ca="1">INDEX(INDIRECT(""&amp;C499&amp;"!A2:A489"),MATCH(B499,INDIRECT(""&amp;C499&amp;"!B2:B489"),0))</f>
        <v>195</v>
      </c>
      <c r="I499">
        <f>IF(C499="RB",LeagueInfo!$D$4*LeagueInfo!$F$2,IF(C499="WR",LeagueInfo!$D$5*LeagueInfo!$F$2,IF(C499="TE",LeagueInfo!$D$6*LeagueInfo!$F$2,LeagueInfo!$D$3*LeagueInfo!$F$2)))</f>
        <v>24</v>
      </c>
    </row>
    <row r="500" spans="1:9" x14ac:dyDescent="0.25">
      <c r="A500">
        <f ca="1">RANK(E500,E$2:E$541)</f>
        <v>499</v>
      </c>
      <c r="B500" t="s">
        <v>921</v>
      </c>
      <c r="C500" t="s">
        <v>29</v>
      </c>
      <c r="D500">
        <f ca="1">INDEX(INDIRECT($C500&amp;"!P:P"),MATCH($B500,INDIRECT($C500&amp;"!B:B"),0))</f>
        <v>9.7000000000000011</v>
      </c>
      <c r="E500" s="210">
        <f ca="1">D500-LARGE(D$2:D$486,RBCount+WRCount+TECount+QBCount)</f>
        <v>-101.5</v>
      </c>
      <c r="F500" t="str">
        <f ca="1">IF(H500&lt;=I500,"Starter",IF(G500&gt;=LARGE(G:G,FlexOn*LeagueInfo!$F$2),"Starter","Bench"))</f>
        <v>Bench</v>
      </c>
      <c r="G500">
        <f ca="1">IF(H500&gt;I500,D500,0)</f>
        <v>9.7000000000000011</v>
      </c>
      <c r="H500">
        <f ca="1">INDEX(INDIRECT(""&amp;C500&amp;"!A2:A489"),MATCH(B500,INDIRECT(""&amp;C500&amp;"!B2:B489"),0))</f>
        <v>59</v>
      </c>
      <c r="I500">
        <f>IF(C500="RB",LeagueInfo!$D$4*LeagueInfo!$F$2,IF(C500="WR",LeagueInfo!$D$5*LeagueInfo!$F$2,IF(C500="TE",LeagueInfo!$D$6*LeagueInfo!$F$2,LeagueInfo!$D$3*LeagueInfo!$F$2)))</f>
        <v>12</v>
      </c>
    </row>
    <row r="501" spans="1:9" x14ac:dyDescent="0.25">
      <c r="A501">
        <f ca="1">RANK(E501,E$2:E$541)</f>
        <v>500</v>
      </c>
      <c r="B501" t="s">
        <v>540</v>
      </c>
      <c r="C501" t="s">
        <v>29</v>
      </c>
      <c r="D501">
        <f ca="1">INDEX(INDIRECT($C501&amp;"!P:P"),MATCH($B501,INDIRECT($C501&amp;"!B:B"),0))</f>
        <v>9.5739999999999981</v>
      </c>
      <c r="E501" s="210">
        <f ca="1">D501-LARGE(D$2:D$486,RBCount+WRCount+TECount+QBCount)</f>
        <v>-101.626</v>
      </c>
      <c r="F501" t="str">
        <f ca="1">IF(H501&lt;=I501,"Starter",IF(G501&gt;=LARGE(G:G,FlexOn*LeagueInfo!$F$2),"Starter","Bench"))</f>
        <v>Bench</v>
      </c>
      <c r="G501">
        <f ca="1">IF(H501&gt;I501,D501,0)</f>
        <v>9.5739999999999981</v>
      </c>
      <c r="H501">
        <f ca="1">INDEX(INDIRECT(""&amp;C501&amp;"!A2:A489"),MATCH(B501,INDIRECT(""&amp;C501&amp;"!B2:B489"),0))</f>
        <v>60</v>
      </c>
      <c r="I501">
        <f>IF(C501="RB",LeagueInfo!$D$4*LeagueInfo!$F$2,IF(C501="WR",LeagueInfo!$D$5*LeagueInfo!$F$2,IF(C501="TE",LeagueInfo!$D$6*LeagueInfo!$F$2,LeagueInfo!$D$3*LeagueInfo!$F$2)))</f>
        <v>12</v>
      </c>
    </row>
    <row r="502" spans="1:9" x14ac:dyDescent="0.25">
      <c r="A502">
        <f ca="1">RANK(E502,E$2:E$541)</f>
        <v>501</v>
      </c>
      <c r="B502" t="s">
        <v>738</v>
      </c>
      <c r="C502" t="s">
        <v>35</v>
      </c>
      <c r="D502">
        <f ca="1">INDEX(INDIRECT($C502&amp;"!P:P"),MATCH($B502,INDIRECT($C502&amp;"!B:B"),0))</f>
        <v>9.56</v>
      </c>
      <c r="E502" s="210">
        <f ca="1">D502-LARGE(D$2:D$486,RBCount+WRCount+TECount+QBCount)</f>
        <v>-101.64</v>
      </c>
      <c r="F502" t="str">
        <f ca="1">IF(H502&lt;=I502,"Starter",IF(G502&gt;=LARGE(G:G,FlexOn*LeagueInfo!$F$2),"Starter","Bench"))</f>
        <v>Bench</v>
      </c>
      <c r="G502">
        <f ca="1">IF(H502&gt;I502,D502,0)</f>
        <v>9.56</v>
      </c>
      <c r="H502">
        <f ca="1">INDEX(INDIRECT(""&amp;C502&amp;"!A2:A489"),MATCH(B502,INDIRECT(""&amp;C502&amp;"!B2:B489"),0))</f>
        <v>196</v>
      </c>
      <c r="I502">
        <f>IF(C502="RB",LeagueInfo!$D$4*LeagueInfo!$F$2,IF(C502="WR",LeagueInfo!$D$5*LeagueInfo!$F$2,IF(C502="TE",LeagueInfo!$D$6*LeagueInfo!$F$2,LeagueInfo!$D$3*LeagueInfo!$F$2)))</f>
        <v>24</v>
      </c>
    </row>
    <row r="503" spans="1:9" x14ac:dyDescent="0.25">
      <c r="A503">
        <f ca="1">RANK(E503,E$2:E$541)</f>
        <v>502</v>
      </c>
      <c r="B503" t="s">
        <v>314</v>
      </c>
      <c r="C503" t="s">
        <v>29</v>
      </c>
      <c r="D503">
        <f ca="1">INDEX(INDIRECT($C503&amp;"!P:P"),MATCH($B503,INDIRECT($C503&amp;"!B:B"),0))</f>
        <v>9.5239999999999991</v>
      </c>
      <c r="E503" s="210">
        <f ca="1">D503-LARGE(D$2:D$486,RBCount+WRCount+TECount+QBCount)</f>
        <v>-101.676</v>
      </c>
      <c r="F503" t="str">
        <f ca="1">IF(H503&lt;=I503,"Starter",IF(G503&gt;=LARGE(G:G,FlexOn*LeagueInfo!$F$2),"Starter","Bench"))</f>
        <v>Bench</v>
      </c>
      <c r="G503">
        <f ca="1">IF(H503&gt;I503,D503,0)</f>
        <v>9.5239999999999991</v>
      </c>
      <c r="H503">
        <f ca="1">INDEX(INDIRECT(""&amp;C503&amp;"!A2:A489"),MATCH(B503,INDIRECT(""&amp;C503&amp;"!B2:B489"),0))</f>
        <v>61</v>
      </c>
      <c r="I503">
        <f>IF(C503="RB",LeagueInfo!$D$4*LeagueInfo!$F$2,IF(C503="WR",LeagueInfo!$D$5*LeagueInfo!$F$2,IF(C503="TE",LeagueInfo!$D$6*LeagueInfo!$F$2,LeagueInfo!$D$3*LeagueInfo!$F$2)))</f>
        <v>12</v>
      </c>
    </row>
    <row r="504" spans="1:9" x14ac:dyDescent="0.25">
      <c r="A504">
        <f ca="1">RANK(E504,E$2:E$541)</f>
        <v>503</v>
      </c>
      <c r="B504" t="s">
        <v>800</v>
      </c>
      <c r="C504" t="s">
        <v>35</v>
      </c>
      <c r="D504">
        <f ca="1">INDEX(INDIRECT($C504&amp;"!P:P"),MATCH($B504,INDIRECT($C504&amp;"!B:B"),0))</f>
        <v>9.4600000000000009</v>
      </c>
      <c r="E504" s="210">
        <f ca="1">D504-LARGE(D$2:D$486,RBCount+WRCount+TECount+QBCount)</f>
        <v>-101.74000000000001</v>
      </c>
      <c r="F504" t="str">
        <f ca="1">IF(H504&lt;=I504,"Starter",IF(G504&gt;=LARGE(G:G,FlexOn*LeagueInfo!$F$2),"Starter","Bench"))</f>
        <v>Bench</v>
      </c>
      <c r="G504">
        <f ca="1">IF(H504&gt;I504,D504,0)</f>
        <v>9.4600000000000009</v>
      </c>
      <c r="H504">
        <f ca="1">INDEX(INDIRECT(""&amp;C504&amp;"!A2:A489"),MATCH(B504,INDIRECT(""&amp;C504&amp;"!B2:B489"),0))</f>
        <v>197</v>
      </c>
      <c r="I504">
        <f>IF(C504="RB",LeagueInfo!$D$4*LeagueInfo!$F$2,IF(C504="WR",LeagueInfo!$D$5*LeagueInfo!$F$2,IF(C504="TE",LeagueInfo!$D$6*LeagueInfo!$F$2,LeagueInfo!$D$3*LeagueInfo!$F$2)))</f>
        <v>24</v>
      </c>
    </row>
    <row r="505" spans="1:9" x14ac:dyDescent="0.25">
      <c r="A505">
        <f ca="1">RANK(E505,E$2:E$541)</f>
        <v>504</v>
      </c>
      <c r="B505" t="s">
        <v>2440</v>
      </c>
      <c r="C505" t="s">
        <v>35</v>
      </c>
      <c r="D505">
        <f ca="1">INDEX(INDIRECT($C505&amp;"!P:P"),MATCH($B505,INDIRECT($C505&amp;"!B:B"),0))</f>
        <v>9.43</v>
      </c>
      <c r="E505" s="210">
        <f ca="1">D505-LARGE(D$2:D$486,RBCount+WRCount+TECount+QBCount)</f>
        <v>-101.77000000000001</v>
      </c>
      <c r="F505" t="str">
        <f ca="1">IF(H505&lt;=I505,"Starter",IF(G505&gt;=LARGE(G:G,FlexOn*LeagueInfo!$F$2),"Starter","Bench"))</f>
        <v>Bench</v>
      </c>
      <c r="G505">
        <f ca="1">IF(H505&gt;I505,D505,0)</f>
        <v>9.43</v>
      </c>
      <c r="H505">
        <f ca="1">INDEX(INDIRECT(""&amp;C505&amp;"!A2:A489"),MATCH(B505,INDIRECT(""&amp;C505&amp;"!B2:B489"),0))</f>
        <v>198</v>
      </c>
      <c r="I505">
        <f>IF(C505="RB",LeagueInfo!$D$4*LeagueInfo!$F$2,IF(C505="WR",LeagueInfo!$D$5*LeagueInfo!$F$2,IF(C505="TE",LeagueInfo!$D$6*LeagueInfo!$F$2,LeagueInfo!$D$3*LeagueInfo!$F$2)))</f>
        <v>24</v>
      </c>
    </row>
    <row r="506" spans="1:9" x14ac:dyDescent="0.25">
      <c r="A506">
        <f ca="1">RANK(E506,E$2:E$541)</f>
        <v>505</v>
      </c>
      <c r="B506" t="s">
        <v>318</v>
      </c>
      <c r="C506" t="s">
        <v>29</v>
      </c>
      <c r="D506">
        <f ca="1">INDEX(INDIRECT($C506&amp;"!P:P"),MATCH($B506,INDIRECT($C506&amp;"!B:B"),0))</f>
        <v>9.3239999999999981</v>
      </c>
      <c r="E506" s="210">
        <f ca="1">D506-LARGE(D$2:D$486,RBCount+WRCount+TECount+QBCount)</f>
        <v>-101.876</v>
      </c>
      <c r="F506" t="str">
        <f ca="1">IF(H506&lt;=I506,"Starter",IF(G506&gt;=LARGE(G:G,FlexOn*LeagueInfo!$F$2),"Starter","Bench"))</f>
        <v>Bench</v>
      </c>
      <c r="G506">
        <f ca="1">IF(H506&gt;I506,D506,0)</f>
        <v>9.3239999999999981</v>
      </c>
      <c r="H506">
        <f ca="1">INDEX(INDIRECT(""&amp;C506&amp;"!A2:A489"),MATCH(B506,INDIRECT(""&amp;C506&amp;"!B2:B489"),0))</f>
        <v>62</v>
      </c>
      <c r="I506">
        <f>IF(C506="RB",LeagueInfo!$D$4*LeagueInfo!$F$2,IF(C506="WR",LeagueInfo!$D$5*LeagueInfo!$F$2,IF(C506="TE",LeagueInfo!$D$6*LeagueInfo!$F$2,LeagueInfo!$D$3*LeagueInfo!$F$2)))</f>
        <v>12</v>
      </c>
    </row>
    <row r="507" spans="1:9" x14ac:dyDescent="0.25">
      <c r="A507">
        <f ca="1">RANK(E507,E$2:E$541)</f>
        <v>506</v>
      </c>
      <c r="B507" t="s">
        <v>654</v>
      </c>
      <c r="C507" t="s">
        <v>29</v>
      </c>
      <c r="D507">
        <f ca="1">INDEX(INDIRECT($C507&amp;"!P:P"),MATCH($B507,INDIRECT($C507&amp;"!B:B"),0))</f>
        <v>9.2760000000000016</v>
      </c>
      <c r="E507" s="210">
        <f ca="1">D507-LARGE(D$2:D$486,RBCount+WRCount+TECount+QBCount)</f>
        <v>-101.92400000000001</v>
      </c>
      <c r="F507" t="str">
        <f ca="1">IF(H507&lt;=I507,"Starter",IF(G507&gt;=LARGE(G:G,FlexOn*LeagueInfo!$F$2),"Starter","Bench"))</f>
        <v>Bench</v>
      </c>
      <c r="G507">
        <f ca="1">IF(H507&gt;I507,D507,0)</f>
        <v>9.2760000000000016</v>
      </c>
      <c r="H507">
        <f ca="1">INDEX(INDIRECT(""&amp;C507&amp;"!A2:A489"),MATCH(B507,INDIRECT(""&amp;C507&amp;"!B2:B489"),0))</f>
        <v>63</v>
      </c>
      <c r="I507">
        <f>IF(C507="RB",LeagueInfo!$D$4*LeagueInfo!$F$2,IF(C507="WR",LeagueInfo!$D$5*LeagueInfo!$F$2,IF(C507="TE",LeagueInfo!$D$6*LeagueInfo!$F$2,LeagueInfo!$D$3*LeagueInfo!$F$2)))</f>
        <v>12</v>
      </c>
    </row>
    <row r="508" spans="1:9" x14ac:dyDescent="0.25">
      <c r="A508">
        <f ca="1">RANK(E508,E$2:E$541)</f>
        <v>507</v>
      </c>
      <c r="B508" t="s">
        <v>875</v>
      </c>
      <c r="C508" t="s">
        <v>29</v>
      </c>
      <c r="D508">
        <f ca="1">INDEX(INDIRECT($C508&amp;"!P:P"),MATCH($B508,INDIRECT($C508&amp;"!B:B"),0))</f>
        <v>8.8400000000000016</v>
      </c>
      <c r="E508" s="210">
        <f ca="1">D508-LARGE(D$2:D$486,RBCount+WRCount+TECount+QBCount)</f>
        <v>-102.36</v>
      </c>
      <c r="F508" t="str">
        <f ca="1">IF(H508&lt;=I508,"Starter",IF(G508&gt;=LARGE(G:G,FlexOn*LeagueInfo!$F$2),"Starter","Bench"))</f>
        <v>Bench</v>
      </c>
      <c r="G508">
        <f ca="1">IF(H508&gt;I508,D508,0)</f>
        <v>8.8400000000000016</v>
      </c>
      <c r="H508">
        <f ca="1">INDEX(INDIRECT(""&amp;C508&amp;"!A2:A489"),MATCH(B508,INDIRECT(""&amp;C508&amp;"!B2:B489"),0))</f>
        <v>64</v>
      </c>
      <c r="I508">
        <f>IF(C508="RB",LeagueInfo!$D$4*LeagueInfo!$F$2,IF(C508="WR",LeagueInfo!$D$5*LeagueInfo!$F$2,IF(C508="TE",LeagueInfo!$D$6*LeagueInfo!$F$2,LeagueInfo!$D$3*LeagueInfo!$F$2)))</f>
        <v>12</v>
      </c>
    </row>
    <row r="509" spans="1:9" x14ac:dyDescent="0.25">
      <c r="A509">
        <f ca="1">RANK(E509,E$2:E$541)</f>
        <v>508</v>
      </c>
      <c r="B509" t="s">
        <v>316</v>
      </c>
      <c r="C509" t="s">
        <v>29</v>
      </c>
      <c r="D509">
        <f ca="1">INDEX(INDIRECT($C509&amp;"!P:P"),MATCH($B509,INDIRECT($C509&amp;"!B:B"),0))</f>
        <v>8.7680000000000007</v>
      </c>
      <c r="E509" s="210">
        <f ca="1">D509-LARGE(D$2:D$486,RBCount+WRCount+TECount+QBCount)</f>
        <v>-102.432</v>
      </c>
      <c r="F509" t="str">
        <f ca="1">IF(H509&lt;=I509,"Starter",IF(G509&gt;=LARGE(G:G,FlexOn*LeagueInfo!$F$2),"Starter","Bench"))</f>
        <v>Bench</v>
      </c>
      <c r="G509">
        <f ca="1">IF(H509&gt;I509,D509,0)</f>
        <v>8.7680000000000007</v>
      </c>
      <c r="H509">
        <f ca="1">INDEX(INDIRECT(""&amp;C509&amp;"!A2:A489"),MATCH(B509,INDIRECT(""&amp;C509&amp;"!B2:B489"),0))</f>
        <v>65</v>
      </c>
      <c r="I509">
        <f>IF(C509="RB",LeagueInfo!$D$4*LeagueInfo!$F$2,IF(C509="WR",LeagueInfo!$D$5*LeagueInfo!$F$2,IF(C509="TE",LeagueInfo!$D$6*LeagueInfo!$F$2,LeagueInfo!$D$3*LeagueInfo!$F$2)))</f>
        <v>12</v>
      </c>
    </row>
    <row r="510" spans="1:9" x14ac:dyDescent="0.25">
      <c r="A510">
        <f ca="1">RANK(E510,E$2:E$541)</f>
        <v>509</v>
      </c>
      <c r="B510" t="s">
        <v>911</v>
      </c>
      <c r="C510" t="s">
        <v>43</v>
      </c>
      <c r="D510">
        <f ca="1">INDEX(INDIRECT($C510&amp;"!P:P"),MATCH($B510,INDIRECT($C510&amp;"!B:B"),0))</f>
        <v>8.4500000000000011</v>
      </c>
      <c r="E510" s="210">
        <f ca="1">D510-LARGE(D$2:D$486,RBCount+WRCount+TECount+QBCount)</f>
        <v>-102.75</v>
      </c>
      <c r="F510" t="str">
        <f ca="1">IF(H510&lt;=I510,"Starter",IF(G510&gt;=LARGE(G:G,FlexOn*LeagueInfo!$F$2),"Starter","Bench"))</f>
        <v>Bench</v>
      </c>
      <c r="G510">
        <f ca="1">IF(H510&gt;I510,D510,0)</f>
        <v>8.4500000000000011</v>
      </c>
      <c r="H510">
        <f ca="1">INDEX(INDIRECT(""&amp;C510&amp;"!A2:A489"),MATCH(B510,INDIRECT(""&amp;C510&amp;"!B2:B489"),0))</f>
        <v>110</v>
      </c>
      <c r="I510">
        <f>IF(C510="RB",LeagueInfo!$D$4*LeagueInfo!$F$2,IF(C510="WR",LeagueInfo!$D$5*LeagueInfo!$F$2,IF(C510="TE",LeagueInfo!$D$6*LeagueInfo!$F$2,LeagueInfo!$D$3*LeagueInfo!$F$2)))</f>
        <v>12</v>
      </c>
    </row>
    <row r="511" spans="1:9" x14ac:dyDescent="0.25">
      <c r="A511">
        <f ca="1">RANK(E511,E$2:E$541)</f>
        <v>510</v>
      </c>
      <c r="B511" t="s">
        <v>651</v>
      </c>
      <c r="C511" t="s">
        <v>29</v>
      </c>
      <c r="D511">
        <f ca="1">INDEX(INDIRECT($C511&amp;"!P:P"),MATCH($B511,INDIRECT($C511&amp;"!B:B"),0))</f>
        <v>8.4300000000000015</v>
      </c>
      <c r="E511" s="210">
        <f ca="1">D511-LARGE(D$2:D$486,RBCount+WRCount+TECount+QBCount)</f>
        <v>-102.77</v>
      </c>
      <c r="F511" t="str">
        <f ca="1">IF(H511&lt;=I511,"Starter",IF(G511&gt;=LARGE(G:G,FlexOn*LeagueInfo!$F$2),"Starter","Bench"))</f>
        <v>Bench</v>
      </c>
      <c r="G511">
        <f ca="1">IF(H511&gt;I511,D511,0)</f>
        <v>8.4300000000000015</v>
      </c>
      <c r="H511">
        <f ca="1">INDEX(INDIRECT(""&amp;C511&amp;"!A2:A489"),MATCH(B511,INDIRECT(""&amp;C511&amp;"!B2:B489"),0))</f>
        <v>66</v>
      </c>
      <c r="I511">
        <f>IF(C511="RB",LeagueInfo!$D$4*LeagueInfo!$F$2,IF(C511="WR",LeagueInfo!$D$5*LeagueInfo!$F$2,IF(C511="TE",LeagueInfo!$D$6*LeagueInfo!$F$2,LeagueInfo!$D$3*LeagueInfo!$F$2)))</f>
        <v>12</v>
      </c>
    </row>
    <row r="512" spans="1:9" x14ac:dyDescent="0.25">
      <c r="A512">
        <f ca="1">RANK(E512,E$2:E$541)</f>
        <v>511</v>
      </c>
      <c r="B512" t="s">
        <v>2630</v>
      </c>
      <c r="C512" t="s">
        <v>35</v>
      </c>
      <c r="D512">
        <f ca="1">INDEX(INDIRECT($C512&amp;"!P:P"),MATCH($B512,INDIRECT($C512&amp;"!B:B"),0))</f>
        <v>7.96</v>
      </c>
      <c r="E512" s="210">
        <f ca="1">D512-LARGE(D$2:D$486,RBCount+WRCount+TECount+QBCount)</f>
        <v>-103.24000000000001</v>
      </c>
      <c r="F512" t="str">
        <f ca="1">IF(H512&lt;=I512,"Starter",IF(G512&gt;=LARGE(G:G,FlexOn*LeagueInfo!$F$2),"Starter","Bench"))</f>
        <v>Bench</v>
      </c>
      <c r="G512">
        <f ca="1">IF(H512&gt;I512,D512,0)</f>
        <v>7.96</v>
      </c>
      <c r="H512">
        <f ca="1">INDEX(INDIRECT(""&amp;C512&amp;"!A2:A489"),MATCH(B512,INDIRECT(""&amp;C512&amp;"!B2:B489"),0))</f>
        <v>199</v>
      </c>
      <c r="I512">
        <f>IF(C512="RB",LeagueInfo!$D$4*LeagueInfo!$F$2,IF(C512="WR",LeagueInfo!$D$5*LeagueInfo!$F$2,IF(C512="TE",LeagueInfo!$D$6*LeagueInfo!$F$2,LeagueInfo!$D$3*LeagueInfo!$F$2)))</f>
        <v>24</v>
      </c>
    </row>
    <row r="513" spans="1:9" x14ac:dyDescent="0.25">
      <c r="A513">
        <f ca="1">RANK(E513,E$2:E$541)</f>
        <v>512</v>
      </c>
      <c r="B513" t="s">
        <v>1034</v>
      </c>
      <c r="C513" t="s">
        <v>29</v>
      </c>
      <c r="D513">
        <f ca="1">INDEX(INDIRECT($C513&amp;"!P:P"),MATCH($B513,INDIRECT($C513&amp;"!B:B"),0))</f>
        <v>7.9360000000000008</v>
      </c>
      <c r="E513" s="210">
        <f ca="1">D513-LARGE(D$2:D$486,RBCount+WRCount+TECount+QBCount)</f>
        <v>-103.264</v>
      </c>
      <c r="F513" t="str">
        <f ca="1">IF(H513&lt;=I513,"Starter",IF(G513&gt;=LARGE(G:G,FlexOn*LeagueInfo!$F$2),"Starter","Bench"))</f>
        <v>Bench</v>
      </c>
      <c r="G513">
        <f ca="1">IF(H513&gt;I513,D513,0)</f>
        <v>7.9360000000000008</v>
      </c>
      <c r="H513">
        <f ca="1">INDEX(INDIRECT(""&amp;C513&amp;"!A2:A489"),MATCH(B513,INDIRECT(""&amp;C513&amp;"!B2:B489"),0))</f>
        <v>67</v>
      </c>
      <c r="I513">
        <f>IF(C513="RB",LeagueInfo!$D$4*LeagueInfo!$F$2,IF(C513="WR",LeagueInfo!$D$5*LeagueInfo!$F$2,IF(C513="TE",LeagueInfo!$D$6*LeagueInfo!$F$2,LeagueInfo!$D$3*LeagueInfo!$F$2)))</f>
        <v>12</v>
      </c>
    </row>
    <row r="514" spans="1:9" x14ac:dyDescent="0.25">
      <c r="A514">
        <f ca="1">RANK(E514,E$2:E$541)</f>
        <v>513</v>
      </c>
      <c r="B514" t="s">
        <v>323</v>
      </c>
      <c r="C514" t="s">
        <v>29</v>
      </c>
      <c r="D514">
        <f ca="1">INDEX(INDIRECT($C514&amp;"!P:P"),MATCH($B514,INDIRECT($C514&amp;"!B:B"),0))</f>
        <v>7.8879999999999999</v>
      </c>
      <c r="E514" s="210">
        <f ca="1">D514-LARGE(D$2:D$486,RBCount+WRCount+TECount+QBCount)</f>
        <v>-103.312</v>
      </c>
      <c r="F514" t="str">
        <f ca="1">IF(H514&lt;=I514,"Starter",IF(G514&gt;=LARGE(G:G,FlexOn*LeagueInfo!$F$2),"Starter","Bench"))</f>
        <v>Bench</v>
      </c>
      <c r="G514">
        <f ca="1">IF(H514&gt;I514,D514,0)</f>
        <v>7.8879999999999999</v>
      </c>
      <c r="H514">
        <f ca="1">INDEX(INDIRECT(""&amp;C514&amp;"!A2:A489"),MATCH(B514,INDIRECT(""&amp;C514&amp;"!B2:B489"),0))</f>
        <v>68</v>
      </c>
      <c r="I514">
        <f>IF(C514="RB",LeagueInfo!$D$4*LeagueInfo!$F$2,IF(C514="WR",LeagueInfo!$D$5*LeagueInfo!$F$2,IF(C514="TE",LeagueInfo!$D$6*LeagueInfo!$F$2,LeagueInfo!$D$3*LeagueInfo!$F$2)))</f>
        <v>12</v>
      </c>
    </row>
    <row r="515" spans="1:9" x14ac:dyDescent="0.25">
      <c r="A515">
        <f ca="1">RANK(E515,E$2:E$541)</f>
        <v>514</v>
      </c>
      <c r="B515" t="s">
        <v>704</v>
      </c>
      <c r="C515" t="s">
        <v>35</v>
      </c>
      <c r="D515">
        <f ca="1">INDEX(INDIRECT($C515&amp;"!P:P"),MATCH($B515,INDIRECT($C515&amp;"!B:B"),0))</f>
        <v>7.74</v>
      </c>
      <c r="E515" s="210">
        <f ca="1">D515-LARGE(D$2:D$486,RBCount+WRCount+TECount+QBCount)</f>
        <v>-103.46000000000001</v>
      </c>
      <c r="F515" t="str">
        <f ca="1">IF(H515&lt;=I515,"Starter",IF(G515&gt;=LARGE(G:G,FlexOn*LeagueInfo!$F$2),"Starter","Bench"))</f>
        <v>Bench</v>
      </c>
      <c r="G515">
        <f ca="1">IF(H515&gt;I515,D515,0)</f>
        <v>7.74</v>
      </c>
      <c r="H515">
        <f ca="1">INDEX(INDIRECT(""&amp;C515&amp;"!A2:A489"),MATCH(B515,INDIRECT(""&amp;C515&amp;"!B2:B489"),0))</f>
        <v>200</v>
      </c>
      <c r="I515">
        <f>IF(C515="RB",LeagueInfo!$D$4*LeagueInfo!$F$2,IF(C515="WR",LeagueInfo!$D$5*LeagueInfo!$F$2,IF(C515="TE",LeagueInfo!$D$6*LeagueInfo!$F$2,LeagueInfo!$D$3*LeagueInfo!$F$2)))</f>
        <v>24</v>
      </c>
    </row>
    <row r="516" spans="1:9" x14ac:dyDescent="0.25">
      <c r="A516">
        <f ca="1">RANK(E516,E$2:E$541)</f>
        <v>515</v>
      </c>
      <c r="B516" t="s">
        <v>2620</v>
      </c>
      <c r="C516" t="s">
        <v>35</v>
      </c>
      <c r="D516">
        <f ca="1">INDEX(INDIRECT($C516&amp;"!P:P"),MATCH($B516,INDIRECT($C516&amp;"!B:B"),0))</f>
        <v>7.7</v>
      </c>
      <c r="E516" s="210">
        <f ca="1">D516-LARGE(D$2:D$486,RBCount+WRCount+TECount+QBCount)</f>
        <v>-103.5</v>
      </c>
      <c r="F516" t="str">
        <f ca="1">IF(H516&lt;=I516,"Starter",IF(G516&gt;=LARGE(G:G,FlexOn*LeagueInfo!$F$2),"Starter","Bench"))</f>
        <v>Bench</v>
      </c>
      <c r="G516">
        <f ca="1">IF(H516&gt;I516,D516,0)</f>
        <v>7.7</v>
      </c>
      <c r="H516">
        <f ca="1">INDEX(INDIRECT(""&amp;C516&amp;"!A2:A489"),MATCH(B516,INDIRECT(""&amp;C516&amp;"!B2:B489"),0))</f>
        <v>201</v>
      </c>
      <c r="I516">
        <f>IF(C516="RB",LeagueInfo!$D$4*LeagueInfo!$F$2,IF(C516="WR",LeagueInfo!$D$5*LeagueInfo!$F$2,IF(C516="TE",LeagueInfo!$D$6*LeagueInfo!$F$2,LeagueInfo!$D$3*LeagueInfo!$F$2)))</f>
        <v>24</v>
      </c>
    </row>
    <row r="517" spans="1:9" x14ac:dyDescent="0.25">
      <c r="A517">
        <f ca="1">RANK(E517,E$2:E$541)</f>
        <v>516</v>
      </c>
      <c r="B517" t="s">
        <v>1000</v>
      </c>
      <c r="C517" t="s">
        <v>35</v>
      </c>
      <c r="D517">
        <f ca="1">INDEX(INDIRECT($C517&amp;"!P:P"),MATCH($B517,INDIRECT($C517&amp;"!B:B"),0))</f>
        <v>7.66</v>
      </c>
      <c r="E517" s="210">
        <f ca="1">D517-LARGE(D$2:D$486,RBCount+WRCount+TECount+QBCount)</f>
        <v>-103.54</v>
      </c>
      <c r="F517" t="str">
        <f ca="1">IF(H517&lt;=I517,"Starter",IF(G517&gt;=LARGE(G:G,FlexOn*LeagueInfo!$F$2),"Starter","Bench"))</f>
        <v>Bench</v>
      </c>
      <c r="G517">
        <f ca="1">IF(H517&gt;I517,D517,0)</f>
        <v>7.66</v>
      </c>
      <c r="H517">
        <f ca="1">INDEX(INDIRECT(""&amp;C517&amp;"!A2:A489"),MATCH(B517,INDIRECT(""&amp;C517&amp;"!B2:B489"),0))</f>
        <v>202</v>
      </c>
      <c r="I517">
        <f>IF(C517="RB",LeagueInfo!$D$4*LeagueInfo!$F$2,IF(C517="WR",LeagueInfo!$D$5*LeagueInfo!$F$2,IF(C517="TE",LeagueInfo!$D$6*LeagueInfo!$F$2,LeagueInfo!$D$3*LeagueInfo!$F$2)))</f>
        <v>24</v>
      </c>
    </row>
    <row r="518" spans="1:9" x14ac:dyDescent="0.25">
      <c r="A518">
        <f ca="1">RANK(E518,E$2:E$541)</f>
        <v>516</v>
      </c>
      <c r="B518" t="s">
        <v>2494</v>
      </c>
      <c r="C518" t="s">
        <v>43</v>
      </c>
      <c r="D518">
        <f ca="1">INDEX(INDIRECT($C518&amp;"!P:P"),MATCH($B518,INDIRECT($C518&amp;"!B:B"),0))</f>
        <v>7.66</v>
      </c>
      <c r="E518" s="210">
        <f ca="1">D518-LARGE(D$2:D$486,RBCount+WRCount+TECount+QBCount)</f>
        <v>-103.54</v>
      </c>
      <c r="F518" t="str">
        <f ca="1">IF(H518&lt;=I518,"Starter",IF(G518&gt;=LARGE(G:G,FlexOn*LeagueInfo!$F$2),"Starter","Bench"))</f>
        <v>Bench</v>
      </c>
      <c r="G518">
        <f ca="1">IF(H518&gt;I518,D518,0)</f>
        <v>7.66</v>
      </c>
      <c r="H518">
        <f ca="1">INDEX(INDIRECT(""&amp;C518&amp;"!A2:A489"),MATCH(B518,INDIRECT(""&amp;C518&amp;"!B2:B489"),0))</f>
        <v>111</v>
      </c>
      <c r="I518">
        <f>IF(C518="RB",LeagueInfo!$D$4*LeagueInfo!$F$2,IF(C518="WR",LeagueInfo!$D$5*LeagueInfo!$F$2,IF(C518="TE",LeagueInfo!$D$6*LeagueInfo!$F$2,LeagueInfo!$D$3*LeagueInfo!$F$2)))</f>
        <v>12</v>
      </c>
    </row>
    <row r="519" spans="1:9" x14ac:dyDescent="0.25">
      <c r="A519">
        <f ca="1">RANK(E519,E$2:E$541)</f>
        <v>518</v>
      </c>
      <c r="B519" t="s">
        <v>697</v>
      </c>
      <c r="C519" t="s">
        <v>35</v>
      </c>
      <c r="D519">
        <f ca="1">INDEX(INDIRECT($C519&amp;"!P:P"),MATCH($B519,INDIRECT($C519&amp;"!B:B"),0))</f>
        <v>7.55</v>
      </c>
      <c r="E519" s="210">
        <f ca="1">D519-LARGE(D$2:D$486,RBCount+WRCount+TECount+QBCount)</f>
        <v>-103.65</v>
      </c>
      <c r="F519" t="str">
        <f ca="1">IF(H519&lt;=I519,"Starter",IF(G519&gt;=LARGE(G:G,FlexOn*LeagueInfo!$F$2),"Starter","Bench"))</f>
        <v>Bench</v>
      </c>
      <c r="G519">
        <f ca="1">IF(H519&gt;I519,D519,0)</f>
        <v>7.55</v>
      </c>
      <c r="H519">
        <f ca="1">INDEX(INDIRECT(""&amp;C519&amp;"!A2:A489"),MATCH(B519,INDIRECT(""&amp;C519&amp;"!B2:B489"),0))</f>
        <v>203</v>
      </c>
      <c r="I519">
        <f>IF(C519="RB",LeagueInfo!$D$4*LeagueInfo!$F$2,IF(C519="WR",LeagueInfo!$D$5*LeagueInfo!$F$2,IF(C519="TE",LeagueInfo!$D$6*LeagueInfo!$F$2,LeagueInfo!$D$3*LeagueInfo!$F$2)))</f>
        <v>24</v>
      </c>
    </row>
    <row r="520" spans="1:9" x14ac:dyDescent="0.25">
      <c r="A520">
        <f ca="1">RANK(E520,E$2:E$541)</f>
        <v>519</v>
      </c>
      <c r="B520" t="s">
        <v>315</v>
      </c>
      <c r="C520" t="s">
        <v>29</v>
      </c>
      <c r="D520">
        <f ca="1">INDEX(INDIRECT($C520&amp;"!P:P"),MATCH($B520,INDIRECT($C520&amp;"!B:B"),0))</f>
        <v>7.5419999999999998</v>
      </c>
      <c r="E520" s="210">
        <f ca="1">D520-LARGE(D$2:D$486,RBCount+WRCount+TECount+QBCount)</f>
        <v>-103.658</v>
      </c>
      <c r="F520" t="str">
        <f ca="1">IF(H520&lt;=I520,"Starter",IF(G520&gt;=LARGE(G:G,FlexOn*LeagueInfo!$F$2),"Starter","Bench"))</f>
        <v>Bench</v>
      </c>
      <c r="G520">
        <f ca="1">IF(H520&gt;I520,D520,0)</f>
        <v>7.5419999999999998</v>
      </c>
      <c r="H520">
        <f ca="1">INDEX(INDIRECT(""&amp;C520&amp;"!A2:A489"),MATCH(B520,INDIRECT(""&amp;C520&amp;"!B2:B489"),0))</f>
        <v>69</v>
      </c>
      <c r="I520">
        <f>IF(C520="RB",LeagueInfo!$D$4*LeagueInfo!$F$2,IF(C520="WR",LeagueInfo!$D$5*LeagueInfo!$F$2,IF(C520="TE",LeagueInfo!$D$6*LeagueInfo!$F$2,LeagueInfo!$D$3*LeagueInfo!$F$2)))</f>
        <v>12</v>
      </c>
    </row>
    <row r="521" spans="1:9" x14ac:dyDescent="0.25">
      <c r="A521">
        <f ca="1">RANK(E521,E$2:E$541)</f>
        <v>520</v>
      </c>
      <c r="B521" t="s">
        <v>868</v>
      </c>
      <c r="C521" t="s">
        <v>35</v>
      </c>
      <c r="D521">
        <f ca="1">INDEX(INDIRECT($C521&amp;"!P:P"),MATCH($B521,INDIRECT($C521&amp;"!B:B"),0))</f>
        <v>7.5100000000000007</v>
      </c>
      <c r="E521" s="210">
        <f ca="1">D521-LARGE(D$2:D$486,RBCount+WRCount+TECount+QBCount)</f>
        <v>-103.69</v>
      </c>
      <c r="F521" t="str">
        <f ca="1">IF(H521&lt;=I521,"Starter",IF(G521&gt;=LARGE(G:G,FlexOn*LeagueInfo!$F$2),"Starter","Bench"))</f>
        <v>Bench</v>
      </c>
      <c r="G521">
        <f ca="1">IF(H521&gt;I521,D521,0)</f>
        <v>7.5100000000000007</v>
      </c>
      <c r="H521">
        <f ca="1">INDEX(INDIRECT(""&amp;C521&amp;"!A2:A489"),MATCH(B521,INDIRECT(""&amp;C521&amp;"!B2:B489"),0))</f>
        <v>204</v>
      </c>
      <c r="I521">
        <f>IF(C521="RB",LeagueInfo!$D$4*LeagueInfo!$F$2,IF(C521="WR",LeagueInfo!$D$5*LeagueInfo!$F$2,IF(C521="TE",LeagueInfo!$D$6*LeagueInfo!$F$2,LeagueInfo!$D$3*LeagueInfo!$F$2)))</f>
        <v>24</v>
      </c>
    </row>
    <row r="522" spans="1:9" x14ac:dyDescent="0.25">
      <c r="A522">
        <f ca="1">RANK(E522,E$2:E$541)</f>
        <v>521</v>
      </c>
      <c r="B522" t="s">
        <v>987</v>
      </c>
      <c r="C522" t="s">
        <v>43</v>
      </c>
      <c r="D522">
        <f ca="1">INDEX(INDIRECT($C522&amp;"!P:P"),MATCH($B522,INDIRECT($C522&amp;"!B:B"),0))</f>
        <v>7.38</v>
      </c>
      <c r="E522" s="210">
        <f ca="1">D522-LARGE(D$2:D$486,RBCount+WRCount+TECount+QBCount)</f>
        <v>-103.82000000000001</v>
      </c>
      <c r="F522" t="str">
        <f ca="1">IF(H522&lt;=I522,"Starter",IF(G522&gt;=LARGE(G:G,FlexOn*LeagueInfo!$F$2),"Starter","Bench"))</f>
        <v>Bench</v>
      </c>
      <c r="G522">
        <f ca="1">IF(H522&gt;I522,D522,0)</f>
        <v>7.38</v>
      </c>
      <c r="H522">
        <f ca="1">INDEX(INDIRECT(""&amp;C522&amp;"!A2:A489"),MATCH(B522,INDIRECT(""&amp;C522&amp;"!B2:B489"),0))</f>
        <v>112</v>
      </c>
      <c r="I522">
        <f>IF(C522="RB",LeagueInfo!$D$4*LeagueInfo!$F$2,IF(C522="WR",LeagueInfo!$D$5*LeagueInfo!$F$2,IF(C522="TE",LeagueInfo!$D$6*LeagueInfo!$F$2,LeagueInfo!$D$3*LeagueInfo!$F$2)))</f>
        <v>12</v>
      </c>
    </row>
    <row r="523" spans="1:9" x14ac:dyDescent="0.25">
      <c r="A523">
        <f ca="1">RANK(E523,E$2:E$541)</f>
        <v>522</v>
      </c>
      <c r="B523" t="s">
        <v>2734</v>
      </c>
      <c r="C523" t="s">
        <v>29</v>
      </c>
      <c r="D523">
        <f ca="1">INDEX(INDIRECT($C523&amp;"!P:P"),MATCH($B523,INDIRECT($C523&amp;"!B:B"),0))</f>
        <v>7.24</v>
      </c>
      <c r="E523" s="210">
        <f ca="1">D523-LARGE(D$2:D$486,RBCount+WRCount+TECount+QBCount)</f>
        <v>-103.96000000000001</v>
      </c>
      <c r="F523" t="str">
        <f ca="1">IF(H523&lt;=I523,"Starter",IF(G523&gt;=LARGE(G:G,FlexOn*LeagueInfo!$F$2),"Starter","Bench"))</f>
        <v>Bench</v>
      </c>
      <c r="G523">
        <f ca="1">IF(H523&gt;I523,D523,0)</f>
        <v>7.24</v>
      </c>
      <c r="H523">
        <f ca="1">INDEX(INDIRECT(""&amp;C523&amp;"!A2:A489"),MATCH(B523,INDIRECT(""&amp;C523&amp;"!B2:B489"),0))</f>
        <v>70</v>
      </c>
      <c r="I523">
        <f>IF(C523="RB",LeagueInfo!$D$4*LeagueInfo!$F$2,IF(C523="WR",LeagueInfo!$D$5*LeagueInfo!$F$2,IF(C523="TE",LeagueInfo!$D$6*LeagueInfo!$F$2,LeagueInfo!$D$3*LeagueInfo!$F$2)))</f>
        <v>12</v>
      </c>
    </row>
    <row r="524" spans="1:9" x14ac:dyDescent="0.25">
      <c r="A524">
        <f ca="1">RANK(E524,E$2:E$541)</f>
        <v>523</v>
      </c>
      <c r="B524" t="s">
        <v>2621</v>
      </c>
      <c r="C524" t="s">
        <v>35</v>
      </c>
      <c r="D524">
        <f ca="1">INDEX(INDIRECT($C524&amp;"!P:P"),MATCH($B524,INDIRECT($C524&amp;"!B:B"),0))</f>
        <v>7.0500000000000007</v>
      </c>
      <c r="E524" s="210">
        <f ca="1">D524-LARGE(D$2:D$486,RBCount+WRCount+TECount+QBCount)</f>
        <v>-104.15</v>
      </c>
      <c r="F524" t="str">
        <f ca="1">IF(H524&lt;=I524,"Starter",IF(G524&gt;=LARGE(G:G,FlexOn*LeagueInfo!$F$2),"Starter","Bench"))</f>
        <v>Bench</v>
      </c>
      <c r="G524">
        <f ca="1">IF(H524&gt;I524,D524,0)</f>
        <v>7.0500000000000007</v>
      </c>
      <c r="H524">
        <f ca="1">INDEX(INDIRECT(""&amp;C524&amp;"!A2:A489"),MATCH(B524,INDIRECT(""&amp;C524&amp;"!B2:B489"),0))</f>
        <v>205</v>
      </c>
      <c r="I524">
        <f>IF(C524="RB",LeagueInfo!$D$4*LeagueInfo!$F$2,IF(C524="WR",LeagueInfo!$D$5*LeagueInfo!$F$2,IF(C524="TE",LeagueInfo!$D$6*LeagueInfo!$F$2,LeagueInfo!$D$3*LeagueInfo!$F$2)))</f>
        <v>24</v>
      </c>
    </row>
    <row r="525" spans="1:9" x14ac:dyDescent="0.25">
      <c r="A525">
        <f ca="1">RANK(E525,E$2:E$541)</f>
        <v>524</v>
      </c>
      <c r="B525" t="s">
        <v>653</v>
      </c>
      <c r="C525" t="s">
        <v>29</v>
      </c>
      <c r="D525">
        <f ca="1">INDEX(INDIRECT($C525&amp;"!P:P"),MATCH($B525,INDIRECT($C525&amp;"!B:B"),0))</f>
        <v>6.992</v>
      </c>
      <c r="E525" s="210">
        <f ca="1">D525-LARGE(D$2:D$486,RBCount+WRCount+TECount+QBCount)</f>
        <v>-104.208</v>
      </c>
      <c r="F525" t="str">
        <f ca="1">IF(H525&lt;=I525,"Starter",IF(G525&gt;=LARGE(G:G,FlexOn*LeagueInfo!$F$2),"Starter","Bench"))</f>
        <v>Bench</v>
      </c>
      <c r="G525">
        <f ca="1">IF(H525&gt;I525,D525,0)</f>
        <v>6.992</v>
      </c>
      <c r="H525">
        <f ca="1">INDEX(INDIRECT(""&amp;C525&amp;"!A2:A489"),MATCH(B525,INDIRECT(""&amp;C525&amp;"!B2:B489"),0))</f>
        <v>71</v>
      </c>
      <c r="I525">
        <f>IF(C525="RB",LeagueInfo!$D$4*LeagueInfo!$F$2,IF(C525="WR",LeagueInfo!$D$5*LeagueInfo!$F$2,IF(C525="TE",LeagueInfo!$D$6*LeagueInfo!$F$2,LeagueInfo!$D$3*LeagueInfo!$F$2)))</f>
        <v>12</v>
      </c>
    </row>
    <row r="526" spans="1:9" x14ac:dyDescent="0.25">
      <c r="A526">
        <f ca="1">RANK(E526,E$2:E$541)</f>
        <v>525</v>
      </c>
      <c r="B526" t="s">
        <v>729</v>
      </c>
      <c r="C526" t="s">
        <v>35</v>
      </c>
      <c r="D526">
        <f ca="1">INDEX(INDIRECT($C526&amp;"!P:P"),MATCH($B526,INDIRECT($C526&amp;"!B:B"),0))</f>
        <v>6.93</v>
      </c>
      <c r="E526" s="210">
        <f ca="1">D526-LARGE(D$2:D$486,RBCount+WRCount+TECount+QBCount)</f>
        <v>-104.27000000000001</v>
      </c>
      <c r="F526" t="str">
        <f ca="1">IF(H526&lt;=I526,"Starter",IF(G526&gt;=LARGE(G:G,FlexOn*LeagueInfo!$F$2),"Starter","Bench"))</f>
        <v>Bench</v>
      </c>
      <c r="G526">
        <f ca="1">IF(H526&gt;I526,D526,0)</f>
        <v>6.93</v>
      </c>
      <c r="H526">
        <f ca="1">INDEX(INDIRECT(""&amp;C526&amp;"!A2:A489"),MATCH(B526,INDIRECT(""&amp;C526&amp;"!B2:B489"),0))</f>
        <v>206</v>
      </c>
      <c r="I526">
        <f>IF(C526="RB",LeagueInfo!$D$4*LeagueInfo!$F$2,IF(C526="WR",LeagueInfo!$D$5*LeagueInfo!$F$2,IF(C526="TE",LeagueInfo!$D$6*LeagueInfo!$F$2,LeagueInfo!$D$3*LeagueInfo!$F$2)))</f>
        <v>24</v>
      </c>
    </row>
    <row r="527" spans="1:9" x14ac:dyDescent="0.25">
      <c r="A527">
        <f ca="1">RANK(E527,E$2:E$541)</f>
        <v>526</v>
      </c>
      <c r="B527" t="s">
        <v>727</v>
      </c>
      <c r="C527" t="s">
        <v>35</v>
      </c>
      <c r="D527">
        <f ca="1">INDEX(INDIRECT($C527&amp;"!P:P"),MATCH($B527,INDIRECT($C527&amp;"!B:B"),0))</f>
        <v>6.83</v>
      </c>
      <c r="E527" s="210">
        <f ca="1">D527-LARGE(D$2:D$486,RBCount+WRCount+TECount+QBCount)</f>
        <v>-104.37</v>
      </c>
      <c r="F527" t="str">
        <f ca="1">IF(H527&lt;=I527,"Starter",IF(G527&gt;=LARGE(G:G,FlexOn*LeagueInfo!$F$2),"Starter","Bench"))</f>
        <v>Bench</v>
      </c>
      <c r="G527">
        <f ca="1">IF(H527&gt;I527,D527,0)</f>
        <v>6.83</v>
      </c>
      <c r="H527">
        <f ca="1">INDEX(INDIRECT(""&amp;C527&amp;"!A2:A489"),MATCH(B527,INDIRECT(""&amp;C527&amp;"!B2:B489"),0))</f>
        <v>207</v>
      </c>
      <c r="I527">
        <f>IF(C527="RB",LeagueInfo!$D$4*LeagueInfo!$F$2,IF(C527="WR",LeagueInfo!$D$5*LeagueInfo!$F$2,IF(C527="TE",LeagueInfo!$D$6*LeagueInfo!$F$2,LeagueInfo!$D$3*LeagueInfo!$F$2)))</f>
        <v>24</v>
      </c>
    </row>
    <row r="528" spans="1:9" x14ac:dyDescent="0.25">
      <c r="A528">
        <f ca="1">RANK(E528,E$2:E$541)</f>
        <v>527</v>
      </c>
      <c r="B528" t="s">
        <v>863</v>
      </c>
      <c r="C528" t="s">
        <v>35</v>
      </c>
      <c r="D528">
        <f ca="1">INDEX(INDIRECT($C528&amp;"!P:P"),MATCH($B528,INDIRECT($C528&amp;"!B:B"),0))</f>
        <v>6.5600000000000005</v>
      </c>
      <c r="E528" s="210">
        <f ca="1">D528-LARGE(D$2:D$486,RBCount+WRCount+TECount+QBCount)</f>
        <v>-104.64</v>
      </c>
      <c r="F528" t="str">
        <f ca="1">IF(H528&lt;=I528,"Starter",IF(G528&gt;=LARGE(G:G,FlexOn*LeagueInfo!$F$2),"Starter","Bench"))</f>
        <v>Bench</v>
      </c>
      <c r="G528">
        <f ca="1">IF(H528&gt;I528,D528,0)</f>
        <v>6.5600000000000005</v>
      </c>
      <c r="H528">
        <f ca="1">INDEX(INDIRECT(""&amp;C528&amp;"!A2:A489"),MATCH(B528,INDIRECT(""&amp;C528&amp;"!B2:B489"),0))</f>
        <v>208</v>
      </c>
      <c r="I528">
        <f>IF(C528="RB",LeagueInfo!$D$4*LeagueInfo!$F$2,IF(C528="WR",LeagueInfo!$D$5*LeagueInfo!$F$2,IF(C528="TE",LeagueInfo!$D$6*LeagueInfo!$F$2,LeagueInfo!$D$3*LeagueInfo!$F$2)))</f>
        <v>24</v>
      </c>
    </row>
    <row r="529" spans="1:9" x14ac:dyDescent="0.25">
      <c r="A529">
        <f ca="1">RANK(E529,E$2:E$541)</f>
        <v>528</v>
      </c>
      <c r="B529" t="s">
        <v>573</v>
      </c>
      <c r="C529" t="s">
        <v>35</v>
      </c>
      <c r="D529">
        <f ca="1">INDEX(INDIRECT($C529&amp;"!P:P"),MATCH($B529,INDIRECT($C529&amp;"!B:B"),0))</f>
        <v>6.53</v>
      </c>
      <c r="E529" s="210">
        <f ca="1">D529-LARGE(D$2:D$486,RBCount+WRCount+TECount+QBCount)</f>
        <v>-104.67</v>
      </c>
      <c r="F529" t="str">
        <f ca="1">IF(H529&lt;=I529,"Starter",IF(G529&gt;=LARGE(G:G,FlexOn*LeagueInfo!$F$2),"Starter","Bench"))</f>
        <v>Bench</v>
      </c>
      <c r="G529">
        <f ca="1">IF(H529&gt;I529,D529,0)</f>
        <v>6.53</v>
      </c>
      <c r="H529">
        <f ca="1">INDEX(INDIRECT(""&amp;C529&amp;"!A2:A489"),MATCH(B529,INDIRECT(""&amp;C529&amp;"!B2:B489"),0))</f>
        <v>209</v>
      </c>
      <c r="I529">
        <f>IF(C529="RB",LeagueInfo!$D$4*LeagueInfo!$F$2,IF(C529="WR",LeagueInfo!$D$5*LeagueInfo!$F$2,IF(C529="TE",LeagueInfo!$D$6*LeagueInfo!$F$2,LeagueInfo!$D$3*LeagueInfo!$F$2)))</f>
        <v>24</v>
      </c>
    </row>
    <row r="530" spans="1:9" x14ac:dyDescent="0.25">
      <c r="A530">
        <f ca="1">RANK(E530,E$2:E$541)</f>
        <v>529</v>
      </c>
      <c r="B530" t="s">
        <v>852</v>
      </c>
      <c r="C530" t="s">
        <v>35</v>
      </c>
      <c r="D530">
        <f ca="1">INDEX(INDIRECT($C530&amp;"!P:P"),MATCH($B530,INDIRECT($C530&amp;"!B:B"),0))</f>
        <v>6.28</v>
      </c>
      <c r="E530" s="210">
        <f ca="1">D530-LARGE(D$2:D$486,RBCount+WRCount+TECount+QBCount)</f>
        <v>-104.92</v>
      </c>
      <c r="F530" t="str">
        <f ca="1">IF(H530&lt;=I530,"Starter",IF(G530&gt;=LARGE(G:G,FlexOn*LeagueInfo!$F$2),"Starter","Bench"))</f>
        <v>Bench</v>
      </c>
      <c r="G530">
        <f ca="1">IF(H530&gt;I530,D530,0)</f>
        <v>6.28</v>
      </c>
      <c r="H530">
        <f ca="1">INDEX(INDIRECT(""&amp;C530&amp;"!A2:A489"),MATCH(B530,INDIRECT(""&amp;C530&amp;"!B2:B489"),0))</f>
        <v>210</v>
      </c>
      <c r="I530">
        <f>IF(C530="RB",LeagueInfo!$D$4*LeagueInfo!$F$2,IF(C530="WR",LeagueInfo!$D$5*LeagueInfo!$F$2,IF(C530="TE",LeagueInfo!$D$6*LeagueInfo!$F$2,LeagueInfo!$D$3*LeagueInfo!$F$2)))</f>
        <v>24</v>
      </c>
    </row>
    <row r="531" spans="1:9" x14ac:dyDescent="0.25">
      <c r="A531">
        <f ca="1">RANK(E531,E$2:E$541)</f>
        <v>530</v>
      </c>
      <c r="B531" t="s">
        <v>2619</v>
      </c>
      <c r="C531" t="s">
        <v>29</v>
      </c>
      <c r="D531">
        <f ca="1">INDEX(INDIRECT($C531&amp;"!P:P"),MATCH($B531,INDIRECT($C531&amp;"!B:B"),0))</f>
        <v>5.572000000000001</v>
      </c>
      <c r="E531" s="210">
        <f ca="1">D531-LARGE(D$2:D$486,RBCount+WRCount+TECount+QBCount)</f>
        <v>-105.628</v>
      </c>
      <c r="F531" t="str">
        <f ca="1">IF(H531&lt;=I531,"Starter",IF(G531&gt;=LARGE(G:G,FlexOn*LeagueInfo!$F$2),"Starter","Bench"))</f>
        <v>Bench</v>
      </c>
      <c r="G531">
        <f ca="1">IF(H531&gt;I531,D531,0)</f>
        <v>5.572000000000001</v>
      </c>
      <c r="H531">
        <f ca="1">INDEX(INDIRECT(""&amp;C531&amp;"!A2:A489"),MATCH(B531,INDIRECT(""&amp;C531&amp;"!B2:B489"),0))</f>
        <v>72</v>
      </c>
      <c r="I531">
        <f>IF(C531="RB",LeagueInfo!$D$4*LeagueInfo!$F$2,IF(C531="WR",LeagueInfo!$D$5*LeagueInfo!$F$2,IF(C531="TE",LeagueInfo!$D$6*LeagueInfo!$F$2,LeagueInfo!$D$3*LeagueInfo!$F$2)))</f>
        <v>12</v>
      </c>
    </row>
    <row r="532" spans="1:9" x14ac:dyDescent="0.25">
      <c r="A532">
        <f ca="1">RANK(E532,E$2:E$541)</f>
        <v>531</v>
      </c>
      <c r="B532" t="s">
        <v>537</v>
      </c>
      <c r="C532" t="s">
        <v>29</v>
      </c>
      <c r="D532">
        <f ca="1">INDEX(INDIRECT($C532&amp;"!P:P"),MATCH($B532,INDIRECT($C532&amp;"!B:B"),0))</f>
        <v>5.33</v>
      </c>
      <c r="E532" s="210">
        <f ca="1">D532-LARGE(D$2:D$486,RBCount+WRCount+TECount+QBCount)</f>
        <v>-105.87</v>
      </c>
      <c r="F532" t="str">
        <f ca="1">IF(H532&lt;=I532,"Starter",IF(G532&gt;=LARGE(G:G,FlexOn*LeagueInfo!$F$2),"Starter","Bench"))</f>
        <v>Bench</v>
      </c>
      <c r="G532">
        <f ca="1">IF(H532&gt;I532,D532,0)</f>
        <v>5.33</v>
      </c>
      <c r="H532">
        <f ca="1">INDEX(INDIRECT(""&amp;C532&amp;"!A2:A489"),MATCH(B532,INDIRECT(""&amp;C532&amp;"!B2:B489"),0))</f>
        <v>73</v>
      </c>
      <c r="I532">
        <f>IF(C532="RB",LeagueInfo!$D$4*LeagueInfo!$F$2,IF(C532="WR",LeagueInfo!$D$5*LeagueInfo!$F$2,IF(C532="TE",LeagueInfo!$D$6*LeagueInfo!$F$2,LeagueInfo!$D$3*LeagueInfo!$F$2)))</f>
        <v>12</v>
      </c>
    </row>
    <row r="533" spans="1:9" x14ac:dyDescent="0.25">
      <c r="A533">
        <f ca="1">RANK(E533,E$2:E$541)</f>
        <v>532</v>
      </c>
      <c r="B533" t="s">
        <v>659</v>
      </c>
      <c r="C533" t="s">
        <v>29</v>
      </c>
      <c r="D533">
        <f ca="1">INDEX(INDIRECT($C533&amp;"!P:P"),MATCH($B533,INDIRECT($C533&amp;"!B:B"),0))</f>
        <v>4.5500000000000007</v>
      </c>
      <c r="E533" s="210">
        <f ca="1">D533-LARGE(D$2:D$486,RBCount+WRCount+TECount+QBCount)</f>
        <v>-106.65</v>
      </c>
      <c r="F533" t="str">
        <f ca="1">IF(H533&lt;=I533,"Starter",IF(G533&gt;=LARGE(G:G,FlexOn*LeagueInfo!$F$2),"Starter","Bench"))</f>
        <v>Bench</v>
      </c>
      <c r="G533">
        <f ca="1">IF(H533&gt;I533,D533,0)</f>
        <v>4.5500000000000007</v>
      </c>
      <c r="H533">
        <f ca="1">INDEX(INDIRECT(""&amp;C533&amp;"!A2:A489"),MATCH(B533,INDIRECT(""&amp;C533&amp;"!B2:B489"),0))</f>
        <v>74</v>
      </c>
      <c r="I533">
        <f>IF(C533="RB",LeagueInfo!$D$4*LeagueInfo!$F$2,IF(C533="WR",LeagueInfo!$D$5*LeagueInfo!$F$2,IF(C533="TE",LeagueInfo!$D$6*LeagueInfo!$F$2,LeagueInfo!$D$3*LeagueInfo!$F$2)))</f>
        <v>12</v>
      </c>
    </row>
    <row r="534" spans="1:9" x14ac:dyDescent="0.25">
      <c r="A534">
        <f ca="1">RANK(E534,E$2:E$541)</f>
        <v>533</v>
      </c>
      <c r="B534" t="s">
        <v>310</v>
      </c>
      <c r="C534" t="s">
        <v>29</v>
      </c>
      <c r="D534">
        <f ca="1">INDEX(INDIRECT($C534&amp;"!P:P"),MATCH($B534,INDIRECT($C534&amp;"!B:B"),0))</f>
        <v>2.8119999999999998</v>
      </c>
      <c r="E534" s="210">
        <f ca="1">D534-LARGE(D$2:D$486,RBCount+WRCount+TECount+QBCount)</f>
        <v>-108.38800000000001</v>
      </c>
      <c r="F534" t="str">
        <f ca="1">IF(H534&lt;=I534,"Starter",IF(G534&gt;=LARGE(G:G,FlexOn*LeagueInfo!$F$2),"Starter","Bench"))</f>
        <v>Bench</v>
      </c>
      <c r="G534">
        <f ca="1">IF(H534&gt;I534,D534,0)</f>
        <v>2.8119999999999998</v>
      </c>
      <c r="H534">
        <f ca="1">INDEX(INDIRECT(""&amp;C534&amp;"!A2:A489"),MATCH(B534,INDIRECT(""&amp;C534&amp;"!B2:B489"),0))</f>
        <v>75</v>
      </c>
      <c r="I534">
        <f>IF(C534="RB",LeagueInfo!$D$4*LeagueInfo!$F$2,IF(C534="WR",LeagueInfo!$D$5*LeagueInfo!$F$2,IF(C534="TE",LeagueInfo!$D$6*LeagueInfo!$F$2,LeagueInfo!$D$3*LeagueInfo!$F$2)))</f>
        <v>12</v>
      </c>
    </row>
    <row r="535" spans="1:9" x14ac:dyDescent="0.25">
      <c r="A535">
        <f ca="1">RANK(E535,E$2:E$541)</f>
        <v>534</v>
      </c>
      <c r="B535" t="s">
        <v>2667</v>
      </c>
      <c r="C535" t="s">
        <v>29</v>
      </c>
      <c r="D535">
        <f ca="1">INDEX(INDIRECT($C535&amp;"!P:P"),MATCH($B535,INDIRECT($C535&amp;"!B:B"),0))</f>
        <v>0.4</v>
      </c>
      <c r="E535" s="210">
        <f ca="1">D535-LARGE(D$2:D$486,RBCount+WRCount+TECount+QBCount)</f>
        <v>-110.8</v>
      </c>
      <c r="F535" t="str">
        <f ca="1">IF(H535&lt;=I535,"Starter",IF(G535&gt;=LARGE(G:G,FlexOn*LeagueInfo!$F$2),"Starter","Bench"))</f>
        <v>Bench</v>
      </c>
      <c r="G535">
        <f ca="1">IF(H535&gt;I535,D535,0)</f>
        <v>0.4</v>
      </c>
      <c r="H535">
        <f ca="1">INDEX(INDIRECT(""&amp;C535&amp;"!A2:A489"),MATCH(B535,INDIRECT(""&amp;C535&amp;"!B2:B489"),0))</f>
        <v>76</v>
      </c>
      <c r="I535">
        <f>IF(C535="RB",LeagueInfo!$D$4*LeagueInfo!$F$2,IF(C535="WR",LeagueInfo!$D$5*LeagueInfo!$F$2,IF(C535="TE",LeagueInfo!$D$6*LeagueInfo!$F$2,LeagueInfo!$D$3*LeagueInfo!$F$2)))</f>
        <v>12</v>
      </c>
    </row>
    <row r="536" spans="1:9" x14ac:dyDescent="0.25">
      <c r="A536">
        <f ca="1">RANK(E536,E$2:E$541)</f>
        <v>535</v>
      </c>
      <c r="B536" t="s">
        <v>1009</v>
      </c>
      <c r="C536" t="s">
        <v>28</v>
      </c>
      <c r="D536">
        <f ca="1">INDEX(INDIRECT($C536&amp;"!P:P"),MATCH($B536,INDIRECT($C536&amp;"!B:B"),0))</f>
        <v>0</v>
      </c>
      <c r="E536" s="210">
        <f ca="1">D536-LARGE(D$2:D$486,RBCount+WRCount+TECount+QBCount)</f>
        <v>-111.2</v>
      </c>
      <c r="F536" t="str">
        <f ca="1">IF(H536&lt;=I536,"Starter",IF(G536&gt;=LARGE(G:G,FlexOn*LeagueInfo!$F$2),"Starter","Bench"))</f>
        <v>Bench</v>
      </c>
      <c r="G536">
        <f ca="1">IF(H536&gt;I536,D536,0)</f>
        <v>0</v>
      </c>
      <c r="H536">
        <f ca="1">INDEX(INDIRECT(""&amp;C536&amp;"!A2:A489"),MATCH(B536,INDIRECT(""&amp;C536&amp;"!B2:B489"),0))</f>
        <v>137</v>
      </c>
      <c r="I536">
        <f>IF(C536="RB",LeagueInfo!$D$4*LeagueInfo!$F$2,IF(C536="WR",LeagueInfo!$D$5*LeagueInfo!$F$2,IF(C536="TE",LeagueInfo!$D$6*LeagueInfo!$F$2,LeagueInfo!$D$3*LeagueInfo!$F$2)))</f>
        <v>24</v>
      </c>
    </row>
    <row r="537" spans="1:9" x14ac:dyDescent="0.25">
      <c r="A537">
        <f ca="1">RANK(E537,E$2:E$541)</f>
        <v>535</v>
      </c>
      <c r="B537" t="s">
        <v>2745</v>
      </c>
      <c r="C537" t="s">
        <v>35</v>
      </c>
      <c r="D537">
        <f ca="1">INDEX(INDIRECT($C537&amp;"!P:P"),MATCH($B537,INDIRECT($C537&amp;"!B:B"),0))</f>
        <v>0</v>
      </c>
      <c r="E537" s="210">
        <f ca="1">D537-LARGE(D$2:D$486,RBCount+WRCount+TECount+QBCount)</f>
        <v>-111.2</v>
      </c>
      <c r="F537" t="str">
        <f ca="1">IF(H537&lt;=I537,"Starter",IF(G537&gt;=LARGE(G:G,FlexOn*LeagueInfo!$F$2),"Starter","Bench"))</f>
        <v>Bench</v>
      </c>
      <c r="G537">
        <f ca="1">IF(H537&gt;I537,D537,0)</f>
        <v>0</v>
      </c>
      <c r="H537">
        <f ca="1">INDEX(INDIRECT(""&amp;C537&amp;"!A2:A489"),MATCH(B537,INDIRECT(""&amp;C537&amp;"!B2:B489"),0))</f>
        <v>211</v>
      </c>
      <c r="I537">
        <f>IF(C537="RB",LeagueInfo!$D$4*LeagueInfo!$F$2,IF(C537="WR",LeagueInfo!$D$5*LeagueInfo!$F$2,IF(C537="TE",LeagueInfo!$D$6*LeagueInfo!$F$2,LeagueInfo!$D$3*LeagueInfo!$F$2)))</f>
        <v>24</v>
      </c>
    </row>
    <row r="538" spans="1:9" x14ac:dyDescent="0.25">
      <c r="A538">
        <f ca="1">RANK(E538,E$2:E$541)</f>
        <v>535</v>
      </c>
      <c r="B538" t="s">
        <v>759</v>
      </c>
      <c r="C538" t="s">
        <v>43</v>
      </c>
      <c r="D538">
        <f ca="1">INDEX(INDIRECT($C538&amp;"!P:P"),MATCH($B538,INDIRECT($C538&amp;"!B:B"),0))</f>
        <v>0</v>
      </c>
      <c r="E538" s="210">
        <f ca="1">D538-LARGE(D$2:D$486,RBCount+WRCount+TECount+QBCount)</f>
        <v>-111.2</v>
      </c>
      <c r="F538" t="str">
        <f ca="1">IF(H538&lt;=I538,"Starter",IF(G538&gt;=LARGE(G:G,FlexOn*LeagueInfo!$F$2),"Starter","Bench"))</f>
        <v>Bench</v>
      </c>
      <c r="G538">
        <f ca="1">IF(H538&gt;I538,D538,0)</f>
        <v>0</v>
      </c>
      <c r="H538">
        <f ca="1">INDEX(INDIRECT(""&amp;C538&amp;"!A2:A489"),MATCH(B538,INDIRECT(""&amp;C538&amp;"!B2:B489"),0))</f>
        <v>113</v>
      </c>
      <c r="I538">
        <f>IF(C538="RB",LeagueInfo!$D$4*LeagueInfo!$F$2,IF(C538="WR",LeagueInfo!$D$5*LeagueInfo!$F$2,IF(C538="TE",LeagueInfo!$D$6*LeagueInfo!$F$2,LeagueInfo!$D$3*LeagueInfo!$F$2)))</f>
        <v>12</v>
      </c>
    </row>
    <row r="539" spans="1:9" x14ac:dyDescent="0.25">
      <c r="A539">
        <f ca="1">RANK(E539,E$2:E$541)</f>
        <v>535</v>
      </c>
      <c r="B539" t="s">
        <v>1003</v>
      </c>
      <c r="C539" t="s">
        <v>29</v>
      </c>
      <c r="D539">
        <f ca="1">INDEX(INDIRECT($C539&amp;"!P:P"),MATCH($B539,INDIRECT($C539&amp;"!B:B"),0))</f>
        <v>0</v>
      </c>
      <c r="E539" s="210">
        <f ca="1">D539-LARGE(D$2:D$486,RBCount+WRCount+TECount+QBCount)</f>
        <v>-111.2</v>
      </c>
      <c r="F539" t="str">
        <f ca="1">IF(H539&lt;=I539,"Starter",IF(G539&gt;=LARGE(G:G,FlexOn*LeagueInfo!$F$2),"Starter","Bench"))</f>
        <v>Bench</v>
      </c>
      <c r="G539">
        <f ca="1">IF(H539&gt;I539,D539,0)</f>
        <v>0</v>
      </c>
      <c r="H539">
        <f ca="1">INDEX(INDIRECT(""&amp;C539&amp;"!A2:A489"),MATCH(B539,INDIRECT(""&amp;C539&amp;"!B2:B489"),0))</f>
        <v>77</v>
      </c>
      <c r="I539">
        <f>IF(C539="RB",LeagueInfo!$D$4*LeagueInfo!$F$2,IF(C539="WR",LeagueInfo!$D$5*LeagueInfo!$F$2,IF(C539="TE",LeagueInfo!$D$6*LeagueInfo!$F$2,LeagueInfo!$D$3*LeagueInfo!$F$2)))</f>
        <v>12</v>
      </c>
    </row>
    <row r="540" spans="1:9" x14ac:dyDescent="0.25">
      <c r="A540">
        <f ca="1">RANK(E540,E$2:E$541)</f>
        <v>535</v>
      </c>
      <c r="B540" t="s">
        <v>923</v>
      </c>
      <c r="C540" t="s">
        <v>29</v>
      </c>
      <c r="D540">
        <f ca="1">INDEX(INDIRECT($C540&amp;"!P:P"),MATCH($B540,INDIRECT($C540&amp;"!B:B"),0))</f>
        <v>0</v>
      </c>
      <c r="E540" s="210">
        <f ca="1">D540-LARGE(D$2:D$486,RBCount+WRCount+TECount+QBCount)</f>
        <v>-111.2</v>
      </c>
      <c r="F540" t="str">
        <f ca="1">IF(H540&lt;=I540,"Starter",IF(G540&gt;=LARGE(G:G,FlexOn*LeagueInfo!$F$2),"Starter","Bench"))</f>
        <v>Bench</v>
      </c>
      <c r="G540">
        <f ca="1">IF(H540&gt;I540,D540,0)</f>
        <v>0</v>
      </c>
      <c r="H540">
        <f ca="1">INDEX(INDIRECT(""&amp;C540&amp;"!A2:A489"),MATCH(B540,INDIRECT(""&amp;C540&amp;"!B2:B489"),0))</f>
        <v>77</v>
      </c>
      <c r="I540">
        <f>IF(C540="RB",LeagueInfo!$D$4*LeagueInfo!$F$2,IF(C540="WR",LeagueInfo!$D$5*LeagueInfo!$F$2,IF(C540="TE",LeagueInfo!$D$6*LeagueInfo!$F$2,LeagueInfo!$D$3*LeagueInfo!$F$2)))</f>
        <v>12</v>
      </c>
    </row>
    <row r="541" spans="1:9" x14ac:dyDescent="0.25">
      <c r="A541">
        <f ca="1">RANK(E541,E$2:E$541)</f>
        <v>535</v>
      </c>
      <c r="B541" t="s">
        <v>924</v>
      </c>
      <c r="C541" t="s">
        <v>29</v>
      </c>
      <c r="D541">
        <f ca="1">INDEX(INDIRECT($C541&amp;"!P:P"),MATCH($B541,INDIRECT($C541&amp;"!B:B"),0))</f>
        <v>0</v>
      </c>
      <c r="E541" s="210">
        <f ca="1">D541-LARGE(D$2:D$486,RBCount+WRCount+TECount+QBCount)</f>
        <v>-111.2</v>
      </c>
      <c r="F541" t="str">
        <f ca="1">IF(H541&lt;=I541,"Starter",IF(G541&gt;=LARGE(G:G,FlexOn*LeagueInfo!$F$2),"Starter","Bench"))</f>
        <v>Bench</v>
      </c>
      <c r="G541">
        <f ca="1">IF(H541&gt;I541,D541,0)</f>
        <v>0</v>
      </c>
      <c r="H541">
        <f ca="1">INDEX(INDIRECT(""&amp;C541&amp;"!A2:A489"),MATCH(B541,INDIRECT(""&amp;C541&amp;"!B2:B489"),0))</f>
        <v>77</v>
      </c>
      <c r="I541">
        <f>IF(C541="RB",LeagueInfo!$D$4*LeagueInfo!$F$2,IF(C541="WR",LeagueInfo!$D$5*LeagueInfo!$F$2,IF(C541="TE",LeagueInfo!$D$6*LeagueInfo!$F$2,LeagueInfo!$D$3*LeagueInfo!$F$2)))</f>
        <v>12</v>
      </c>
    </row>
  </sheetData>
  <autoFilter ref="A1:I75" xr:uid="{CE16C811-D9A0-4B4E-AFC5-313F5CE117D2}"/>
  <sortState xmlns:xlrd2="http://schemas.microsoft.com/office/spreadsheetml/2017/richdata2" ref="A2:J541">
    <sortCondition descending="1" ref="E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J349"/>
  <sheetViews>
    <sheetView zoomScaleNormal="100" workbookViewId="0">
      <selection activeCell="A2" sqref="A2:J349"/>
    </sheetView>
  </sheetViews>
  <sheetFormatPr defaultColWidth="8.85546875" defaultRowHeight="15" x14ac:dyDescent="0.25"/>
  <cols>
    <col min="2" max="2" width="23.42578125" bestFit="1" customWidth="1"/>
    <col min="3" max="3" width="4.42578125" bestFit="1" customWidth="1"/>
  </cols>
  <sheetData>
    <row r="1" spans="1:10" ht="24.75" x14ac:dyDescent="0.25">
      <c r="A1" s="1" t="s">
        <v>253</v>
      </c>
      <c r="B1" s="1" t="s">
        <v>85</v>
      </c>
      <c r="C1" s="1" t="s">
        <v>254</v>
      </c>
      <c r="D1" s="2" t="s">
        <v>263</v>
      </c>
      <c r="E1" s="3" t="s">
        <v>14</v>
      </c>
      <c r="F1" s="3" t="s">
        <v>411</v>
      </c>
      <c r="G1" s="3" t="s">
        <v>412</v>
      </c>
      <c r="H1" s="3" t="s">
        <v>413</v>
      </c>
      <c r="I1" s="3" t="s">
        <v>414</v>
      </c>
      <c r="J1" s="3"/>
    </row>
    <row r="2" spans="1:10" x14ac:dyDescent="0.25">
      <c r="A2">
        <f ca="1">RANK(E2,E$2:E$349)</f>
        <v>1</v>
      </c>
      <c r="B2" t="s">
        <v>879</v>
      </c>
      <c r="C2" t="s">
        <v>28</v>
      </c>
      <c r="D2">
        <f ca="1">INDEX(INDIRECT($C2&amp;"!P:P"),MATCH($B2,INDIRECT($C2&amp;"!B:B"),0))</f>
        <v>317.48</v>
      </c>
      <c r="E2" s="6">
        <f ca="1">D2-LARGE(D$2:D$292,RBCount+WRCount)</f>
        <v>208.78000000000003</v>
      </c>
      <c r="F2" t="str">
        <f ca="1">IF(H2&lt;=I2,"Starter",IF(G2&gt;=LARGE(G:G,FlexOn*LeagueInfo!$F$2),"Starter","Bench"))</f>
        <v>Starter</v>
      </c>
      <c r="G2">
        <f ca="1">IF(H2&gt;I2,D2,0)</f>
        <v>0</v>
      </c>
      <c r="H2">
        <f ca="1">INDEX(INDIRECT(""&amp;C2&amp;"!A2:A489"),MATCH(B2,INDIRECT(""&amp;C2&amp;"!B2:B489"),0))</f>
        <v>1</v>
      </c>
      <c r="I2">
        <f>IF(C2="RB",LeagueInfo!$D$4*LeagueInfo!$F$2,LeagueInfo!$D$5*LeagueInfo!$F$2)</f>
        <v>24</v>
      </c>
    </row>
    <row r="3" spans="1:10" x14ac:dyDescent="0.25">
      <c r="A3">
        <f ca="1">RANK(E3,E$2:E$349)</f>
        <v>2</v>
      </c>
      <c r="B3" t="s">
        <v>375</v>
      </c>
      <c r="C3" t="s">
        <v>35</v>
      </c>
      <c r="D3">
        <f ca="1">INDEX(INDIRECT($C3&amp;"!P:P"),MATCH($B3,INDIRECT($C3&amp;"!B:B"),0))</f>
        <v>297.59000000000003</v>
      </c>
      <c r="E3" s="6">
        <f ca="1">D3-LARGE(D$2:D$292,RBCount+WRCount)</f>
        <v>188.89000000000004</v>
      </c>
      <c r="F3" t="str">
        <f ca="1">IF(H3&lt;=I3,"Starter",IF(G3&gt;=LARGE(G:G,FlexOn*LeagueInfo!$F$2),"Starter","Bench"))</f>
        <v>Starter</v>
      </c>
      <c r="G3">
        <f ca="1">IF(H3&gt;I3,D3,0)</f>
        <v>0</v>
      </c>
      <c r="H3">
        <f ca="1">INDEX(INDIRECT(""&amp;C3&amp;"!A2:A489"),MATCH(B3,INDIRECT(""&amp;C3&amp;"!B2:B489"),0))</f>
        <v>1</v>
      </c>
      <c r="I3">
        <f>IF(C3="RB",LeagueInfo!$D$4*LeagueInfo!$F$2,LeagueInfo!$D$5*LeagueInfo!$F$2)</f>
        <v>24</v>
      </c>
    </row>
    <row r="4" spans="1:10" x14ac:dyDescent="0.25">
      <c r="A4">
        <f ca="1">RANK(E4,E$2:E$349)</f>
        <v>3</v>
      </c>
      <c r="B4" t="s">
        <v>116</v>
      </c>
      <c r="C4" t="s">
        <v>28</v>
      </c>
      <c r="D4">
        <f ca="1">INDEX(INDIRECT($C4&amp;"!P:P"),MATCH($B4,INDIRECT($C4&amp;"!B:B"),0))</f>
        <v>293.45000000000005</v>
      </c>
      <c r="E4" s="6">
        <f ca="1">D4-LARGE(D$2:D$292,RBCount+WRCount)</f>
        <v>184.75000000000006</v>
      </c>
      <c r="F4" t="str">
        <f ca="1">IF(H4&lt;=I4,"Starter",IF(G4&gt;=LARGE(G:G,FlexOn*LeagueInfo!$F$2),"Starter","Bench"))</f>
        <v>Starter</v>
      </c>
      <c r="G4">
        <f ca="1">IF(H4&gt;I4,D4,0)</f>
        <v>0</v>
      </c>
      <c r="H4">
        <f ca="1">INDEX(INDIRECT(""&amp;C4&amp;"!A2:A489"),MATCH(B4,INDIRECT(""&amp;C4&amp;"!B2:B489"),0))</f>
        <v>2</v>
      </c>
      <c r="I4">
        <f>IF(C4="RB",LeagueInfo!$D$4*LeagueInfo!$F$2,LeagueInfo!$D$5*LeagueInfo!$F$2)</f>
        <v>24</v>
      </c>
    </row>
    <row r="5" spans="1:10" x14ac:dyDescent="0.25">
      <c r="A5">
        <f ca="1">RANK(E5,E$2:E$349)</f>
        <v>4</v>
      </c>
      <c r="B5" t="s">
        <v>549</v>
      </c>
      <c r="C5" t="s">
        <v>28</v>
      </c>
      <c r="D5">
        <f ca="1">INDEX(INDIRECT($C5&amp;"!P:P"),MATCH($B5,INDIRECT($C5&amp;"!B:B"),0))</f>
        <v>282.33</v>
      </c>
      <c r="E5" s="6">
        <f ca="1">D5-LARGE(D$2:D$292,RBCount+WRCount)</f>
        <v>173.63</v>
      </c>
      <c r="F5" t="str">
        <f ca="1">IF(H5&lt;=I5,"Starter",IF(G5&gt;=LARGE(G:G,FlexOn*LeagueInfo!$F$2),"Starter","Bench"))</f>
        <v>Starter</v>
      </c>
      <c r="G5">
        <f ca="1">IF(H5&gt;I5,D5,0)</f>
        <v>0</v>
      </c>
      <c r="H5">
        <f ca="1">INDEX(INDIRECT(""&amp;C5&amp;"!A2:A489"),MATCH(B5,INDIRECT(""&amp;C5&amp;"!B2:B489"),0))</f>
        <v>3</v>
      </c>
      <c r="I5">
        <f>IF(C5="RB",LeagueInfo!$D$4*LeagueInfo!$F$2,LeagueInfo!$D$5*LeagueInfo!$F$2)</f>
        <v>24</v>
      </c>
    </row>
    <row r="6" spans="1:10" x14ac:dyDescent="0.25">
      <c r="A6">
        <f ca="1">RANK(E6,E$2:E$349)</f>
        <v>5</v>
      </c>
      <c r="B6" t="s">
        <v>148</v>
      </c>
      <c r="C6" t="s">
        <v>28</v>
      </c>
      <c r="D6">
        <f ca="1">INDEX(INDIRECT($C6&amp;"!P:P"),MATCH($B6,INDIRECT($C6&amp;"!B:B"),0))</f>
        <v>278.63</v>
      </c>
      <c r="E6" s="6">
        <f ca="1">D6-LARGE(D$2:D$292,RBCount+WRCount)</f>
        <v>169.93</v>
      </c>
      <c r="F6" t="str">
        <f ca="1">IF(H6&lt;=I6,"Starter",IF(G6&gt;=LARGE(G:G,FlexOn*LeagueInfo!$F$2),"Starter","Bench"))</f>
        <v>Starter</v>
      </c>
      <c r="G6">
        <f ca="1">IF(H6&gt;I6,D6,0)</f>
        <v>0</v>
      </c>
      <c r="H6">
        <f ca="1">INDEX(INDIRECT(""&amp;C6&amp;"!A2:A489"),MATCH(B6,INDIRECT(""&amp;C6&amp;"!B2:B489"),0))</f>
        <v>4</v>
      </c>
      <c r="I6">
        <f>IF(C6="RB",LeagueInfo!$D$4*LeagueInfo!$F$2,LeagueInfo!$D$5*LeagueInfo!$F$2)</f>
        <v>24</v>
      </c>
    </row>
    <row r="7" spans="1:10" x14ac:dyDescent="0.25">
      <c r="A7">
        <f ca="1">RANK(E7,E$2:E$349)</f>
        <v>6</v>
      </c>
      <c r="B7" t="s">
        <v>835</v>
      </c>
      <c r="C7" t="s">
        <v>35</v>
      </c>
      <c r="D7">
        <f ca="1">INDEX(INDIRECT($C7&amp;"!P:P"),MATCH($B7,INDIRECT($C7&amp;"!B:B"),0))</f>
        <v>258.64000000000004</v>
      </c>
      <c r="E7" s="6">
        <f ca="1">D7-LARGE(D$2:D$292,RBCount+WRCount)</f>
        <v>149.94000000000005</v>
      </c>
      <c r="F7" t="str">
        <f ca="1">IF(H7&lt;=I7,"Starter",IF(G7&gt;=LARGE(G:G,FlexOn*LeagueInfo!$F$2),"Starter","Bench"))</f>
        <v>Starter</v>
      </c>
      <c r="G7">
        <f ca="1">IF(H7&gt;I7,D7,0)</f>
        <v>0</v>
      </c>
      <c r="H7">
        <f ca="1">INDEX(INDIRECT(""&amp;C7&amp;"!A2:A489"),MATCH(B7,INDIRECT(""&amp;C7&amp;"!B2:B489"),0))</f>
        <v>2</v>
      </c>
      <c r="I7">
        <f>IF(C7="RB",LeagueInfo!$D$4*LeagueInfo!$F$2,LeagueInfo!$D$5*LeagueInfo!$F$2)</f>
        <v>24</v>
      </c>
    </row>
    <row r="8" spans="1:10" x14ac:dyDescent="0.25">
      <c r="A8">
        <f ca="1">RANK(E8,E$2:E$349)</f>
        <v>7</v>
      </c>
      <c r="B8" t="s">
        <v>945</v>
      </c>
      <c r="C8" t="s">
        <v>35</v>
      </c>
      <c r="D8">
        <f ca="1">INDEX(INDIRECT($C8&amp;"!P:P"),MATCH($B8,INDIRECT($C8&amp;"!B:B"),0))</f>
        <v>255.09000000000003</v>
      </c>
      <c r="E8" s="6">
        <f ca="1">D8-LARGE(D$2:D$292,RBCount+WRCount)</f>
        <v>146.39000000000004</v>
      </c>
      <c r="F8" t="str">
        <f ca="1">IF(H8&lt;=I8,"Starter",IF(G8&gt;=LARGE(G:G,FlexOn*LeagueInfo!$F$2),"Starter","Bench"))</f>
        <v>Starter</v>
      </c>
      <c r="G8">
        <f ca="1">IF(H8&gt;I8,D8,0)</f>
        <v>0</v>
      </c>
      <c r="H8">
        <f ca="1">INDEX(INDIRECT(""&amp;C8&amp;"!A2:A489"),MATCH(B8,INDIRECT(""&amp;C8&amp;"!B2:B489"),0))</f>
        <v>3</v>
      </c>
      <c r="I8">
        <f>IF(C8="RB",LeagueInfo!$D$4*LeagueInfo!$F$2,LeagueInfo!$D$5*LeagueInfo!$F$2)</f>
        <v>24</v>
      </c>
    </row>
    <row r="9" spans="1:10" x14ac:dyDescent="0.25">
      <c r="A9">
        <f ca="1">RANK(E9,E$2:E$349)</f>
        <v>8</v>
      </c>
      <c r="B9" t="s">
        <v>335</v>
      </c>
      <c r="C9" t="s">
        <v>28</v>
      </c>
      <c r="D9">
        <f ca="1">INDEX(INDIRECT($C9&amp;"!P:P"),MATCH($B9,INDIRECT($C9&amp;"!B:B"),0))</f>
        <v>249.96</v>
      </c>
      <c r="E9" s="6">
        <f ca="1">D9-LARGE(D$2:D$292,RBCount+WRCount)</f>
        <v>141.26</v>
      </c>
      <c r="F9" t="str">
        <f ca="1">IF(H9&lt;=I9,"Starter",IF(G9&gt;=LARGE(G:G,FlexOn*LeagueInfo!$F$2),"Starter","Bench"))</f>
        <v>Starter</v>
      </c>
      <c r="G9">
        <f ca="1">IF(H9&gt;I9,D9,0)</f>
        <v>0</v>
      </c>
      <c r="H9">
        <f ca="1">INDEX(INDIRECT(""&amp;C9&amp;"!A2:A489"),MATCH(B9,INDIRECT(""&amp;C9&amp;"!B2:B489"),0))</f>
        <v>5</v>
      </c>
      <c r="I9">
        <f>IF(C9="RB",LeagueInfo!$D$4*LeagueInfo!$F$2,LeagueInfo!$D$5*LeagueInfo!$F$2)</f>
        <v>24</v>
      </c>
    </row>
    <row r="10" spans="1:10" x14ac:dyDescent="0.25">
      <c r="A10">
        <f ca="1">RANK(E10,E$2:E$349)</f>
        <v>9</v>
      </c>
      <c r="B10" t="s">
        <v>118</v>
      </c>
      <c r="C10" t="s">
        <v>28</v>
      </c>
      <c r="D10">
        <f ca="1">INDEX(INDIRECT($C10&amp;"!P:P"),MATCH($B10,INDIRECT($C10&amp;"!B:B"),0))</f>
        <v>246.72</v>
      </c>
      <c r="E10" s="6">
        <f ca="1">D10-LARGE(D$2:D$292,RBCount+WRCount)</f>
        <v>138.01999999999998</v>
      </c>
      <c r="F10" t="str">
        <f ca="1">IF(H10&lt;=I10,"Starter",IF(G10&gt;=LARGE(G:G,FlexOn*LeagueInfo!$F$2),"Starter","Bench"))</f>
        <v>Starter</v>
      </c>
      <c r="G10">
        <f ca="1">IF(H10&gt;I10,D10,0)</f>
        <v>0</v>
      </c>
      <c r="H10">
        <f ca="1">INDEX(INDIRECT(""&amp;C10&amp;"!A2:A489"),MATCH(B10,INDIRECT(""&amp;C10&amp;"!B2:B489"),0))</f>
        <v>6</v>
      </c>
      <c r="I10">
        <f>IF(C10="RB",LeagueInfo!$D$4*LeagueInfo!$F$2,LeagueInfo!$D$5*LeagueInfo!$F$2)</f>
        <v>24</v>
      </c>
    </row>
    <row r="11" spans="1:10" x14ac:dyDescent="0.25">
      <c r="A11">
        <f ca="1">RANK(E11,E$2:E$349)</f>
        <v>10</v>
      </c>
      <c r="B11" t="s">
        <v>926</v>
      </c>
      <c r="C11" t="s">
        <v>28</v>
      </c>
      <c r="D11">
        <f ca="1">INDEX(INDIRECT($C11&amp;"!P:P"),MATCH($B11,INDIRECT($C11&amp;"!B:B"),0))</f>
        <v>244.26000000000002</v>
      </c>
      <c r="E11" s="6">
        <f ca="1">D11-LARGE(D$2:D$292,RBCount+WRCount)</f>
        <v>135.56</v>
      </c>
      <c r="F11" t="str">
        <f ca="1">IF(H11&lt;=I11,"Starter",IF(G11&gt;=LARGE(G:G,FlexOn*LeagueInfo!$F$2),"Starter","Bench"))</f>
        <v>Starter</v>
      </c>
      <c r="G11">
        <f ca="1">IF(H11&gt;I11,D11,0)</f>
        <v>0</v>
      </c>
      <c r="H11">
        <f ca="1">INDEX(INDIRECT(""&amp;C11&amp;"!A2:A489"),MATCH(B11,INDIRECT(""&amp;C11&amp;"!B2:B489"),0))</f>
        <v>7</v>
      </c>
      <c r="I11">
        <f>IF(C11="RB",LeagueInfo!$D$4*LeagueInfo!$F$2,LeagueInfo!$D$5*LeagueInfo!$F$2)</f>
        <v>24</v>
      </c>
    </row>
    <row r="12" spans="1:10" x14ac:dyDescent="0.25">
      <c r="A12">
        <f ca="1">RANK(E12,E$2:E$349)</f>
        <v>11</v>
      </c>
      <c r="B12" t="s">
        <v>139</v>
      </c>
      <c r="C12" t="s">
        <v>28</v>
      </c>
      <c r="D12">
        <f ca="1">INDEX(INDIRECT($C12&amp;"!P:P"),MATCH($B12,INDIRECT($C12&amp;"!B:B"),0))</f>
        <v>242.92</v>
      </c>
      <c r="E12" s="6">
        <f ca="1">D12-LARGE(D$2:D$292,RBCount+WRCount)</f>
        <v>134.21999999999997</v>
      </c>
      <c r="F12" t="str">
        <f ca="1">IF(H12&lt;=I12,"Starter",IF(G12&gt;=LARGE(G:G,FlexOn*LeagueInfo!$F$2),"Starter","Bench"))</f>
        <v>Starter</v>
      </c>
      <c r="G12">
        <f ca="1">IF(H12&gt;I12,D12,0)</f>
        <v>0</v>
      </c>
      <c r="H12">
        <f ca="1">INDEX(INDIRECT(""&amp;C12&amp;"!A2:A489"),MATCH(B12,INDIRECT(""&amp;C12&amp;"!B2:B489"),0))</f>
        <v>8</v>
      </c>
      <c r="I12">
        <f>IF(C12="RB",LeagueInfo!$D$4*LeagueInfo!$F$2,LeagueInfo!$D$5*LeagueInfo!$F$2)</f>
        <v>24</v>
      </c>
    </row>
    <row r="13" spans="1:10" x14ac:dyDescent="0.25">
      <c r="A13">
        <f ca="1">RANK(E13,E$2:E$349)</f>
        <v>12</v>
      </c>
      <c r="B13" t="s">
        <v>125</v>
      </c>
      <c r="C13" t="s">
        <v>35</v>
      </c>
      <c r="D13">
        <f ca="1">INDEX(INDIRECT($C13&amp;"!P:P"),MATCH($B13,INDIRECT($C13&amp;"!B:B"),0))</f>
        <v>240.86</v>
      </c>
      <c r="E13" s="6">
        <f ca="1">D13-LARGE(D$2:D$292,RBCount+WRCount)</f>
        <v>132.16000000000003</v>
      </c>
      <c r="F13" t="str">
        <f ca="1">IF(H13&lt;=I13,"Starter",IF(G13&gt;=LARGE(G:G,FlexOn*LeagueInfo!$F$2),"Starter","Bench"))</f>
        <v>Starter</v>
      </c>
      <c r="G13">
        <f ca="1">IF(H13&gt;I13,D13,0)</f>
        <v>0</v>
      </c>
      <c r="H13">
        <f ca="1">INDEX(INDIRECT(""&amp;C13&amp;"!A2:A489"),MATCH(B13,INDIRECT(""&amp;C13&amp;"!B2:B489"),0))</f>
        <v>4</v>
      </c>
      <c r="I13">
        <f>IF(C13="RB",LeagueInfo!$D$4*LeagueInfo!$F$2,LeagueInfo!$D$5*LeagueInfo!$F$2)</f>
        <v>24</v>
      </c>
    </row>
    <row r="14" spans="1:10" x14ac:dyDescent="0.25">
      <c r="A14">
        <f ca="1">RANK(E14,E$2:E$349)</f>
        <v>13</v>
      </c>
      <c r="B14" t="s">
        <v>702</v>
      </c>
      <c r="C14" t="s">
        <v>35</v>
      </c>
      <c r="D14">
        <f ca="1">INDEX(INDIRECT($C14&amp;"!P:P"),MATCH($B14,INDIRECT($C14&amp;"!B:B"),0))</f>
        <v>240.51</v>
      </c>
      <c r="E14" s="6">
        <f ca="1">D14-LARGE(D$2:D$292,RBCount+WRCount)</f>
        <v>131.81</v>
      </c>
      <c r="F14" t="str">
        <f ca="1">IF(H14&lt;=I14,"Starter",IF(G14&gt;=LARGE(G:G,FlexOn*LeagueInfo!$F$2),"Starter","Bench"))</f>
        <v>Starter</v>
      </c>
      <c r="G14">
        <f ca="1">IF(H14&gt;I14,D14,0)</f>
        <v>0</v>
      </c>
      <c r="H14">
        <f ca="1">INDEX(INDIRECT(""&amp;C14&amp;"!A2:A489"),MATCH(B14,INDIRECT(""&amp;C14&amp;"!B2:B489"),0))</f>
        <v>5</v>
      </c>
      <c r="I14">
        <f>IF(C14="RB",LeagueInfo!$D$4*LeagueInfo!$F$2,LeagueInfo!$D$5*LeagueInfo!$F$2)</f>
        <v>24</v>
      </c>
    </row>
    <row r="15" spans="1:10" x14ac:dyDescent="0.25">
      <c r="A15">
        <f ca="1">RANK(E15,E$2:E$349)</f>
        <v>14</v>
      </c>
      <c r="B15" t="s">
        <v>346</v>
      </c>
      <c r="C15" t="s">
        <v>28</v>
      </c>
      <c r="D15">
        <f ca="1">INDEX(INDIRECT($C15&amp;"!P:P"),MATCH($B15,INDIRECT($C15&amp;"!B:B"),0))</f>
        <v>232.56000000000003</v>
      </c>
      <c r="E15" s="6">
        <f ca="1">D15-LARGE(D$2:D$292,RBCount+WRCount)</f>
        <v>123.86000000000003</v>
      </c>
      <c r="F15" t="str">
        <f ca="1">IF(H15&lt;=I15,"Starter",IF(G15&gt;=LARGE(G:G,FlexOn*LeagueInfo!$F$2),"Starter","Bench"))</f>
        <v>Starter</v>
      </c>
      <c r="G15">
        <f ca="1">IF(H15&gt;I15,D15,0)</f>
        <v>0</v>
      </c>
      <c r="H15">
        <f ca="1">INDEX(INDIRECT(""&amp;C15&amp;"!A2:A489"),MATCH(B15,INDIRECT(""&amp;C15&amp;"!B2:B489"),0))</f>
        <v>9</v>
      </c>
      <c r="I15">
        <f>IF(C15="RB",LeagueInfo!$D$4*LeagueInfo!$F$2,LeagueInfo!$D$5*LeagueInfo!$F$2)</f>
        <v>24</v>
      </c>
    </row>
    <row r="16" spans="1:10" x14ac:dyDescent="0.25">
      <c r="A16">
        <f ca="1">RANK(E16,E$2:E$349)</f>
        <v>15</v>
      </c>
      <c r="B16" t="s">
        <v>111</v>
      </c>
      <c r="C16" t="s">
        <v>28</v>
      </c>
      <c r="D16">
        <f ca="1">INDEX(INDIRECT($C16&amp;"!P:P"),MATCH($B16,INDIRECT($C16&amp;"!B:B"),0))</f>
        <v>230.97</v>
      </c>
      <c r="E16" s="6">
        <f ca="1">D16-LARGE(D$2:D$292,RBCount+WRCount)</f>
        <v>122.27</v>
      </c>
      <c r="F16" t="str">
        <f ca="1">IF(H16&lt;=I16,"Starter",IF(G16&gt;=LARGE(G:G,FlexOn*LeagueInfo!$F$2),"Starter","Bench"))</f>
        <v>Starter</v>
      </c>
      <c r="G16">
        <f ca="1">IF(H16&gt;I16,D16,0)</f>
        <v>0</v>
      </c>
      <c r="H16">
        <f ca="1">INDEX(INDIRECT(""&amp;C16&amp;"!A2:A489"),MATCH(B16,INDIRECT(""&amp;C16&amp;"!B2:B489"),0))</f>
        <v>10</v>
      </c>
      <c r="I16">
        <f>IF(C16="RB",LeagueInfo!$D$4*LeagueInfo!$F$2,LeagueInfo!$D$5*LeagueInfo!$F$2)</f>
        <v>24</v>
      </c>
    </row>
    <row r="17" spans="1:9" x14ac:dyDescent="0.25">
      <c r="A17">
        <f ca="1">RANK(E17,E$2:E$349)</f>
        <v>16</v>
      </c>
      <c r="B17" t="s">
        <v>169</v>
      </c>
      <c r="C17" t="s">
        <v>35</v>
      </c>
      <c r="D17">
        <f ca="1">INDEX(INDIRECT($C17&amp;"!P:P"),MATCH($B17,INDIRECT($C17&amp;"!B:B"),0))</f>
        <v>228.82000000000002</v>
      </c>
      <c r="E17" s="6">
        <f ca="1">D17-LARGE(D$2:D$292,RBCount+WRCount)</f>
        <v>120.12000000000002</v>
      </c>
      <c r="F17" t="str">
        <f ca="1">IF(H17&lt;=I17,"Starter",IF(G17&gt;=LARGE(G:G,FlexOn*LeagueInfo!$F$2),"Starter","Bench"))</f>
        <v>Starter</v>
      </c>
      <c r="G17">
        <f ca="1">IF(H17&gt;I17,D17,0)</f>
        <v>0</v>
      </c>
      <c r="H17">
        <f ca="1">INDEX(INDIRECT(""&amp;C17&amp;"!A2:A489"),MATCH(B17,INDIRECT(""&amp;C17&amp;"!B2:B489"),0))</f>
        <v>6</v>
      </c>
      <c r="I17">
        <f>IF(C17="RB",LeagueInfo!$D$4*LeagueInfo!$F$2,LeagueInfo!$D$5*LeagueInfo!$F$2)</f>
        <v>24</v>
      </c>
    </row>
    <row r="18" spans="1:9" x14ac:dyDescent="0.25">
      <c r="A18">
        <f ca="1">RANK(E18,E$2:E$349)</f>
        <v>17</v>
      </c>
      <c r="B18" t="s">
        <v>880</v>
      </c>
      <c r="C18" t="s">
        <v>28</v>
      </c>
      <c r="D18">
        <f ca="1">INDEX(INDIRECT($C18&amp;"!P:P"),MATCH($B18,INDIRECT($C18&amp;"!B:B"),0))</f>
        <v>224.06999999999996</v>
      </c>
      <c r="E18" s="6">
        <f ca="1">D18-LARGE(D$2:D$292,RBCount+WRCount)</f>
        <v>115.36999999999996</v>
      </c>
      <c r="F18" t="str">
        <f ca="1">IF(H18&lt;=I18,"Starter",IF(G18&gt;=LARGE(G:G,FlexOn*LeagueInfo!$F$2),"Starter","Bench"))</f>
        <v>Starter</v>
      </c>
      <c r="G18">
        <f ca="1">IF(H18&gt;I18,D18,0)</f>
        <v>0</v>
      </c>
      <c r="H18">
        <f ca="1">INDEX(INDIRECT(""&amp;C18&amp;"!A2:A489"),MATCH(B18,INDIRECT(""&amp;C18&amp;"!B2:B489"),0))</f>
        <v>11</v>
      </c>
      <c r="I18">
        <f>IF(C18="RB",LeagueInfo!$D$4*LeagueInfo!$F$2,LeagueInfo!$D$5*LeagueInfo!$F$2)</f>
        <v>24</v>
      </c>
    </row>
    <row r="19" spans="1:9" x14ac:dyDescent="0.25">
      <c r="A19">
        <f ca="1">RANK(E19,E$2:E$349)</f>
        <v>18</v>
      </c>
      <c r="B19" t="s">
        <v>541</v>
      </c>
      <c r="C19" t="s">
        <v>28</v>
      </c>
      <c r="D19">
        <f ca="1">INDEX(INDIRECT($C19&amp;"!P:P"),MATCH($B19,INDIRECT($C19&amp;"!B:B"),0))</f>
        <v>222.48</v>
      </c>
      <c r="E19" s="6">
        <f ca="1">D19-LARGE(D$2:D$292,RBCount+WRCount)</f>
        <v>113.77999999999999</v>
      </c>
      <c r="F19" t="str">
        <f ca="1">IF(H19&lt;=I19,"Starter",IF(G19&gt;=LARGE(G:G,FlexOn*LeagueInfo!$F$2),"Starter","Bench"))</f>
        <v>Starter</v>
      </c>
      <c r="G19">
        <f ca="1">IF(H19&gt;I19,D19,0)</f>
        <v>0</v>
      </c>
      <c r="H19">
        <f ca="1">INDEX(INDIRECT(""&amp;C19&amp;"!A2:A489"),MATCH(B19,INDIRECT(""&amp;C19&amp;"!B2:B489"),0))</f>
        <v>12</v>
      </c>
      <c r="I19">
        <f>IF(C19="RB",LeagueInfo!$D$4*LeagueInfo!$F$2,LeagueInfo!$D$5*LeagueInfo!$F$2)</f>
        <v>24</v>
      </c>
    </row>
    <row r="20" spans="1:9" x14ac:dyDescent="0.25">
      <c r="A20">
        <f ca="1">RANK(E20,E$2:E$349)</f>
        <v>19</v>
      </c>
      <c r="B20" t="s">
        <v>339</v>
      </c>
      <c r="C20" t="s">
        <v>28</v>
      </c>
      <c r="D20">
        <f ca="1">INDEX(INDIRECT($C20&amp;"!P:P"),MATCH($B20,INDIRECT($C20&amp;"!B:B"),0))</f>
        <v>220.68</v>
      </c>
      <c r="E20" s="6">
        <f ca="1">D20-LARGE(D$2:D$292,RBCount+WRCount)</f>
        <v>111.98</v>
      </c>
      <c r="F20" t="str">
        <f ca="1">IF(H20&lt;=I20,"Starter",IF(G20&gt;=LARGE(G:G,FlexOn*LeagueInfo!$F$2),"Starter","Bench"))</f>
        <v>Starter</v>
      </c>
      <c r="G20">
        <f ca="1">IF(H20&gt;I20,D20,0)</f>
        <v>0</v>
      </c>
      <c r="H20">
        <f ca="1">INDEX(INDIRECT(""&amp;C20&amp;"!A2:A489"),MATCH(B20,INDIRECT(""&amp;C20&amp;"!B2:B489"),0))</f>
        <v>13</v>
      </c>
      <c r="I20">
        <f>IF(C20="RB",LeagueInfo!$D$4*LeagueInfo!$F$2,LeagueInfo!$D$5*LeagueInfo!$F$2)</f>
        <v>24</v>
      </c>
    </row>
    <row r="21" spans="1:9" x14ac:dyDescent="0.25">
      <c r="A21">
        <f ca="1">RANK(E21,E$2:E$349)</f>
        <v>20</v>
      </c>
      <c r="B21" t="s">
        <v>927</v>
      </c>
      <c r="C21" t="s">
        <v>28</v>
      </c>
      <c r="D21">
        <f ca="1">INDEX(INDIRECT($C21&amp;"!P:P"),MATCH($B21,INDIRECT($C21&amp;"!B:B"),0))</f>
        <v>219.67</v>
      </c>
      <c r="E21" s="6">
        <f ca="1">D21-LARGE(D$2:D$292,RBCount+WRCount)</f>
        <v>110.96999999999998</v>
      </c>
      <c r="F21" t="str">
        <f ca="1">IF(H21&lt;=I21,"Starter",IF(G21&gt;=LARGE(G:G,FlexOn*LeagueInfo!$F$2),"Starter","Bench"))</f>
        <v>Starter</v>
      </c>
      <c r="G21">
        <f ca="1">IF(H21&gt;I21,D21,0)</f>
        <v>0</v>
      </c>
      <c r="H21">
        <f ca="1">INDEX(INDIRECT(""&amp;C21&amp;"!A2:A489"),MATCH(B21,INDIRECT(""&amp;C21&amp;"!B2:B489"),0))</f>
        <v>14</v>
      </c>
      <c r="I21">
        <f>IF(C21="RB",LeagueInfo!$D$4*LeagueInfo!$F$2,LeagueInfo!$D$5*LeagueInfo!$F$2)</f>
        <v>24</v>
      </c>
    </row>
    <row r="22" spans="1:9" x14ac:dyDescent="0.25">
      <c r="A22">
        <f ca="1">RANK(E22,E$2:E$349)</f>
        <v>21</v>
      </c>
      <c r="B22" t="s">
        <v>832</v>
      </c>
      <c r="C22" t="s">
        <v>35</v>
      </c>
      <c r="D22">
        <f ca="1">INDEX(INDIRECT($C22&amp;"!P:P"),MATCH($B22,INDIRECT($C22&amp;"!B:B"),0))</f>
        <v>218.93</v>
      </c>
      <c r="E22" s="6">
        <f ca="1">D22-LARGE(D$2:D$292,RBCount+WRCount)</f>
        <v>110.23</v>
      </c>
      <c r="F22" t="str">
        <f ca="1">IF(H22&lt;=I22,"Starter",IF(G22&gt;=LARGE(G:G,FlexOn*LeagueInfo!$F$2),"Starter","Bench"))</f>
        <v>Starter</v>
      </c>
      <c r="G22">
        <f ca="1">IF(H22&gt;I22,D22,0)</f>
        <v>0</v>
      </c>
      <c r="H22">
        <f ca="1">INDEX(INDIRECT(""&amp;C22&amp;"!A2:A489"),MATCH(B22,INDIRECT(""&amp;C22&amp;"!B2:B489"),0))</f>
        <v>7</v>
      </c>
      <c r="I22">
        <f>IF(C22="RB",LeagueInfo!$D$4*LeagueInfo!$F$2,LeagueInfo!$D$5*LeagueInfo!$F$2)</f>
        <v>24</v>
      </c>
    </row>
    <row r="23" spans="1:9" x14ac:dyDescent="0.25">
      <c r="A23">
        <f ca="1">RANK(E23,E$2:E$349)</f>
        <v>22</v>
      </c>
      <c r="B23" t="s">
        <v>132</v>
      </c>
      <c r="C23" t="s">
        <v>35</v>
      </c>
      <c r="D23">
        <f ca="1">INDEX(INDIRECT($C23&amp;"!P:P"),MATCH($B23,INDIRECT($C23&amp;"!B:B"),0))</f>
        <v>218.57</v>
      </c>
      <c r="E23" s="6">
        <f ca="1">D23-LARGE(D$2:D$292,RBCount+WRCount)</f>
        <v>109.86999999999999</v>
      </c>
      <c r="F23" t="str">
        <f ca="1">IF(H23&lt;=I23,"Starter",IF(G23&gt;=LARGE(G:G,FlexOn*LeagueInfo!$F$2),"Starter","Bench"))</f>
        <v>Starter</v>
      </c>
      <c r="G23">
        <f ca="1">IF(H23&gt;I23,D23,0)</f>
        <v>0</v>
      </c>
      <c r="H23">
        <f ca="1">INDEX(INDIRECT(""&amp;C23&amp;"!A2:A489"),MATCH(B23,INDIRECT(""&amp;C23&amp;"!B2:B489"),0))</f>
        <v>8</v>
      </c>
      <c r="I23">
        <f>IF(C23="RB",LeagueInfo!$D$4*LeagueInfo!$F$2,LeagueInfo!$D$5*LeagueInfo!$F$2)</f>
        <v>24</v>
      </c>
    </row>
    <row r="24" spans="1:9" x14ac:dyDescent="0.25">
      <c r="A24">
        <f ca="1">RANK(E24,E$2:E$349)</f>
        <v>23</v>
      </c>
      <c r="B24" t="s">
        <v>97</v>
      </c>
      <c r="C24" t="s">
        <v>35</v>
      </c>
      <c r="D24">
        <f ca="1">INDEX(INDIRECT($C24&amp;"!P:P"),MATCH($B24,INDIRECT($C24&amp;"!B:B"),0))</f>
        <v>213.97</v>
      </c>
      <c r="E24" s="6">
        <f ca="1">D24-LARGE(D$2:D$292,RBCount+WRCount)</f>
        <v>105.27</v>
      </c>
      <c r="F24" t="str">
        <f ca="1">IF(H24&lt;=I24,"Starter",IF(G24&gt;=LARGE(G:G,FlexOn*LeagueInfo!$F$2),"Starter","Bench"))</f>
        <v>Starter</v>
      </c>
      <c r="G24">
        <f ca="1">IF(H24&gt;I24,D24,0)</f>
        <v>0</v>
      </c>
      <c r="H24">
        <f ca="1">INDEX(INDIRECT(""&amp;C24&amp;"!A2:A489"),MATCH(B24,INDIRECT(""&amp;C24&amp;"!B2:B489"),0))</f>
        <v>9</v>
      </c>
      <c r="I24">
        <f>IF(C24="RB",LeagueInfo!$D$4*LeagueInfo!$F$2,LeagueInfo!$D$5*LeagueInfo!$F$2)</f>
        <v>24</v>
      </c>
    </row>
    <row r="25" spans="1:9" x14ac:dyDescent="0.25">
      <c r="A25">
        <f ca="1">RANK(E25,E$2:E$349)</f>
        <v>24</v>
      </c>
      <c r="B25" t="s">
        <v>548</v>
      </c>
      <c r="C25" t="s">
        <v>28</v>
      </c>
      <c r="D25">
        <f ca="1">INDEX(INDIRECT($C25&amp;"!P:P"),MATCH($B25,INDIRECT($C25&amp;"!B:B"),0))</f>
        <v>209.68</v>
      </c>
      <c r="E25" s="6">
        <f ca="1">D25-LARGE(D$2:D$292,RBCount+WRCount)</f>
        <v>100.98</v>
      </c>
      <c r="F25" t="str">
        <f ca="1">IF(H25&lt;=I25,"Starter",IF(G25&gt;=LARGE(G:G,FlexOn*LeagueInfo!$F$2),"Starter","Bench"))</f>
        <v>Starter</v>
      </c>
      <c r="G25">
        <f ca="1">IF(H25&gt;I25,D25,0)</f>
        <v>0</v>
      </c>
      <c r="H25">
        <f ca="1">INDEX(INDIRECT(""&amp;C25&amp;"!A2:A489"),MATCH(B25,INDIRECT(""&amp;C25&amp;"!B2:B489"),0))</f>
        <v>15</v>
      </c>
      <c r="I25">
        <f>IF(C25="RB",LeagueInfo!$D$4*LeagueInfo!$F$2,LeagueInfo!$D$5*LeagueInfo!$F$2)</f>
        <v>24</v>
      </c>
    </row>
    <row r="26" spans="1:9" x14ac:dyDescent="0.25">
      <c r="A26">
        <f ca="1">RANK(E26,E$2:E$349)</f>
        <v>25</v>
      </c>
      <c r="B26" t="s">
        <v>839</v>
      </c>
      <c r="C26" t="s">
        <v>35</v>
      </c>
      <c r="D26">
        <f ca="1">INDEX(INDIRECT($C26&amp;"!P:P"),MATCH($B26,INDIRECT($C26&amp;"!B:B"),0))</f>
        <v>207.06</v>
      </c>
      <c r="E26" s="6">
        <f ca="1">D26-LARGE(D$2:D$292,RBCount+WRCount)</f>
        <v>98.36</v>
      </c>
      <c r="F26" t="str">
        <f ca="1">IF(H26&lt;=I26,"Starter",IF(G26&gt;=LARGE(G:G,FlexOn*LeagueInfo!$F$2),"Starter","Bench"))</f>
        <v>Starter</v>
      </c>
      <c r="G26">
        <f ca="1">IF(H26&gt;I26,D26,0)</f>
        <v>0</v>
      </c>
      <c r="H26">
        <f ca="1">INDEX(INDIRECT(""&amp;C26&amp;"!A2:A489"),MATCH(B26,INDIRECT(""&amp;C26&amp;"!B2:B489"),0))</f>
        <v>10</v>
      </c>
      <c r="I26">
        <f>IF(C26="RB",LeagueInfo!$D$4*LeagueInfo!$F$2,LeagueInfo!$D$5*LeagueInfo!$F$2)</f>
        <v>24</v>
      </c>
    </row>
    <row r="27" spans="1:9" x14ac:dyDescent="0.25">
      <c r="A27">
        <f ca="1">RANK(E27,E$2:E$349)</f>
        <v>26</v>
      </c>
      <c r="B27" t="s">
        <v>661</v>
      </c>
      <c r="C27" t="s">
        <v>28</v>
      </c>
      <c r="D27">
        <f ca="1">INDEX(INDIRECT($C27&amp;"!P:P"),MATCH($B27,INDIRECT($C27&amp;"!B:B"),0))</f>
        <v>205.10999999999999</v>
      </c>
      <c r="E27" s="6">
        <f ca="1">D27-LARGE(D$2:D$292,RBCount+WRCount)</f>
        <v>96.409999999999982</v>
      </c>
      <c r="F27" t="str">
        <f ca="1">IF(H27&lt;=I27,"Starter",IF(G27&gt;=LARGE(G:G,FlexOn*LeagueInfo!$F$2),"Starter","Bench"))</f>
        <v>Starter</v>
      </c>
      <c r="G27">
        <f ca="1">IF(H27&gt;I27,D27,0)</f>
        <v>0</v>
      </c>
      <c r="H27">
        <f ca="1">INDEX(INDIRECT(""&amp;C27&amp;"!A2:A489"),MATCH(B27,INDIRECT(""&amp;C27&amp;"!B2:B489"),0))</f>
        <v>16</v>
      </c>
      <c r="I27">
        <f>IF(C27="RB",LeagueInfo!$D$4*LeagueInfo!$F$2,LeagueInfo!$D$5*LeagueInfo!$F$2)</f>
        <v>24</v>
      </c>
    </row>
    <row r="28" spans="1:9" x14ac:dyDescent="0.25">
      <c r="A28">
        <f ca="1">RANK(E28,E$2:E$349)</f>
        <v>27</v>
      </c>
      <c r="B28" t="s">
        <v>836</v>
      </c>
      <c r="C28" t="s">
        <v>35</v>
      </c>
      <c r="D28">
        <f ca="1">INDEX(INDIRECT($C28&amp;"!P:P"),MATCH($B28,INDIRECT($C28&amp;"!B:B"),0))</f>
        <v>202.08999999999997</v>
      </c>
      <c r="E28" s="6">
        <f ca="1">D28-LARGE(D$2:D$292,RBCount+WRCount)</f>
        <v>93.389999999999972</v>
      </c>
      <c r="F28" t="str">
        <f ca="1">IF(H28&lt;=I28,"Starter",IF(G28&gt;=LARGE(G:G,FlexOn*LeagueInfo!$F$2),"Starter","Bench"))</f>
        <v>Starter</v>
      </c>
      <c r="G28">
        <f ca="1">IF(H28&gt;I28,D28,0)</f>
        <v>0</v>
      </c>
      <c r="H28">
        <f ca="1">INDEX(INDIRECT(""&amp;C28&amp;"!A2:A489"),MATCH(B28,INDIRECT(""&amp;C28&amp;"!B2:B489"),0))</f>
        <v>11</v>
      </c>
      <c r="I28">
        <f>IF(C28="RB",LeagueInfo!$D$4*LeagueInfo!$F$2,LeagueInfo!$D$5*LeagueInfo!$F$2)</f>
        <v>24</v>
      </c>
    </row>
    <row r="29" spans="1:9" x14ac:dyDescent="0.25">
      <c r="A29">
        <f ca="1">RANK(E29,E$2:E$349)</f>
        <v>28</v>
      </c>
      <c r="B29" t="s">
        <v>701</v>
      </c>
      <c r="C29" t="s">
        <v>35</v>
      </c>
      <c r="D29">
        <f ca="1">INDEX(INDIRECT($C29&amp;"!P:P"),MATCH($B29,INDIRECT($C29&amp;"!B:B"),0))</f>
        <v>201.77</v>
      </c>
      <c r="E29" s="6">
        <f ca="1">D29-LARGE(D$2:D$292,RBCount+WRCount)</f>
        <v>93.070000000000007</v>
      </c>
      <c r="F29" t="str">
        <f ca="1">IF(H29&lt;=I29,"Starter",IF(G29&gt;=LARGE(G:G,FlexOn*LeagueInfo!$F$2),"Starter","Bench"))</f>
        <v>Starter</v>
      </c>
      <c r="G29">
        <f ca="1">IF(H29&gt;I29,D29,0)</f>
        <v>0</v>
      </c>
      <c r="H29">
        <f ca="1">INDEX(INDIRECT(""&amp;C29&amp;"!A2:A489"),MATCH(B29,INDIRECT(""&amp;C29&amp;"!B2:B489"),0))</f>
        <v>12</v>
      </c>
      <c r="I29">
        <f>IF(C29="RB",LeagueInfo!$D$4*LeagueInfo!$F$2,LeagueInfo!$D$5*LeagueInfo!$F$2)</f>
        <v>24</v>
      </c>
    </row>
    <row r="30" spans="1:9" x14ac:dyDescent="0.25">
      <c r="A30">
        <f ca="1">RANK(E30,E$2:E$349)</f>
        <v>29</v>
      </c>
      <c r="B30" t="s">
        <v>129</v>
      </c>
      <c r="C30" t="s">
        <v>35</v>
      </c>
      <c r="D30">
        <f ca="1">INDEX(INDIRECT($C30&amp;"!P:P"),MATCH($B30,INDIRECT($C30&amp;"!B:B"),0))</f>
        <v>199.48000000000002</v>
      </c>
      <c r="E30" s="6">
        <f ca="1">D30-LARGE(D$2:D$292,RBCount+WRCount)</f>
        <v>90.780000000000015</v>
      </c>
      <c r="F30" t="str">
        <f ca="1">IF(H30&lt;=I30,"Starter",IF(G30&gt;=LARGE(G:G,FlexOn*LeagueInfo!$F$2),"Starter","Bench"))</f>
        <v>Starter</v>
      </c>
      <c r="G30">
        <f ca="1">IF(H30&gt;I30,D30,0)</f>
        <v>0</v>
      </c>
      <c r="H30">
        <f ca="1">INDEX(INDIRECT(""&amp;C30&amp;"!A2:A489"),MATCH(B30,INDIRECT(""&amp;C30&amp;"!B2:B489"),0))</f>
        <v>13</v>
      </c>
      <c r="I30">
        <f>IF(C30="RB",LeagueInfo!$D$4*LeagueInfo!$F$2,LeagueInfo!$D$5*LeagueInfo!$F$2)</f>
        <v>24</v>
      </c>
    </row>
    <row r="31" spans="1:9" x14ac:dyDescent="0.25">
      <c r="A31">
        <f ca="1">RANK(E31,E$2:E$349)</f>
        <v>30</v>
      </c>
      <c r="B31" t="s">
        <v>93</v>
      </c>
      <c r="C31" t="s">
        <v>28</v>
      </c>
      <c r="D31">
        <f ca="1">INDEX(INDIRECT($C31&amp;"!P:P"),MATCH($B31,INDIRECT($C31&amp;"!B:B"),0))</f>
        <v>197.60000000000002</v>
      </c>
      <c r="E31" s="6">
        <f ca="1">D31-LARGE(D$2:D$292,RBCount+WRCount)</f>
        <v>88.90000000000002</v>
      </c>
      <c r="F31" t="str">
        <f ca="1">IF(H31&lt;=I31,"Starter",IF(G31&gt;=LARGE(G:G,FlexOn*LeagueInfo!$F$2),"Starter","Bench"))</f>
        <v>Starter</v>
      </c>
      <c r="G31">
        <f ca="1">IF(H31&gt;I31,D31,0)</f>
        <v>0</v>
      </c>
      <c r="H31">
        <f ca="1">INDEX(INDIRECT(""&amp;C31&amp;"!A2:A489"),MATCH(B31,INDIRECT(""&amp;C31&amp;"!B2:B489"),0))</f>
        <v>17</v>
      </c>
      <c r="I31">
        <f>IF(C31="RB",LeagueInfo!$D$4*LeagueInfo!$F$2,LeagueInfo!$D$5*LeagueInfo!$F$2)</f>
        <v>24</v>
      </c>
    </row>
    <row r="32" spans="1:9" x14ac:dyDescent="0.25">
      <c r="A32">
        <f ca="1">RANK(E32,E$2:E$349)</f>
        <v>31</v>
      </c>
      <c r="B32" t="s">
        <v>113</v>
      </c>
      <c r="C32" t="s">
        <v>35</v>
      </c>
      <c r="D32">
        <f ca="1">INDEX(INDIRECT($C32&amp;"!P:P"),MATCH($B32,INDIRECT($C32&amp;"!B:B"),0))</f>
        <v>194.84</v>
      </c>
      <c r="E32" s="6">
        <f ca="1">D32-LARGE(D$2:D$292,RBCount+WRCount)</f>
        <v>86.14</v>
      </c>
      <c r="F32" t="str">
        <f ca="1">IF(H32&lt;=I32,"Starter",IF(G32&gt;=LARGE(G:G,FlexOn*LeagueInfo!$F$2),"Starter","Bench"))</f>
        <v>Starter</v>
      </c>
      <c r="G32">
        <f ca="1">IF(H32&gt;I32,D32,0)</f>
        <v>0</v>
      </c>
      <c r="H32">
        <f ca="1">INDEX(INDIRECT(""&amp;C32&amp;"!A2:A489"),MATCH(B32,INDIRECT(""&amp;C32&amp;"!B2:B489"),0))</f>
        <v>14</v>
      </c>
      <c r="I32">
        <f>IF(C32="RB",LeagueInfo!$D$4*LeagueInfo!$F$2,LeagueInfo!$D$5*LeagueInfo!$F$2)</f>
        <v>24</v>
      </c>
    </row>
    <row r="33" spans="1:9" x14ac:dyDescent="0.25">
      <c r="A33">
        <f ca="1">RANK(E33,E$2:E$349)</f>
        <v>32</v>
      </c>
      <c r="B33" t="s">
        <v>185</v>
      </c>
      <c r="C33" t="s">
        <v>35</v>
      </c>
      <c r="D33">
        <f ca="1">INDEX(INDIRECT($C33&amp;"!P:P"),MATCH($B33,INDIRECT($C33&amp;"!B:B"),0))</f>
        <v>194.37</v>
      </c>
      <c r="E33" s="6">
        <f ca="1">D33-LARGE(D$2:D$292,RBCount+WRCount)</f>
        <v>85.67</v>
      </c>
      <c r="F33" t="str">
        <f ca="1">IF(H33&lt;=I33,"Starter",IF(G33&gt;=LARGE(G:G,FlexOn*LeagueInfo!$F$2),"Starter","Bench"))</f>
        <v>Starter</v>
      </c>
      <c r="G33">
        <f ca="1">IF(H33&gt;I33,D33,0)</f>
        <v>0</v>
      </c>
      <c r="H33">
        <f ca="1">INDEX(INDIRECT(""&amp;C33&amp;"!A2:A489"),MATCH(B33,INDIRECT(""&amp;C33&amp;"!B2:B489"),0))</f>
        <v>15</v>
      </c>
      <c r="I33">
        <f>IF(C33="RB",LeagueInfo!$D$4*LeagueInfo!$F$2,LeagueInfo!$D$5*LeagueInfo!$F$2)</f>
        <v>24</v>
      </c>
    </row>
    <row r="34" spans="1:9" x14ac:dyDescent="0.25">
      <c r="A34">
        <f ca="1">RANK(E34,E$2:E$349)</f>
        <v>33</v>
      </c>
      <c r="B34" t="s">
        <v>2409</v>
      </c>
      <c r="C34" t="s">
        <v>35</v>
      </c>
      <c r="D34">
        <f ca="1">INDEX(INDIRECT($C34&amp;"!P:P"),MATCH($B34,INDIRECT($C34&amp;"!B:B"),0))</f>
        <v>193.79000000000002</v>
      </c>
      <c r="E34" s="6">
        <f ca="1">D34-LARGE(D$2:D$292,RBCount+WRCount)</f>
        <v>85.090000000000018</v>
      </c>
      <c r="F34" t="str">
        <f ca="1">IF(H34&lt;=I34,"Starter",IF(G34&gt;=LARGE(G:G,FlexOn*LeagueInfo!$F$2),"Starter","Bench"))</f>
        <v>Starter</v>
      </c>
      <c r="G34">
        <f ca="1">IF(H34&gt;I34,D34,0)</f>
        <v>0</v>
      </c>
      <c r="H34">
        <f ca="1">INDEX(INDIRECT(""&amp;C34&amp;"!A2:A489"),MATCH(B34,INDIRECT(""&amp;C34&amp;"!B2:B489"),0))</f>
        <v>16</v>
      </c>
      <c r="I34">
        <f>IF(C34="RB",LeagueInfo!$D$4*LeagueInfo!$F$2,LeagueInfo!$D$5*LeagueInfo!$F$2)</f>
        <v>24</v>
      </c>
    </row>
    <row r="35" spans="1:9" x14ac:dyDescent="0.25">
      <c r="A35">
        <f ca="1">RANK(E35,E$2:E$349)</f>
        <v>34</v>
      </c>
      <c r="B35" t="s">
        <v>718</v>
      </c>
      <c r="C35" t="s">
        <v>35</v>
      </c>
      <c r="D35">
        <f ca="1">INDEX(INDIRECT($C35&amp;"!P:P"),MATCH($B35,INDIRECT($C35&amp;"!B:B"),0))</f>
        <v>191.09</v>
      </c>
      <c r="E35" s="6">
        <f ca="1">D35-LARGE(D$2:D$292,RBCount+WRCount)</f>
        <v>82.39</v>
      </c>
      <c r="F35" t="str">
        <f ca="1">IF(H35&lt;=I35,"Starter",IF(G35&gt;=LARGE(G:G,FlexOn*LeagueInfo!$F$2),"Starter","Bench"))</f>
        <v>Starter</v>
      </c>
      <c r="G35">
        <f ca="1">IF(H35&gt;I35,D35,0)</f>
        <v>0</v>
      </c>
      <c r="H35">
        <f ca="1">INDEX(INDIRECT(""&amp;C35&amp;"!A2:A489"),MATCH(B35,INDIRECT(""&amp;C35&amp;"!B2:B489"),0))</f>
        <v>17</v>
      </c>
      <c r="I35">
        <f>IF(C35="RB",LeagueInfo!$D$4*LeagueInfo!$F$2,LeagueInfo!$D$5*LeagueInfo!$F$2)</f>
        <v>24</v>
      </c>
    </row>
    <row r="36" spans="1:9" x14ac:dyDescent="0.25">
      <c r="A36">
        <f ca="1">RANK(E36,E$2:E$349)</f>
        <v>35</v>
      </c>
      <c r="B36" t="s">
        <v>2444</v>
      </c>
      <c r="C36" t="s">
        <v>28</v>
      </c>
      <c r="D36">
        <f ca="1">INDEX(INDIRECT($C36&amp;"!P:P"),MATCH($B36,INDIRECT($C36&amp;"!B:B"),0))</f>
        <v>189.84</v>
      </c>
      <c r="E36" s="6">
        <f ca="1">D36-LARGE(D$2:D$292,RBCount+WRCount)</f>
        <v>81.14</v>
      </c>
      <c r="F36" t="str">
        <f ca="1">IF(H36&lt;=I36,"Starter",IF(G36&gt;=LARGE(G:G,FlexOn*LeagueInfo!$F$2),"Starter","Bench"))</f>
        <v>Starter</v>
      </c>
      <c r="G36">
        <f ca="1">IF(H36&gt;I36,D36,0)</f>
        <v>0</v>
      </c>
      <c r="H36">
        <f ca="1">INDEX(INDIRECT(""&amp;C36&amp;"!A2:A489"),MATCH(B36,INDIRECT(""&amp;C36&amp;"!B2:B489"),0))</f>
        <v>18</v>
      </c>
      <c r="I36">
        <f>IF(C36="RB",LeagueInfo!$D$4*LeagueInfo!$F$2,LeagueInfo!$D$5*LeagueInfo!$F$2)</f>
        <v>24</v>
      </c>
    </row>
    <row r="37" spans="1:9" x14ac:dyDescent="0.25">
      <c r="A37">
        <f ca="1">RANK(E37,E$2:E$349)</f>
        <v>36</v>
      </c>
      <c r="B37" t="s">
        <v>882</v>
      </c>
      <c r="C37" t="s">
        <v>28</v>
      </c>
      <c r="D37">
        <f ca="1">INDEX(INDIRECT($C37&amp;"!P:P"),MATCH($B37,INDIRECT($C37&amp;"!B:B"),0))</f>
        <v>189.15</v>
      </c>
      <c r="E37" s="6">
        <f ca="1">D37-LARGE(D$2:D$292,RBCount+WRCount)</f>
        <v>80.45</v>
      </c>
      <c r="F37" t="str">
        <f ca="1">IF(H37&lt;=I37,"Starter",IF(G37&gt;=LARGE(G:G,FlexOn*LeagueInfo!$F$2),"Starter","Bench"))</f>
        <v>Starter</v>
      </c>
      <c r="G37">
        <f ca="1">IF(H37&gt;I37,D37,0)</f>
        <v>0</v>
      </c>
      <c r="H37">
        <f ca="1">INDEX(INDIRECT(""&amp;C37&amp;"!A2:A489"),MATCH(B37,INDIRECT(""&amp;C37&amp;"!B2:B489"),0))</f>
        <v>19</v>
      </c>
      <c r="I37">
        <f>IF(C37="RB",LeagueInfo!$D$4*LeagueInfo!$F$2,LeagueInfo!$D$5*LeagueInfo!$F$2)</f>
        <v>24</v>
      </c>
    </row>
    <row r="38" spans="1:9" x14ac:dyDescent="0.25">
      <c r="A38">
        <f ca="1">RANK(E38,E$2:E$349)</f>
        <v>37</v>
      </c>
      <c r="B38" t="s">
        <v>881</v>
      </c>
      <c r="C38" t="s">
        <v>28</v>
      </c>
      <c r="D38">
        <f ca="1">INDEX(INDIRECT($C38&amp;"!P:P"),MATCH($B38,INDIRECT($C38&amp;"!B:B"),0))</f>
        <v>188.92000000000002</v>
      </c>
      <c r="E38" s="6">
        <f ca="1">D38-LARGE(D$2:D$292,RBCount+WRCount)</f>
        <v>80.220000000000013</v>
      </c>
      <c r="F38" t="str">
        <f ca="1">IF(H38&lt;=I38,"Starter",IF(G38&gt;=LARGE(G:G,FlexOn*LeagueInfo!$F$2),"Starter","Bench"))</f>
        <v>Starter</v>
      </c>
      <c r="G38">
        <f ca="1">IF(H38&gt;I38,D38,0)</f>
        <v>0</v>
      </c>
      <c r="H38">
        <f ca="1">INDEX(INDIRECT(""&amp;C38&amp;"!A2:A489"),MATCH(B38,INDIRECT(""&amp;C38&amp;"!B2:B489"),0))</f>
        <v>20</v>
      </c>
      <c r="I38">
        <f>IF(C38="RB",LeagueInfo!$D$4*LeagueInfo!$F$2,LeagueInfo!$D$5*LeagueInfo!$F$2)</f>
        <v>24</v>
      </c>
    </row>
    <row r="39" spans="1:9" x14ac:dyDescent="0.25">
      <c r="A39">
        <f ca="1">RANK(E39,E$2:E$349)</f>
        <v>38</v>
      </c>
      <c r="B39" t="s">
        <v>660</v>
      </c>
      <c r="C39" t="s">
        <v>28</v>
      </c>
      <c r="D39">
        <f ca="1">INDEX(INDIRECT($C39&amp;"!P:P"),MATCH($B39,INDIRECT($C39&amp;"!B:B"),0))</f>
        <v>187.86</v>
      </c>
      <c r="E39" s="6">
        <f ca="1">D39-LARGE(D$2:D$292,RBCount+WRCount)</f>
        <v>79.160000000000011</v>
      </c>
      <c r="F39" t="str">
        <f ca="1">IF(H39&lt;=I39,"Starter",IF(G39&gt;=LARGE(G:G,FlexOn*LeagueInfo!$F$2),"Starter","Bench"))</f>
        <v>Starter</v>
      </c>
      <c r="G39">
        <f ca="1">IF(H39&gt;I39,D39,0)</f>
        <v>0</v>
      </c>
      <c r="H39">
        <f ca="1">INDEX(INDIRECT(""&amp;C39&amp;"!A2:A489"),MATCH(B39,INDIRECT(""&amp;C39&amp;"!B2:B489"),0))</f>
        <v>21</v>
      </c>
      <c r="I39">
        <f>IF(C39="RB",LeagueInfo!$D$4*LeagueInfo!$F$2,LeagueInfo!$D$5*LeagueInfo!$F$2)</f>
        <v>24</v>
      </c>
    </row>
    <row r="40" spans="1:9" x14ac:dyDescent="0.25">
      <c r="A40">
        <f ca="1">RANK(E40,E$2:E$349)</f>
        <v>39</v>
      </c>
      <c r="B40" t="s">
        <v>935</v>
      </c>
      <c r="C40" t="s">
        <v>28</v>
      </c>
      <c r="D40">
        <f ca="1">INDEX(INDIRECT($C40&amp;"!P:P"),MATCH($B40,INDIRECT($C40&amp;"!B:B"),0))</f>
        <v>184.47</v>
      </c>
      <c r="E40" s="6">
        <f ca="1">D40-LARGE(D$2:D$292,RBCount+WRCount)</f>
        <v>75.77</v>
      </c>
      <c r="F40" t="str">
        <f ca="1">IF(H40&lt;=I40,"Starter",IF(G40&gt;=LARGE(G:G,FlexOn*LeagueInfo!$F$2),"Starter","Bench"))</f>
        <v>Starter</v>
      </c>
      <c r="G40">
        <f ca="1">IF(H40&gt;I40,D40,0)</f>
        <v>0</v>
      </c>
      <c r="H40">
        <f ca="1">INDEX(INDIRECT(""&amp;C40&amp;"!A2:A489"),MATCH(B40,INDIRECT(""&amp;C40&amp;"!B2:B489"),0))</f>
        <v>22</v>
      </c>
      <c r="I40">
        <f>IF(C40="RB",LeagueInfo!$D$4*LeagueInfo!$F$2,LeagueInfo!$D$5*LeagueInfo!$F$2)</f>
        <v>24</v>
      </c>
    </row>
    <row r="41" spans="1:9" x14ac:dyDescent="0.25">
      <c r="A41">
        <f ca="1">RANK(E41,E$2:E$349)</f>
        <v>40</v>
      </c>
      <c r="B41" t="s">
        <v>2410</v>
      </c>
      <c r="C41" t="s">
        <v>35</v>
      </c>
      <c r="D41">
        <f ca="1">INDEX(INDIRECT($C41&amp;"!P:P"),MATCH($B41,INDIRECT($C41&amp;"!B:B"),0))</f>
        <v>183.73000000000002</v>
      </c>
      <c r="E41" s="6">
        <f ca="1">D41-LARGE(D$2:D$292,RBCount+WRCount)</f>
        <v>75.030000000000015</v>
      </c>
      <c r="F41" t="str">
        <f ca="1">IF(H41&lt;=I41,"Starter",IF(G41&gt;=LARGE(G:G,FlexOn*LeagueInfo!$F$2),"Starter","Bench"))</f>
        <v>Starter</v>
      </c>
      <c r="G41">
        <f ca="1">IF(H41&gt;I41,D41,0)</f>
        <v>0</v>
      </c>
      <c r="H41">
        <f ca="1">INDEX(INDIRECT(""&amp;C41&amp;"!A2:A489"),MATCH(B41,INDIRECT(""&amp;C41&amp;"!B2:B489"),0))</f>
        <v>18</v>
      </c>
      <c r="I41">
        <f>IF(C41="RB",LeagueInfo!$D$4*LeagueInfo!$F$2,LeagueInfo!$D$5*LeagueInfo!$F$2)</f>
        <v>24</v>
      </c>
    </row>
    <row r="42" spans="1:9" x14ac:dyDescent="0.25">
      <c r="A42">
        <f ca="1">RANK(E42,E$2:E$349)</f>
        <v>41</v>
      </c>
      <c r="B42" t="s">
        <v>665</v>
      </c>
      <c r="C42" t="s">
        <v>28</v>
      </c>
      <c r="D42">
        <f ca="1">INDEX(INDIRECT($C42&amp;"!P:P"),MATCH($B42,INDIRECT($C42&amp;"!B:B"),0))</f>
        <v>182.84999999999997</v>
      </c>
      <c r="E42" s="6">
        <f ca="1">D42-LARGE(D$2:D$292,RBCount+WRCount)</f>
        <v>74.149999999999963</v>
      </c>
      <c r="F42" t="str">
        <f ca="1">IF(H42&lt;=I42,"Starter",IF(G42&gt;=LARGE(G:G,FlexOn*LeagueInfo!$F$2),"Starter","Bench"))</f>
        <v>Starter</v>
      </c>
      <c r="G42">
        <f ca="1">IF(H42&gt;I42,D42,0)</f>
        <v>0</v>
      </c>
      <c r="H42">
        <f ca="1">INDEX(INDIRECT(""&amp;C42&amp;"!A2:A489"),MATCH(B42,INDIRECT(""&amp;C42&amp;"!B2:B489"),0))</f>
        <v>23</v>
      </c>
      <c r="I42">
        <f>IF(C42="RB",LeagueInfo!$D$4*LeagueInfo!$F$2,LeagueInfo!$D$5*LeagueInfo!$F$2)</f>
        <v>24</v>
      </c>
    </row>
    <row r="43" spans="1:9" x14ac:dyDescent="0.25">
      <c r="A43">
        <f ca="1">RANK(E43,E$2:E$349)</f>
        <v>42</v>
      </c>
      <c r="B43" t="s">
        <v>948</v>
      </c>
      <c r="C43" t="s">
        <v>35</v>
      </c>
      <c r="D43">
        <f ca="1">INDEX(INDIRECT($C43&amp;"!P:P"),MATCH($B43,INDIRECT($C43&amp;"!B:B"),0))</f>
        <v>182.84</v>
      </c>
      <c r="E43" s="6">
        <f ca="1">D43-LARGE(D$2:D$292,RBCount+WRCount)</f>
        <v>74.14</v>
      </c>
      <c r="F43" t="str">
        <f ca="1">IF(H43&lt;=I43,"Starter",IF(G43&gt;=LARGE(G:G,FlexOn*LeagueInfo!$F$2),"Starter","Bench"))</f>
        <v>Starter</v>
      </c>
      <c r="G43">
        <f ca="1">IF(H43&gt;I43,D43,0)</f>
        <v>0</v>
      </c>
      <c r="H43">
        <f ca="1">INDEX(INDIRECT(""&amp;C43&amp;"!A2:A489"),MATCH(B43,INDIRECT(""&amp;C43&amp;"!B2:B489"),0))</f>
        <v>19</v>
      </c>
      <c r="I43">
        <f>IF(C43="RB",LeagueInfo!$D$4*LeagueInfo!$F$2,LeagueInfo!$D$5*LeagueInfo!$F$2)</f>
        <v>24</v>
      </c>
    </row>
    <row r="44" spans="1:9" x14ac:dyDescent="0.25">
      <c r="A44">
        <f ca="1">RANK(E44,E$2:E$349)</f>
        <v>43</v>
      </c>
      <c r="B44" t="s">
        <v>953</v>
      </c>
      <c r="C44" t="s">
        <v>35</v>
      </c>
      <c r="D44">
        <f ca="1">INDEX(INDIRECT($C44&amp;"!P:P"),MATCH($B44,INDIRECT($C44&amp;"!B:B"),0))</f>
        <v>181.39</v>
      </c>
      <c r="E44" s="6">
        <f ca="1">D44-LARGE(D$2:D$292,RBCount+WRCount)</f>
        <v>72.689999999999984</v>
      </c>
      <c r="F44" t="str">
        <f ca="1">IF(H44&lt;=I44,"Starter",IF(G44&gt;=LARGE(G:G,FlexOn*LeagueInfo!$F$2),"Starter","Bench"))</f>
        <v>Starter</v>
      </c>
      <c r="G44">
        <f ca="1">IF(H44&gt;I44,D44,0)</f>
        <v>0</v>
      </c>
      <c r="H44">
        <f ca="1">INDEX(INDIRECT(""&amp;C44&amp;"!A2:A489"),MATCH(B44,INDIRECT(""&amp;C44&amp;"!B2:B489"),0))</f>
        <v>20</v>
      </c>
      <c r="I44">
        <f>IF(C44="RB",LeagueInfo!$D$4*LeagueInfo!$F$2,LeagueInfo!$D$5*LeagueInfo!$F$2)</f>
        <v>24</v>
      </c>
    </row>
    <row r="45" spans="1:9" x14ac:dyDescent="0.25">
      <c r="A45">
        <f ca="1">RANK(E45,E$2:E$349)</f>
        <v>44</v>
      </c>
      <c r="B45" t="s">
        <v>708</v>
      </c>
      <c r="C45" t="s">
        <v>35</v>
      </c>
      <c r="D45">
        <f ca="1">INDEX(INDIRECT($C45&amp;"!P:P"),MATCH($B45,INDIRECT($C45&amp;"!B:B"),0))</f>
        <v>180.60000000000002</v>
      </c>
      <c r="E45" s="6">
        <f ca="1">D45-LARGE(D$2:D$292,RBCount+WRCount)</f>
        <v>71.90000000000002</v>
      </c>
      <c r="F45" t="str">
        <f ca="1">IF(H45&lt;=I45,"Starter",IF(G45&gt;=LARGE(G:G,FlexOn*LeagueInfo!$F$2),"Starter","Bench"))</f>
        <v>Starter</v>
      </c>
      <c r="G45">
        <f ca="1">IF(H45&gt;I45,D45,0)</f>
        <v>0</v>
      </c>
      <c r="H45">
        <f ca="1">INDEX(INDIRECT(""&amp;C45&amp;"!A2:A489"),MATCH(B45,INDIRECT(""&amp;C45&amp;"!B2:B489"),0))</f>
        <v>21</v>
      </c>
      <c r="I45">
        <f>IF(C45="RB",LeagueInfo!$D$4*LeagueInfo!$F$2,LeagueInfo!$D$5*LeagueInfo!$F$2)</f>
        <v>24</v>
      </c>
    </row>
    <row r="46" spans="1:9" x14ac:dyDescent="0.25">
      <c r="A46">
        <f ca="1">RANK(E46,E$2:E$349)</f>
        <v>45</v>
      </c>
      <c r="B46" t="s">
        <v>854</v>
      </c>
      <c r="C46" t="s">
        <v>35</v>
      </c>
      <c r="D46">
        <f ca="1">INDEX(INDIRECT($C46&amp;"!P:P"),MATCH($B46,INDIRECT($C46&amp;"!B:B"),0))</f>
        <v>180.29000000000002</v>
      </c>
      <c r="E46" s="6">
        <f ca="1">D46-LARGE(D$2:D$292,RBCount+WRCount)</f>
        <v>71.590000000000018</v>
      </c>
      <c r="F46" t="str">
        <f ca="1">IF(H46&lt;=I46,"Starter",IF(G46&gt;=LARGE(G:G,FlexOn*LeagueInfo!$F$2),"Starter","Bench"))</f>
        <v>Starter</v>
      </c>
      <c r="G46">
        <f ca="1">IF(H46&gt;I46,D46,0)</f>
        <v>0</v>
      </c>
      <c r="H46">
        <f ca="1">INDEX(INDIRECT(""&amp;C46&amp;"!A2:A489"),MATCH(B46,INDIRECT(""&amp;C46&amp;"!B2:B489"),0))</f>
        <v>22</v>
      </c>
      <c r="I46">
        <f>IF(C46="RB",LeagueInfo!$D$4*LeagueInfo!$F$2,LeagueInfo!$D$5*LeagueInfo!$F$2)</f>
        <v>24</v>
      </c>
    </row>
    <row r="47" spans="1:9" x14ac:dyDescent="0.25">
      <c r="A47">
        <f ca="1">RANK(E47,E$2:E$349)</f>
        <v>46</v>
      </c>
      <c r="B47" t="s">
        <v>103</v>
      </c>
      <c r="C47" t="s">
        <v>35</v>
      </c>
      <c r="D47">
        <f ca="1">INDEX(INDIRECT($C47&amp;"!P:P"),MATCH($B47,INDIRECT($C47&amp;"!B:B"),0))</f>
        <v>179.28</v>
      </c>
      <c r="E47" s="6">
        <f ca="1">D47-LARGE(D$2:D$292,RBCount+WRCount)</f>
        <v>70.58</v>
      </c>
      <c r="F47" t="str">
        <f ca="1">IF(H47&lt;=I47,"Starter",IF(G47&gt;=LARGE(G:G,FlexOn*LeagueInfo!$F$2),"Starter","Bench"))</f>
        <v>Starter</v>
      </c>
      <c r="G47">
        <f ca="1">IF(H47&gt;I47,D47,0)</f>
        <v>0</v>
      </c>
      <c r="H47">
        <f ca="1">INDEX(INDIRECT(""&amp;C47&amp;"!A2:A489"),MATCH(B47,INDIRECT(""&amp;C47&amp;"!B2:B489"),0))</f>
        <v>23</v>
      </c>
      <c r="I47">
        <f>IF(C47="RB",LeagueInfo!$D$4*LeagueInfo!$F$2,LeagueInfo!$D$5*LeagueInfo!$F$2)</f>
        <v>24</v>
      </c>
    </row>
    <row r="48" spans="1:9" x14ac:dyDescent="0.25">
      <c r="A48">
        <f ca="1">RANK(E48,E$2:E$349)</f>
        <v>47</v>
      </c>
      <c r="B48" t="s">
        <v>663</v>
      </c>
      <c r="C48" t="s">
        <v>28</v>
      </c>
      <c r="D48">
        <f ca="1">INDEX(INDIRECT($C48&amp;"!P:P"),MATCH($B48,INDIRECT($C48&amp;"!B:B"),0))</f>
        <v>177.47</v>
      </c>
      <c r="E48" s="6">
        <f ca="1">D48-LARGE(D$2:D$292,RBCount+WRCount)</f>
        <v>68.77</v>
      </c>
      <c r="F48" t="str">
        <f ca="1">IF(H48&lt;=I48,"Starter",IF(G48&gt;=LARGE(G:G,FlexOn*LeagueInfo!$F$2),"Starter","Bench"))</f>
        <v>Starter</v>
      </c>
      <c r="G48">
        <f ca="1">IF(H48&gt;I48,D48,0)</f>
        <v>0</v>
      </c>
      <c r="H48">
        <f ca="1">INDEX(INDIRECT(""&amp;C48&amp;"!A2:A489"),MATCH(B48,INDIRECT(""&amp;C48&amp;"!B2:B489"),0))</f>
        <v>24</v>
      </c>
      <c r="I48">
        <f>IF(C48="RB",LeagueInfo!$D$4*LeagueInfo!$F$2,LeagueInfo!$D$5*LeagueInfo!$F$2)</f>
        <v>24</v>
      </c>
    </row>
    <row r="49" spans="1:9" x14ac:dyDescent="0.25">
      <c r="A49">
        <f ca="1">RANK(E49,E$2:E$349)</f>
        <v>48</v>
      </c>
      <c r="B49" t="s">
        <v>700</v>
      </c>
      <c r="C49" t="s">
        <v>35</v>
      </c>
      <c r="D49">
        <f ca="1">INDEX(INDIRECT($C49&amp;"!P:P"),MATCH($B49,INDIRECT($C49&amp;"!B:B"),0))</f>
        <v>176.09000000000003</v>
      </c>
      <c r="E49" s="6">
        <f ca="1">D49-LARGE(D$2:D$292,RBCount+WRCount)</f>
        <v>67.390000000000029</v>
      </c>
      <c r="F49" t="str">
        <f ca="1">IF(H49&lt;=I49,"Starter",IF(G49&gt;=LARGE(G:G,FlexOn*LeagueInfo!$F$2),"Starter","Bench"))</f>
        <v>Starter</v>
      </c>
      <c r="G49">
        <f ca="1">IF(H49&gt;I49,D49,0)</f>
        <v>0</v>
      </c>
      <c r="H49">
        <f ca="1">INDEX(INDIRECT(""&amp;C49&amp;"!A2:A489"),MATCH(B49,INDIRECT(""&amp;C49&amp;"!B2:B489"),0))</f>
        <v>24</v>
      </c>
      <c r="I49">
        <f>IF(C49="RB",LeagueInfo!$D$4*LeagueInfo!$F$2,LeagueInfo!$D$5*LeagueInfo!$F$2)</f>
        <v>24</v>
      </c>
    </row>
    <row r="50" spans="1:9" x14ac:dyDescent="0.25">
      <c r="A50">
        <f ca="1">RANK(E50,E$2:E$349)</f>
        <v>49</v>
      </c>
      <c r="B50" t="s">
        <v>565</v>
      </c>
      <c r="C50" t="s">
        <v>35</v>
      </c>
      <c r="D50">
        <f ca="1">INDEX(INDIRECT($C50&amp;"!P:P"),MATCH($B50,INDIRECT($C50&amp;"!B:B"),0))</f>
        <v>175.68</v>
      </c>
      <c r="E50" s="6">
        <f ca="1">D50-LARGE(D$2:D$292,RBCount+WRCount)</f>
        <v>66.98</v>
      </c>
      <c r="F50" t="str">
        <f ca="1">IF(H50&lt;=I50,"Starter",IF(G50&gt;=LARGE(G:G,FlexOn*LeagueInfo!$F$2),"Starter","Bench"))</f>
        <v>Starter</v>
      </c>
      <c r="G50">
        <f ca="1">IF(H50&gt;I50,D50,0)</f>
        <v>175.68</v>
      </c>
      <c r="H50">
        <f ca="1">INDEX(INDIRECT(""&amp;C50&amp;"!A2:A489"),MATCH(B50,INDIRECT(""&amp;C50&amp;"!B2:B489"),0))</f>
        <v>25</v>
      </c>
      <c r="I50">
        <f>IF(C50="RB",LeagueInfo!$D$4*LeagueInfo!$F$2,LeagueInfo!$D$5*LeagueInfo!$F$2)</f>
        <v>24</v>
      </c>
    </row>
    <row r="51" spans="1:9" x14ac:dyDescent="0.25">
      <c r="A51">
        <f ca="1">RANK(E51,E$2:E$349)</f>
        <v>50</v>
      </c>
      <c r="B51" t="s">
        <v>848</v>
      </c>
      <c r="C51" t="s">
        <v>28</v>
      </c>
      <c r="D51">
        <f ca="1">INDEX(INDIRECT($C51&amp;"!P:P"),MATCH($B51,INDIRECT($C51&amp;"!B:B"),0))</f>
        <v>174.80000000000004</v>
      </c>
      <c r="E51" s="6">
        <f ca="1">D51-LARGE(D$2:D$292,RBCount+WRCount)</f>
        <v>66.100000000000037</v>
      </c>
      <c r="F51" t="str">
        <f ca="1">IF(H51&lt;=I51,"Starter",IF(G51&gt;=LARGE(G:G,FlexOn*LeagueInfo!$F$2),"Starter","Bench"))</f>
        <v>Starter</v>
      </c>
      <c r="G51">
        <f ca="1">IF(H51&gt;I51,D51,0)</f>
        <v>174.80000000000004</v>
      </c>
      <c r="H51">
        <f ca="1">INDEX(INDIRECT(""&amp;C51&amp;"!A2:A489"),MATCH(B51,INDIRECT(""&amp;C51&amp;"!B2:B489"),0))</f>
        <v>25</v>
      </c>
      <c r="I51">
        <f>IF(C51="RB",LeagueInfo!$D$4*LeagueInfo!$F$2,LeagueInfo!$D$5*LeagueInfo!$F$2)</f>
        <v>24</v>
      </c>
    </row>
    <row r="52" spans="1:9" x14ac:dyDescent="0.25">
      <c r="A52">
        <f ca="1">RANK(E52,E$2:E$349)</f>
        <v>51</v>
      </c>
      <c r="B52" t="s">
        <v>859</v>
      </c>
      <c r="C52" t="s">
        <v>35</v>
      </c>
      <c r="D52">
        <f ca="1">INDEX(INDIRECT($C52&amp;"!P:P"),MATCH($B52,INDIRECT($C52&amp;"!B:B"),0))</f>
        <v>174.31</v>
      </c>
      <c r="E52" s="6">
        <f ca="1">D52-LARGE(D$2:D$292,RBCount+WRCount)</f>
        <v>65.61</v>
      </c>
      <c r="F52" t="str">
        <f ca="1">IF(H52&lt;=I52,"Starter",IF(G52&gt;=LARGE(G:G,FlexOn*LeagueInfo!$F$2),"Starter","Bench"))</f>
        <v>Starter</v>
      </c>
      <c r="G52">
        <f ca="1">IF(H52&gt;I52,D52,0)</f>
        <v>174.31</v>
      </c>
      <c r="H52">
        <f ca="1">INDEX(INDIRECT(""&amp;C52&amp;"!A2:A489"),MATCH(B52,INDIRECT(""&amp;C52&amp;"!B2:B489"),0))</f>
        <v>26</v>
      </c>
      <c r="I52">
        <f>IF(C52="RB",LeagueInfo!$D$4*LeagueInfo!$F$2,LeagueInfo!$D$5*LeagueInfo!$F$2)</f>
        <v>24</v>
      </c>
    </row>
    <row r="53" spans="1:9" x14ac:dyDescent="0.25">
      <c r="A53">
        <f ca="1">RANK(E53,E$2:E$349)</f>
        <v>52</v>
      </c>
      <c r="B53" t="s">
        <v>834</v>
      </c>
      <c r="C53" t="s">
        <v>35</v>
      </c>
      <c r="D53">
        <f ca="1">INDEX(INDIRECT($C53&amp;"!P:P"),MATCH($B53,INDIRECT($C53&amp;"!B:B"),0))</f>
        <v>174.26</v>
      </c>
      <c r="E53" s="6">
        <f ca="1">D53-LARGE(D$2:D$292,RBCount+WRCount)</f>
        <v>65.559999999999988</v>
      </c>
      <c r="F53" t="str">
        <f ca="1">IF(H53&lt;=I53,"Starter",IF(G53&gt;=LARGE(G:G,FlexOn*LeagueInfo!$F$2),"Starter","Bench"))</f>
        <v>Starter</v>
      </c>
      <c r="G53">
        <f ca="1">IF(H53&gt;I53,D53,0)</f>
        <v>174.26</v>
      </c>
      <c r="H53">
        <f ca="1">INDEX(INDIRECT(""&amp;C53&amp;"!A2:A489"),MATCH(B53,INDIRECT(""&amp;C53&amp;"!B2:B489"),0))</f>
        <v>27</v>
      </c>
      <c r="I53">
        <f>IF(C53="RB",LeagueInfo!$D$4*LeagueInfo!$F$2,LeagueInfo!$D$5*LeagueInfo!$F$2)</f>
        <v>24</v>
      </c>
    </row>
    <row r="54" spans="1:9" x14ac:dyDescent="0.25">
      <c r="A54">
        <f ca="1">RANK(E54,E$2:E$349)</f>
        <v>53</v>
      </c>
      <c r="B54" t="s">
        <v>381</v>
      </c>
      <c r="C54" t="s">
        <v>35</v>
      </c>
      <c r="D54">
        <f ca="1">INDEX(INDIRECT($C54&amp;"!P:P"),MATCH($B54,INDIRECT($C54&amp;"!B:B"),0))</f>
        <v>173.44</v>
      </c>
      <c r="E54" s="6">
        <f ca="1">D54-LARGE(D$2:D$292,RBCount+WRCount)</f>
        <v>64.739999999999995</v>
      </c>
      <c r="F54" t="str">
        <f ca="1">IF(H54&lt;=I54,"Starter",IF(G54&gt;=LARGE(G:G,FlexOn*LeagueInfo!$F$2),"Starter","Bench"))</f>
        <v>Starter</v>
      </c>
      <c r="G54">
        <f ca="1">IF(H54&gt;I54,D54,0)</f>
        <v>173.44</v>
      </c>
      <c r="H54">
        <f ca="1">INDEX(INDIRECT(""&amp;C54&amp;"!A2:A489"),MATCH(B54,INDIRECT(""&amp;C54&amp;"!B2:B489"),0))</f>
        <v>28</v>
      </c>
      <c r="I54">
        <f>IF(C54="RB",LeagueInfo!$D$4*LeagueInfo!$F$2,LeagueInfo!$D$5*LeagueInfo!$F$2)</f>
        <v>24</v>
      </c>
    </row>
    <row r="55" spans="1:9" x14ac:dyDescent="0.25">
      <c r="A55">
        <f ca="1">RANK(E55,E$2:E$349)</f>
        <v>54</v>
      </c>
      <c r="B55" t="s">
        <v>898</v>
      </c>
      <c r="C55" t="s">
        <v>28</v>
      </c>
      <c r="D55">
        <f ca="1">INDEX(INDIRECT($C55&amp;"!P:P"),MATCH($B55,INDIRECT($C55&amp;"!B:B"),0))</f>
        <v>170.67000000000002</v>
      </c>
      <c r="E55" s="6">
        <f ca="1">D55-LARGE(D$2:D$292,RBCount+WRCount)</f>
        <v>61.970000000000013</v>
      </c>
      <c r="F55" t="str">
        <f ca="1">IF(H55&lt;=I55,"Starter",IF(G55&gt;=LARGE(G:G,FlexOn*LeagueInfo!$F$2),"Starter","Bench"))</f>
        <v>Starter</v>
      </c>
      <c r="G55">
        <f ca="1">IF(H55&gt;I55,D55,0)</f>
        <v>170.67000000000002</v>
      </c>
      <c r="H55">
        <f ca="1">INDEX(INDIRECT(""&amp;C55&amp;"!A2:A489"),MATCH(B55,INDIRECT(""&amp;C55&amp;"!B2:B489"),0))</f>
        <v>26</v>
      </c>
      <c r="I55">
        <f>IF(C55="RB",LeagueInfo!$D$4*LeagueInfo!$F$2,LeagueInfo!$D$5*LeagueInfo!$F$2)</f>
        <v>24</v>
      </c>
    </row>
    <row r="56" spans="1:9" x14ac:dyDescent="0.25">
      <c r="A56">
        <f ca="1">RANK(E56,E$2:E$349)</f>
        <v>55</v>
      </c>
      <c r="B56" t="s">
        <v>670</v>
      </c>
      <c r="C56" t="s">
        <v>28</v>
      </c>
      <c r="D56">
        <f ca="1">INDEX(INDIRECT($C56&amp;"!P:P"),MATCH($B56,INDIRECT($C56&amp;"!B:B"),0))</f>
        <v>169.71</v>
      </c>
      <c r="E56" s="6">
        <f ca="1">D56-LARGE(D$2:D$292,RBCount+WRCount)</f>
        <v>61.010000000000005</v>
      </c>
      <c r="F56" t="str">
        <f ca="1">IF(H56&lt;=I56,"Starter",IF(G56&gt;=LARGE(G:G,FlexOn*LeagueInfo!$F$2),"Starter","Bench"))</f>
        <v>Starter</v>
      </c>
      <c r="G56">
        <f ca="1">IF(H56&gt;I56,D56,0)</f>
        <v>169.71</v>
      </c>
      <c r="H56">
        <f ca="1">INDEX(INDIRECT(""&amp;C56&amp;"!A2:A489"),MATCH(B56,INDIRECT(""&amp;C56&amp;"!B2:B489"),0))</f>
        <v>27</v>
      </c>
      <c r="I56">
        <f>IF(C56="RB",LeagueInfo!$D$4*LeagueInfo!$F$2,LeagueInfo!$D$5*LeagueInfo!$F$2)</f>
        <v>24</v>
      </c>
    </row>
    <row r="57" spans="1:9" x14ac:dyDescent="0.25">
      <c r="A57">
        <f ca="1">RANK(E57,E$2:E$349)</f>
        <v>56</v>
      </c>
      <c r="B57" t="s">
        <v>213</v>
      </c>
      <c r="C57" t="s">
        <v>35</v>
      </c>
      <c r="D57">
        <f ca="1">INDEX(INDIRECT($C57&amp;"!P:P"),MATCH($B57,INDIRECT($C57&amp;"!B:B"),0))</f>
        <v>169.47</v>
      </c>
      <c r="E57" s="6">
        <f ca="1">D57-LARGE(D$2:D$292,RBCount+WRCount)</f>
        <v>60.769999999999996</v>
      </c>
      <c r="F57" t="str">
        <f ca="1">IF(H57&lt;=I57,"Starter",IF(G57&gt;=LARGE(G:G,FlexOn*LeagueInfo!$F$2),"Starter","Bench"))</f>
        <v>Starter</v>
      </c>
      <c r="G57">
        <f ca="1">IF(H57&gt;I57,D57,0)</f>
        <v>169.47</v>
      </c>
      <c r="H57">
        <f ca="1">INDEX(INDIRECT(""&amp;C57&amp;"!A2:A489"),MATCH(B57,INDIRECT(""&amp;C57&amp;"!B2:B489"),0))</f>
        <v>29</v>
      </c>
      <c r="I57">
        <f>IF(C57="RB",LeagueInfo!$D$4*LeagueInfo!$F$2,LeagueInfo!$D$5*LeagueInfo!$F$2)</f>
        <v>24</v>
      </c>
    </row>
    <row r="58" spans="1:9" x14ac:dyDescent="0.25">
      <c r="A58">
        <f ca="1">RANK(E58,E$2:E$349)</f>
        <v>57</v>
      </c>
      <c r="B58" t="s">
        <v>2447</v>
      </c>
      <c r="C58" t="s">
        <v>28</v>
      </c>
      <c r="D58">
        <f ca="1">INDEX(INDIRECT($C58&amp;"!P:P"),MATCH($B58,INDIRECT($C58&amp;"!B:B"),0))</f>
        <v>169.18000000000004</v>
      </c>
      <c r="E58" s="6">
        <f ca="1">D58-LARGE(D$2:D$292,RBCount+WRCount)</f>
        <v>60.480000000000032</v>
      </c>
      <c r="F58" t="str">
        <f ca="1">IF(H58&lt;=I58,"Starter",IF(G58&gt;=LARGE(G:G,FlexOn*LeagueInfo!$F$2),"Starter","Bench"))</f>
        <v>Starter</v>
      </c>
      <c r="G58">
        <f ca="1">IF(H58&gt;I58,D58,0)</f>
        <v>169.18000000000004</v>
      </c>
      <c r="H58">
        <f ca="1">INDEX(INDIRECT(""&amp;C58&amp;"!A2:A489"),MATCH(B58,INDIRECT(""&amp;C58&amp;"!B2:B489"),0))</f>
        <v>28</v>
      </c>
      <c r="I58">
        <f>IF(C58="RB",LeagueInfo!$D$4*LeagueInfo!$F$2,LeagueInfo!$D$5*LeagueInfo!$F$2)</f>
        <v>24</v>
      </c>
    </row>
    <row r="59" spans="1:9" x14ac:dyDescent="0.25">
      <c r="A59">
        <f ca="1">RANK(E59,E$2:E$349)</f>
        <v>58</v>
      </c>
      <c r="B59" t="s">
        <v>950</v>
      </c>
      <c r="C59" t="s">
        <v>35</v>
      </c>
      <c r="D59">
        <f ca="1">INDEX(INDIRECT($C59&amp;"!P:P"),MATCH($B59,INDIRECT($C59&amp;"!B:B"),0))</f>
        <v>169.06</v>
      </c>
      <c r="E59" s="6">
        <f ca="1">D59-LARGE(D$2:D$292,RBCount+WRCount)</f>
        <v>60.36</v>
      </c>
      <c r="F59" t="str">
        <f ca="1">IF(H59&lt;=I59,"Starter",IF(G59&gt;=LARGE(G:G,FlexOn*LeagueInfo!$F$2),"Starter","Bench"))</f>
        <v>Starter</v>
      </c>
      <c r="G59">
        <f ca="1">IF(H59&gt;I59,D59,0)</f>
        <v>169.06</v>
      </c>
      <c r="H59">
        <f ca="1">INDEX(INDIRECT(""&amp;C59&amp;"!A2:A489"),MATCH(B59,INDIRECT(""&amp;C59&amp;"!B2:B489"),0))</f>
        <v>30</v>
      </c>
      <c r="I59">
        <f>IF(C59="RB",LeagueInfo!$D$4*LeagueInfo!$F$2,LeagueInfo!$D$5*LeagueInfo!$F$2)</f>
        <v>24</v>
      </c>
    </row>
    <row r="60" spans="1:9" x14ac:dyDescent="0.25">
      <c r="A60">
        <f ca="1">RANK(E60,E$2:E$349)</f>
        <v>59</v>
      </c>
      <c r="B60" t="s">
        <v>878</v>
      </c>
      <c r="C60" t="s">
        <v>28</v>
      </c>
      <c r="D60">
        <f ca="1">INDEX(INDIRECT($C60&amp;"!P:P"),MATCH($B60,INDIRECT($C60&amp;"!B:B"),0))</f>
        <v>168.38</v>
      </c>
      <c r="E60" s="6">
        <f ca="1">D60-LARGE(D$2:D$292,RBCount+WRCount)</f>
        <v>59.679999999999993</v>
      </c>
      <c r="F60" t="str">
        <f ca="1">IF(H60&lt;=I60,"Starter",IF(G60&gt;=LARGE(G:G,FlexOn*LeagueInfo!$F$2),"Starter","Bench"))</f>
        <v>Starter</v>
      </c>
      <c r="G60">
        <f ca="1">IF(H60&gt;I60,D60,0)</f>
        <v>168.38</v>
      </c>
      <c r="H60">
        <f ca="1">INDEX(INDIRECT(""&amp;C60&amp;"!A2:A489"),MATCH(B60,INDIRECT(""&amp;C60&amp;"!B2:B489"),0))</f>
        <v>29</v>
      </c>
      <c r="I60">
        <f>IF(C60="RB",LeagueInfo!$D$4*LeagueInfo!$F$2,LeagueInfo!$D$5*LeagueInfo!$F$2)</f>
        <v>24</v>
      </c>
    </row>
    <row r="61" spans="1:9" x14ac:dyDescent="0.25">
      <c r="A61">
        <f ca="1">RANK(E61,E$2:E$349)</f>
        <v>60</v>
      </c>
      <c r="B61" t="s">
        <v>709</v>
      </c>
      <c r="C61" t="s">
        <v>35</v>
      </c>
      <c r="D61">
        <f ca="1">INDEX(INDIRECT($C61&amp;"!P:P"),MATCH($B61,INDIRECT($C61&amp;"!B:B"),0))</f>
        <v>168.32999999999998</v>
      </c>
      <c r="E61" s="6">
        <f ca="1">D61-LARGE(D$2:D$292,RBCount+WRCount)</f>
        <v>59.629999999999981</v>
      </c>
      <c r="F61" t="str">
        <f ca="1">IF(H61&lt;=I61,"Starter",IF(G61&gt;=LARGE(G:G,FlexOn*LeagueInfo!$F$2),"Starter","Bench"))</f>
        <v>Starter</v>
      </c>
      <c r="G61">
        <f ca="1">IF(H61&gt;I61,D61,0)</f>
        <v>168.32999999999998</v>
      </c>
      <c r="H61">
        <f ca="1">INDEX(INDIRECT(""&amp;C61&amp;"!A2:A489"),MATCH(B61,INDIRECT(""&amp;C61&amp;"!B2:B489"),0))</f>
        <v>31</v>
      </c>
      <c r="I61">
        <f>IF(C61="RB",LeagueInfo!$D$4*LeagueInfo!$F$2,LeagueInfo!$D$5*LeagueInfo!$F$2)</f>
        <v>24</v>
      </c>
    </row>
    <row r="62" spans="1:9" x14ac:dyDescent="0.25">
      <c r="A62">
        <f ca="1">RANK(E62,E$2:E$349)</f>
        <v>61</v>
      </c>
      <c r="B62" t="s">
        <v>2443</v>
      </c>
      <c r="C62" t="s">
        <v>28</v>
      </c>
      <c r="D62">
        <f ca="1">INDEX(INDIRECT($C62&amp;"!P:P"),MATCH($B62,INDIRECT($C62&amp;"!B:B"),0))</f>
        <v>167.59</v>
      </c>
      <c r="E62" s="6">
        <f ca="1">D62-LARGE(D$2:D$292,RBCount+WRCount)</f>
        <v>58.89</v>
      </c>
      <c r="F62" t="str">
        <f ca="1">IF(H62&lt;=I62,"Starter",IF(G62&gt;=LARGE(G:G,FlexOn*LeagueInfo!$F$2),"Starter","Bench"))</f>
        <v>Bench</v>
      </c>
      <c r="G62">
        <f ca="1">IF(H62&gt;I62,D62,0)</f>
        <v>167.59</v>
      </c>
      <c r="H62">
        <f ca="1">INDEX(INDIRECT(""&amp;C62&amp;"!A2:A489"),MATCH(B62,INDIRECT(""&amp;C62&amp;"!B2:B489"),0))</f>
        <v>30</v>
      </c>
      <c r="I62">
        <f>IF(C62="RB",LeagueInfo!$D$4*LeagueInfo!$F$2,LeagueInfo!$D$5*LeagueInfo!$F$2)</f>
        <v>24</v>
      </c>
    </row>
    <row r="63" spans="1:9" x14ac:dyDescent="0.25">
      <c r="A63">
        <f ca="1">RANK(E63,E$2:E$349)</f>
        <v>62</v>
      </c>
      <c r="B63" t="s">
        <v>384</v>
      </c>
      <c r="C63" t="s">
        <v>35</v>
      </c>
      <c r="D63">
        <f ca="1">INDEX(INDIRECT($C63&amp;"!P:P"),MATCH($B63,INDIRECT($C63&amp;"!B:B"),0))</f>
        <v>166.78</v>
      </c>
      <c r="E63" s="6">
        <f ca="1">D63-LARGE(D$2:D$292,RBCount+WRCount)</f>
        <v>58.08</v>
      </c>
      <c r="F63" t="str">
        <f ca="1">IF(H63&lt;=I63,"Starter",IF(G63&gt;=LARGE(G:G,FlexOn*LeagueInfo!$F$2),"Starter","Bench"))</f>
        <v>Bench</v>
      </c>
      <c r="G63">
        <f ca="1">IF(H63&gt;I63,D63,0)</f>
        <v>166.78</v>
      </c>
      <c r="H63">
        <f ca="1">INDEX(INDIRECT(""&amp;C63&amp;"!A2:A489"),MATCH(B63,INDIRECT(""&amp;C63&amp;"!B2:B489"),0))</f>
        <v>32</v>
      </c>
      <c r="I63">
        <f>IF(C63="RB",LeagueInfo!$D$4*LeagueInfo!$F$2,LeagueInfo!$D$5*LeagueInfo!$F$2)</f>
        <v>24</v>
      </c>
    </row>
    <row r="64" spans="1:9" x14ac:dyDescent="0.25">
      <c r="A64">
        <f ca="1">RANK(E64,E$2:E$349)</f>
        <v>63</v>
      </c>
      <c r="B64" t="s">
        <v>944</v>
      </c>
      <c r="C64" t="s">
        <v>35</v>
      </c>
      <c r="D64">
        <f ca="1">INDEX(INDIRECT($C64&amp;"!P:P"),MATCH($B64,INDIRECT($C64&amp;"!B:B"),0))</f>
        <v>165.92000000000002</v>
      </c>
      <c r="E64" s="6">
        <f ca="1">D64-LARGE(D$2:D$292,RBCount+WRCount)</f>
        <v>57.220000000000013</v>
      </c>
      <c r="F64" t="str">
        <f ca="1">IF(H64&lt;=I64,"Starter",IF(G64&gt;=LARGE(G:G,FlexOn*LeagueInfo!$F$2),"Starter","Bench"))</f>
        <v>Bench</v>
      </c>
      <c r="G64">
        <f ca="1">IF(H64&gt;I64,D64,0)</f>
        <v>165.92000000000002</v>
      </c>
      <c r="H64">
        <f ca="1">INDEX(INDIRECT(""&amp;C64&amp;"!A2:A489"),MATCH(B64,INDIRECT(""&amp;C64&amp;"!B2:B489"),0))</f>
        <v>33</v>
      </c>
      <c r="I64">
        <f>IF(C64="RB",LeagueInfo!$D$4*LeagueInfo!$F$2,LeagueInfo!$D$5*LeagueInfo!$F$2)</f>
        <v>24</v>
      </c>
    </row>
    <row r="65" spans="1:9" x14ac:dyDescent="0.25">
      <c r="A65">
        <f ca="1">RANK(E65,E$2:E$349)</f>
        <v>64</v>
      </c>
      <c r="B65" t="s">
        <v>210</v>
      </c>
      <c r="C65" t="s">
        <v>35</v>
      </c>
      <c r="D65">
        <f ca="1">INDEX(INDIRECT($C65&amp;"!P:P"),MATCH($B65,INDIRECT($C65&amp;"!B:B"),0))</f>
        <v>165.88</v>
      </c>
      <c r="E65" s="6">
        <f ca="1">D65-LARGE(D$2:D$292,RBCount+WRCount)</f>
        <v>57.179999999999993</v>
      </c>
      <c r="F65" t="str">
        <f ca="1">IF(H65&lt;=I65,"Starter",IF(G65&gt;=LARGE(G:G,FlexOn*LeagueInfo!$F$2),"Starter","Bench"))</f>
        <v>Bench</v>
      </c>
      <c r="G65">
        <f ca="1">IF(H65&gt;I65,D65,0)</f>
        <v>165.88</v>
      </c>
      <c r="H65">
        <f ca="1">INDEX(INDIRECT(""&amp;C65&amp;"!A2:A489"),MATCH(B65,INDIRECT(""&amp;C65&amp;"!B2:B489"),0))</f>
        <v>34</v>
      </c>
      <c r="I65">
        <f>IF(C65="RB",LeagueInfo!$D$4*LeagueInfo!$F$2,LeagueInfo!$D$5*LeagueInfo!$F$2)</f>
        <v>24</v>
      </c>
    </row>
    <row r="66" spans="1:9" x14ac:dyDescent="0.25">
      <c r="A66">
        <f ca="1">RANK(E66,E$2:E$349)</f>
        <v>65</v>
      </c>
      <c r="B66" t="s">
        <v>105</v>
      </c>
      <c r="C66" t="s">
        <v>35</v>
      </c>
      <c r="D66">
        <f ca="1">INDEX(INDIRECT($C66&amp;"!P:P"),MATCH($B66,INDIRECT($C66&amp;"!B:B"),0))</f>
        <v>165.2</v>
      </c>
      <c r="E66" s="6">
        <f ca="1">D66-LARGE(D$2:D$292,RBCount+WRCount)</f>
        <v>56.499999999999986</v>
      </c>
      <c r="F66" t="str">
        <f ca="1">IF(H66&lt;=I66,"Starter",IF(G66&gt;=LARGE(G:G,FlexOn*LeagueInfo!$F$2),"Starter","Bench"))</f>
        <v>Bench</v>
      </c>
      <c r="G66">
        <f ca="1">IF(H66&gt;I66,D66,0)</f>
        <v>165.2</v>
      </c>
      <c r="H66">
        <f ca="1">INDEX(INDIRECT(""&amp;C66&amp;"!A2:A489"),MATCH(B66,INDIRECT(""&amp;C66&amp;"!B2:B489"),0))</f>
        <v>35</v>
      </c>
      <c r="I66">
        <f>IF(C66="RB",LeagueInfo!$D$4*LeagueInfo!$F$2,LeagueInfo!$D$5*LeagueInfo!$F$2)</f>
        <v>24</v>
      </c>
    </row>
    <row r="67" spans="1:9" x14ac:dyDescent="0.25">
      <c r="A67">
        <f ca="1">RANK(E67,E$2:E$349)</f>
        <v>66</v>
      </c>
      <c r="B67" t="s">
        <v>668</v>
      </c>
      <c r="C67" t="s">
        <v>28</v>
      </c>
      <c r="D67">
        <f ca="1">INDEX(INDIRECT($C67&amp;"!P:P"),MATCH($B67,INDIRECT($C67&amp;"!B:B"),0))</f>
        <v>164.72000000000003</v>
      </c>
      <c r="E67" s="6">
        <f ca="1">D67-LARGE(D$2:D$292,RBCount+WRCount)</f>
        <v>56.020000000000024</v>
      </c>
      <c r="F67" t="str">
        <f ca="1">IF(H67&lt;=I67,"Starter",IF(G67&gt;=LARGE(G:G,FlexOn*LeagueInfo!$F$2),"Starter","Bench"))</f>
        <v>Bench</v>
      </c>
      <c r="G67">
        <f ca="1">IF(H67&gt;I67,D67,0)</f>
        <v>164.72000000000003</v>
      </c>
      <c r="H67">
        <f ca="1">INDEX(INDIRECT(""&amp;C67&amp;"!A2:A489"),MATCH(B67,INDIRECT(""&amp;C67&amp;"!B2:B489"),0))</f>
        <v>31</v>
      </c>
      <c r="I67">
        <f>IF(C67="RB",LeagueInfo!$D$4*LeagueInfo!$F$2,LeagueInfo!$D$5*LeagueInfo!$F$2)</f>
        <v>24</v>
      </c>
    </row>
    <row r="68" spans="1:9" x14ac:dyDescent="0.25">
      <c r="A68">
        <f ca="1">RANK(E68,E$2:E$349)</f>
        <v>67</v>
      </c>
      <c r="B68" t="s">
        <v>364</v>
      </c>
      <c r="C68" t="s">
        <v>35</v>
      </c>
      <c r="D68">
        <f ca="1">INDEX(INDIRECT($C68&amp;"!P:P"),MATCH($B68,INDIRECT($C68&amp;"!B:B"),0))</f>
        <v>163.59000000000003</v>
      </c>
      <c r="E68" s="6">
        <f ca="1">D68-LARGE(D$2:D$292,RBCount+WRCount)</f>
        <v>54.890000000000029</v>
      </c>
      <c r="F68" t="str">
        <f ca="1">IF(H68&lt;=I68,"Starter",IF(G68&gt;=LARGE(G:G,FlexOn*LeagueInfo!$F$2),"Starter","Bench"))</f>
        <v>Bench</v>
      </c>
      <c r="G68">
        <f ca="1">IF(H68&gt;I68,D68,0)</f>
        <v>163.59000000000003</v>
      </c>
      <c r="H68">
        <f ca="1">INDEX(INDIRECT(""&amp;C68&amp;"!A2:A489"),MATCH(B68,INDIRECT(""&amp;C68&amp;"!B2:B489"),0))</f>
        <v>36</v>
      </c>
      <c r="I68">
        <f>IF(C68="RB",LeagueInfo!$D$4*LeagueInfo!$F$2,LeagueInfo!$D$5*LeagueInfo!$F$2)</f>
        <v>24</v>
      </c>
    </row>
    <row r="69" spans="1:9" x14ac:dyDescent="0.25">
      <c r="A69">
        <f ca="1">RANK(E69,E$2:E$349)</f>
        <v>68</v>
      </c>
      <c r="B69" t="s">
        <v>391</v>
      </c>
      <c r="C69" t="s">
        <v>28</v>
      </c>
      <c r="D69">
        <f ca="1">INDEX(INDIRECT($C69&amp;"!P:P"),MATCH($B69,INDIRECT($C69&amp;"!B:B"),0))</f>
        <v>163.56</v>
      </c>
      <c r="E69" s="6">
        <f ca="1">D69-LARGE(D$2:D$292,RBCount+WRCount)</f>
        <v>54.86</v>
      </c>
      <c r="F69" t="str">
        <f ca="1">IF(H69&lt;=I69,"Starter",IF(G69&gt;=LARGE(G:G,FlexOn*LeagueInfo!$F$2),"Starter","Bench"))</f>
        <v>Bench</v>
      </c>
      <c r="G69">
        <f ca="1">IF(H69&gt;I69,D69,0)</f>
        <v>163.56</v>
      </c>
      <c r="H69">
        <f ca="1">INDEX(INDIRECT(""&amp;C69&amp;"!A2:A489"),MATCH(B69,INDIRECT(""&amp;C69&amp;"!B2:B489"),0))</f>
        <v>32</v>
      </c>
      <c r="I69">
        <f>IF(C69="RB",LeagueInfo!$D$4*LeagueInfo!$F$2,LeagueInfo!$D$5*LeagueInfo!$F$2)</f>
        <v>24</v>
      </c>
    </row>
    <row r="70" spans="1:9" x14ac:dyDescent="0.25">
      <c r="A70">
        <f ca="1">RANK(E70,E$2:E$349)</f>
        <v>69</v>
      </c>
      <c r="B70" t="s">
        <v>552</v>
      </c>
      <c r="C70" t="s">
        <v>28</v>
      </c>
      <c r="D70">
        <f ca="1">INDEX(INDIRECT($C70&amp;"!P:P"),MATCH($B70,INDIRECT($C70&amp;"!B:B"),0))</f>
        <v>163.14999999999998</v>
      </c>
      <c r="E70" s="6">
        <f ca="1">D70-LARGE(D$2:D$292,RBCount+WRCount)</f>
        <v>54.449999999999974</v>
      </c>
      <c r="F70" t="str">
        <f ca="1">IF(H70&lt;=I70,"Starter",IF(G70&gt;=LARGE(G:G,FlexOn*LeagueInfo!$F$2),"Starter","Bench"))</f>
        <v>Bench</v>
      </c>
      <c r="G70">
        <f ca="1">IF(H70&gt;I70,D70,0)</f>
        <v>163.14999999999998</v>
      </c>
      <c r="H70">
        <f ca="1">INDEX(INDIRECT(""&amp;C70&amp;"!A2:A489"),MATCH(B70,INDIRECT(""&amp;C70&amp;"!B2:B489"),0))</f>
        <v>33</v>
      </c>
      <c r="I70">
        <f>IF(C70="RB",LeagueInfo!$D$4*LeagueInfo!$F$2,LeagueInfo!$D$5*LeagueInfo!$F$2)</f>
        <v>24</v>
      </c>
    </row>
    <row r="71" spans="1:9" x14ac:dyDescent="0.25">
      <c r="A71">
        <f ca="1">RANK(E71,E$2:E$349)</f>
        <v>70</v>
      </c>
      <c r="B71" t="s">
        <v>949</v>
      </c>
      <c r="C71" t="s">
        <v>35</v>
      </c>
      <c r="D71">
        <f ca="1">INDEX(INDIRECT($C71&amp;"!P:P"),MATCH($B71,INDIRECT($C71&amp;"!B:B"),0))</f>
        <v>161.59000000000003</v>
      </c>
      <c r="E71" s="6">
        <f ca="1">D71-LARGE(D$2:D$292,RBCount+WRCount)</f>
        <v>52.890000000000029</v>
      </c>
      <c r="F71" t="str">
        <f ca="1">IF(H71&lt;=I71,"Starter",IF(G71&gt;=LARGE(G:G,FlexOn*LeagueInfo!$F$2),"Starter","Bench"))</f>
        <v>Bench</v>
      </c>
      <c r="G71">
        <f ca="1">IF(H71&gt;I71,D71,0)</f>
        <v>161.59000000000003</v>
      </c>
      <c r="H71">
        <f ca="1">INDEX(INDIRECT(""&amp;C71&amp;"!A2:A489"),MATCH(B71,INDIRECT(""&amp;C71&amp;"!B2:B489"),0))</f>
        <v>37</v>
      </c>
      <c r="I71">
        <f>IF(C71="RB",LeagueInfo!$D$4*LeagueInfo!$F$2,LeagueInfo!$D$5*LeagueInfo!$F$2)</f>
        <v>24</v>
      </c>
    </row>
    <row r="72" spans="1:9" x14ac:dyDescent="0.25">
      <c r="A72">
        <f ca="1">RANK(E72,E$2:E$349)</f>
        <v>71</v>
      </c>
      <c r="B72" t="s">
        <v>543</v>
      </c>
      <c r="C72" t="s">
        <v>28</v>
      </c>
      <c r="D72">
        <f ca="1">INDEX(INDIRECT($C72&amp;"!P:P"),MATCH($B72,INDIRECT($C72&amp;"!B:B"),0))</f>
        <v>160.67999999999998</v>
      </c>
      <c r="E72" s="6">
        <f ca="1">D72-LARGE(D$2:D$292,RBCount+WRCount)</f>
        <v>51.979999999999976</v>
      </c>
      <c r="F72" t="str">
        <f ca="1">IF(H72&lt;=I72,"Starter",IF(G72&gt;=LARGE(G:G,FlexOn*LeagueInfo!$F$2),"Starter","Bench"))</f>
        <v>Bench</v>
      </c>
      <c r="G72">
        <f ca="1">IF(H72&gt;I72,D72,0)</f>
        <v>160.67999999999998</v>
      </c>
      <c r="H72">
        <f ca="1">INDEX(INDIRECT(""&amp;C72&amp;"!A2:A489"),MATCH(B72,INDIRECT(""&amp;C72&amp;"!B2:B489"),0))</f>
        <v>34</v>
      </c>
      <c r="I72">
        <f>IF(C72="RB",LeagueInfo!$D$4*LeagueInfo!$F$2,LeagueInfo!$D$5*LeagueInfo!$F$2)</f>
        <v>24</v>
      </c>
    </row>
    <row r="73" spans="1:9" x14ac:dyDescent="0.25">
      <c r="A73">
        <f ca="1">RANK(E73,E$2:E$349)</f>
        <v>72</v>
      </c>
      <c r="B73" t="s">
        <v>933</v>
      </c>
      <c r="C73" t="s">
        <v>28</v>
      </c>
      <c r="D73">
        <f ca="1">INDEX(INDIRECT($C73&amp;"!P:P"),MATCH($B73,INDIRECT($C73&amp;"!B:B"),0))</f>
        <v>158.54999999999998</v>
      </c>
      <c r="E73" s="6">
        <f ca="1">D73-LARGE(D$2:D$292,RBCount+WRCount)</f>
        <v>49.84999999999998</v>
      </c>
      <c r="F73" t="str">
        <f ca="1">IF(H73&lt;=I73,"Starter",IF(G73&gt;=LARGE(G:G,FlexOn*LeagueInfo!$F$2),"Starter","Bench"))</f>
        <v>Bench</v>
      </c>
      <c r="G73">
        <f ca="1">IF(H73&gt;I73,D73,0)</f>
        <v>158.54999999999998</v>
      </c>
      <c r="H73">
        <f ca="1">INDEX(INDIRECT(""&amp;C73&amp;"!A2:A489"),MATCH(B73,INDIRECT(""&amp;C73&amp;"!B2:B489"),0))</f>
        <v>35</v>
      </c>
      <c r="I73">
        <f>IF(C73="RB",LeagueInfo!$D$4*LeagueInfo!$F$2,LeagueInfo!$D$5*LeagueInfo!$F$2)</f>
        <v>24</v>
      </c>
    </row>
    <row r="74" spans="1:9" x14ac:dyDescent="0.25">
      <c r="A74">
        <f ca="1">RANK(E74,E$2:E$349)</f>
        <v>73</v>
      </c>
      <c r="B74" t="s">
        <v>570</v>
      </c>
      <c r="C74" t="s">
        <v>35</v>
      </c>
      <c r="D74">
        <f ca="1">INDEX(INDIRECT($C74&amp;"!P:P"),MATCH($B74,INDIRECT($C74&amp;"!B:B"),0))</f>
        <v>156.94</v>
      </c>
      <c r="E74" s="6">
        <f ca="1">D74-LARGE(D$2:D$292,RBCount+WRCount)</f>
        <v>48.239999999999995</v>
      </c>
      <c r="F74" t="str">
        <f ca="1">IF(H74&lt;=I74,"Starter",IF(G74&gt;=LARGE(G:G,FlexOn*LeagueInfo!$F$2),"Starter","Bench"))</f>
        <v>Bench</v>
      </c>
      <c r="G74">
        <f ca="1">IF(H74&gt;I74,D74,0)</f>
        <v>156.94</v>
      </c>
      <c r="H74">
        <f ca="1">INDEX(INDIRECT(""&amp;C74&amp;"!A2:A489"),MATCH(B74,INDIRECT(""&amp;C74&amp;"!B2:B489"),0))</f>
        <v>38</v>
      </c>
      <c r="I74">
        <f>IF(C74="RB",LeagueInfo!$D$4*LeagueInfo!$F$2,LeagueInfo!$D$5*LeagueInfo!$F$2)</f>
        <v>24</v>
      </c>
    </row>
    <row r="75" spans="1:9" x14ac:dyDescent="0.25">
      <c r="A75">
        <f ca="1">RANK(E75,E$2:E$349)</f>
        <v>74</v>
      </c>
      <c r="B75" t="s">
        <v>946</v>
      </c>
      <c r="C75" t="s">
        <v>35</v>
      </c>
      <c r="D75">
        <f ca="1">INDEX(INDIRECT($C75&amp;"!P:P"),MATCH($B75,INDIRECT($C75&amp;"!B:B"),0))</f>
        <v>152.03</v>
      </c>
      <c r="E75" s="6">
        <f ca="1">D75-LARGE(D$2:D$292,RBCount+WRCount)</f>
        <v>43.33</v>
      </c>
      <c r="F75" t="str">
        <f ca="1">IF(H75&lt;=I75,"Starter",IF(G75&gt;=LARGE(G:G,FlexOn*LeagueInfo!$F$2),"Starter","Bench"))</f>
        <v>Bench</v>
      </c>
      <c r="G75">
        <f ca="1">IF(H75&gt;I75,D75,0)</f>
        <v>152.03</v>
      </c>
      <c r="H75">
        <f ca="1">INDEX(INDIRECT(""&amp;C75&amp;"!A2:A489"),MATCH(B75,INDIRECT(""&amp;C75&amp;"!B2:B489"),0))</f>
        <v>39</v>
      </c>
      <c r="I75">
        <f>IF(C75="RB",LeagueInfo!$D$4*LeagueInfo!$F$2,LeagueInfo!$D$5*LeagueInfo!$F$2)</f>
        <v>24</v>
      </c>
    </row>
    <row r="76" spans="1:9" x14ac:dyDescent="0.25">
      <c r="A76">
        <f ca="1">RANK(E76,E$2:E$349)</f>
        <v>75</v>
      </c>
      <c r="B76" t="s">
        <v>840</v>
      </c>
      <c r="C76" t="s">
        <v>35</v>
      </c>
      <c r="D76">
        <f ca="1">INDEX(INDIRECT($C76&amp;"!P:P"),MATCH($B76,INDIRECT($C76&amp;"!B:B"),0))</f>
        <v>150.4</v>
      </c>
      <c r="E76" s="6">
        <f ca="1">D76-LARGE(D$2:D$292,RBCount+WRCount)</f>
        <v>41.7</v>
      </c>
      <c r="F76" t="str">
        <f ca="1">IF(H76&lt;=I76,"Starter",IF(G76&gt;=LARGE(G:G,FlexOn*LeagueInfo!$F$2),"Starter","Bench"))</f>
        <v>Bench</v>
      </c>
      <c r="G76">
        <f ca="1">IF(H76&gt;I76,D76,0)</f>
        <v>150.4</v>
      </c>
      <c r="H76">
        <f ca="1">INDEX(INDIRECT(""&amp;C76&amp;"!A2:A489"),MATCH(B76,INDIRECT(""&amp;C76&amp;"!B2:B489"),0))</f>
        <v>40</v>
      </c>
      <c r="I76">
        <f>IF(C76="RB",LeagueInfo!$D$4*LeagueInfo!$F$2,LeagueInfo!$D$5*LeagueInfo!$F$2)</f>
        <v>24</v>
      </c>
    </row>
    <row r="77" spans="1:9" x14ac:dyDescent="0.25">
      <c r="A77">
        <f ca="1">RANK(E77,E$2:E$349)</f>
        <v>76</v>
      </c>
      <c r="B77" t="s">
        <v>837</v>
      </c>
      <c r="C77" t="s">
        <v>35</v>
      </c>
      <c r="D77">
        <f ca="1">INDEX(INDIRECT($C77&amp;"!P:P"),MATCH($B77,INDIRECT($C77&amp;"!B:B"),0))</f>
        <v>148.93</v>
      </c>
      <c r="E77" s="6">
        <f ca="1">D77-LARGE(D$2:D$292,RBCount+WRCount)</f>
        <v>40.230000000000004</v>
      </c>
      <c r="F77" t="str">
        <f ca="1">IF(H77&lt;=I77,"Starter",IF(G77&gt;=LARGE(G:G,FlexOn*LeagueInfo!$F$2),"Starter","Bench"))</f>
        <v>Bench</v>
      </c>
      <c r="G77">
        <f ca="1">IF(H77&gt;I77,D77,0)</f>
        <v>148.93</v>
      </c>
      <c r="H77">
        <f ca="1">INDEX(INDIRECT(""&amp;C77&amp;"!A2:A489"),MATCH(B77,INDIRECT(""&amp;C77&amp;"!B2:B489"),0))</f>
        <v>41</v>
      </c>
      <c r="I77">
        <f>IF(C77="RB",LeagueInfo!$D$4*LeagueInfo!$F$2,LeagueInfo!$D$5*LeagueInfo!$F$2)</f>
        <v>24</v>
      </c>
    </row>
    <row r="78" spans="1:9" x14ac:dyDescent="0.25">
      <c r="A78">
        <f ca="1">RANK(E78,E$2:E$349)</f>
        <v>77</v>
      </c>
      <c r="B78" t="s">
        <v>2412</v>
      </c>
      <c r="C78" t="s">
        <v>35</v>
      </c>
      <c r="D78">
        <f ca="1">INDEX(INDIRECT($C78&amp;"!P:P"),MATCH($B78,INDIRECT($C78&amp;"!B:B"),0))</f>
        <v>147.61000000000001</v>
      </c>
      <c r="E78" s="6">
        <f ca="1">D78-LARGE(D$2:D$292,RBCount+WRCount)</f>
        <v>38.910000000000011</v>
      </c>
      <c r="F78" t="str">
        <f ca="1">IF(H78&lt;=I78,"Starter",IF(G78&gt;=LARGE(G:G,FlexOn*LeagueInfo!$F$2),"Starter","Bench"))</f>
        <v>Bench</v>
      </c>
      <c r="G78">
        <f ca="1">IF(H78&gt;I78,D78,0)</f>
        <v>147.61000000000001</v>
      </c>
      <c r="H78">
        <f ca="1">INDEX(INDIRECT(""&amp;C78&amp;"!A2:A489"),MATCH(B78,INDIRECT(""&amp;C78&amp;"!B2:B489"),0))</f>
        <v>42</v>
      </c>
      <c r="I78">
        <f>IF(C78="RB",LeagueInfo!$D$4*LeagueInfo!$F$2,LeagueInfo!$D$5*LeagueInfo!$F$2)</f>
        <v>24</v>
      </c>
    </row>
    <row r="79" spans="1:9" x14ac:dyDescent="0.25">
      <c r="A79">
        <f ca="1">RANK(E79,E$2:E$349)</f>
        <v>78</v>
      </c>
      <c r="B79" t="s">
        <v>161</v>
      </c>
      <c r="C79" t="s">
        <v>28</v>
      </c>
      <c r="D79">
        <f ca="1">INDEX(INDIRECT($C79&amp;"!P:P"),MATCH($B79,INDIRECT($C79&amp;"!B:B"),0))</f>
        <v>147.34</v>
      </c>
      <c r="E79" s="6">
        <f ca="1">D79-LARGE(D$2:D$292,RBCount+WRCount)</f>
        <v>38.64</v>
      </c>
      <c r="F79" t="str">
        <f ca="1">IF(H79&lt;=I79,"Starter",IF(G79&gt;=LARGE(G:G,FlexOn*LeagueInfo!$F$2),"Starter","Bench"))</f>
        <v>Bench</v>
      </c>
      <c r="G79">
        <f ca="1">IF(H79&gt;I79,D79,0)</f>
        <v>147.34</v>
      </c>
      <c r="H79">
        <f ca="1">INDEX(INDIRECT(""&amp;C79&amp;"!A2:A489"),MATCH(B79,INDIRECT(""&amp;C79&amp;"!B2:B489"),0))</f>
        <v>36</v>
      </c>
      <c r="I79">
        <f>IF(C79="RB",LeagueInfo!$D$4*LeagueInfo!$F$2,LeagueInfo!$D$5*LeagueInfo!$F$2)</f>
        <v>24</v>
      </c>
    </row>
    <row r="80" spans="1:9" x14ac:dyDescent="0.25">
      <c r="A80">
        <f ca="1">RANK(E80,E$2:E$349)</f>
        <v>79</v>
      </c>
      <c r="B80" t="s">
        <v>730</v>
      </c>
      <c r="C80" t="s">
        <v>35</v>
      </c>
      <c r="D80">
        <f ca="1">INDEX(INDIRECT($C80&amp;"!P:P"),MATCH($B80,INDIRECT($C80&amp;"!B:B"),0))</f>
        <v>147.13</v>
      </c>
      <c r="E80" s="6">
        <f ca="1">D80-LARGE(D$2:D$292,RBCount+WRCount)</f>
        <v>38.429999999999993</v>
      </c>
      <c r="F80" t="str">
        <f ca="1">IF(H80&lt;=I80,"Starter",IF(G80&gt;=LARGE(G:G,FlexOn*LeagueInfo!$F$2),"Starter","Bench"))</f>
        <v>Bench</v>
      </c>
      <c r="G80">
        <f ca="1">IF(H80&gt;I80,D80,0)</f>
        <v>147.13</v>
      </c>
      <c r="H80">
        <f ca="1">INDEX(INDIRECT(""&amp;C80&amp;"!A2:A489"),MATCH(B80,INDIRECT(""&amp;C80&amp;"!B2:B489"),0))</f>
        <v>43</v>
      </c>
      <c r="I80">
        <f>IF(C80="RB",LeagueInfo!$D$4*LeagueInfo!$F$2,LeagueInfo!$D$5*LeagueInfo!$F$2)</f>
        <v>24</v>
      </c>
    </row>
    <row r="81" spans="1:9" x14ac:dyDescent="0.25">
      <c r="A81">
        <f ca="1">RANK(E81,E$2:E$349)</f>
        <v>80</v>
      </c>
      <c r="B81" t="s">
        <v>796</v>
      </c>
      <c r="C81" t="s">
        <v>35</v>
      </c>
      <c r="D81">
        <f ca="1">INDEX(INDIRECT($C81&amp;"!P:P"),MATCH($B81,INDIRECT($C81&amp;"!B:B"),0))</f>
        <v>141.97000000000003</v>
      </c>
      <c r="E81" s="6">
        <f ca="1">D81-LARGE(D$2:D$292,RBCount+WRCount)</f>
        <v>33.270000000000024</v>
      </c>
      <c r="F81" t="str">
        <f ca="1">IF(H81&lt;=I81,"Starter",IF(G81&gt;=LARGE(G:G,FlexOn*LeagueInfo!$F$2),"Starter","Bench"))</f>
        <v>Bench</v>
      </c>
      <c r="G81">
        <f ca="1">IF(H81&gt;I81,D81,0)</f>
        <v>141.97000000000003</v>
      </c>
      <c r="H81">
        <f ca="1">INDEX(INDIRECT(""&amp;C81&amp;"!A2:A489"),MATCH(B81,INDIRECT(""&amp;C81&amp;"!B2:B489"),0))</f>
        <v>44</v>
      </c>
      <c r="I81">
        <f>IF(C81="RB",LeagueInfo!$D$4*LeagueInfo!$F$2,LeagueInfo!$D$5*LeagueInfo!$F$2)</f>
        <v>24</v>
      </c>
    </row>
    <row r="82" spans="1:9" x14ac:dyDescent="0.25">
      <c r="A82">
        <f ca="1">RANK(E82,E$2:E$349)</f>
        <v>81</v>
      </c>
      <c r="B82" t="s">
        <v>929</v>
      </c>
      <c r="C82" t="s">
        <v>28</v>
      </c>
      <c r="D82">
        <f ca="1">INDEX(INDIRECT($C82&amp;"!P:P"),MATCH($B82,INDIRECT($C82&amp;"!B:B"),0))</f>
        <v>141.91999999999999</v>
      </c>
      <c r="E82" s="6">
        <f ca="1">D82-LARGE(D$2:D$292,RBCount+WRCount)</f>
        <v>33.219999999999985</v>
      </c>
      <c r="F82" t="str">
        <f ca="1">IF(H82&lt;=I82,"Starter",IF(G82&gt;=LARGE(G:G,FlexOn*LeagueInfo!$F$2),"Starter","Bench"))</f>
        <v>Bench</v>
      </c>
      <c r="G82">
        <f ca="1">IF(H82&gt;I82,D82,0)</f>
        <v>141.91999999999999</v>
      </c>
      <c r="H82">
        <f ca="1">INDEX(INDIRECT(""&amp;C82&amp;"!A2:A489"),MATCH(B82,INDIRECT(""&amp;C82&amp;"!B2:B489"),0))</f>
        <v>37</v>
      </c>
      <c r="I82">
        <f>IF(C82="RB",LeagueInfo!$D$4*LeagueInfo!$F$2,LeagueInfo!$D$5*LeagueInfo!$F$2)</f>
        <v>24</v>
      </c>
    </row>
    <row r="83" spans="1:9" x14ac:dyDescent="0.25">
      <c r="A83">
        <f ca="1">RANK(E83,E$2:E$349)</f>
        <v>82</v>
      </c>
      <c r="B83" t="s">
        <v>2411</v>
      </c>
      <c r="C83" t="s">
        <v>35</v>
      </c>
      <c r="D83">
        <f ca="1">INDEX(INDIRECT($C83&amp;"!P:P"),MATCH($B83,INDIRECT($C83&amp;"!B:B"),0))</f>
        <v>141.42000000000002</v>
      </c>
      <c r="E83" s="6">
        <f ca="1">D83-LARGE(D$2:D$292,RBCount+WRCount)</f>
        <v>32.720000000000013</v>
      </c>
      <c r="F83" t="str">
        <f ca="1">IF(H83&lt;=I83,"Starter",IF(G83&gt;=LARGE(G:G,FlexOn*LeagueInfo!$F$2),"Starter","Bench"))</f>
        <v>Bench</v>
      </c>
      <c r="G83">
        <f ca="1">IF(H83&gt;I83,D83,0)</f>
        <v>141.42000000000002</v>
      </c>
      <c r="H83">
        <f ca="1">INDEX(INDIRECT(""&amp;C83&amp;"!A2:A489"),MATCH(B83,INDIRECT(""&amp;C83&amp;"!B2:B489"),0))</f>
        <v>45</v>
      </c>
      <c r="I83">
        <f>IF(C83="RB",LeagueInfo!$D$4*LeagueInfo!$F$2,LeagueInfo!$D$5*LeagueInfo!$F$2)</f>
        <v>24</v>
      </c>
    </row>
    <row r="84" spans="1:9" x14ac:dyDescent="0.25">
      <c r="A84">
        <f ca="1">RANK(E84,E$2:E$349)</f>
        <v>83</v>
      </c>
      <c r="B84" t="s">
        <v>109</v>
      </c>
      <c r="C84" t="s">
        <v>35</v>
      </c>
      <c r="D84">
        <f ca="1">INDEX(INDIRECT($C84&amp;"!P:P"),MATCH($B84,INDIRECT($C84&amp;"!B:B"),0))</f>
        <v>141.21</v>
      </c>
      <c r="E84" s="6">
        <f ca="1">D84-LARGE(D$2:D$292,RBCount+WRCount)</f>
        <v>32.510000000000005</v>
      </c>
      <c r="F84" t="str">
        <f ca="1">IF(H84&lt;=I84,"Starter",IF(G84&gt;=LARGE(G:G,FlexOn*LeagueInfo!$F$2),"Starter","Bench"))</f>
        <v>Bench</v>
      </c>
      <c r="G84">
        <f ca="1">IF(H84&gt;I84,D84,0)</f>
        <v>141.21</v>
      </c>
      <c r="H84">
        <f ca="1">INDEX(INDIRECT(""&amp;C84&amp;"!A2:A489"),MATCH(B84,INDIRECT(""&amp;C84&amp;"!B2:B489"),0))</f>
        <v>46</v>
      </c>
      <c r="I84">
        <f>IF(C84="RB",LeagueInfo!$D$4*LeagueInfo!$F$2,LeagueInfo!$D$5*LeagueInfo!$F$2)</f>
        <v>24</v>
      </c>
    </row>
    <row r="85" spans="1:9" x14ac:dyDescent="0.25">
      <c r="A85">
        <f ca="1">RANK(E85,E$2:E$349)</f>
        <v>84</v>
      </c>
      <c r="B85" t="s">
        <v>928</v>
      </c>
      <c r="C85" t="s">
        <v>28</v>
      </c>
      <c r="D85">
        <f ca="1">INDEX(INDIRECT($C85&amp;"!P:P"),MATCH($B85,INDIRECT($C85&amp;"!B:B"),0))</f>
        <v>141.07000000000002</v>
      </c>
      <c r="E85" s="6">
        <f ca="1">D85-LARGE(D$2:D$292,RBCount+WRCount)</f>
        <v>32.370000000000019</v>
      </c>
      <c r="F85" t="str">
        <f ca="1">IF(H85&lt;=I85,"Starter",IF(G85&gt;=LARGE(G:G,FlexOn*LeagueInfo!$F$2),"Starter","Bench"))</f>
        <v>Bench</v>
      </c>
      <c r="G85">
        <f ca="1">IF(H85&gt;I85,D85,0)</f>
        <v>141.07000000000002</v>
      </c>
      <c r="H85">
        <f ca="1">INDEX(INDIRECT(""&amp;C85&amp;"!A2:A489"),MATCH(B85,INDIRECT(""&amp;C85&amp;"!B2:B489"),0))</f>
        <v>38</v>
      </c>
      <c r="I85">
        <f>IF(C85="RB",LeagueInfo!$D$4*LeagueInfo!$F$2,LeagueInfo!$D$5*LeagueInfo!$F$2)</f>
        <v>24</v>
      </c>
    </row>
    <row r="86" spans="1:9" x14ac:dyDescent="0.25">
      <c r="A86">
        <f ca="1">RANK(E86,E$2:E$349)</f>
        <v>85</v>
      </c>
      <c r="B86" t="s">
        <v>954</v>
      </c>
      <c r="C86" t="s">
        <v>35</v>
      </c>
      <c r="D86">
        <f ca="1">INDEX(INDIRECT($C86&amp;"!P:P"),MATCH($B86,INDIRECT($C86&amp;"!B:B"),0))</f>
        <v>139.66</v>
      </c>
      <c r="E86" s="6">
        <f ca="1">D86-LARGE(D$2:D$292,RBCount+WRCount)</f>
        <v>30.959999999999994</v>
      </c>
      <c r="F86" t="str">
        <f ca="1">IF(H86&lt;=I86,"Starter",IF(G86&gt;=LARGE(G:G,FlexOn*LeagueInfo!$F$2),"Starter","Bench"))</f>
        <v>Bench</v>
      </c>
      <c r="G86">
        <f ca="1">IF(H86&gt;I86,D86,0)</f>
        <v>139.66</v>
      </c>
      <c r="H86">
        <f ca="1">INDEX(INDIRECT(""&amp;C86&amp;"!A2:A489"),MATCH(B86,INDIRECT(""&amp;C86&amp;"!B2:B489"),0))</f>
        <v>47</v>
      </c>
      <c r="I86">
        <f>IF(C86="RB",LeagueInfo!$D$4*LeagueInfo!$F$2,LeagueInfo!$D$5*LeagueInfo!$F$2)</f>
        <v>24</v>
      </c>
    </row>
    <row r="87" spans="1:9" x14ac:dyDescent="0.25">
      <c r="A87">
        <f ca="1">RANK(E87,E$2:E$349)</f>
        <v>86</v>
      </c>
      <c r="B87" t="s">
        <v>583</v>
      </c>
      <c r="C87" t="s">
        <v>35</v>
      </c>
      <c r="D87">
        <f ca="1">INDEX(INDIRECT($C87&amp;"!P:P"),MATCH($B87,INDIRECT($C87&amp;"!B:B"),0))</f>
        <v>136.86999999999998</v>
      </c>
      <c r="E87" s="6">
        <f ca="1">D87-LARGE(D$2:D$292,RBCount+WRCount)</f>
        <v>28.169999999999973</v>
      </c>
      <c r="F87" t="str">
        <f ca="1">IF(H87&lt;=I87,"Starter",IF(G87&gt;=LARGE(G:G,FlexOn*LeagueInfo!$F$2),"Starter","Bench"))</f>
        <v>Bench</v>
      </c>
      <c r="G87">
        <f ca="1">IF(H87&gt;I87,D87,0)</f>
        <v>136.86999999999998</v>
      </c>
      <c r="H87">
        <f ca="1">INDEX(INDIRECT(""&amp;C87&amp;"!A2:A489"),MATCH(B87,INDIRECT(""&amp;C87&amp;"!B2:B489"),0))</f>
        <v>48</v>
      </c>
      <c r="I87">
        <f>IF(C87="RB",LeagueInfo!$D$4*LeagueInfo!$F$2,LeagueInfo!$D$5*LeagueInfo!$F$2)</f>
        <v>24</v>
      </c>
    </row>
    <row r="88" spans="1:9" x14ac:dyDescent="0.25">
      <c r="A88">
        <f ca="1">RANK(E88,E$2:E$349)</f>
        <v>87</v>
      </c>
      <c r="B88" t="s">
        <v>705</v>
      </c>
      <c r="C88" t="s">
        <v>35</v>
      </c>
      <c r="D88">
        <f ca="1">INDEX(INDIRECT($C88&amp;"!P:P"),MATCH($B88,INDIRECT($C88&amp;"!B:B"),0))</f>
        <v>135.34</v>
      </c>
      <c r="E88" s="6">
        <f ca="1">D88-LARGE(D$2:D$292,RBCount+WRCount)</f>
        <v>26.64</v>
      </c>
      <c r="F88" t="str">
        <f ca="1">IF(H88&lt;=I88,"Starter",IF(G88&gt;=LARGE(G:G,FlexOn*LeagueInfo!$F$2),"Starter","Bench"))</f>
        <v>Bench</v>
      </c>
      <c r="G88">
        <f ca="1">IF(H88&gt;I88,D88,0)</f>
        <v>135.34</v>
      </c>
      <c r="H88">
        <f ca="1">INDEX(INDIRECT(""&amp;C88&amp;"!A2:A489"),MATCH(B88,INDIRECT(""&amp;C88&amp;"!B2:B489"),0))</f>
        <v>49</v>
      </c>
      <c r="I88">
        <f>IF(C88="RB",LeagueInfo!$D$4*LeagueInfo!$F$2,LeagueInfo!$D$5*LeagueInfo!$F$2)</f>
        <v>24</v>
      </c>
    </row>
    <row r="89" spans="1:9" x14ac:dyDescent="0.25">
      <c r="A89">
        <f ca="1">RANK(E89,E$2:E$349)</f>
        <v>88</v>
      </c>
      <c r="B89" t="s">
        <v>770</v>
      </c>
      <c r="C89" t="s">
        <v>35</v>
      </c>
      <c r="D89">
        <f ca="1">INDEX(INDIRECT($C89&amp;"!P:P"),MATCH($B89,INDIRECT($C89&amp;"!B:B"),0))</f>
        <v>133.27999999999997</v>
      </c>
      <c r="E89" s="6">
        <f ca="1">D89-LARGE(D$2:D$292,RBCount+WRCount)</f>
        <v>24.57999999999997</v>
      </c>
      <c r="F89" t="str">
        <f ca="1">IF(H89&lt;=I89,"Starter",IF(G89&gt;=LARGE(G:G,FlexOn*LeagueInfo!$F$2),"Starter","Bench"))</f>
        <v>Bench</v>
      </c>
      <c r="G89">
        <f ca="1">IF(H89&gt;I89,D89,0)</f>
        <v>133.27999999999997</v>
      </c>
      <c r="H89">
        <f ca="1">INDEX(INDIRECT(""&amp;C89&amp;"!A2:A489"),MATCH(B89,INDIRECT(""&amp;C89&amp;"!B2:B489"),0))</f>
        <v>50</v>
      </c>
      <c r="I89">
        <f>IF(C89="RB",LeagueInfo!$D$4*LeagueInfo!$F$2,LeagueInfo!$D$5*LeagueInfo!$F$2)</f>
        <v>24</v>
      </c>
    </row>
    <row r="90" spans="1:9" x14ac:dyDescent="0.25">
      <c r="A90">
        <f ca="1">RANK(E90,E$2:E$349)</f>
        <v>89</v>
      </c>
      <c r="B90" t="s">
        <v>579</v>
      </c>
      <c r="C90" t="s">
        <v>35</v>
      </c>
      <c r="D90">
        <f ca="1">INDEX(INDIRECT($C90&amp;"!P:P"),MATCH($B90,INDIRECT($C90&amp;"!B:B"),0))</f>
        <v>131.96</v>
      </c>
      <c r="E90" s="6">
        <f ca="1">D90-LARGE(D$2:D$292,RBCount+WRCount)</f>
        <v>23.260000000000005</v>
      </c>
      <c r="F90" t="str">
        <f ca="1">IF(H90&lt;=I90,"Starter",IF(G90&gt;=LARGE(G:G,FlexOn*LeagueInfo!$F$2),"Starter","Bench"))</f>
        <v>Bench</v>
      </c>
      <c r="G90">
        <f ca="1">IF(H90&gt;I90,D90,0)</f>
        <v>131.96</v>
      </c>
      <c r="H90">
        <f ca="1">INDEX(INDIRECT(""&amp;C90&amp;"!A2:A489"),MATCH(B90,INDIRECT(""&amp;C90&amp;"!B2:B489"),0))</f>
        <v>51</v>
      </c>
      <c r="I90">
        <f>IF(C90="RB",LeagueInfo!$D$4*LeagueInfo!$F$2,LeagueInfo!$D$5*LeagueInfo!$F$2)</f>
        <v>24</v>
      </c>
    </row>
    <row r="91" spans="1:9" x14ac:dyDescent="0.25">
      <c r="A91">
        <f ca="1">RANK(E91,E$2:E$349)</f>
        <v>90</v>
      </c>
      <c r="B91" t="s">
        <v>372</v>
      </c>
      <c r="C91" t="s">
        <v>35</v>
      </c>
      <c r="D91">
        <f ca="1">INDEX(INDIRECT($C91&amp;"!P:P"),MATCH($B91,INDIRECT($C91&amp;"!B:B"),0))</f>
        <v>131.04000000000002</v>
      </c>
      <c r="E91" s="6">
        <f ca="1">D91-LARGE(D$2:D$292,RBCount+WRCount)</f>
        <v>22.340000000000018</v>
      </c>
      <c r="F91" t="str">
        <f ca="1">IF(H91&lt;=I91,"Starter",IF(G91&gt;=LARGE(G:G,FlexOn*LeagueInfo!$F$2),"Starter","Bench"))</f>
        <v>Bench</v>
      </c>
      <c r="G91">
        <f ca="1">IF(H91&gt;I91,D91,0)</f>
        <v>131.04000000000002</v>
      </c>
      <c r="H91">
        <f ca="1">INDEX(INDIRECT(""&amp;C91&amp;"!A2:A489"),MATCH(B91,INDIRECT(""&amp;C91&amp;"!B2:B489"),0))</f>
        <v>52</v>
      </c>
      <c r="I91">
        <f>IF(C91="RB",LeagueInfo!$D$4*LeagueInfo!$F$2,LeagueInfo!$D$5*LeagueInfo!$F$2)</f>
        <v>24</v>
      </c>
    </row>
    <row r="92" spans="1:9" x14ac:dyDescent="0.25">
      <c r="A92">
        <f ca="1">RANK(E92,E$2:E$349)</f>
        <v>91</v>
      </c>
      <c r="B92" t="s">
        <v>370</v>
      </c>
      <c r="C92" t="s">
        <v>35</v>
      </c>
      <c r="D92">
        <f ca="1">INDEX(INDIRECT($C92&amp;"!P:P"),MATCH($B92,INDIRECT($C92&amp;"!B:B"),0))</f>
        <v>128.63999999999999</v>
      </c>
      <c r="E92" s="6">
        <f ca="1">D92-LARGE(D$2:D$292,RBCount+WRCount)</f>
        <v>19.939999999999984</v>
      </c>
      <c r="F92" t="str">
        <f ca="1">IF(H92&lt;=I92,"Starter",IF(G92&gt;=LARGE(G:G,FlexOn*LeagueInfo!$F$2),"Starter","Bench"))</f>
        <v>Bench</v>
      </c>
      <c r="G92">
        <f ca="1">IF(H92&gt;I92,D92,0)</f>
        <v>128.63999999999999</v>
      </c>
      <c r="H92">
        <f ca="1">INDEX(INDIRECT(""&amp;C92&amp;"!A2:A489"),MATCH(B92,INDIRECT(""&amp;C92&amp;"!B2:B489"),0))</f>
        <v>53</v>
      </c>
      <c r="I92">
        <f>IF(C92="RB",LeagueInfo!$D$4*LeagueInfo!$F$2,LeagueInfo!$D$5*LeagueInfo!$F$2)</f>
        <v>24</v>
      </c>
    </row>
    <row r="93" spans="1:9" x14ac:dyDescent="0.25">
      <c r="A93">
        <f ca="1">RANK(E93,E$2:E$349)</f>
        <v>92</v>
      </c>
      <c r="B93" t="s">
        <v>947</v>
      </c>
      <c r="C93" t="s">
        <v>35</v>
      </c>
      <c r="D93">
        <f ca="1">INDEX(INDIRECT($C93&amp;"!P:P"),MATCH($B93,INDIRECT($C93&amp;"!B:B"),0))</f>
        <v>128.1</v>
      </c>
      <c r="E93" s="6">
        <f ca="1">D93-LARGE(D$2:D$292,RBCount+WRCount)</f>
        <v>19.399999999999991</v>
      </c>
      <c r="F93" t="str">
        <f ca="1">IF(H93&lt;=I93,"Starter",IF(G93&gt;=LARGE(G:G,FlexOn*LeagueInfo!$F$2),"Starter","Bench"))</f>
        <v>Bench</v>
      </c>
      <c r="G93">
        <f ca="1">IF(H93&gt;I93,D93,0)</f>
        <v>128.1</v>
      </c>
      <c r="H93">
        <f ca="1">INDEX(INDIRECT(""&amp;C93&amp;"!A2:A489"),MATCH(B93,INDIRECT(""&amp;C93&amp;"!B2:B489"),0))</f>
        <v>54</v>
      </c>
      <c r="I93">
        <f>IF(C93="RB",LeagueInfo!$D$4*LeagueInfo!$F$2,LeagueInfo!$D$5*LeagueInfo!$F$2)</f>
        <v>24</v>
      </c>
    </row>
    <row r="94" spans="1:9" x14ac:dyDescent="0.25">
      <c r="A94">
        <f ca="1">RANK(E94,E$2:E$349)</f>
        <v>93</v>
      </c>
      <c r="B94" t="s">
        <v>567</v>
      </c>
      <c r="C94" t="s">
        <v>35</v>
      </c>
      <c r="D94">
        <f ca="1">INDEX(INDIRECT($C94&amp;"!P:P"),MATCH($B94,INDIRECT($C94&amp;"!B:B"),0))</f>
        <v>127.57000000000001</v>
      </c>
      <c r="E94" s="6">
        <f ca="1">D94-LARGE(D$2:D$292,RBCount+WRCount)</f>
        <v>18.870000000000005</v>
      </c>
      <c r="F94" t="str">
        <f ca="1">IF(H94&lt;=I94,"Starter",IF(G94&gt;=LARGE(G:G,FlexOn*LeagueInfo!$F$2),"Starter","Bench"))</f>
        <v>Bench</v>
      </c>
      <c r="G94">
        <f ca="1">IF(H94&gt;I94,D94,0)</f>
        <v>127.57000000000001</v>
      </c>
      <c r="H94">
        <f ca="1">INDEX(INDIRECT(""&amp;C94&amp;"!A2:A489"),MATCH(B94,INDIRECT(""&amp;C94&amp;"!B2:B489"),0))</f>
        <v>55</v>
      </c>
      <c r="I94">
        <f>IF(C94="RB",LeagueInfo!$D$4*LeagueInfo!$F$2,LeagueInfo!$D$5*LeagueInfo!$F$2)</f>
        <v>24</v>
      </c>
    </row>
    <row r="95" spans="1:9" x14ac:dyDescent="0.25">
      <c r="A95">
        <f ca="1">RANK(E95,E$2:E$349)</f>
        <v>94</v>
      </c>
      <c r="B95" t="s">
        <v>135</v>
      </c>
      <c r="C95" t="s">
        <v>35</v>
      </c>
      <c r="D95">
        <f ca="1">INDEX(INDIRECT($C95&amp;"!P:P"),MATCH($B95,INDIRECT($C95&amp;"!B:B"),0))</f>
        <v>125.80000000000001</v>
      </c>
      <c r="E95" s="6">
        <f ca="1">D95-LARGE(D$2:D$292,RBCount+WRCount)</f>
        <v>17.100000000000009</v>
      </c>
      <c r="F95" t="str">
        <f ca="1">IF(H95&lt;=I95,"Starter",IF(G95&gt;=LARGE(G:G,FlexOn*LeagueInfo!$F$2),"Starter","Bench"))</f>
        <v>Bench</v>
      </c>
      <c r="G95">
        <f ca="1">IF(H95&gt;I95,D95,0)</f>
        <v>125.80000000000001</v>
      </c>
      <c r="H95">
        <f ca="1">INDEX(INDIRECT(""&amp;C95&amp;"!A2:A489"),MATCH(B95,INDIRECT(""&amp;C95&amp;"!B2:B489"),0))</f>
        <v>56</v>
      </c>
      <c r="I95">
        <f>IF(C95="RB",LeagueInfo!$D$4*LeagueInfo!$F$2,LeagueInfo!$D$5*LeagueInfo!$F$2)</f>
        <v>24</v>
      </c>
    </row>
    <row r="96" spans="1:9" x14ac:dyDescent="0.25">
      <c r="A96">
        <f ca="1">RANK(E96,E$2:E$349)</f>
        <v>95</v>
      </c>
      <c r="B96" t="s">
        <v>2413</v>
      </c>
      <c r="C96" t="s">
        <v>35</v>
      </c>
      <c r="D96">
        <f ca="1">INDEX(INDIRECT($C96&amp;"!P:P"),MATCH($B96,INDIRECT($C96&amp;"!B:B"),0))</f>
        <v>124.75</v>
      </c>
      <c r="E96" s="6">
        <f ca="1">D96-LARGE(D$2:D$292,RBCount+WRCount)</f>
        <v>16.049999999999997</v>
      </c>
      <c r="F96" t="str">
        <f ca="1">IF(H96&lt;=I96,"Starter",IF(G96&gt;=LARGE(G:G,FlexOn*LeagueInfo!$F$2),"Starter","Bench"))</f>
        <v>Bench</v>
      </c>
      <c r="G96">
        <f ca="1">IF(H96&gt;I96,D96,0)</f>
        <v>124.75</v>
      </c>
      <c r="H96">
        <f ca="1">INDEX(INDIRECT(""&amp;C96&amp;"!A2:A489"),MATCH(B96,INDIRECT(""&amp;C96&amp;"!B2:B489"),0))</f>
        <v>57</v>
      </c>
      <c r="I96">
        <f>IF(C96="RB",LeagueInfo!$D$4*LeagueInfo!$F$2,LeagueInfo!$D$5*LeagueInfo!$F$2)</f>
        <v>24</v>
      </c>
    </row>
    <row r="97" spans="1:9" x14ac:dyDescent="0.25">
      <c r="A97">
        <f ca="1">RANK(E97,E$2:E$349)</f>
        <v>96</v>
      </c>
      <c r="B97" t="s">
        <v>2414</v>
      </c>
      <c r="C97" t="s">
        <v>35</v>
      </c>
      <c r="D97">
        <f ca="1">INDEX(INDIRECT($C97&amp;"!P:P"),MATCH($B97,INDIRECT($C97&amp;"!B:B"),0))</f>
        <v>123.60999999999999</v>
      </c>
      <c r="E97" s="6">
        <f ca="1">D97-LARGE(D$2:D$292,RBCount+WRCount)</f>
        <v>14.909999999999982</v>
      </c>
      <c r="F97" t="str">
        <f ca="1">IF(H97&lt;=I97,"Starter",IF(G97&gt;=LARGE(G:G,FlexOn*LeagueInfo!$F$2),"Starter","Bench"))</f>
        <v>Bench</v>
      </c>
      <c r="G97">
        <f ca="1">IF(H97&gt;I97,D97,0)</f>
        <v>123.60999999999999</v>
      </c>
      <c r="H97">
        <f ca="1">INDEX(INDIRECT(""&amp;C97&amp;"!A2:A489"),MATCH(B97,INDIRECT(""&amp;C97&amp;"!B2:B489"),0))</f>
        <v>58</v>
      </c>
      <c r="I97">
        <f>IF(C97="RB",LeagueInfo!$D$4*LeagueInfo!$F$2,LeagueInfo!$D$5*LeagueInfo!$F$2)</f>
        <v>24</v>
      </c>
    </row>
    <row r="98" spans="1:9" x14ac:dyDescent="0.25">
      <c r="A98">
        <f ca="1">RANK(E98,E$2:E$349)</f>
        <v>97</v>
      </c>
      <c r="B98" t="s">
        <v>893</v>
      </c>
      <c r="C98" t="s">
        <v>28</v>
      </c>
      <c r="D98">
        <f ca="1">INDEX(INDIRECT($C98&amp;"!P:P"),MATCH($B98,INDIRECT($C98&amp;"!B:B"),0))</f>
        <v>121.68</v>
      </c>
      <c r="E98" s="6">
        <f ca="1">D98-LARGE(D$2:D$292,RBCount+WRCount)</f>
        <v>12.980000000000004</v>
      </c>
      <c r="F98" t="str">
        <f ca="1">IF(H98&lt;=I98,"Starter",IF(G98&gt;=LARGE(G:G,FlexOn*LeagueInfo!$F$2),"Starter","Bench"))</f>
        <v>Bench</v>
      </c>
      <c r="G98">
        <f ca="1">IF(H98&gt;I98,D98,0)</f>
        <v>121.68</v>
      </c>
      <c r="H98">
        <f ca="1">INDEX(INDIRECT(""&amp;C98&amp;"!A2:A489"),MATCH(B98,INDIRECT(""&amp;C98&amp;"!B2:B489"),0))</f>
        <v>39</v>
      </c>
      <c r="I98">
        <f>IF(C98="RB",LeagueInfo!$D$4*LeagueInfo!$F$2,LeagueInfo!$D$5*LeagueInfo!$F$2)</f>
        <v>24</v>
      </c>
    </row>
    <row r="99" spans="1:9" x14ac:dyDescent="0.25">
      <c r="A99">
        <f ca="1">RANK(E99,E$2:E$349)</f>
        <v>98</v>
      </c>
      <c r="B99" t="s">
        <v>2415</v>
      </c>
      <c r="C99" t="s">
        <v>35</v>
      </c>
      <c r="D99">
        <f ca="1">INDEX(INDIRECT($C99&amp;"!P:P"),MATCH($B99,INDIRECT($C99&amp;"!B:B"),0))</f>
        <v>121.46000000000001</v>
      </c>
      <c r="E99" s="6">
        <f ca="1">D99-LARGE(D$2:D$292,RBCount+WRCount)</f>
        <v>12.760000000000005</v>
      </c>
      <c r="F99" t="str">
        <f ca="1">IF(H99&lt;=I99,"Starter",IF(G99&gt;=LARGE(G:G,FlexOn*LeagueInfo!$F$2),"Starter","Bench"))</f>
        <v>Bench</v>
      </c>
      <c r="G99">
        <f ca="1">IF(H99&gt;I99,D99,0)</f>
        <v>121.46000000000001</v>
      </c>
      <c r="H99">
        <f ca="1">INDEX(INDIRECT(""&amp;C99&amp;"!A2:A489"),MATCH(B99,INDIRECT(""&amp;C99&amp;"!B2:B489"),0))</f>
        <v>59</v>
      </c>
      <c r="I99">
        <f>IF(C99="RB",LeagueInfo!$D$4*LeagueInfo!$F$2,LeagueInfo!$D$5*LeagueInfo!$F$2)</f>
        <v>24</v>
      </c>
    </row>
    <row r="100" spans="1:9" x14ac:dyDescent="0.25">
      <c r="A100">
        <f ca="1">RANK(E100,E$2:E$349)</f>
        <v>99</v>
      </c>
      <c r="B100" t="s">
        <v>2416</v>
      </c>
      <c r="C100" t="s">
        <v>35</v>
      </c>
      <c r="D100">
        <f ca="1">INDEX(INDIRECT($C100&amp;"!P:P"),MATCH($B100,INDIRECT($C100&amp;"!B:B"),0))</f>
        <v>119.14</v>
      </c>
      <c r="E100" s="6">
        <f ca="1">D100-LARGE(D$2:D$292,RBCount+WRCount)</f>
        <v>10.439999999999998</v>
      </c>
      <c r="F100" t="str">
        <f ca="1">IF(H100&lt;=I100,"Starter",IF(G100&gt;=LARGE(G:G,FlexOn*LeagueInfo!$F$2),"Starter","Bench"))</f>
        <v>Bench</v>
      </c>
      <c r="G100">
        <f ca="1">IF(H100&gt;I100,D100,0)</f>
        <v>119.14</v>
      </c>
      <c r="H100">
        <f ca="1">INDEX(INDIRECT(""&amp;C100&amp;"!A2:A489"),MATCH(B100,INDIRECT(""&amp;C100&amp;"!B2:B489"),0))</f>
        <v>60</v>
      </c>
      <c r="I100">
        <f>IF(C100="RB",LeagueInfo!$D$4*LeagueInfo!$F$2,LeagueInfo!$D$5*LeagueInfo!$F$2)</f>
        <v>24</v>
      </c>
    </row>
    <row r="101" spans="1:9" x14ac:dyDescent="0.25">
      <c r="A101">
        <f ca="1">RANK(E101,E$2:E$349)</f>
        <v>100</v>
      </c>
      <c r="B101" t="s">
        <v>955</v>
      </c>
      <c r="C101" t="s">
        <v>35</v>
      </c>
      <c r="D101">
        <f ca="1">INDEX(INDIRECT($C101&amp;"!P:P"),MATCH($B101,INDIRECT($C101&amp;"!B:B"),0))</f>
        <v>118.26</v>
      </c>
      <c r="E101" s="6">
        <f ca="1">D101-LARGE(D$2:D$292,RBCount+WRCount)</f>
        <v>9.5600000000000023</v>
      </c>
      <c r="F101" t="str">
        <f ca="1">IF(H101&lt;=I101,"Starter",IF(G101&gt;=LARGE(G:G,FlexOn*LeagueInfo!$F$2),"Starter","Bench"))</f>
        <v>Bench</v>
      </c>
      <c r="G101">
        <f ca="1">IF(H101&gt;I101,D101,0)</f>
        <v>118.26</v>
      </c>
      <c r="H101">
        <f ca="1">INDEX(INDIRECT(""&amp;C101&amp;"!A2:A489"),MATCH(B101,INDIRECT(""&amp;C101&amp;"!B2:B489"),0))</f>
        <v>61</v>
      </c>
      <c r="I101">
        <f>IF(C101="RB",LeagueInfo!$D$4*LeagueInfo!$F$2,LeagueInfo!$D$5*LeagueInfo!$F$2)</f>
        <v>24</v>
      </c>
    </row>
    <row r="102" spans="1:9" x14ac:dyDescent="0.25">
      <c r="A102">
        <f ca="1">RANK(E102,E$2:E$349)</f>
        <v>101</v>
      </c>
      <c r="B102" t="s">
        <v>2422</v>
      </c>
      <c r="C102" t="s">
        <v>35</v>
      </c>
      <c r="D102">
        <f ca="1">INDEX(INDIRECT($C102&amp;"!P:P"),MATCH($B102,INDIRECT($C102&amp;"!B:B"),0))</f>
        <v>117.79</v>
      </c>
      <c r="E102" s="6">
        <f ca="1">D102-LARGE(D$2:D$292,RBCount+WRCount)</f>
        <v>9.0900000000000034</v>
      </c>
      <c r="F102" t="str">
        <f ca="1">IF(H102&lt;=I102,"Starter",IF(G102&gt;=LARGE(G:G,FlexOn*LeagueInfo!$F$2),"Starter","Bench"))</f>
        <v>Bench</v>
      </c>
      <c r="G102">
        <f ca="1">IF(H102&gt;I102,D102,0)</f>
        <v>117.79</v>
      </c>
      <c r="H102">
        <f ca="1">INDEX(INDIRECT(""&amp;C102&amp;"!A2:A489"),MATCH(B102,INDIRECT(""&amp;C102&amp;"!B2:B489"),0))</f>
        <v>62</v>
      </c>
      <c r="I102">
        <f>IF(C102="RB",LeagueInfo!$D$4*LeagueInfo!$F$2,LeagueInfo!$D$5*LeagueInfo!$F$2)</f>
        <v>24</v>
      </c>
    </row>
    <row r="103" spans="1:9" x14ac:dyDescent="0.25">
      <c r="A103">
        <f ca="1">RANK(E103,E$2:E$349)</f>
        <v>102</v>
      </c>
      <c r="B103" t="s">
        <v>170</v>
      </c>
      <c r="C103" t="s">
        <v>35</v>
      </c>
      <c r="D103">
        <f ca="1">INDEX(INDIRECT($C103&amp;"!P:P"),MATCH($B103,INDIRECT($C103&amp;"!B:B"),0))</f>
        <v>117.17999999999999</v>
      </c>
      <c r="E103" s="6">
        <f ca="1">D103-LARGE(D$2:D$292,RBCount+WRCount)</f>
        <v>8.4799999999999898</v>
      </c>
      <c r="F103" t="str">
        <f ca="1">IF(H103&lt;=I103,"Starter",IF(G103&gt;=LARGE(G:G,FlexOn*LeagueInfo!$F$2),"Starter","Bench"))</f>
        <v>Bench</v>
      </c>
      <c r="G103">
        <f ca="1">IF(H103&gt;I103,D103,0)</f>
        <v>117.17999999999999</v>
      </c>
      <c r="H103">
        <f ca="1">INDEX(INDIRECT(""&amp;C103&amp;"!A2:A489"),MATCH(B103,INDIRECT(""&amp;C103&amp;"!B2:B489"),0))</f>
        <v>63</v>
      </c>
      <c r="I103">
        <f>IF(C103="RB",LeagueInfo!$D$4*LeagueInfo!$F$2,LeagueInfo!$D$5*LeagueInfo!$F$2)</f>
        <v>24</v>
      </c>
    </row>
    <row r="104" spans="1:9" x14ac:dyDescent="0.25">
      <c r="A104">
        <f ca="1">RANK(E104,E$2:E$349)</f>
        <v>103</v>
      </c>
      <c r="B104" t="s">
        <v>2419</v>
      </c>
      <c r="C104" t="s">
        <v>35</v>
      </c>
      <c r="D104">
        <f ca="1">INDEX(INDIRECT($C104&amp;"!P:P"),MATCH($B104,INDIRECT($C104&amp;"!B:B"),0))</f>
        <v>116.41000000000001</v>
      </c>
      <c r="E104" s="6">
        <f ca="1">D104-LARGE(D$2:D$292,RBCount+WRCount)</f>
        <v>7.710000000000008</v>
      </c>
      <c r="F104" t="str">
        <f ca="1">IF(H104&lt;=I104,"Starter",IF(G104&gt;=LARGE(G:G,FlexOn*LeagueInfo!$F$2),"Starter","Bench"))</f>
        <v>Bench</v>
      </c>
      <c r="G104">
        <f ca="1">IF(H104&gt;I104,D104,0)</f>
        <v>116.41000000000001</v>
      </c>
      <c r="H104">
        <f ca="1">INDEX(INDIRECT(""&amp;C104&amp;"!A2:A489"),MATCH(B104,INDIRECT(""&amp;C104&amp;"!B2:B489"),0))</f>
        <v>64</v>
      </c>
      <c r="I104">
        <f>IF(C104="RB",LeagueInfo!$D$4*LeagueInfo!$F$2,LeagueInfo!$D$5*LeagueInfo!$F$2)</f>
        <v>24</v>
      </c>
    </row>
    <row r="105" spans="1:9" x14ac:dyDescent="0.25">
      <c r="A105">
        <f ca="1">RANK(E105,E$2:E$349)</f>
        <v>104</v>
      </c>
      <c r="B105" t="s">
        <v>2446</v>
      </c>
      <c r="C105" t="s">
        <v>28</v>
      </c>
      <c r="D105">
        <f ca="1">INDEX(INDIRECT($C105&amp;"!P:P"),MATCH($B105,INDIRECT($C105&amp;"!B:B"),0))</f>
        <v>114.74</v>
      </c>
      <c r="E105" s="6">
        <f ca="1">D105-LARGE(D$2:D$292,RBCount+WRCount)</f>
        <v>6.039999999999992</v>
      </c>
      <c r="F105" t="str">
        <f ca="1">IF(H105&lt;=I105,"Starter",IF(G105&gt;=LARGE(G:G,FlexOn*LeagueInfo!$F$2),"Starter","Bench"))</f>
        <v>Bench</v>
      </c>
      <c r="G105">
        <f ca="1">IF(H105&gt;I105,D105,0)</f>
        <v>114.74</v>
      </c>
      <c r="H105">
        <f ca="1">INDEX(INDIRECT(""&amp;C105&amp;"!A2:A489"),MATCH(B105,INDIRECT(""&amp;C105&amp;"!B2:B489"),0))</f>
        <v>40</v>
      </c>
      <c r="I105">
        <f>IF(C105="RB",LeagueInfo!$D$4*LeagueInfo!$F$2,LeagueInfo!$D$5*LeagueInfo!$F$2)</f>
        <v>24</v>
      </c>
    </row>
    <row r="106" spans="1:9" x14ac:dyDescent="0.25">
      <c r="A106">
        <f ca="1">RANK(E106,E$2:E$349)</f>
        <v>105</v>
      </c>
      <c r="B106" t="s">
        <v>353</v>
      </c>
      <c r="C106" t="s">
        <v>28</v>
      </c>
      <c r="D106">
        <f ca="1">INDEX(INDIRECT($C106&amp;"!P:P"),MATCH($B106,INDIRECT($C106&amp;"!B:B"),0))</f>
        <v>114.43000000000002</v>
      </c>
      <c r="E106" s="6">
        <f ca="1">D106-LARGE(D$2:D$292,RBCount+WRCount)</f>
        <v>5.7300000000000182</v>
      </c>
      <c r="F106" t="str">
        <f ca="1">IF(H106&lt;=I106,"Starter",IF(G106&gt;=LARGE(G:G,FlexOn*LeagueInfo!$F$2),"Starter","Bench"))</f>
        <v>Bench</v>
      </c>
      <c r="G106">
        <f ca="1">IF(H106&gt;I106,D106,0)</f>
        <v>114.43000000000002</v>
      </c>
      <c r="H106">
        <f ca="1">INDEX(INDIRECT(""&amp;C106&amp;"!A2:A489"),MATCH(B106,INDIRECT(""&amp;C106&amp;"!B2:B489"),0))</f>
        <v>41</v>
      </c>
      <c r="I106">
        <f>IF(C106="RB",LeagueInfo!$D$4*LeagueInfo!$F$2,LeagueInfo!$D$5*LeagueInfo!$F$2)</f>
        <v>24</v>
      </c>
    </row>
    <row r="107" spans="1:9" x14ac:dyDescent="0.25">
      <c r="A107">
        <f ca="1">RANK(E107,E$2:E$349)</f>
        <v>106</v>
      </c>
      <c r="B107" t="s">
        <v>798</v>
      </c>
      <c r="C107" t="s">
        <v>28</v>
      </c>
      <c r="D107">
        <f ca="1">INDEX(INDIRECT($C107&amp;"!P:P"),MATCH($B107,INDIRECT($C107&amp;"!B:B"),0))</f>
        <v>113.50999999999999</v>
      </c>
      <c r="E107" s="6">
        <f ca="1">D107-LARGE(D$2:D$292,RBCount+WRCount)</f>
        <v>4.8099999999999881</v>
      </c>
      <c r="F107" t="str">
        <f ca="1">IF(H107&lt;=I107,"Starter",IF(G107&gt;=LARGE(G:G,FlexOn*LeagueInfo!$F$2),"Starter","Bench"))</f>
        <v>Bench</v>
      </c>
      <c r="G107">
        <f ca="1">IF(H107&gt;I107,D107,0)</f>
        <v>113.50999999999999</v>
      </c>
      <c r="H107">
        <f ca="1">INDEX(INDIRECT(""&amp;C107&amp;"!A2:A489"),MATCH(B107,INDIRECT(""&amp;C107&amp;"!B2:B489"),0))</f>
        <v>42</v>
      </c>
      <c r="I107">
        <f>IF(C107="RB",LeagueInfo!$D$4*LeagueInfo!$F$2,LeagueInfo!$D$5*LeagueInfo!$F$2)</f>
        <v>24</v>
      </c>
    </row>
    <row r="108" spans="1:9" x14ac:dyDescent="0.25">
      <c r="A108">
        <f ca="1">RANK(E108,E$2:E$349)</f>
        <v>107</v>
      </c>
      <c r="B108" t="s">
        <v>2417</v>
      </c>
      <c r="C108" t="s">
        <v>35</v>
      </c>
      <c r="D108">
        <f ca="1">INDEX(INDIRECT($C108&amp;"!P:P"),MATCH($B108,INDIRECT($C108&amp;"!B:B"),0))</f>
        <v>111.31</v>
      </c>
      <c r="E108" s="6">
        <f ca="1">D108-LARGE(D$2:D$292,RBCount+WRCount)</f>
        <v>2.6099999999999994</v>
      </c>
      <c r="F108" t="str">
        <f ca="1">IF(H108&lt;=I108,"Starter",IF(G108&gt;=LARGE(G:G,FlexOn*LeagueInfo!$F$2),"Starter","Bench"))</f>
        <v>Bench</v>
      </c>
      <c r="G108">
        <f ca="1">IF(H108&gt;I108,D108,0)</f>
        <v>111.31</v>
      </c>
      <c r="H108">
        <f ca="1">INDEX(INDIRECT(""&amp;C108&amp;"!A2:A489"),MATCH(B108,INDIRECT(""&amp;C108&amp;"!B2:B489"),0))</f>
        <v>65</v>
      </c>
      <c r="I108">
        <f>IF(C108="RB",LeagueInfo!$D$4*LeagueInfo!$F$2,LeagueInfo!$D$5*LeagueInfo!$F$2)</f>
        <v>24</v>
      </c>
    </row>
    <row r="109" spans="1:9" x14ac:dyDescent="0.25">
      <c r="A109">
        <f ca="1">RANK(E109,E$2:E$349)</f>
        <v>108</v>
      </c>
      <c r="B109" t="s">
        <v>951</v>
      </c>
      <c r="C109" t="s">
        <v>35</v>
      </c>
      <c r="D109">
        <f ca="1">INDEX(INDIRECT($C109&amp;"!P:P"),MATCH($B109,INDIRECT($C109&amp;"!B:B"),0))</f>
        <v>111.2</v>
      </c>
      <c r="E109" s="6">
        <f ca="1">D109-LARGE(D$2:D$292,RBCount+WRCount)</f>
        <v>2.5</v>
      </c>
      <c r="F109" t="str">
        <f ca="1">IF(H109&lt;=I109,"Starter",IF(G109&gt;=LARGE(G:G,FlexOn*LeagueInfo!$F$2),"Starter","Bench"))</f>
        <v>Bench</v>
      </c>
      <c r="G109">
        <f ca="1">IF(H109&gt;I109,D109,0)</f>
        <v>111.2</v>
      </c>
      <c r="H109">
        <f ca="1">INDEX(INDIRECT(""&amp;C109&amp;"!A2:A489"),MATCH(B109,INDIRECT(""&amp;C109&amp;"!B2:B489"),0))</f>
        <v>66</v>
      </c>
      <c r="I109">
        <f>IF(C109="RB",LeagueInfo!$D$4*LeagueInfo!$F$2,LeagueInfo!$D$5*LeagueInfo!$F$2)</f>
        <v>24</v>
      </c>
    </row>
    <row r="110" spans="1:9" x14ac:dyDescent="0.25">
      <c r="A110">
        <f ca="1">RANK(E110,E$2:E$349)</f>
        <v>109</v>
      </c>
      <c r="B110" t="s">
        <v>2445</v>
      </c>
      <c r="C110" t="s">
        <v>28</v>
      </c>
      <c r="D110">
        <f ca="1">INDEX(INDIRECT($C110&amp;"!P:P"),MATCH($B110,INDIRECT($C110&amp;"!B:B"),0))</f>
        <v>110.81000000000002</v>
      </c>
      <c r="E110" s="6">
        <f ca="1">D110-LARGE(D$2:D$292,RBCount+WRCount)</f>
        <v>2.1100000000000136</v>
      </c>
      <c r="F110" t="str">
        <f ca="1">IF(H110&lt;=I110,"Starter",IF(G110&gt;=LARGE(G:G,FlexOn*LeagueInfo!$F$2),"Starter","Bench"))</f>
        <v>Bench</v>
      </c>
      <c r="G110">
        <f ca="1">IF(H110&gt;I110,D110,0)</f>
        <v>110.81000000000002</v>
      </c>
      <c r="H110">
        <f ca="1">INDEX(INDIRECT(""&amp;C110&amp;"!A2:A489"),MATCH(B110,INDIRECT(""&amp;C110&amp;"!B2:B489"),0))</f>
        <v>43</v>
      </c>
      <c r="I110">
        <f>IF(C110="RB",LeagueInfo!$D$4*LeagueInfo!$F$2,LeagueInfo!$D$5*LeagueInfo!$F$2)</f>
        <v>24</v>
      </c>
    </row>
    <row r="111" spans="1:9" x14ac:dyDescent="0.25">
      <c r="A111">
        <f ca="1">RANK(E111,E$2:E$349)</f>
        <v>110</v>
      </c>
      <c r="B111" t="s">
        <v>844</v>
      </c>
      <c r="C111" t="s">
        <v>35</v>
      </c>
      <c r="D111">
        <f ca="1">INDEX(INDIRECT($C111&amp;"!P:P"),MATCH($B111,INDIRECT($C111&amp;"!B:B"),0))</f>
        <v>110.28999999999999</v>
      </c>
      <c r="E111" s="6">
        <f ca="1">D111-LARGE(D$2:D$292,RBCount+WRCount)</f>
        <v>1.5899999999999892</v>
      </c>
      <c r="F111" t="str">
        <f ca="1">IF(H111&lt;=I111,"Starter",IF(G111&gt;=LARGE(G:G,FlexOn*LeagueInfo!$F$2),"Starter","Bench"))</f>
        <v>Bench</v>
      </c>
      <c r="G111">
        <f ca="1">IF(H111&gt;I111,D111,0)</f>
        <v>110.28999999999999</v>
      </c>
      <c r="H111">
        <f ca="1">INDEX(INDIRECT(""&amp;C111&amp;"!A2:A489"),MATCH(B111,INDIRECT(""&amp;C111&amp;"!B2:B489"),0))</f>
        <v>67</v>
      </c>
      <c r="I111">
        <f>IF(C111="RB",LeagueInfo!$D$4*LeagueInfo!$F$2,LeagueInfo!$D$5*LeagueInfo!$F$2)</f>
        <v>24</v>
      </c>
    </row>
    <row r="112" spans="1:9" x14ac:dyDescent="0.25">
      <c r="A112">
        <f ca="1">RANK(E112,E$2:E$349)</f>
        <v>111</v>
      </c>
      <c r="B112" t="s">
        <v>550</v>
      </c>
      <c r="C112" t="s">
        <v>28</v>
      </c>
      <c r="D112">
        <f ca="1">INDEX(INDIRECT($C112&amp;"!P:P"),MATCH($B112,INDIRECT($C112&amp;"!B:B"),0))</f>
        <v>109.38000000000001</v>
      </c>
      <c r="E112" s="6">
        <f ca="1">D112-LARGE(D$2:D$292,RBCount+WRCount)</f>
        <v>0.68000000000000682</v>
      </c>
      <c r="F112" t="str">
        <f ca="1">IF(H112&lt;=I112,"Starter",IF(G112&gt;=LARGE(G:G,FlexOn*LeagueInfo!$F$2),"Starter","Bench"))</f>
        <v>Bench</v>
      </c>
      <c r="G112">
        <f ca="1">IF(H112&gt;I112,D112,0)</f>
        <v>109.38000000000001</v>
      </c>
      <c r="H112">
        <f ca="1">INDEX(INDIRECT(""&amp;C112&amp;"!A2:A489"),MATCH(B112,INDIRECT(""&amp;C112&amp;"!B2:B489"),0))</f>
        <v>44</v>
      </c>
      <c r="I112">
        <f>IF(C112="RB",LeagueInfo!$D$4*LeagueInfo!$F$2,LeagueInfo!$D$5*LeagueInfo!$F$2)</f>
        <v>24</v>
      </c>
    </row>
    <row r="113" spans="1:9" x14ac:dyDescent="0.25">
      <c r="A113">
        <f ca="1">RANK(E113,E$2:E$349)</f>
        <v>112</v>
      </c>
      <c r="B113" t="s">
        <v>857</v>
      </c>
      <c r="C113" t="s">
        <v>35</v>
      </c>
      <c r="D113">
        <f ca="1">INDEX(INDIRECT($C113&amp;"!P:P"),MATCH($B113,INDIRECT($C113&amp;"!B:B"),0))</f>
        <v>108.7</v>
      </c>
      <c r="E113" s="6">
        <f ca="1">D113-LARGE(D$2:D$292,RBCount+WRCount)</f>
        <v>0</v>
      </c>
      <c r="F113" t="str">
        <f ca="1">IF(H113&lt;=I113,"Starter",IF(G113&gt;=LARGE(G:G,FlexOn*LeagueInfo!$F$2),"Starter","Bench"))</f>
        <v>Bench</v>
      </c>
      <c r="G113">
        <f ca="1">IF(H113&gt;I113,D113,0)</f>
        <v>108.7</v>
      </c>
      <c r="H113">
        <f ca="1">INDEX(INDIRECT(""&amp;C113&amp;"!A2:A489"),MATCH(B113,INDIRECT(""&amp;C113&amp;"!B2:B489"),0))</f>
        <v>68</v>
      </c>
      <c r="I113">
        <f>IF(C113="RB",LeagueInfo!$D$4*LeagueInfo!$F$2,LeagueInfo!$D$5*LeagueInfo!$F$2)</f>
        <v>24</v>
      </c>
    </row>
    <row r="114" spans="1:9" x14ac:dyDescent="0.25">
      <c r="A114">
        <f ca="1">RANK(E114,E$2:E$349)</f>
        <v>113</v>
      </c>
      <c r="B114" t="s">
        <v>215</v>
      </c>
      <c r="C114" t="s">
        <v>35</v>
      </c>
      <c r="D114">
        <f ca="1">INDEX(INDIRECT($C114&amp;"!P:P"),MATCH($B114,INDIRECT($C114&amp;"!B:B"),0))</f>
        <v>108.55000000000001</v>
      </c>
      <c r="E114" s="6">
        <f ca="1">D114-LARGE(D$2:D$292,RBCount+WRCount)</f>
        <v>-0.14999999999999147</v>
      </c>
      <c r="F114" t="str">
        <f ca="1">IF(H114&lt;=I114,"Starter",IF(G114&gt;=LARGE(G:G,FlexOn*LeagueInfo!$F$2),"Starter","Bench"))</f>
        <v>Bench</v>
      </c>
      <c r="G114">
        <f ca="1">IF(H114&gt;I114,D114,0)</f>
        <v>108.55000000000001</v>
      </c>
      <c r="H114">
        <f ca="1">INDEX(INDIRECT(""&amp;C114&amp;"!A2:A489"),MATCH(B114,INDIRECT(""&amp;C114&amp;"!B2:B489"),0))</f>
        <v>69</v>
      </c>
      <c r="I114">
        <f>IF(C114="RB",LeagueInfo!$D$4*LeagueInfo!$F$2,LeagueInfo!$D$5*LeagueInfo!$F$2)</f>
        <v>24</v>
      </c>
    </row>
    <row r="115" spans="1:9" x14ac:dyDescent="0.25">
      <c r="A115">
        <f ca="1">RANK(E115,E$2:E$349)</f>
        <v>114</v>
      </c>
      <c r="B115" t="s">
        <v>184</v>
      </c>
      <c r="C115" t="s">
        <v>28</v>
      </c>
      <c r="D115">
        <f ca="1">INDEX(INDIRECT($C115&amp;"!P:P"),MATCH($B115,INDIRECT($C115&amp;"!B:B"),0))</f>
        <v>108.55</v>
      </c>
      <c r="E115" s="6">
        <f ca="1">D115-LARGE(D$2:D$292,RBCount+WRCount)</f>
        <v>-0.15000000000000568</v>
      </c>
      <c r="F115" t="str">
        <f ca="1">IF(H115&lt;=I115,"Starter",IF(G115&gt;=LARGE(G:G,FlexOn*LeagueInfo!$F$2),"Starter","Bench"))</f>
        <v>Bench</v>
      </c>
      <c r="G115">
        <f ca="1">IF(H115&gt;I115,D115,0)</f>
        <v>108.55</v>
      </c>
      <c r="H115">
        <f ca="1">INDEX(INDIRECT(""&amp;C115&amp;"!A2:A489"),MATCH(B115,INDIRECT(""&amp;C115&amp;"!B2:B489"),0))</f>
        <v>45</v>
      </c>
      <c r="I115">
        <f>IF(C115="RB",LeagueInfo!$D$4*LeagueInfo!$F$2,LeagueInfo!$D$5*LeagueInfo!$F$2)</f>
        <v>24</v>
      </c>
    </row>
    <row r="116" spans="1:9" x14ac:dyDescent="0.25">
      <c r="A116">
        <f ca="1">RANK(E116,E$2:E$349)</f>
        <v>115</v>
      </c>
      <c r="B116" t="s">
        <v>96</v>
      </c>
      <c r="C116" t="s">
        <v>35</v>
      </c>
      <c r="D116">
        <f ca="1">INDEX(INDIRECT($C116&amp;"!P:P"),MATCH($B116,INDIRECT($C116&amp;"!B:B"),0))</f>
        <v>108.21000000000001</v>
      </c>
      <c r="E116" s="6">
        <f ca="1">D116-LARGE(D$2:D$292,RBCount+WRCount)</f>
        <v>-0.48999999999999488</v>
      </c>
      <c r="F116" t="str">
        <f ca="1">IF(H116&lt;=I116,"Starter",IF(G116&gt;=LARGE(G:G,FlexOn*LeagueInfo!$F$2),"Starter","Bench"))</f>
        <v>Bench</v>
      </c>
      <c r="G116">
        <f ca="1">IF(H116&gt;I116,D116,0)</f>
        <v>108.21000000000001</v>
      </c>
      <c r="H116">
        <f ca="1">INDEX(INDIRECT(""&amp;C116&amp;"!A2:A489"),MATCH(B116,INDIRECT(""&amp;C116&amp;"!B2:B489"),0))</f>
        <v>70</v>
      </c>
      <c r="I116">
        <f>IF(C116="RB",LeagueInfo!$D$4*LeagueInfo!$F$2,LeagueInfo!$D$5*LeagueInfo!$F$2)</f>
        <v>24</v>
      </c>
    </row>
    <row r="117" spans="1:9" x14ac:dyDescent="0.25">
      <c r="A117">
        <f ca="1">RANK(E117,E$2:E$349)</f>
        <v>116</v>
      </c>
      <c r="B117" t="s">
        <v>930</v>
      </c>
      <c r="C117" t="s">
        <v>28</v>
      </c>
      <c r="D117">
        <f ca="1">INDEX(INDIRECT($C117&amp;"!P:P"),MATCH($B117,INDIRECT($C117&amp;"!B:B"),0))</f>
        <v>107.99</v>
      </c>
      <c r="E117" s="6">
        <f ca="1">D117-LARGE(D$2:D$292,RBCount+WRCount)</f>
        <v>-0.71000000000000796</v>
      </c>
      <c r="F117" t="str">
        <f ca="1">IF(H117&lt;=I117,"Starter",IF(G117&gt;=LARGE(G:G,FlexOn*LeagueInfo!$F$2),"Starter","Bench"))</f>
        <v>Bench</v>
      </c>
      <c r="G117">
        <f ca="1">IF(H117&gt;I117,D117,0)</f>
        <v>107.99</v>
      </c>
      <c r="H117">
        <f ca="1">INDEX(INDIRECT(""&amp;C117&amp;"!A2:A489"),MATCH(B117,INDIRECT(""&amp;C117&amp;"!B2:B489"),0))</f>
        <v>46</v>
      </c>
      <c r="I117">
        <f>IF(C117="RB",LeagueInfo!$D$4*LeagueInfo!$F$2,LeagueInfo!$D$5*LeagueInfo!$F$2)</f>
        <v>24</v>
      </c>
    </row>
    <row r="118" spans="1:9" x14ac:dyDescent="0.25">
      <c r="A118">
        <f ca="1">RANK(E118,E$2:E$349)</f>
        <v>117</v>
      </c>
      <c r="B118" t="s">
        <v>699</v>
      </c>
      <c r="C118" t="s">
        <v>35</v>
      </c>
      <c r="D118">
        <f ca="1">INDEX(INDIRECT($C118&amp;"!P:P"),MATCH($B118,INDIRECT($C118&amp;"!B:B"),0))</f>
        <v>106.69</v>
      </c>
      <c r="E118" s="6">
        <f ca="1">D118-LARGE(D$2:D$292,RBCount+WRCount)</f>
        <v>-2.0100000000000051</v>
      </c>
      <c r="F118" t="str">
        <f ca="1">IF(H118&lt;=I118,"Starter",IF(G118&gt;=LARGE(G:G,FlexOn*LeagueInfo!$F$2),"Starter","Bench"))</f>
        <v>Bench</v>
      </c>
      <c r="G118">
        <f ca="1">IF(H118&gt;I118,D118,0)</f>
        <v>106.69</v>
      </c>
      <c r="H118">
        <f ca="1">INDEX(INDIRECT(""&amp;C118&amp;"!A2:A489"),MATCH(B118,INDIRECT(""&amp;C118&amp;"!B2:B489"),0))</f>
        <v>71</v>
      </c>
      <c r="I118">
        <f>IF(C118="RB",LeagueInfo!$D$4*LeagueInfo!$F$2,LeagueInfo!$D$5*LeagueInfo!$F$2)</f>
        <v>24</v>
      </c>
    </row>
    <row r="119" spans="1:9" x14ac:dyDescent="0.25">
      <c r="A119">
        <f ca="1">RANK(E119,E$2:E$349)</f>
        <v>118</v>
      </c>
      <c r="B119" t="s">
        <v>2418</v>
      </c>
      <c r="C119" t="s">
        <v>35</v>
      </c>
      <c r="D119">
        <f ca="1">INDEX(INDIRECT($C119&amp;"!P:P"),MATCH($B119,INDIRECT($C119&amp;"!B:B"),0))</f>
        <v>106.19000000000001</v>
      </c>
      <c r="E119" s="6">
        <f ca="1">D119-LARGE(D$2:D$292,RBCount+WRCount)</f>
        <v>-2.5099999999999909</v>
      </c>
      <c r="F119" t="str">
        <f ca="1">IF(H119&lt;=I119,"Starter",IF(G119&gt;=LARGE(G:G,FlexOn*LeagueInfo!$F$2),"Starter","Bench"))</f>
        <v>Bench</v>
      </c>
      <c r="G119">
        <f ca="1">IF(H119&gt;I119,D119,0)</f>
        <v>106.19000000000001</v>
      </c>
      <c r="H119">
        <f ca="1">INDEX(INDIRECT(""&amp;C119&amp;"!A2:A489"),MATCH(B119,INDIRECT(""&amp;C119&amp;"!B2:B489"),0))</f>
        <v>72</v>
      </c>
      <c r="I119">
        <f>IF(C119="RB",LeagueInfo!$D$4*LeagueInfo!$F$2,LeagueInfo!$D$5*LeagueInfo!$F$2)</f>
        <v>24</v>
      </c>
    </row>
    <row r="120" spans="1:9" x14ac:dyDescent="0.25">
      <c r="A120">
        <f ca="1">RANK(E120,E$2:E$349)</f>
        <v>119</v>
      </c>
      <c r="B120" t="s">
        <v>368</v>
      </c>
      <c r="C120" t="s">
        <v>35</v>
      </c>
      <c r="D120">
        <f ca="1">INDEX(INDIRECT($C120&amp;"!P:P"),MATCH($B120,INDIRECT($C120&amp;"!B:B"),0))</f>
        <v>105.55000000000001</v>
      </c>
      <c r="E120" s="6">
        <f ca="1">D120-LARGE(D$2:D$292,RBCount+WRCount)</f>
        <v>-3.1499999999999915</v>
      </c>
      <c r="F120" t="str">
        <f ca="1">IF(H120&lt;=I120,"Starter",IF(G120&gt;=LARGE(G:G,FlexOn*LeagueInfo!$F$2),"Starter","Bench"))</f>
        <v>Bench</v>
      </c>
      <c r="G120">
        <f ca="1">IF(H120&gt;I120,D120,0)</f>
        <v>105.55000000000001</v>
      </c>
      <c r="H120">
        <f ca="1">INDEX(INDIRECT(""&amp;C120&amp;"!A2:A489"),MATCH(B120,INDIRECT(""&amp;C120&amp;"!B2:B489"),0))</f>
        <v>73</v>
      </c>
      <c r="I120">
        <f>IF(C120="RB",LeagueInfo!$D$4*LeagueInfo!$F$2,LeagueInfo!$D$5*LeagueInfo!$F$2)</f>
        <v>24</v>
      </c>
    </row>
    <row r="121" spans="1:9" x14ac:dyDescent="0.25">
      <c r="A121">
        <f ca="1">RANK(E121,E$2:E$349)</f>
        <v>120</v>
      </c>
      <c r="B121" t="s">
        <v>2451</v>
      </c>
      <c r="C121" t="s">
        <v>28</v>
      </c>
      <c r="D121">
        <f ca="1">INDEX(INDIRECT($C121&amp;"!P:P"),MATCH($B121,INDIRECT($C121&amp;"!B:B"),0))</f>
        <v>105.03</v>
      </c>
      <c r="E121" s="6">
        <f ca="1">D121-LARGE(D$2:D$292,RBCount+WRCount)</f>
        <v>-3.6700000000000017</v>
      </c>
      <c r="F121" t="str">
        <f ca="1">IF(H121&lt;=I121,"Starter",IF(G121&gt;=LARGE(G:G,FlexOn*LeagueInfo!$F$2),"Starter","Bench"))</f>
        <v>Bench</v>
      </c>
      <c r="G121">
        <f ca="1">IF(H121&gt;I121,D121,0)</f>
        <v>105.03</v>
      </c>
      <c r="H121">
        <f ca="1">INDEX(INDIRECT(""&amp;C121&amp;"!A2:A489"),MATCH(B121,INDIRECT(""&amp;C121&amp;"!B2:B489"),0))</f>
        <v>47</v>
      </c>
      <c r="I121">
        <f>IF(C121="RB",LeagueInfo!$D$4*LeagueInfo!$F$2,LeagueInfo!$D$5*LeagueInfo!$F$2)</f>
        <v>24</v>
      </c>
    </row>
    <row r="122" spans="1:9" x14ac:dyDescent="0.25">
      <c r="A122">
        <f ca="1">RANK(E122,E$2:E$349)</f>
        <v>121</v>
      </c>
      <c r="B122" t="s">
        <v>558</v>
      </c>
      <c r="C122" t="s">
        <v>28</v>
      </c>
      <c r="D122">
        <f ca="1">INDEX(INDIRECT($C122&amp;"!P:P"),MATCH($B122,INDIRECT($C122&amp;"!B:B"),0))</f>
        <v>104.14000000000001</v>
      </c>
      <c r="E122" s="6">
        <f ca="1">D122-LARGE(D$2:D$292,RBCount+WRCount)</f>
        <v>-4.5599999999999881</v>
      </c>
      <c r="F122" t="str">
        <f ca="1">IF(H122&lt;=I122,"Starter",IF(G122&gt;=LARGE(G:G,FlexOn*LeagueInfo!$F$2),"Starter","Bench"))</f>
        <v>Bench</v>
      </c>
      <c r="G122">
        <f ca="1">IF(H122&gt;I122,D122,0)</f>
        <v>104.14000000000001</v>
      </c>
      <c r="H122">
        <f ca="1">INDEX(INDIRECT(""&amp;C122&amp;"!A2:A489"),MATCH(B122,INDIRECT(""&amp;C122&amp;"!B2:B489"),0))</f>
        <v>48</v>
      </c>
      <c r="I122">
        <f>IF(C122="RB",LeagueInfo!$D$4*LeagueInfo!$F$2,LeagueInfo!$D$5*LeagueInfo!$F$2)</f>
        <v>24</v>
      </c>
    </row>
    <row r="123" spans="1:9" x14ac:dyDescent="0.25">
      <c r="A123">
        <f ca="1">RANK(E123,E$2:E$349)</f>
        <v>122</v>
      </c>
      <c r="B123" t="s">
        <v>992</v>
      </c>
      <c r="C123" t="s">
        <v>35</v>
      </c>
      <c r="D123">
        <f ca="1">INDEX(INDIRECT($C123&amp;"!P:P"),MATCH($B123,INDIRECT($C123&amp;"!B:B"),0))</f>
        <v>103.92</v>
      </c>
      <c r="E123" s="6">
        <f ca="1">D123-LARGE(D$2:D$292,RBCount+WRCount)</f>
        <v>-4.7800000000000011</v>
      </c>
      <c r="F123" t="str">
        <f ca="1">IF(H123&lt;=I123,"Starter",IF(G123&gt;=LARGE(G:G,FlexOn*LeagueInfo!$F$2),"Starter","Bench"))</f>
        <v>Bench</v>
      </c>
      <c r="G123">
        <f ca="1">IF(H123&gt;I123,D123,0)</f>
        <v>103.92</v>
      </c>
      <c r="H123">
        <f ca="1">INDEX(INDIRECT(""&amp;C123&amp;"!A2:A489"),MATCH(B123,INDIRECT(""&amp;C123&amp;"!B2:B489"),0))</f>
        <v>74</v>
      </c>
      <c r="I123">
        <f>IF(C123="RB",LeagueInfo!$D$4*LeagueInfo!$F$2,LeagueInfo!$D$5*LeagueInfo!$F$2)</f>
        <v>24</v>
      </c>
    </row>
    <row r="124" spans="1:9" x14ac:dyDescent="0.25">
      <c r="A124">
        <f ca="1">RANK(E124,E$2:E$349)</f>
        <v>123</v>
      </c>
      <c r="B124" t="s">
        <v>860</v>
      </c>
      <c r="C124" t="s">
        <v>35</v>
      </c>
      <c r="D124">
        <f ca="1">INDEX(INDIRECT($C124&amp;"!P:P"),MATCH($B124,INDIRECT($C124&amp;"!B:B"),0))</f>
        <v>103.26000000000002</v>
      </c>
      <c r="E124" s="6">
        <f ca="1">D124-LARGE(D$2:D$292,RBCount+WRCount)</f>
        <v>-5.4399999999999835</v>
      </c>
      <c r="F124" t="str">
        <f ca="1">IF(H124&lt;=I124,"Starter",IF(G124&gt;=LARGE(G:G,FlexOn*LeagueInfo!$F$2),"Starter","Bench"))</f>
        <v>Bench</v>
      </c>
      <c r="G124">
        <f ca="1">IF(H124&gt;I124,D124,0)</f>
        <v>103.26000000000002</v>
      </c>
      <c r="H124">
        <f ca="1">INDEX(INDIRECT(""&amp;C124&amp;"!A2:A489"),MATCH(B124,INDIRECT(""&amp;C124&amp;"!B2:B489"),0))</f>
        <v>75</v>
      </c>
      <c r="I124">
        <f>IF(C124="RB",LeagueInfo!$D$4*LeagueInfo!$F$2,LeagueInfo!$D$5*LeagueInfo!$F$2)</f>
        <v>24</v>
      </c>
    </row>
    <row r="125" spans="1:9" x14ac:dyDescent="0.25">
      <c r="A125">
        <f ca="1">RANK(E125,E$2:E$349)</f>
        <v>124</v>
      </c>
      <c r="B125" t="s">
        <v>841</v>
      </c>
      <c r="C125" t="s">
        <v>35</v>
      </c>
      <c r="D125">
        <f ca="1">INDEX(INDIRECT($C125&amp;"!P:P"),MATCH($B125,INDIRECT($C125&amp;"!B:B"),0))</f>
        <v>99.74</v>
      </c>
      <c r="E125" s="6">
        <f ca="1">D125-LARGE(D$2:D$292,RBCount+WRCount)</f>
        <v>-8.960000000000008</v>
      </c>
      <c r="F125" t="str">
        <f ca="1">IF(H125&lt;=I125,"Starter",IF(G125&gt;=LARGE(G:G,FlexOn*LeagueInfo!$F$2),"Starter","Bench"))</f>
        <v>Bench</v>
      </c>
      <c r="G125">
        <f ca="1">IF(H125&gt;I125,D125,0)</f>
        <v>99.74</v>
      </c>
      <c r="H125">
        <f ca="1">INDEX(INDIRECT(""&amp;C125&amp;"!A2:A489"),MATCH(B125,INDIRECT(""&amp;C125&amp;"!B2:B489"),0))</f>
        <v>76</v>
      </c>
      <c r="I125">
        <f>IF(C125="RB",LeagueInfo!$D$4*LeagueInfo!$F$2,LeagueInfo!$D$5*LeagueInfo!$F$2)</f>
        <v>24</v>
      </c>
    </row>
    <row r="126" spans="1:9" x14ac:dyDescent="0.25">
      <c r="A126">
        <f ca="1">RANK(E126,E$2:E$349)</f>
        <v>125</v>
      </c>
      <c r="B126" t="s">
        <v>2423</v>
      </c>
      <c r="C126" t="s">
        <v>35</v>
      </c>
      <c r="D126">
        <f ca="1">INDEX(INDIRECT($C126&amp;"!P:P"),MATCH($B126,INDIRECT($C126&amp;"!B:B"),0))</f>
        <v>98.350000000000009</v>
      </c>
      <c r="E126" s="6">
        <f ca="1">D126-LARGE(D$2:D$292,RBCount+WRCount)</f>
        <v>-10.349999999999994</v>
      </c>
      <c r="F126" t="str">
        <f ca="1">IF(H126&lt;=I126,"Starter",IF(G126&gt;=LARGE(G:G,FlexOn*LeagueInfo!$F$2),"Starter","Bench"))</f>
        <v>Bench</v>
      </c>
      <c r="G126">
        <f ca="1">IF(H126&gt;I126,D126,0)</f>
        <v>98.350000000000009</v>
      </c>
      <c r="H126">
        <f ca="1">INDEX(INDIRECT(""&amp;C126&amp;"!A2:A489"),MATCH(B126,INDIRECT(""&amp;C126&amp;"!B2:B489"),0))</f>
        <v>77</v>
      </c>
      <c r="I126">
        <f>IF(C126="RB",LeagueInfo!$D$4*LeagueInfo!$F$2,LeagueInfo!$D$5*LeagueInfo!$F$2)</f>
        <v>24</v>
      </c>
    </row>
    <row r="127" spans="1:9" x14ac:dyDescent="0.25">
      <c r="A127">
        <f ca="1">RANK(E127,E$2:E$349)</f>
        <v>126</v>
      </c>
      <c r="B127" t="s">
        <v>188</v>
      </c>
      <c r="C127" t="s">
        <v>35</v>
      </c>
      <c r="D127">
        <f ca="1">INDEX(INDIRECT($C127&amp;"!P:P"),MATCH($B127,INDIRECT($C127&amp;"!B:B"),0))</f>
        <v>97.91</v>
      </c>
      <c r="E127" s="6">
        <f ca="1">D127-LARGE(D$2:D$292,RBCount+WRCount)</f>
        <v>-10.790000000000006</v>
      </c>
      <c r="F127" t="str">
        <f ca="1">IF(H127&lt;=I127,"Starter",IF(G127&gt;=LARGE(G:G,FlexOn*LeagueInfo!$F$2),"Starter","Bench"))</f>
        <v>Bench</v>
      </c>
      <c r="G127">
        <f ca="1">IF(H127&gt;I127,D127,0)</f>
        <v>97.91</v>
      </c>
      <c r="H127">
        <f ca="1">INDEX(INDIRECT(""&amp;C127&amp;"!A2:A489"),MATCH(B127,INDIRECT(""&amp;C127&amp;"!B2:B489"),0))</f>
        <v>78</v>
      </c>
      <c r="I127">
        <f>IF(C127="RB",LeagueInfo!$D$4*LeagueInfo!$F$2,LeagueInfo!$D$5*LeagueInfo!$F$2)</f>
        <v>24</v>
      </c>
    </row>
    <row r="128" spans="1:9" x14ac:dyDescent="0.25">
      <c r="A128">
        <f ca="1">RANK(E128,E$2:E$349)</f>
        <v>127</v>
      </c>
      <c r="B128" t="s">
        <v>666</v>
      </c>
      <c r="C128" t="s">
        <v>28</v>
      </c>
      <c r="D128">
        <f ca="1">INDEX(INDIRECT($C128&amp;"!P:P"),MATCH($B128,INDIRECT($C128&amp;"!B:B"),0))</f>
        <v>97.86</v>
      </c>
      <c r="E128" s="6">
        <f ca="1">D128-LARGE(D$2:D$292,RBCount+WRCount)</f>
        <v>-10.840000000000003</v>
      </c>
      <c r="F128" t="str">
        <f ca="1">IF(H128&lt;=I128,"Starter",IF(G128&gt;=LARGE(G:G,FlexOn*LeagueInfo!$F$2),"Starter","Bench"))</f>
        <v>Bench</v>
      </c>
      <c r="G128">
        <f ca="1">IF(H128&gt;I128,D128,0)</f>
        <v>97.86</v>
      </c>
      <c r="H128">
        <f ca="1">INDEX(INDIRECT(""&amp;C128&amp;"!A2:A489"),MATCH(B128,INDIRECT(""&amp;C128&amp;"!B2:B489"),0))</f>
        <v>49</v>
      </c>
      <c r="I128">
        <f>IF(C128="RB",LeagueInfo!$D$4*LeagueInfo!$F$2,LeagueInfo!$D$5*LeagueInfo!$F$2)</f>
        <v>24</v>
      </c>
    </row>
    <row r="129" spans="1:9" x14ac:dyDescent="0.25">
      <c r="A129">
        <f ca="1">RANK(E129,E$2:E$349)</f>
        <v>128</v>
      </c>
      <c r="B129" t="s">
        <v>578</v>
      </c>
      <c r="C129" t="s">
        <v>35</v>
      </c>
      <c r="D129">
        <f ca="1">INDEX(INDIRECT($C129&amp;"!P:P"),MATCH($B129,INDIRECT($C129&amp;"!B:B"),0))</f>
        <v>97.4</v>
      </c>
      <c r="E129" s="6">
        <f ca="1">D129-LARGE(D$2:D$292,RBCount+WRCount)</f>
        <v>-11.299999999999997</v>
      </c>
      <c r="F129" t="str">
        <f ca="1">IF(H129&lt;=I129,"Starter",IF(G129&gt;=LARGE(G:G,FlexOn*LeagueInfo!$F$2),"Starter","Bench"))</f>
        <v>Bench</v>
      </c>
      <c r="G129">
        <f ca="1">IF(H129&gt;I129,D129,0)</f>
        <v>97.4</v>
      </c>
      <c r="H129">
        <f ca="1">INDEX(INDIRECT(""&amp;C129&amp;"!A2:A489"),MATCH(B129,INDIRECT(""&amp;C129&amp;"!B2:B489"),0))</f>
        <v>79</v>
      </c>
      <c r="I129">
        <f>IF(C129="RB",LeagueInfo!$D$4*LeagueInfo!$F$2,LeagueInfo!$D$5*LeagueInfo!$F$2)</f>
        <v>24</v>
      </c>
    </row>
    <row r="130" spans="1:9" x14ac:dyDescent="0.25">
      <c r="A130">
        <f ca="1">RANK(E130,E$2:E$349)</f>
        <v>129</v>
      </c>
      <c r="B130" t="s">
        <v>797</v>
      </c>
      <c r="C130" t="s">
        <v>28</v>
      </c>
      <c r="D130">
        <f ca="1">INDEX(INDIRECT($C130&amp;"!P:P"),MATCH($B130,INDIRECT($C130&amp;"!B:B"),0))</f>
        <v>94.68</v>
      </c>
      <c r="E130" s="6">
        <f ca="1">D130-LARGE(D$2:D$292,RBCount+WRCount)</f>
        <v>-14.019999999999996</v>
      </c>
      <c r="F130" t="str">
        <f ca="1">IF(H130&lt;=I130,"Starter",IF(G130&gt;=LARGE(G:G,FlexOn*LeagueInfo!$F$2),"Starter","Bench"))</f>
        <v>Bench</v>
      </c>
      <c r="G130">
        <f ca="1">IF(H130&gt;I130,D130,0)</f>
        <v>94.68</v>
      </c>
      <c r="H130">
        <f ca="1">INDEX(INDIRECT(""&amp;C130&amp;"!A2:A489"),MATCH(B130,INDIRECT(""&amp;C130&amp;"!B2:B489"),0))</f>
        <v>50</v>
      </c>
      <c r="I130">
        <f>IF(C130="RB",LeagueInfo!$D$4*LeagueInfo!$F$2,LeagueInfo!$D$5*LeagueInfo!$F$2)</f>
        <v>24</v>
      </c>
    </row>
    <row r="131" spans="1:9" x14ac:dyDescent="0.25">
      <c r="A131">
        <f ca="1">RANK(E131,E$2:E$349)</f>
        <v>130</v>
      </c>
      <c r="B131" t="s">
        <v>2450</v>
      </c>
      <c r="C131" t="s">
        <v>28</v>
      </c>
      <c r="D131">
        <f ca="1">INDEX(INDIRECT($C131&amp;"!P:P"),MATCH($B131,INDIRECT($C131&amp;"!B:B"),0))</f>
        <v>92.02</v>
      </c>
      <c r="E131" s="6">
        <f ca="1">D131-LARGE(D$2:D$292,RBCount+WRCount)</f>
        <v>-16.680000000000007</v>
      </c>
      <c r="F131" t="str">
        <f ca="1">IF(H131&lt;=I131,"Starter",IF(G131&gt;=LARGE(G:G,FlexOn*LeagueInfo!$F$2),"Starter","Bench"))</f>
        <v>Bench</v>
      </c>
      <c r="G131">
        <f ca="1">IF(H131&gt;I131,D131,0)</f>
        <v>92.02</v>
      </c>
      <c r="H131">
        <f ca="1">INDEX(INDIRECT(""&amp;C131&amp;"!A2:A489"),MATCH(B131,INDIRECT(""&amp;C131&amp;"!B2:B489"),0))</f>
        <v>51</v>
      </c>
      <c r="I131">
        <f>IF(C131="RB",LeagueInfo!$D$4*LeagueInfo!$F$2,LeagueInfo!$D$5*LeagueInfo!$F$2)</f>
        <v>24</v>
      </c>
    </row>
    <row r="132" spans="1:9" x14ac:dyDescent="0.25">
      <c r="A132">
        <f ca="1">RANK(E132,E$2:E$349)</f>
        <v>131</v>
      </c>
      <c r="B132" t="s">
        <v>218</v>
      </c>
      <c r="C132" t="s">
        <v>35</v>
      </c>
      <c r="D132">
        <f ca="1">INDEX(INDIRECT($C132&amp;"!P:P"),MATCH($B132,INDIRECT($C132&amp;"!B:B"),0))</f>
        <v>91.160000000000011</v>
      </c>
      <c r="E132" s="6">
        <f ca="1">D132-LARGE(D$2:D$292,RBCount+WRCount)</f>
        <v>-17.539999999999992</v>
      </c>
      <c r="F132" t="str">
        <f ca="1">IF(H132&lt;=I132,"Starter",IF(G132&gt;=LARGE(G:G,FlexOn*LeagueInfo!$F$2),"Starter","Bench"))</f>
        <v>Bench</v>
      </c>
      <c r="G132">
        <f ca="1">IF(H132&gt;I132,D132,0)</f>
        <v>91.160000000000011</v>
      </c>
      <c r="H132">
        <f ca="1">INDEX(INDIRECT(""&amp;C132&amp;"!A2:A489"),MATCH(B132,INDIRECT(""&amp;C132&amp;"!B2:B489"),0))</f>
        <v>80</v>
      </c>
      <c r="I132">
        <f>IF(C132="RB",LeagueInfo!$D$4*LeagueInfo!$F$2,LeagueInfo!$D$5*LeagueInfo!$F$2)</f>
        <v>24</v>
      </c>
    </row>
    <row r="133" spans="1:9" x14ac:dyDescent="0.25">
      <c r="A133">
        <f ca="1">RANK(E133,E$2:E$349)</f>
        <v>132</v>
      </c>
      <c r="B133" t="s">
        <v>329</v>
      </c>
      <c r="C133" t="s">
        <v>28</v>
      </c>
      <c r="D133">
        <f ca="1">INDEX(INDIRECT($C133&amp;"!P:P"),MATCH($B133,INDIRECT($C133&amp;"!B:B"),0))</f>
        <v>90.89</v>
      </c>
      <c r="E133" s="6">
        <f ca="1">D133-LARGE(D$2:D$292,RBCount+WRCount)</f>
        <v>-17.810000000000002</v>
      </c>
      <c r="F133" t="str">
        <f ca="1">IF(H133&lt;=I133,"Starter",IF(G133&gt;=LARGE(G:G,FlexOn*LeagueInfo!$F$2),"Starter","Bench"))</f>
        <v>Bench</v>
      </c>
      <c r="G133">
        <f ca="1">IF(H133&gt;I133,D133,0)</f>
        <v>90.89</v>
      </c>
      <c r="H133">
        <f ca="1">INDEX(INDIRECT(""&amp;C133&amp;"!A2:A489"),MATCH(B133,INDIRECT(""&amp;C133&amp;"!B2:B489"),0))</f>
        <v>52</v>
      </c>
      <c r="I133">
        <f>IF(C133="RB",LeagueInfo!$D$4*LeagueInfo!$F$2,LeagueInfo!$D$5*LeagueInfo!$F$2)</f>
        <v>24</v>
      </c>
    </row>
    <row r="134" spans="1:9" x14ac:dyDescent="0.25">
      <c r="A134">
        <f ca="1">RANK(E134,E$2:E$349)</f>
        <v>133</v>
      </c>
      <c r="B134" t="s">
        <v>2424</v>
      </c>
      <c r="C134" t="s">
        <v>35</v>
      </c>
      <c r="D134">
        <f ca="1">INDEX(INDIRECT($C134&amp;"!P:P"),MATCH($B134,INDIRECT($C134&amp;"!B:B"),0))</f>
        <v>90.699999999999989</v>
      </c>
      <c r="E134" s="6">
        <f ca="1">D134-LARGE(D$2:D$292,RBCount+WRCount)</f>
        <v>-18.000000000000014</v>
      </c>
      <c r="F134" t="str">
        <f ca="1">IF(H134&lt;=I134,"Starter",IF(G134&gt;=LARGE(G:G,FlexOn*LeagueInfo!$F$2),"Starter","Bench"))</f>
        <v>Bench</v>
      </c>
      <c r="G134">
        <f ca="1">IF(H134&gt;I134,D134,0)</f>
        <v>90.699999999999989</v>
      </c>
      <c r="H134">
        <f ca="1">INDEX(INDIRECT(""&amp;C134&amp;"!A2:A489"),MATCH(B134,INDIRECT(""&amp;C134&amp;"!B2:B489"),0))</f>
        <v>81</v>
      </c>
      <c r="I134">
        <f>IF(C134="RB",LeagueInfo!$D$4*LeagueInfo!$F$2,LeagueInfo!$D$5*LeagueInfo!$F$2)</f>
        <v>24</v>
      </c>
    </row>
    <row r="135" spans="1:9" x14ac:dyDescent="0.25">
      <c r="A135">
        <f ca="1">RANK(E135,E$2:E$349)</f>
        <v>134</v>
      </c>
      <c r="B135" t="s">
        <v>2448</v>
      </c>
      <c r="C135" t="s">
        <v>28</v>
      </c>
      <c r="D135">
        <f ca="1">INDEX(INDIRECT($C135&amp;"!P:P"),MATCH($B135,INDIRECT($C135&amp;"!B:B"),0))</f>
        <v>89.070000000000007</v>
      </c>
      <c r="E135" s="6">
        <f ca="1">D135-LARGE(D$2:D$292,RBCount+WRCount)</f>
        <v>-19.629999999999995</v>
      </c>
      <c r="F135" t="str">
        <f ca="1">IF(H135&lt;=I135,"Starter",IF(G135&gt;=LARGE(G:G,FlexOn*LeagueInfo!$F$2),"Starter","Bench"))</f>
        <v>Bench</v>
      </c>
      <c r="G135">
        <f ca="1">IF(H135&gt;I135,D135,0)</f>
        <v>89.070000000000007</v>
      </c>
      <c r="H135">
        <f ca="1">INDEX(INDIRECT(""&amp;C135&amp;"!A2:A489"),MATCH(B135,INDIRECT(""&amp;C135&amp;"!B2:B489"),0))</f>
        <v>53</v>
      </c>
      <c r="I135">
        <f>IF(C135="RB",LeagueInfo!$D$4*LeagueInfo!$F$2,LeagueInfo!$D$5*LeagueInfo!$F$2)</f>
        <v>24</v>
      </c>
    </row>
    <row r="136" spans="1:9" x14ac:dyDescent="0.25">
      <c r="A136">
        <f ca="1">RANK(E136,E$2:E$349)</f>
        <v>135</v>
      </c>
      <c r="B136" t="s">
        <v>964</v>
      </c>
      <c r="C136" t="s">
        <v>35</v>
      </c>
      <c r="D136">
        <f ca="1">INDEX(INDIRECT($C136&amp;"!P:P"),MATCH($B136,INDIRECT($C136&amp;"!B:B"),0))</f>
        <v>89.04</v>
      </c>
      <c r="E136" s="6">
        <f ca="1">D136-LARGE(D$2:D$292,RBCount+WRCount)</f>
        <v>-19.659999999999997</v>
      </c>
      <c r="F136" t="str">
        <f ca="1">IF(H136&lt;=I136,"Starter",IF(G136&gt;=LARGE(G:G,FlexOn*LeagueInfo!$F$2),"Starter","Bench"))</f>
        <v>Bench</v>
      </c>
      <c r="G136">
        <f ca="1">IF(H136&gt;I136,D136,0)</f>
        <v>89.04</v>
      </c>
      <c r="H136">
        <f ca="1">INDEX(INDIRECT(""&amp;C136&amp;"!A2:A489"),MATCH(B136,INDIRECT(""&amp;C136&amp;"!B2:B489"),0))</f>
        <v>82</v>
      </c>
      <c r="I136">
        <f>IF(C136="RB",LeagueInfo!$D$4*LeagueInfo!$F$2,LeagueInfo!$D$5*LeagueInfo!$F$2)</f>
        <v>24</v>
      </c>
    </row>
    <row r="137" spans="1:9" x14ac:dyDescent="0.25">
      <c r="A137">
        <f ca="1">RANK(E137,E$2:E$349)</f>
        <v>136</v>
      </c>
      <c r="B137" t="s">
        <v>101</v>
      </c>
      <c r="C137" t="s">
        <v>35</v>
      </c>
      <c r="D137">
        <f ca="1">INDEX(INDIRECT($C137&amp;"!P:P"),MATCH($B137,INDIRECT($C137&amp;"!B:B"),0))</f>
        <v>87.28</v>
      </c>
      <c r="E137" s="6">
        <f ca="1">D137-LARGE(D$2:D$292,RBCount+WRCount)</f>
        <v>-21.42</v>
      </c>
      <c r="F137" t="str">
        <f ca="1">IF(H137&lt;=I137,"Starter",IF(G137&gt;=LARGE(G:G,FlexOn*LeagueInfo!$F$2),"Starter","Bench"))</f>
        <v>Bench</v>
      </c>
      <c r="G137">
        <f ca="1">IF(H137&gt;I137,D137,0)</f>
        <v>87.28</v>
      </c>
      <c r="H137">
        <f ca="1">INDEX(INDIRECT(""&amp;C137&amp;"!A2:A489"),MATCH(B137,INDIRECT(""&amp;C137&amp;"!B2:B489"),0))</f>
        <v>83</v>
      </c>
      <c r="I137">
        <f>IF(C137="RB",LeagueInfo!$D$4*LeagueInfo!$F$2,LeagueInfo!$D$5*LeagueInfo!$F$2)</f>
        <v>24</v>
      </c>
    </row>
    <row r="138" spans="1:9" x14ac:dyDescent="0.25">
      <c r="A138">
        <f ca="1">RANK(E138,E$2:E$349)</f>
        <v>137</v>
      </c>
      <c r="B138" t="s">
        <v>849</v>
      </c>
      <c r="C138" t="s">
        <v>35</v>
      </c>
      <c r="D138">
        <f ca="1">INDEX(INDIRECT($C138&amp;"!P:P"),MATCH($B138,INDIRECT($C138&amp;"!B:B"),0))</f>
        <v>86.27</v>
      </c>
      <c r="E138" s="6">
        <f ca="1">D138-LARGE(D$2:D$292,RBCount+WRCount)</f>
        <v>-22.430000000000007</v>
      </c>
      <c r="F138" t="str">
        <f ca="1">IF(H138&lt;=I138,"Starter",IF(G138&gt;=LARGE(G:G,FlexOn*LeagueInfo!$F$2),"Starter","Bench"))</f>
        <v>Bench</v>
      </c>
      <c r="G138">
        <f ca="1">IF(H138&gt;I138,D138,0)</f>
        <v>86.27</v>
      </c>
      <c r="H138">
        <f ca="1">INDEX(INDIRECT(""&amp;C138&amp;"!A2:A489"),MATCH(B138,INDIRECT(""&amp;C138&amp;"!B2:B489"),0))</f>
        <v>84</v>
      </c>
      <c r="I138">
        <f>IF(C138="RB",LeagueInfo!$D$4*LeagueInfo!$F$2,LeagueInfo!$D$5*LeagueInfo!$F$2)</f>
        <v>24</v>
      </c>
    </row>
    <row r="139" spans="1:9" x14ac:dyDescent="0.25">
      <c r="A139">
        <f ca="1">RANK(E139,E$2:E$349)</f>
        <v>138</v>
      </c>
      <c r="B139" t="s">
        <v>408</v>
      </c>
      <c r="C139" t="s">
        <v>35</v>
      </c>
      <c r="D139">
        <f ca="1">INDEX(INDIRECT($C139&amp;"!P:P"),MATCH($B139,INDIRECT($C139&amp;"!B:B"),0))</f>
        <v>85.710000000000008</v>
      </c>
      <c r="E139" s="6">
        <f ca="1">D139-LARGE(D$2:D$292,RBCount+WRCount)</f>
        <v>-22.989999999999995</v>
      </c>
      <c r="F139" t="str">
        <f ca="1">IF(H139&lt;=I139,"Starter",IF(G139&gt;=LARGE(G:G,FlexOn*LeagueInfo!$F$2),"Starter","Bench"))</f>
        <v>Bench</v>
      </c>
      <c r="G139">
        <f ca="1">IF(H139&gt;I139,D139,0)</f>
        <v>85.710000000000008</v>
      </c>
      <c r="H139">
        <f ca="1">INDEX(INDIRECT(""&amp;C139&amp;"!A2:A489"),MATCH(B139,INDIRECT(""&amp;C139&amp;"!B2:B489"),0))</f>
        <v>85</v>
      </c>
      <c r="I139">
        <f>IF(C139="RB",LeagueInfo!$D$4*LeagueInfo!$F$2,LeagueInfo!$D$5*LeagueInfo!$F$2)</f>
        <v>24</v>
      </c>
    </row>
    <row r="140" spans="1:9" x14ac:dyDescent="0.25">
      <c r="A140">
        <f ca="1">RANK(E140,E$2:E$349)</f>
        <v>139</v>
      </c>
      <c r="B140" t="s">
        <v>2427</v>
      </c>
      <c r="C140" t="s">
        <v>35</v>
      </c>
      <c r="D140">
        <f ca="1">INDEX(INDIRECT($C140&amp;"!P:P"),MATCH($B140,INDIRECT($C140&amp;"!B:B"),0))</f>
        <v>84.82</v>
      </c>
      <c r="E140" s="6">
        <f ca="1">D140-LARGE(D$2:D$292,RBCount+WRCount)</f>
        <v>-23.88000000000001</v>
      </c>
      <c r="F140" t="str">
        <f ca="1">IF(H140&lt;=I140,"Starter",IF(G140&gt;=LARGE(G:G,FlexOn*LeagueInfo!$F$2),"Starter","Bench"))</f>
        <v>Bench</v>
      </c>
      <c r="G140">
        <f ca="1">IF(H140&gt;I140,D140,0)</f>
        <v>84.82</v>
      </c>
      <c r="H140">
        <f ca="1">INDEX(INDIRECT(""&amp;C140&amp;"!A2:A489"),MATCH(B140,INDIRECT(""&amp;C140&amp;"!B2:B489"),0))</f>
        <v>86</v>
      </c>
      <c r="I140">
        <f>IF(C140="RB",LeagueInfo!$D$4*LeagueInfo!$F$2,LeagueInfo!$D$5*LeagueInfo!$F$2)</f>
        <v>24</v>
      </c>
    </row>
    <row r="141" spans="1:9" x14ac:dyDescent="0.25">
      <c r="A141">
        <f ca="1">RANK(E141,E$2:E$349)</f>
        <v>140</v>
      </c>
      <c r="B141" t="s">
        <v>2429</v>
      </c>
      <c r="C141" t="s">
        <v>35</v>
      </c>
      <c r="D141">
        <f ca="1">INDEX(INDIRECT($C141&amp;"!P:P"),MATCH($B141,INDIRECT($C141&amp;"!B:B"),0))</f>
        <v>82.64</v>
      </c>
      <c r="E141" s="6">
        <f ca="1">D141-LARGE(D$2:D$292,RBCount+WRCount)</f>
        <v>-26.060000000000002</v>
      </c>
      <c r="F141" t="str">
        <f ca="1">IF(H141&lt;=I141,"Starter",IF(G141&gt;=LARGE(G:G,FlexOn*LeagueInfo!$F$2),"Starter","Bench"))</f>
        <v>Bench</v>
      </c>
      <c r="G141">
        <f ca="1">IF(H141&gt;I141,D141,0)</f>
        <v>82.64</v>
      </c>
      <c r="H141">
        <f ca="1">INDEX(INDIRECT(""&amp;C141&amp;"!A2:A489"),MATCH(B141,INDIRECT(""&amp;C141&amp;"!B2:B489"),0))</f>
        <v>87</v>
      </c>
      <c r="I141">
        <f>IF(C141="RB",LeagueInfo!$D$4*LeagueInfo!$F$2,LeagueInfo!$D$5*LeagueInfo!$F$2)</f>
        <v>24</v>
      </c>
    </row>
    <row r="142" spans="1:9" x14ac:dyDescent="0.25">
      <c r="A142">
        <f ca="1">RANK(E142,E$2:E$349)</f>
        <v>141</v>
      </c>
      <c r="B142" t="s">
        <v>843</v>
      </c>
      <c r="C142" t="s">
        <v>35</v>
      </c>
      <c r="D142">
        <f ca="1">INDEX(INDIRECT($C142&amp;"!P:P"),MATCH($B142,INDIRECT($C142&amp;"!B:B"),0))</f>
        <v>82.28</v>
      </c>
      <c r="E142" s="6">
        <f ca="1">D142-LARGE(D$2:D$292,RBCount+WRCount)</f>
        <v>-26.42</v>
      </c>
      <c r="F142" t="str">
        <f ca="1">IF(H142&lt;=I142,"Starter",IF(G142&gt;=LARGE(G:G,FlexOn*LeagueInfo!$F$2),"Starter","Bench"))</f>
        <v>Bench</v>
      </c>
      <c r="G142">
        <f ca="1">IF(H142&gt;I142,D142,0)</f>
        <v>82.28</v>
      </c>
      <c r="H142">
        <f ca="1">INDEX(INDIRECT(""&amp;C142&amp;"!A2:A489"),MATCH(B142,INDIRECT(""&amp;C142&amp;"!B2:B489"),0))</f>
        <v>88</v>
      </c>
      <c r="I142">
        <f>IF(C142="RB",LeagueInfo!$D$4*LeagueInfo!$F$2,LeagueInfo!$D$5*LeagueInfo!$F$2)</f>
        <v>24</v>
      </c>
    </row>
    <row r="143" spans="1:9" x14ac:dyDescent="0.25">
      <c r="A143">
        <f ca="1">RANK(E143,E$2:E$349)</f>
        <v>142</v>
      </c>
      <c r="B143" t="s">
        <v>940</v>
      </c>
      <c r="C143" t="s">
        <v>28</v>
      </c>
      <c r="D143">
        <f ca="1">INDEX(INDIRECT($C143&amp;"!P:P"),MATCH($B143,INDIRECT($C143&amp;"!B:B"),0))</f>
        <v>82.190000000000012</v>
      </c>
      <c r="E143" s="6">
        <f ca="1">D143-LARGE(D$2:D$292,RBCount+WRCount)</f>
        <v>-26.509999999999991</v>
      </c>
      <c r="F143" t="str">
        <f ca="1">IF(H143&lt;=I143,"Starter",IF(G143&gt;=LARGE(G:G,FlexOn*LeagueInfo!$F$2),"Starter","Bench"))</f>
        <v>Bench</v>
      </c>
      <c r="G143">
        <f ca="1">IF(H143&gt;I143,D143,0)</f>
        <v>82.190000000000012</v>
      </c>
      <c r="H143">
        <f ca="1">INDEX(INDIRECT(""&amp;C143&amp;"!A2:A489"),MATCH(B143,INDIRECT(""&amp;C143&amp;"!B2:B489"),0))</f>
        <v>54</v>
      </c>
      <c r="I143">
        <f>IF(C143="RB",LeagueInfo!$D$4*LeagueInfo!$F$2,LeagueInfo!$D$5*LeagueInfo!$F$2)</f>
        <v>24</v>
      </c>
    </row>
    <row r="144" spans="1:9" x14ac:dyDescent="0.25">
      <c r="A144">
        <f ca="1">RANK(E144,E$2:E$349)</f>
        <v>143</v>
      </c>
      <c r="B144" t="s">
        <v>842</v>
      </c>
      <c r="C144" t="s">
        <v>35</v>
      </c>
      <c r="D144">
        <f ca="1">INDEX(INDIRECT($C144&amp;"!P:P"),MATCH($B144,INDIRECT($C144&amp;"!B:B"),0))</f>
        <v>80.2</v>
      </c>
      <c r="E144" s="6">
        <f ca="1">D144-LARGE(D$2:D$292,RBCount+WRCount)</f>
        <v>-28.5</v>
      </c>
      <c r="F144" t="str">
        <f ca="1">IF(H144&lt;=I144,"Starter",IF(G144&gt;=LARGE(G:G,FlexOn*LeagueInfo!$F$2),"Starter","Bench"))</f>
        <v>Bench</v>
      </c>
      <c r="G144">
        <f ca="1">IF(H144&gt;I144,D144,0)</f>
        <v>80.2</v>
      </c>
      <c r="H144">
        <f ca="1">INDEX(INDIRECT(""&amp;C144&amp;"!A2:A489"),MATCH(B144,INDIRECT(""&amp;C144&amp;"!B2:B489"),0))</f>
        <v>89</v>
      </c>
      <c r="I144">
        <f>IF(C144="RB",LeagueInfo!$D$4*LeagueInfo!$F$2,LeagueInfo!$D$5*LeagueInfo!$F$2)</f>
        <v>24</v>
      </c>
    </row>
    <row r="145" spans="1:9" x14ac:dyDescent="0.25">
      <c r="A145">
        <f ca="1">RANK(E145,E$2:E$349)</f>
        <v>144</v>
      </c>
      <c r="B145" t="s">
        <v>2420</v>
      </c>
      <c r="C145" t="s">
        <v>35</v>
      </c>
      <c r="D145">
        <f ca="1">INDEX(INDIRECT($C145&amp;"!P:P"),MATCH($B145,INDIRECT($C145&amp;"!B:B"),0))</f>
        <v>79.42</v>
      </c>
      <c r="E145" s="6">
        <f ca="1">D145-LARGE(D$2:D$292,RBCount+WRCount)</f>
        <v>-29.28</v>
      </c>
      <c r="F145" t="str">
        <f ca="1">IF(H145&lt;=I145,"Starter",IF(G145&gt;=LARGE(G:G,FlexOn*LeagueInfo!$F$2),"Starter","Bench"))</f>
        <v>Bench</v>
      </c>
      <c r="G145">
        <f ca="1">IF(H145&gt;I145,D145,0)</f>
        <v>79.42</v>
      </c>
      <c r="H145">
        <f ca="1">INDEX(INDIRECT(""&amp;C145&amp;"!A2:A489"),MATCH(B145,INDIRECT(""&amp;C145&amp;"!B2:B489"),0))</f>
        <v>90</v>
      </c>
      <c r="I145">
        <f>IF(C145="RB",LeagueInfo!$D$4*LeagueInfo!$F$2,LeagueInfo!$D$5*LeagueInfo!$F$2)</f>
        <v>24</v>
      </c>
    </row>
    <row r="146" spans="1:9" x14ac:dyDescent="0.25">
      <c r="A146">
        <f ca="1">RANK(E146,E$2:E$349)</f>
        <v>145</v>
      </c>
      <c r="B146" t="s">
        <v>2421</v>
      </c>
      <c r="C146" t="s">
        <v>35</v>
      </c>
      <c r="D146">
        <f ca="1">INDEX(INDIRECT($C146&amp;"!P:P"),MATCH($B146,INDIRECT($C146&amp;"!B:B"),0))</f>
        <v>79.240000000000009</v>
      </c>
      <c r="E146" s="6">
        <f ca="1">D146-LARGE(D$2:D$292,RBCount+WRCount)</f>
        <v>-29.459999999999994</v>
      </c>
      <c r="F146" t="str">
        <f ca="1">IF(H146&lt;=I146,"Starter",IF(G146&gt;=LARGE(G:G,FlexOn*LeagueInfo!$F$2),"Starter","Bench"))</f>
        <v>Bench</v>
      </c>
      <c r="G146">
        <f ca="1">IF(H146&gt;I146,D146,0)</f>
        <v>79.240000000000009</v>
      </c>
      <c r="H146">
        <f ca="1">INDEX(INDIRECT(""&amp;C146&amp;"!A2:A489"),MATCH(B146,INDIRECT(""&amp;C146&amp;"!B2:B489"),0))</f>
        <v>91</v>
      </c>
      <c r="I146">
        <f>IF(C146="RB",LeagueInfo!$D$4*LeagueInfo!$F$2,LeagueInfo!$D$5*LeagueInfo!$F$2)</f>
        <v>24</v>
      </c>
    </row>
    <row r="147" spans="1:9" x14ac:dyDescent="0.25">
      <c r="A147">
        <f ca="1">RANK(E147,E$2:E$349)</f>
        <v>146</v>
      </c>
      <c r="B147" t="s">
        <v>120</v>
      </c>
      <c r="C147" t="s">
        <v>35</v>
      </c>
      <c r="D147">
        <f ca="1">INDEX(INDIRECT($C147&amp;"!P:P"),MATCH($B147,INDIRECT($C147&amp;"!B:B"),0))</f>
        <v>78.600000000000009</v>
      </c>
      <c r="E147" s="6">
        <f ca="1">D147-LARGE(D$2:D$292,RBCount+WRCount)</f>
        <v>-30.099999999999994</v>
      </c>
      <c r="F147" t="str">
        <f ca="1">IF(H147&lt;=I147,"Starter",IF(G147&gt;=LARGE(G:G,FlexOn*LeagueInfo!$F$2),"Starter","Bench"))</f>
        <v>Bench</v>
      </c>
      <c r="G147">
        <f ca="1">IF(H147&gt;I147,D147,0)</f>
        <v>78.600000000000009</v>
      </c>
      <c r="H147">
        <f ca="1">INDEX(INDIRECT(""&amp;C147&amp;"!A2:A489"),MATCH(B147,INDIRECT(""&amp;C147&amp;"!B2:B489"),0))</f>
        <v>92</v>
      </c>
      <c r="I147">
        <f>IF(C147="RB",LeagueInfo!$D$4*LeagueInfo!$F$2,LeagueInfo!$D$5*LeagueInfo!$F$2)</f>
        <v>24</v>
      </c>
    </row>
    <row r="148" spans="1:9" x14ac:dyDescent="0.25">
      <c r="A148">
        <f ca="1">RANK(E148,E$2:E$349)</f>
        <v>147</v>
      </c>
      <c r="B148" t="s">
        <v>150</v>
      </c>
      <c r="C148" t="s">
        <v>35</v>
      </c>
      <c r="D148">
        <f ca="1">INDEX(INDIRECT($C148&amp;"!P:P"),MATCH($B148,INDIRECT($C148&amp;"!B:B"),0))</f>
        <v>77.470000000000013</v>
      </c>
      <c r="E148" s="6">
        <f ca="1">D148-LARGE(D$2:D$292,RBCount+WRCount)</f>
        <v>-31.22999999999999</v>
      </c>
      <c r="F148" t="str">
        <f ca="1">IF(H148&lt;=I148,"Starter",IF(G148&gt;=LARGE(G:G,FlexOn*LeagueInfo!$F$2),"Starter","Bench"))</f>
        <v>Bench</v>
      </c>
      <c r="G148">
        <f ca="1">IF(H148&gt;I148,D148,0)</f>
        <v>77.470000000000013</v>
      </c>
      <c r="H148">
        <f ca="1">INDEX(INDIRECT(""&amp;C148&amp;"!A2:A489"),MATCH(B148,INDIRECT(""&amp;C148&amp;"!B2:B489"),0))</f>
        <v>93</v>
      </c>
      <c r="I148">
        <f>IF(C148="RB",LeagueInfo!$D$4*LeagueInfo!$F$2,LeagueInfo!$D$5*LeagueInfo!$F$2)</f>
        <v>24</v>
      </c>
    </row>
    <row r="149" spans="1:9" x14ac:dyDescent="0.25">
      <c r="A149">
        <f ca="1">RANK(E149,E$2:E$349)</f>
        <v>148</v>
      </c>
      <c r="B149" t="s">
        <v>726</v>
      </c>
      <c r="C149" t="s">
        <v>35</v>
      </c>
      <c r="D149">
        <f ca="1">INDEX(INDIRECT($C149&amp;"!P:P"),MATCH($B149,INDIRECT($C149&amp;"!B:B"),0))</f>
        <v>76.680000000000007</v>
      </c>
      <c r="E149" s="6">
        <f ca="1">D149-LARGE(D$2:D$292,RBCount+WRCount)</f>
        <v>-32.019999999999996</v>
      </c>
      <c r="F149" t="str">
        <f ca="1">IF(H149&lt;=I149,"Starter",IF(G149&gt;=LARGE(G:G,FlexOn*LeagueInfo!$F$2),"Starter","Bench"))</f>
        <v>Bench</v>
      </c>
      <c r="G149">
        <f ca="1">IF(H149&gt;I149,D149,0)</f>
        <v>76.680000000000007</v>
      </c>
      <c r="H149">
        <f ca="1">INDEX(INDIRECT(""&amp;C149&amp;"!A2:A489"),MATCH(B149,INDIRECT(""&amp;C149&amp;"!B2:B489"),0))</f>
        <v>94</v>
      </c>
      <c r="I149">
        <f>IF(C149="RB",LeagueInfo!$D$4*LeagueInfo!$F$2,LeagueInfo!$D$5*LeagueInfo!$F$2)</f>
        <v>24</v>
      </c>
    </row>
    <row r="150" spans="1:9" x14ac:dyDescent="0.25">
      <c r="A150">
        <f ca="1">RANK(E150,E$2:E$349)</f>
        <v>149</v>
      </c>
      <c r="B150" t="s">
        <v>569</v>
      </c>
      <c r="C150" t="s">
        <v>35</v>
      </c>
      <c r="D150">
        <f ca="1">INDEX(INDIRECT($C150&amp;"!P:P"),MATCH($B150,INDIRECT($C150&amp;"!B:B"),0))</f>
        <v>76.400000000000006</v>
      </c>
      <c r="E150" s="6">
        <f ca="1">D150-LARGE(D$2:D$292,RBCount+WRCount)</f>
        <v>-32.299999999999997</v>
      </c>
      <c r="F150" t="str">
        <f ca="1">IF(H150&lt;=I150,"Starter",IF(G150&gt;=LARGE(G:G,FlexOn*LeagueInfo!$F$2),"Starter","Bench"))</f>
        <v>Bench</v>
      </c>
      <c r="G150">
        <f ca="1">IF(H150&gt;I150,D150,0)</f>
        <v>76.400000000000006</v>
      </c>
      <c r="H150">
        <f ca="1">INDEX(INDIRECT(""&amp;C150&amp;"!A2:A489"),MATCH(B150,INDIRECT(""&amp;C150&amp;"!B2:B489"),0))</f>
        <v>95</v>
      </c>
      <c r="I150">
        <f>IF(C150="RB",LeagueInfo!$D$4*LeagueInfo!$F$2,LeagueInfo!$D$5*LeagueInfo!$F$2)</f>
        <v>24</v>
      </c>
    </row>
    <row r="151" spans="1:9" x14ac:dyDescent="0.25">
      <c r="A151">
        <f ca="1">RANK(E151,E$2:E$349)</f>
        <v>150</v>
      </c>
      <c r="B151" t="s">
        <v>333</v>
      </c>
      <c r="C151" t="s">
        <v>28</v>
      </c>
      <c r="D151">
        <f ca="1">INDEX(INDIRECT($C151&amp;"!P:P"),MATCH($B151,INDIRECT($C151&amp;"!B:B"),0))</f>
        <v>75.62</v>
      </c>
      <c r="E151" s="6">
        <f ca="1">D151-LARGE(D$2:D$292,RBCount+WRCount)</f>
        <v>-33.08</v>
      </c>
      <c r="F151" t="str">
        <f ca="1">IF(H151&lt;=I151,"Starter",IF(G151&gt;=LARGE(G:G,FlexOn*LeagueInfo!$F$2),"Starter","Bench"))</f>
        <v>Bench</v>
      </c>
      <c r="G151">
        <f ca="1">IF(H151&gt;I151,D151,0)</f>
        <v>75.62</v>
      </c>
      <c r="H151">
        <f ca="1">INDEX(INDIRECT(""&amp;C151&amp;"!A2:A489"),MATCH(B151,INDIRECT(""&amp;C151&amp;"!B2:B489"),0))</f>
        <v>55</v>
      </c>
      <c r="I151">
        <f>IF(C151="RB",LeagueInfo!$D$4*LeagueInfo!$F$2,LeagueInfo!$D$5*LeagueInfo!$F$2)</f>
        <v>24</v>
      </c>
    </row>
    <row r="152" spans="1:9" x14ac:dyDescent="0.25">
      <c r="A152">
        <f ca="1">RANK(E152,E$2:E$349)</f>
        <v>151</v>
      </c>
      <c r="B152" t="s">
        <v>388</v>
      </c>
      <c r="C152" t="s">
        <v>35</v>
      </c>
      <c r="D152">
        <f ca="1">INDEX(INDIRECT($C152&amp;"!P:P"),MATCH($B152,INDIRECT($C152&amp;"!B:B"),0))</f>
        <v>73.400000000000006</v>
      </c>
      <c r="E152" s="6">
        <f ca="1">D152-LARGE(D$2:D$292,RBCount+WRCount)</f>
        <v>-35.299999999999997</v>
      </c>
      <c r="F152" t="str">
        <f ca="1">IF(H152&lt;=I152,"Starter",IF(G152&gt;=LARGE(G:G,FlexOn*LeagueInfo!$F$2),"Starter","Bench"))</f>
        <v>Bench</v>
      </c>
      <c r="G152">
        <f ca="1">IF(H152&gt;I152,D152,0)</f>
        <v>73.400000000000006</v>
      </c>
      <c r="H152">
        <f ca="1">INDEX(INDIRECT(""&amp;C152&amp;"!A2:A489"),MATCH(B152,INDIRECT(""&amp;C152&amp;"!B2:B489"),0))</f>
        <v>96</v>
      </c>
      <c r="I152">
        <f>IF(C152="RB",LeagueInfo!$D$4*LeagueInfo!$F$2,LeagueInfo!$D$5*LeagueInfo!$F$2)</f>
        <v>24</v>
      </c>
    </row>
    <row r="153" spans="1:9" x14ac:dyDescent="0.25">
      <c r="A153">
        <f ca="1">RANK(E153,E$2:E$349)</f>
        <v>152</v>
      </c>
      <c r="B153" t="s">
        <v>2452</v>
      </c>
      <c r="C153" t="s">
        <v>28</v>
      </c>
      <c r="D153">
        <f ca="1">INDEX(INDIRECT($C153&amp;"!P:P"),MATCH($B153,INDIRECT($C153&amp;"!B:B"),0))</f>
        <v>72.62</v>
      </c>
      <c r="E153" s="6">
        <f ca="1">D153-LARGE(D$2:D$292,RBCount+WRCount)</f>
        <v>-36.08</v>
      </c>
      <c r="F153" t="str">
        <f ca="1">IF(H153&lt;=I153,"Starter",IF(G153&gt;=LARGE(G:G,FlexOn*LeagueInfo!$F$2),"Starter","Bench"))</f>
        <v>Bench</v>
      </c>
      <c r="G153">
        <f ca="1">IF(H153&gt;I153,D153,0)</f>
        <v>72.62</v>
      </c>
      <c r="H153">
        <f ca="1">INDEX(INDIRECT(""&amp;C153&amp;"!A2:A489"),MATCH(B153,INDIRECT(""&amp;C153&amp;"!B2:B489"),0))</f>
        <v>56</v>
      </c>
      <c r="I153">
        <f>IF(C153="RB",LeagueInfo!$D$4*LeagueInfo!$F$2,LeagueInfo!$D$5*LeagueInfo!$F$2)</f>
        <v>24</v>
      </c>
    </row>
    <row r="154" spans="1:9" x14ac:dyDescent="0.25">
      <c r="A154">
        <f ca="1">RANK(E154,E$2:E$349)</f>
        <v>153</v>
      </c>
      <c r="B154" t="s">
        <v>637</v>
      </c>
      <c r="C154" t="s">
        <v>28</v>
      </c>
      <c r="D154">
        <f ca="1">INDEX(INDIRECT($C154&amp;"!P:P"),MATCH($B154,INDIRECT($C154&amp;"!B:B"),0))</f>
        <v>72.570000000000007</v>
      </c>
      <c r="E154" s="6">
        <f ca="1">D154-LARGE(D$2:D$292,RBCount+WRCount)</f>
        <v>-36.129999999999995</v>
      </c>
      <c r="F154" t="str">
        <f ca="1">IF(H154&lt;=I154,"Starter",IF(G154&gt;=LARGE(G:G,FlexOn*LeagueInfo!$F$2),"Starter","Bench"))</f>
        <v>Bench</v>
      </c>
      <c r="G154">
        <f ca="1">IF(H154&gt;I154,D154,0)</f>
        <v>72.570000000000007</v>
      </c>
      <c r="H154">
        <f ca="1">INDEX(INDIRECT(""&amp;C154&amp;"!A2:A489"),MATCH(B154,INDIRECT(""&amp;C154&amp;"!B2:B489"),0))</f>
        <v>57</v>
      </c>
      <c r="I154">
        <f>IF(C154="RB",LeagueInfo!$D$4*LeagueInfo!$F$2,LeagueInfo!$D$5*LeagueInfo!$F$2)</f>
        <v>24</v>
      </c>
    </row>
    <row r="155" spans="1:9" x14ac:dyDescent="0.25">
      <c r="A155">
        <f ca="1">RANK(E155,E$2:E$349)</f>
        <v>154</v>
      </c>
      <c r="B155" t="s">
        <v>725</v>
      </c>
      <c r="C155" t="s">
        <v>35</v>
      </c>
      <c r="D155">
        <f ca="1">INDEX(INDIRECT($C155&amp;"!P:P"),MATCH($B155,INDIRECT($C155&amp;"!B:B"),0))</f>
        <v>72.140000000000015</v>
      </c>
      <c r="E155" s="6">
        <f ca="1">D155-LARGE(D$2:D$292,RBCount+WRCount)</f>
        <v>-36.559999999999988</v>
      </c>
      <c r="F155" t="str">
        <f ca="1">IF(H155&lt;=I155,"Starter",IF(G155&gt;=LARGE(G:G,FlexOn*LeagueInfo!$F$2),"Starter","Bench"))</f>
        <v>Bench</v>
      </c>
      <c r="G155">
        <f ca="1">IF(H155&gt;I155,D155,0)</f>
        <v>72.140000000000015</v>
      </c>
      <c r="H155">
        <f ca="1">INDEX(INDIRECT(""&amp;C155&amp;"!A2:A489"),MATCH(B155,INDIRECT(""&amp;C155&amp;"!B2:B489"),0))</f>
        <v>97</v>
      </c>
      <c r="I155">
        <f>IF(C155="RB",LeagueInfo!$D$4*LeagueInfo!$F$2,LeagueInfo!$D$5*LeagueInfo!$F$2)</f>
        <v>24</v>
      </c>
    </row>
    <row r="156" spans="1:9" x14ac:dyDescent="0.25">
      <c r="A156">
        <f ca="1">RANK(E156,E$2:E$349)</f>
        <v>155</v>
      </c>
      <c r="B156" t="s">
        <v>2425</v>
      </c>
      <c r="C156" t="s">
        <v>35</v>
      </c>
      <c r="D156">
        <f ca="1">INDEX(INDIRECT($C156&amp;"!P:P"),MATCH($B156,INDIRECT($C156&amp;"!B:B"),0))</f>
        <v>71.790000000000006</v>
      </c>
      <c r="E156" s="6">
        <f ca="1">D156-LARGE(D$2:D$292,RBCount+WRCount)</f>
        <v>-36.909999999999997</v>
      </c>
      <c r="F156" t="str">
        <f ca="1">IF(H156&lt;=I156,"Starter",IF(G156&gt;=LARGE(G:G,FlexOn*LeagueInfo!$F$2),"Starter","Bench"))</f>
        <v>Bench</v>
      </c>
      <c r="G156">
        <f ca="1">IF(H156&gt;I156,D156,0)</f>
        <v>71.790000000000006</v>
      </c>
      <c r="H156">
        <f ca="1">INDEX(INDIRECT(""&amp;C156&amp;"!A2:A489"),MATCH(B156,INDIRECT(""&amp;C156&amp;"!B2:B489"),0))</f>
        <v>98</v>
      </c>
      <c r="I156">
        <f>IF(C156="RB",LeagueInfo!$D$4*LeagueInfo!$F$2,LeagueInfo!$D$5*LeagueInfo!$F$2)</f>
        <v>24</v>
      </c>
    </row>
    <row r="157" spans="1:9" x14ac:dyDescent="0.25">
      <c r="A157">
        <f ca="1">RANK(E157,E$2:E$349)</f>
        <v>156</v>
      </c>
      <c r="B157" t="s">
        <v>159</v>
      </c>
      <c r="C157" t="s">
        <v>28</v>
      </c>
      <c r="D157">
        <f ca="1">INDEX(INDIRECT($C157&amp;"!P:P"),MATCH($B157,INDIRECT($C157&amp;"!B:B"),0))</f>
        <v>71.2</v>
      </c>
      <c r="E157" s="6">
        <f ca="1">D157-LARGE(D$2:D$292,RBCount+WRCount)</f>
        <v>-37.5</v>
      </c>
      <c r="F157" t="str">
        <f ca="1">IF(H157&lt;=I157,"Starter",IF(G157&gt;=LARGE(G:G,FlexOn*LeagueInfo!$F$2),"Starter","Bench"))</f>
        <v>Bench</v>
      </c>
      <c r="G157">
        <f ca="1">IF(H157&gt;I157,D157,0)</f>
        <v>71.2</v>
      </c>
      <c r="H157">
        <f ca="1">INDEX(INDIRECT(""&amp;C157&amp;"!A2:A489"),MATCH(B157,INDIRECT(""&amp;C157&amp;"!B2:B489"),0))</f>
        <v>58</v>
      </c>
      <c r="I157">
        <f>IF(C157="RB",LeagueInfo!$D$4*LeagueInfo!$F$2,LeagueInfo!$D$5*LeagueInfo!$F$2)</f>
        <v>24</v>
      </c>
    </row>
    <row r="158" spans="1:9" x14ac:dyDescent="0.25">
      <c r="A158">
        <f ca="1">RANK(E158,E$2:E$349)</f>
        <v>157</v>
      </c>
      <c r="B158" t="s">
        <v>337</v>
      </c>
      <c r="C158" t="s">
        <v>28</v>
      </c>
      <c r="D158">
        <f ca="1">INDEX(INDIRECT($C158&amp;"!P:P"),MATCH($B158,INDIRECT($C158&amp;"!B:B"),0))</f>
        <v>69.33</v>
      </c>
      <c r="E158" s="6">
        <f ca="1">D158-LARGE(D$2:D$292,RBCount+WRCount)</f>
        <v>-39.370000000000005</v>
      </c>
      <c r="F158" t="str">
        <f ca="1">IF(H158&lt;=I158,"Starter",IF(G158&gt;=LARGE(G:G,FlexOn*LeagueInfo!$F$2),"Starter","Bench"))</f>
        <v>Bench</v>
      </c>
      <c r="G158">
        <f ca="1">IF(H158&gt;I158,D158,0)</f>
        <v>69.33</v>
      </c>
      <c r="H158">
        <f ca="1">INDEX(INDIRECT(""&amp;C158&amp;"!A2:A489"),MATCH(B158,INDIRECT(""&amp;C158&amp;"!B2:B489"),0))</f>
        <v>59</v>
      </c>
      <c r="I158">
        <f>IF(C158="RB",LeagueInfo!$D$4*LeagueInfo!$F$2,LeagueInfo!$D$5*LeagueInfo!$F$2)</f>
        <v>24</v>
      </c>
    </row>
    <row r="159" spans="1:9" x14ac:dyDescent="0.25">
      <c r="A159">
        <f ca="1">RANK(E159,E$2:E$349)</f>
        <v>158</v>
      </c>
      <c r="B159" t="s">
        <v>851</v>
      </c>
      <c r="C159" t="s">
        <v>35</v>
      </c>
      <c r="D159">
        <f ca="1">INDEX(INDIRECT($C159&amp;"!P:P"),MATCH($B159,INDIRECT($C159&amp;"!B:B"),0))</f>
        <v>67.72</v>
      </c>
      <c r="E159" s="6">
        <f ca="1">D159-LARGE(D$2:D$292,RBCount+WRCount)</f>
        <v>-40.980000000000004</v>
      </c>
      <c r="F159" t="str">
        <f ca="1">IF(H159&lt;=I159,"Starter",IF(G159&gt;=LARGE(G:G,FlexOn*LeagueInfo!$F$2),"Starter","Bench"))</f>
        <v>Bench</v>
      </c>
      <c r="G159">
        <f ca="1">IF(H159&gt;I159,D159,0)</f>
        <v>67.72</v>
      </c>
      <c r="H159">
        <f ca="1">INDEX(INDIRECT(""&amp;C159&amp;"!A2:A489"),MATCH(B159,INDIRECT(""&amp;C159&amp;"!B2:B489"),0))</f>
        <v>99</v>
      </c>
      <c r="I159">
        <f>IF(C159="RB",LeagueInfo!$D$4*LeagueInfo!$F$2,LeagueInfo!$D$5*LeagueInfo!$F$2)</f>
        <v>24</v>
      </c>
    </row>
    <row r="160" spans="1:9" x14ac:dyDescent="0.25">
      <c r="A160">
        <f ca="1">RANK(E160,E$2:E$349)</f>
        <v>159</v>
      </c>
      <c r="B160" t="s">
        <v>2426</v>
      </c>
      <c r="C160" t="s">
        <v>35</v>
      </c>
      <c r="D160">
        <f ca="1">INDEX(INDIRECT($C160&amp;"!P:P"),MATCH($B160,INDIRECT($C160&amp;"!B:B"),0))</f>
        <v>66.91</v>
      </c>
      <c r="E160" s="6">
        <f ca="1">D160-LARGE(D$2:D$292,RBCount+WRCount)</f>
        <v>-41.790000000000006</v>
      </c>
      <c r="F160" t="str">
        <f ca="1">IF(H160&lt;=I160,"Starter",IF(G160&gt;=LARGE(G:G,FlexOn*LeagueInfo!$F$2),"Starter","Bench"))</f>
        <v>Bench</v>
      </c>
      <c r="G160">
        <f ca="1">IF(H160&gt;I160,D160,0)</f>
        <v>66.91</v>
      </c>
      <c r="H160">
        <f ca="1">INDEX(INDIRECT(""&amp;C160&amp;"!A2:A489"),MATCH(B160,INDIRECT(""&amp;C160&amp;"!B2:B489"),0))</f>
        <v>100</v>
      </c>
      <c r="I160">
        <f>IF(C160="RB",LeagueInfo!$D$4*LeagueInfo!$F$2,LeagueInfo!$D$5*LeagueInfo!$F$2)</f>
        <v>24</v>
      </c>
    </row>
    <row r="161" spans="1:9" x14ac:dyDescent="0.25">
      <c r="A161">
        <f ca="1">RANK(E161,E$2:E$349)</f>
        <v>160</v>
      </c>
      <c r="B161" t="s">
        <v>2739</v>
      </c>
      <c r="C161" t="s">
        <v>35</v>
      </c>
      <c r="D161">
        <f ca="1">INDEX(INDIRECT($C161&amp;"!P:P"),MATCH($B161,INDIRECT($C161&amp;"!B:B"),0))</f>
        <v>66.58</v>
      </c>
      <c r="E161" s="6">
        <f ca="1">D161-LARGE(D$2:D$292,RBCount+WRCount)</f>
        <v>-42.120000000000005</v>
      </c>
      <c r="F161" t="str">
        <f ca="1">IF(H161&lt;=I161,"Starter",IF(G161&gt;=LARGE(G:G,FlexOn*LeagueInfo!$F$2),"Starter","Bench"))</f>
        <v>Bench</v>
      </c>
      <c r="G161">
        <f ca="1">IF(H161&gt;I161,D161,0)</f>
        <v>66.58</v>
      </c>
      <c r="H161">
        <f ca="1">INDEX(INDIRECT(""&amp;C161&amp;"!A2:A489"),MATCH(B161,INDIRECT(""&amp;C161&amp;"!B2:B489"),0))</f>
        <v>101</v>
      </c>
      <c r="I161">
        <f>IF(C161="RB",LeagueInfo!$D$4*LeagueInfo!$F$2,LeagueInfo!$D$5*LeagueInfo!$F$2)</f>
        <v>24</v>
      </c>
    </row>
    <row r="162" spans="1:9" x14ac:dyDescent="0.25">
      <c r="A162">
        <f ca="1">RANK(E162,E$2:E$349)</f>
        <v>161</v>
      </c>
      <c r="B162" t="s">
        <v>862</v>
      </c>
      <c r="C162" t="s">
        <v>35</v>
      </c>
      <c r="D162">
        <f ca="1">INDEX(INDIRECT($C162&amp;"!P:P"),MATCH($B162,INDIRECT($C162&amp;"!B:B"),0))</f>
        <v>65.750000000000014</v>
      </c>
      <c r="E162" s="6">
        <f ca="1">D162-LARGE(D$2:D$292,RBCount+WRCount)</f>
        <v>-42.949999999999989</v>
      </c>
      <c r="F162" t="str">
        <f ca="1">IF(H162&lt;=I162,"Starter",IF(G162&gt;=LARGE(G:G,FlexOn*LeagueInfo!$F$2),"Starter","Bench"))</f>
        <v>Bench</v>
      </c>
      <c r="G162">
        <f ca="1">IF(H162&gt;I162,D162,0)</f>
        <v>65.750000000000014</v>
      </c>
      <c r="H162">
        <f ca="1">INDEX(INDIRECT(""&amp;C162&amp;"!A2:A489"),MATCH(B162,INDIRECT(""&amp;C162&amp;"!B2:B489"),0))</f>
        <v>102</v>
      </c>
      <c r="I162">
        <f>IF(C162="RB",LeagueInfo!$D$4*LeagueInfo!$F$2,LeagueInfo!$D$5*LeagueInfo!$F$2)</f>
        <v>24</v>
      </c>
    </row>
    <row r="163" spans="1:9" x14ac:dyDescent="0.25">
      <c r="A163">
        <f ca="1">RANK(E163,E$2:E$349)</f>
        <v>162</v>
      </c>
      <c r="B163" t="s">
        <v>688</v>
      </c>
      <c r="C163" t="s">
        <v>28</v>
      </c>
      <c r="D163">
        <f ca="1">INDEX(INDIRECT($C163&amp;"!P:P"),MATCH($B163,INDIRECT($C163&amp;"!B:B"),0))</f>
        <v>65.22</v>
      </c>
      <c r="E163" s="6">
        <f ca="1">D163-LARGE(D$2:D$292,RBCount+WRCount)</f>
        <v>-43.480000000000004</v>
      </c>
      <c r="F163" t="str">
        <f ca="1">IF(H163&lt;=I163,"Starter",IF(G163&gt;=LARGE(G:G,FlexOn*LeagueInfo!$F$2),"Starter","Bench"))</f>
        <v>Bench</v>
      </c>
      <c r="G163">
        <f ca="1">IF(H163&gt;I163,D163,0)</f>
        <v>65.22</v>
      </c>
      <c r="H163">
        <f ca="1">INDEX(INDIRECT(""&amp;C163&amp;"!A2:A489"),MATCH(B163,INDIRECT(""&amp;C163&amp;"!B2:B489"),0))</f>
        <v>60</v>
      </c>
      <c r="I163">
        <f>IF(C163="RB",LeagueInfo!$D$4*LeagueInfo!$F$2,LeagueInfo!$D$5*LeagueInfo!$F$2)</f>
        <v>24</v>
      </c>
    </row>
    <row r="164" spans="1:9" x14ac:dyDescent="0.25">
      <c r="A164">
        <f ca="1">RANK(E164,E$2:E$349)</f>
        <v>163</v>
      </c>
      <c r="B164" t="s">
        <v>334</v>
      </c>
      <c r="C164" t="s">
        <v>28</v>
      </c>
      <c r="D164">
        <f ca="1">INDEX(INDIRECT($C164&amp;"!P:P"),MATCH($B164,INDIRECT($C164&amp;"!B:B"),0))</f>
        <v>64.280000000000015</v>
      </c>
      <c r="E164" s="6">
        <f ca="1">D164-LARGE(D$2:D$292,RBCount+WRCount)</f>
        <v>-44.419999999999987</v>
      </c>
      <c r="F164" t="str">
        <f ca="1">IF(H164&lt;=I164,"Starter",IF(G164&gt;=LARGE(G:G,FlexOn*LeagueInfo!$F$2),"Starter","Bench"))</f>
        <v>Bench</v>
      </c>
      <c r="G164">
        <f ca="1">IF(H164&gt;I164,D164,0)</f>
        <v>64.280000000000015</v>
      </c>
      <c r="H164">
        <f ca="1">INDEX(INDIRECT(""&amp;C164&amp;"!A2:A489"),MATCH(B164,INDIRECT(""&amp;C164&amp;"!B2:B489"),0))</f>
        <v>61</v>
      </c>
      <c r="I164">
        <f>IF(C164="RB",LeagueInfo!$D$4*LeagueInfo!$F$2,LeagueInfo!$D$5*LeagueInfo!$F$2)</f>
        <v>24</v>
      </c>
    </row>
    <row r="165" spans="1:9" x14ac:dyDescent="0.25">
      <c r="A165">
        <f ca="1">RANK(E165,E$2:E$349)</f>
        <v>164</v>
      </c>
      <c r="B165" t="s">
        <v>866</v>
      </c>
      <c r="C165" t="s">
        <v>35</v>
      </c>
      <c r="D165">
        <f ca="1">INDEX(INDIRECT($C165&amp;"!P:P"),MATCH($B165,INDIRECT($C165&amp;"!B:B"),0))</f>
        <v>63.45</v>
      </c>
      <c r="E165" s="6">
        <f ca="1">D165-LARGE(D$2:D$292,RBCount+WRCount)</f>
        <v>-45.25</v>
      </c>
      <c r="F165" t="str">
        <f ca="1">IF(H165&lt;=I165,"Starter",IF(G165&gt;=LARGE(G:G,FlexOn*LeagueInfo!$F$2),"Starter","Bench"))</f>
        <v>Bench</v>
      </c>
      <c r="G165">
        <f ca="1">IF(H165&gt;I165,D165,0)</f>
        <v>63.45</v>
      </c>
      <c r="H165">
        <f ca="1">INDEX(INDIRECT(""&amp;C165&amp;"!A2:A489"),MATCH(B165,INDIRECT(""&amp;C165&amp;"!B2:B489"),0))</f>
        <v>103</v>
      </c>
      <c r="I165">
        <f>IF(C165="RB",LeagueInfo!$D$4*LeagueInfo!$F$2,LeagueInfo!$D$5*LeagueInfo!$F$2)</f>
        <v>24</v>
      </c>
    </row>
    <row r="166" spans="1:9" x14ac:dyDescent="0.25">
      <c r="A166">
        <f ca="1">RANK(E166,E$2:E$349)</f>
        <v>165</v>
      </c>
      <c r="B166" t="s">
        <v>2449</v>
      </c>
      <c r="C166" t="s">
        <v>28</v>
      </c>
      <c r="D166">
        <f ca="1">INDEX(INDIRECT($C166&amp;"!P:P"),MATCH($B166,INDIRECT($C166&amp;"!B:B"),0))</f>
        <v>63.27</v>
      </c>
      <c r="E166" s="6">
        <f ca="1">D166-LARGE(D$2:D$292,RBCount+WRCount)</f>
        <v>-45.43</v>
      </c>
      <c r="F166" t="str">
        <f ca="1">IF(H166&lt;=I166,"Starter",IF(G166&gt;=LARGE(G:G,FlexOn*LeagueInfo!$F$2),"Starter","Bench"))</f>
        <v>Bench</v>
      </c>
      <c r="G166">
        <f ca="1">IF(H166&gt;I166,D166,0)</f>
        <v>63.27</v>
      </c>
      <c r="H166">
        <f ca="1">INDEX(INDIRECT(""&amp;C166&amp;"!A2:A489"),MATCH(B166,INDIRECT(""&amp;C166&amp;"!B2:B489"),0))</f>
        <v>62</v>
      </c>
      <c r="I166">
        <f>IF(C166="RB",LeagueInfo!$D$4*LeagueInfo!$F$2,LeagueInfo!$D$5*LeagueInfo!$F$2)</f>
        <v>24</v>
      </c>
    </row>
    <row r="167" spans="1:9" x14ac:dyDescent="0.25">
      <c r="A167">
        <f ca="1">RANK(E167,E$2:E$349)</f>
        <v>166</v>
      </c>
      <c r="B167" t="s">
        <v>679</v>
      </c>
      <c r="C167" t="s">
        <v>28</v>
      </c>
      <c r="D167">
        <f ca="1">INDEX(INDIRECT($C167&amp;"!P:P"),MATCH($B167,INDIRECT($C167&amp;"!B:B"),0))</f>
        <v>63.160000000000004</v>
      </c>
      <c r="E167" s="6">
        <f ca="1">D167-LARGE(D$2:D$292,RBCount+WRCount)</f>
        <v>-45.54</v>
      </c>
      <c r="F167" t="str">
        <f ca="1">IF(H167&lt;=I167,"Starter",IF(G167&gt;=LARGE(G:G,FlexOn*LeagueInfo!$F$2),"Starter","Bench"))</f>
        <v>Bench</v>
      </c>
      <c r="G167">
        <f ca="1">IF(H167&gt;I167,D167,0)</f>
        <v>63.160000000000004</v>
      </c>
      <c r="H167">
        <f ca="1">INDEX(INDIRECT(""&amp;C167&amp;"!A2:A489"),MATCH(B167,INDIRECT(""&amp;C167&amp;"!B2:B489"),0))</f>
        <v>63</v>
      </c>
      <c r="I167">
        <f>IF(C167="RB",LeagueInfo!$D$4*LeagueInfo!$F$2,LeagueInfo!$D$5*LeagueInfo!$F$2)</f>
        <v>24</v>
      </c>
    </row>
    <row r="168" spans="1:9" x14ac:dyDescent="0.25">
      <c r="A168">
        <f ca="1">RANK(E168,E$2:E$349)</f>
        <v>167</v>
      </c>
      <c r="B168" t="s">
        <v>2428</v>
      </c>
      <c r="C168" t="s">
        <v>35</v>
      </c>
      <c r="D168">
        <f ca="1">INDEX(INDIRECT($C168&amp;"!P:P"),MATCH($B168,INDIRECT($C168&amp;"!B:B"),0))</f>
        <v>61.650000000000006</v>
      </c>
      <c r="E168" s="6">
        <f ca="1">D168-LARGE(D$2:D$292,RBCount+WRCount)</f>
        <v>-47.05</v>
      </c>
      <c r="F168" t="str">
        <f ca="1">IF(H168&lt;=I168,"Starter",IF(G168&gt;=LARGE(G:G,FlexOn*LeagueInfo!$F$2),"Starter","Bench"))</f>
        <v>Bench</v>
      </c>
      <c r="G168">
        <f ca="1">IF(H168&gt;I168,D168,0)</f>
        <v>61.650000000000006</v>
      </c>
      <c r="H168">
        <f ca="1">INDEX(INDIRECT(""&amp;C168&amp;"!A2:A489"),MATCH(B168,INDIRECT(""&amp;C168&amp;"!B2:B489"),0))</f>
        <v>104</v>
      </c>
      <c r="I168">
        <f>IF(C168="RB",LeagueInfo!$D$4*LeagueInfo!$F$2,LeagueInfo!$D$5*LeagueInfo!$F$2)</f>
        <v>24</v>
      </c>
    </row>
    <row r="169" spans="1:9" x14ac:dyDescent="0.25">
      <c r="A169">
        <f ca="1">RANK(E169,E$2:E$349)</f>
        <v>168</v>
      </c>
      <c r="B169" t="s">
        <v>2465</v>
      </c>
      <c r="C169" t="s">
        <v>28</v>
      </c>
      <c r="D169">
        <f ca="1">INDEX(INDIRECT($C169&amp;"!P:P"),MATCH($B169,INDIRECT($C169&amp;"!B:B"),0))</f>
        <v>59.04</v>
      </c>
      <c r="E169" s="6">
        <f ca="1">D169-LARGE(D$2:D$292,RBCount+WRCount)</f>
        <v>-49.660000000000004</v>
      </c>
      <c r="F169" t="str">
        <f ca="1">IF(H169&lt;=I169,"Starter",IF(G169&gt;=LARGE(G:G,FlexOn*LeagueInfo!$F$2),"Starter","Bench"))</f>
        <v>Bench</v>
      </c>
      <c r="G169">
        <f ca="1">IF(H169&gt;I169,D169,0)</f>
        <v>59.04</v>
      </c>
      <c r="H169">
        <f ca="1">INDEX(INDIRECT(""&amp;C169&amp;"!A2:A489"),MATCH(B169,INDIRECT(""&amp;C169&amp;"!B2:B489"),0))</f>
        <v>64</v>
      </c>
      <c r="I169">
        <f>IF(C169="RB",LeagueInfo!$D$4*LeagueInfo!$F$2,LeagueInfo!$D$5*LeagueInfo!$F$2)</f>
        <v>24</v>
      </c>
    </row>
    <row r="170" spans="1:9" x14ac:dyDescent="0.25">
      <c r="A170">
        <f ca="1">RANK(E170,E$2:E$349)</f>
        <v>169</v>
      </c>
      <c r="B170" t="s">
        <v>165</v>
      </c>
      <c r="C170" t="s">
        <v>28</v>
      </c>
      <c r="D170">
        <f ca="1">INDEX(INDIRECT($C170&amp;"!P:P"),MATCH($B170,INDIRECT($C170&amp;"!B:B"),0))</f>
        <v>58.67</v>
      </c>
      <c r="E170" s="6">
        <f ca="1">D170-LARGE(D$2:D$292,RBCount+WRCount)</f>
        <v>-50.03</v>
      </c>
      <c r="F170" t="str">
        <f ca="1">IF(H170&lt;=I170,"Starter",IF(G170&gt;=LARGE(G:G,FlexOn*LeagueInfo!$F$2),"Starter","Bench"))</f>
        <v>Bench</v>
      </c>
      <c r="G170">
        <f ca="1">IF(H170&gt;I170,D170,0)</f>
        <v>58.67</v>
      </c>
      <c r="H170">
        <f ca="1">INDEX(INDIRECT(""&amp;C170&amp;"!A2:A489"),MATCH(B170,INDIRECT(""&amp;C170&amp;"!B2:B489"),0))</f>
        <v>65</v>
      </c>
      <c r="I170">
        <f>IF(C170="RB",LeagueInfo!$D$4*LeagueInfo!$F$2,LeagueInfo!$D$5*LeagueInfo!$F$2)</f>
        <v>24</v>
      </c>
    </row>
    <row r="171" spans="1:9" x14ac:dyDescent="0.25">
      <c r="A171">
        <f ca="1">RANK(E171,E$2:E$349)</f>
        <v>170</v>
      </c>
      <c r="B171" t="s">
        <v>546</v>
      </c>
      <c r="C171" t="s">
        <v>28</v>
      </c>
      <c r="D171">
        <f ca="1">INDEX(INDIRECT($C171&amp;"!P:P"),MATCH($B171,INDIRECT($C171&amp;"!B:B"),0))</f>
        <v>58.25</v>
      </c>
      <c r="E171" s="6">
        <f ca="1">D171-LARGE(D$2:D$292,RBCount+WRCount)</f>
        <v>-50.45</v>
      </c>
      <c r="F171" t="str">
        <f ca="1">IF(H171&lt;=I171,"Starter",IF(G171&gt;=LARGE(G:G,FlexOn*LeagueInfo!$F$2),"Starter","Bench"))</f>
        <v>Bench</v>
      </c>
      <c r="G171">
        <f ca="1">IF(H171&gt;I171,D171,0)</f>
        <v>58.25</v>
      </c>
      <c r="H171">
        <f ca="1">INDEX(INDIRECT(""&amp;C171&amp;"!A2:A489"),MATCH(B171,INDIRECT(""&amp;C171&amp;"!B2:B489"),0))</f>
        <v>66</v>
      </c>
      <c r="I171">
        <f>IF(C171="RB",LeagueInfo!$D$4*LeagueInfo!$F$2,LeagueInfo!$D$5*LeagueInfo!$F$2)</f>
        <v>24</v>
      </c>
    </row>
    <row r="172" spans="1:9" x14ac:dyDescent="0.25">
      <c r="A172">
        <f ca="1">RANK(E172,E$2:E$349)</f>
        <v>171</v>
      </c>
      <c r="B172" t="s">
        <v>864</v>
      </c>
      <c r="C172" t="s">
        <v>35</v>
      </c>
      <c r="D172">
        <f ca="1">INDEX(INDIRECT($C172&amp;"!P:P"),MATCH($B172,INDIRECT($C172&amp;"!B:B"),0))</f>
        <v>56.97</v>
      </c>
      <c r="E172" s="6">
        <f ca="1">D172-LARGE(D$2:D$292,RBCount+WRCount)</f>
        <v>-51.730000000000004</v>
      </c>
      <c r="F172" t="str">
        <f ca="1">IF(H172&lt;=I172,"Starter",IF(G172&gt;=LARGE(G:G,FlexOn*LeagueInfo!$F$2),"Starter","Bench"))</f>
        <v>Bench</v>
      </c>
      <c r="G172">
        <f ca="1">IF(H172&gt;I172,D172,0)</f>
        <v>56.97</v>
      </c>
      <c r="H172">
        <f ca="1">INDEX(INDIRECT(""&amp;C172&amp;"!A2:A489"),MATCH(B172,INDIRECT(""&amp;C172&amp;"!B2:B489"),0))</f>
        <v>105</v>
      </c>
      <c r="I172">
        <f>IF(C172="RB",LeagueInfo!$D$4*LeagueInfo!$F$2,LeagueInfo!$D$5*LeagueInfo!$F$2)</f>
        <v>24</v>
      </c>
    </row>
    <row r="173" spans="1:9" x14ac:dyDescent="0.25">
      <c r="A173">
        <f ca="1">RANK(E173,E$2:E$349)</f>
        <v>172</v>
      </c>
      <c r="B173" t="s">
        <v>529</v>
      </c>
      <c r="C173" t="s">
        <v>28</v>
      </c>
      <c r="D173">
        <f ca="1">INDEX(INDIRECT($C173&amp;"!P:P"),MATCH($B173,INDIRECT($C173&amp;"!B:B"),0))</f>
        <v>55.81</v>
      </c>
      <c r="E173" s="6">
        <f ca="1">D173-LARGE(D$2:D$292,RBCount+WRCount)</f>
        <v>-52.89</v>
      </c>
      <c r="F173" t="str">
        <f ca="1">IF(H173&lt;=I173,"Starter",IF(G173&gt;=LARGE(G:G,FlexOn*LeagueInfo!$F$2),"Starter","Bench"))</f>
        <v>Bench</v>
      </c>
      <c r="G173">
        <f ca="1">IF(H173&gt;I173,D173,0)</f>
        <v>55.81</v>
      </c>
      <c r="H173">
        <f ca="1">INDEX(INDIRECT(""&amp;C173&amp;"!A2:A489"),MATCH(B173,INDIRECT(""&amp;C173&amp;"!B2:B489"),0))</f>
        <v>67</v>
      </c>
      <c r="I173">
        <f>IF(C173="RB",LeagueInfo!$D$4*LeagueInfo!$F$2,LeagueInfo!$D$5*LeagueInfo!$F$2)</f>
        <v>24</v>
      </c>
    </row>
    <row r="174" spans="1:9" x14ac:dyDescent="0.25">
      <c r="A174">
        <f ca="1">RANK(E174,E$2:E$349)</f>
        <v>173</v>
      </c>
      <c r="B174" t="s">
        <v>559</v>
      </c>
      <c r="C174" t="s">
        <v>28</v>
      </c>
      <c r="D174">
        <f ca="1">INDEX(INDIRECT($C174&amp;"!P:P"),MATCH($B174,INDIRECT($C174&amp;"!B:B"),0))</f>
        <v>54.919999999999995</v>
      </c>
      <c r="E174" s="6">
        <f ca="1">D174-LARGE(D$2:D$292,RBCount+WRCount)</f>
        <v>-53.780000000000008</v>
      </c>
      <c r="F174" t="str">
        <f ca="1">IF(H174&lt;=I174,"Starter",IF(G174&gt;=LARGE(G:G,FlexOn*LeagueInfo!$F$2),"Starter","Bench"))</f>
        <v>Bench</v>
      </c>
      <c r="G174">
        <f ca="1">IF(H174&gt;I174,D174,0)</f>
        <v>54.919999999999995</v>
      </c>
      <c r="H174">
        <f ca="1">INDEX(INDIRECT(""&amp;C174&amp;"!A2:A489"),MATCH(B174,INDIRECT(""&amp;C174&amp;"!B2:B489"),0))</f>
        <v>68</v>
      </c>
      <c r="I174">
        <f>IF(C174="RB",LeagueInfo!$D$4*LeagueInfo!$F$2,LeagueInfo!$D$5*LeagueInfo!$F$2)</f>
        <v>24</v>
      </c>
    </row>
    <row r="175" spans="1:9" x14ac:dyDescent="0.25">
      <c r="A175">
        <f ca="1">RANK(E175,E$2:E$349)</f>
        <v>174</v>
      </c>
      <c r="B175" t="s">
        <v>2455</v>
      </c>
      <c r="C175" t="s">
        <v>28</v>
      </c>
      <c r="D175">
        <f ca="1">INDEX(INDIRECT($C175&amp;"!P:P"),MATCH($B175,INDIRECT($C175&amp;"!B:B"),0))</f>
        <v>54.150000000000006</v>
      </c>
      <c r="E175" s="6">
        <f ca="1">D175-LARGE(D$2:D$292,RBCount+WRCount)</f>
        <v>-54.55</v>
      </c>
      <c r="F175" t="str">
        <f ca="1">IF(H175&lt;=I175,"Starter",IF(G175&gt;=LARGE(G:G,FlexOn*LeagueInfo!$F$2),"Starter","Bench"))</f>
        <v>Bench</v>
      </c>
      <c r="G175">
        <f ca="1">IF(H175&gt;I175,D175,0)</f>
        <v>54.150000000000006</v>
      </c>
      <c r="H175">
        <f ca="1">INDEX(INDIRECT(""&amp;C175&amp;"!A2:A489"),MATCH(B175,INDIRECT(""&amp;C175&amp;"!B2:B489"),0))</f>
        <v>69</v>
      </c>
      <c r="I175">
        <f>IF(C175="RB",LeagueInfo!$D$4*LeagueInfo!$F$2,LeagueInfo!$D$5*LeagueInfo!$F$2)</f>
        <v>24</v>
      </c>
    </row>
    <row r="176" spans="1:9" x14ac:dyDescent="0.25">
      <c r="A176">
        <f ca="1">RANK(E176,E$2:E$349)</f>
        <v>175</v>
      </c>
      <c r="B176" t="s">
        <v>366</v>
      </c>
      <c r="C176" t="s">
        <v>35</v>
      </c>
      <c r="D176">
        <f ca="1">INDEX(INDIRECT($C176&amp;"!P:P"),MATCH($B176,INDIRECT($C176&amp;"!B:B"),0))</f>
        <v>53.97</v>
      </c>
      <c r="E176" s="6">
        <f ca="1">D176-LARGE(D$2:D$292,RBCount+WRCount)</f>
        <v>-54.730000000000004</v>
      </c>
      <c r="F176" t="str">
        <f ca="1">IF(H176&lt;=I176,"Starter",IF(G176&gt;=LARGE(G:G,FlexOn*LeagueInfo!$F$2),"Starter","Bench"))</f>
        <v>Bench</v>
      </c>
      <c r="G176">
        <f ca="1">IF(H176&gt;I176,D176,0)</f>
        <v>53.97</v>
      </c>
      <c r="H176">
        <f ca="1">INDEX(INDIRECT(""&amp;C176&amp;"!A2:A489"),MATCH(B176,INDIRECT(""&amp;C176&amp;"!B2:B489"),0))</f>
        <v>106</v>
      </c>
      <c r="I176">
        <f>IF(C176="RB",LeagueInfo!$D$4*LeagueInfo!$F$2,LeagueInfo!$D$5*LeagueInfo!$F$2)</f>
        <v>24</v>
      </c>
    </row>
    <row r="177" spans="1:9" x14ac:dyDescent="0.25">
      <c r="A177">
        <f ca="1">RANK(E177,E$2:E$349)</f>
        <v>176</v>
      </c>
      <c r="B177" t="s">
        <v>389</v>
      </c>
      <c r="C177" t="s">
        <v>35</v>
      </c>
      <c r="D177">
        <f ca="1">INDEX(INDIRECT($C177&amp;"!P:P"),MATCH($B177,INDIRECT($C177&amp;"!B:B"),0))</f>
        <v>52.37</v>
      </c>
      <c r="E177" s="6">
        <f ca="1">D177-LARGE(D$2:D$292,RBCount+WRCount)</f>
        <v>-56.330000000000005</v>
      </c>
      <c r="F177" t="str">
        <f ca="1">IF(H177&lt;=I177,"Starter",IF(G177&gt;=LARGE(G:G,FlexOn*LeagueInfo!$F$2),"Starter","Bench"))</f>
        <v>Bench</v>
      </c>
      <c r="G177">
        <f ca="1">IF(H177&gt;I177,D177,0)</f>
        <v>52.37</v>
      </c>
      <c r="H177">
        <f ca="1">INDEX(INDIRECT(""&amp;C177&amp;"!A2:A489"),MATCH(B177,INDIRECT(""&amp;C177&amp;"!B2:B489"),0))</f>
        <v>107</v>
      </c>
      <c r="I177">
        <f>IF(C177="RB",LeagueInfo!$D$4*LeagueInfo!$F$2,LeagueInfo!$D$5*LeagueInfo!$F$2)</f>
        <v>24</v>
      </c>
    </row>
    <row r="178" spans="1:9" x14ac:dyDescent="0.25">
      <c r="A178">
        <f ca="1">RANK(E178,E$2:E$349)</f>
        <v>177</v>
      </c>
      <c r="B178" t="s">
        <v>544</v>
      </c>
      <c r="C178" t="s">
        <v>28</v>
      </c>
      <c r="D178">
        <f ca="1">INDEX(INDIRECT($C178&amp;"!P:P"),MATCH($B178,INDIRECT($C178&amp;"!B:B"),0))</f>
        <v>52.33</v>
      </c>
      <c r="E178" s="6">
        <f ca="1">D178-LARGE(D$2:D$292,RBCount+WRCount)</f>
        <v>-56.370000000000005</v>
      </c>
      <c r="F178" t="str">
        <f ca="1">IF(H178&lt;=I178,"Starter",IF(G178&gt;=LARGE(G:G,FlexOn*LeagueInfo!$F$2),"Starter","Bench"))</f>
        <v>Bench</v>
      </c>
      <c r="G178">
        <f ca="1">IF(H178&gt;I178,D178,0)</f>
        <v>52.33</v>
      </c>
      <c r="H178">
        <f ca="1">INDEX(INDIRECT(""&amp;C178&amp;"!A2:A489"),MATCH(B178,INDIRECT(""&amp;C178&amp;"!B2:B489"),0))</f>
        <v>70</v>
      </c>
      <c r="I178">
        <f>IF(C178="RB",LeagueInfo!$D$4*LeagueInfo!$F$2,LeagueInfo!$D$5*LeagueInfo!$F$2)</f>
        <v>24</v>
      </c>
    </row>
    <row r="179" spans="1:9" x14ac:dyDescent="0.25">
      <c r="A179">
        <f ca="1">RANK(E179,E$2:E$349)</f>
        <v>178</v>
      </c>
      <c r="B179" t="s">
        <v>340</v>
      </c>
      <c r="C179" t="s">
        <v>28</v>
      </c>
      <c r="D179">
        <f ca="1">INDEX(INDIRECT($C179&amp;"!P:P"),MATCH($B179,INDIRECT($C179&amp;"!B:B"),0))</f>
        <v>52.100000000000009</v>
      </c>
      <c r="E179" s="6">
        <f ca="1">D179-LARGE(D$2:D$292,RBCount+WRCount)</f>
        <v>-56.599999999999994</v>
      </c>
      <c r="F179" t="str">
        <f ca="1">IF(H179&lt;=I179,"Starter",IF(G179&gt;=LARGE(G:G,FlexOn*LeagueInfo!$F$2),"Starter","Bench"))</f>
        <v>Bench</v>
      </c>
      <c r="G179">
        <f ca="1">IF(H179&gt;I179,D179,0)</f>
        <v>52.100000000000009</v>
      </c>
      <c r="H179">
        <f ca="1">INDEX(INDIRECT(""&amp;C179&amp;"!A2:A489"),MATCH(B179,INDIRECT(""&amp;C179&amp;"!B2:B489"),0))</f>
        <v>71</v>
      </c>
      <c r="I179">
        <f>IF(C179="RB",LeagueInfo!$D$4*LeagueInfo!$F$2,LeagueInfo!$D$5*LeagueInfo!$F$2)</f>
        <v>24</v>
      </c>
    </row>
    <row r="180" spans="1:9" x14ac:dyDescent="0.25">
      <c r="A180">
        <f ca="1">RANK(E180,E$2:E$349)</f>
        <v>179</v>
      </c>
      <c r="B180" t="s">
        <v>889</v>
      </c>
      <c r="C180" t="s">
        <v>28</v>
      </c>
      <c r="D180">
        <f ca="1">INDEX(INDIRECT($C180&amp;"!P:P"),MATCH($B180,INDIRECT($C180&amp;"!B:B"),0))</f>
        <v>51.69</v>
      </c>
      <c r="E180" s="6">
        <f ca="1">D180-LARGE(D$2:D$292,RBCount+WRCount)</f>
        <v>-57.010000000000005</v>
      </c>
      <c r="F180" t="str">
        <f ca="1">IF(H180&lt;=I180,"Starter",IF(G180&gt;=LARGE(G:G,FlexOn*LeagueInfo!$F$2),"Starter","Bench"))</f>
        <v>Bench</v>
      </c>
      <c r="G180">
        <f ca="1">IF(H180&gt;I180,D180,0)</f>
        <v>51.69</v>
      </c>
      <c r="H180">
        <f ca="1">INDEX(INDIRECT(""&amp;C180&amp;"!A2:A489"),MATCH(B180,INDIRECT(""&amp;C180&amp;"!B2:B489"),0))</f>
        <v>72</v>
      </c>
      <c r="I180">
        <f>IF(C180="RB",LeagueInfo!$D$4*LeagueInfo!$F$2,LeagueInfo!$D$5*LeagueInfo!$F$2)</f>
        <v>24</v>
      </c>
    </row>
    <row r="181" spans="1:9" x14ac:dyDescent="0.25">
      <c r="A181">
        <f ca="1">RANK(E181,E$2:E$349)</f>
        <v>180</v>
      </c>
      <c r="B181" t="s">
        <v>134</v>
      </c>
      <c r="C181" t="s">
        <v>35</v>
      </c>
      <c r="D181">
        <f ca="1">INDEX(INDIRECT($C181&amp;"!P:P"),MATCH($B181,INDIRECT($C181&amp;"!B:B"),0))</f>
        <v>50.960000000000008</v>
      </c>
      <c r="E181" s="6">
        <f ca="1">D181-LARGE(D$2:D$292,RBCount+WRCount)</f>
        <v>-57.739999999999995</v>
      </c>
      <c r="F181" t="str">
        <f ca="1">IF(H181&lt;=I181,"Starter",IF(G181&gt;=LARGE(G:G,FlexOn*LeagueInfo!$F$2),"Starter","Bench"))</f>
        <v>Bench</v>
      </c>
      <c r="G181">
        <f ca="1">IF(H181&gt;I181,D181,0)</f>
        <v>50.960000000000008</v>
      </c>
      <c r="H181">
        <f ca="1">INDEX(INDIRECT(""&amp;C181&amp;"!A2:A489"),MATCH(B181,INDIRECT(""&amp;C181&amp;"!B2:B489"),0))</f>
        <v>108</v>
      </c>
      <c r="I181">
        <f>IF(C181="RB",LeagueInfo!$D$4*LeagueInfo!$F$2,LeagueInfo!$D$5*LeagueInfo!$F$2)</f>
        <v>24</v>
      </c>
    </row>
    <row r="182" spans="1:9" x14ac:dyDescent="0.25">
      <c r="A182">
        <f ca="1">RANK(E182,E$2:E$349)</f>
        <v>181</v>
      </c>
      <c r="B182" t="s">
        <v>377</v>
      </c>
      <c r="C182" t="s">
        <v>35</v>
      </c>
      <c r="D182">
        <f ca="1">INDEX(INDIRECT($C182&amp;"!P:P"),MATCH($B182,INDIRECT($C182&amp;"!B:B"),0))</f>
        <v>50.660000000000011</v>
      </c>
      <c r="E182" s="6">
        <f ca="1">D182-LARGE(D$2:D$292,RBCount+WRCount)</f>
        <v>-58.039999999999992</v>
      </c>
      <c r="F182" t="str">
        <f ca="1">IF(H182&lt;=I182,"Starter",IF(G182&gt;=LARGE(G:G,FlexOn*LeagueInfo!$F$2),"Starter","Bench"))</f>
        <v>Bench</v>
      </c>
      <c r="G182">
        <f ca="1">IF(H182&gt;I182,D182,0)</f>
        <v>50.660000000000011</v>
      </c>
      <c r="H182">
        <f ca="1">INDEX(INDIRECT(""&amp;C182&amp;"!A2:A489"),MATCH(B182,INDIRECT(""&amp;C182&amp;"!B2:B489"),0))</f>
        <v>109</v>
      </c>
      <c r="I182">
        <f>IF(C182="RB",LeagueInfo!$D$4*LeagueInfo!$F$2,LeagueInfo!$D$5*LeagueInfo!$F$2)</f>
        <v>24</v>
      </c>
    </row>
    <row r="183" spans="1:9" x14ac:dyDescent="0.25">
      <c r="A183">
        <f ca="1">RANK(E183,E$2:E$349)</f>
        <v>182</v>
      </c>
      <c r="B183" t="s">
        <v>996</v>
      </c>
      <c r="C183" t="s">
        <v>35</v>
      </c>
      <c r="D183">
        <f ca="1">INDEX(INDIRECT($C183&amp;"!P:P"),MATCH($B183,INDIRECT($C183&amp;"!B:B"),0))</f>
        <v>49.510000000000005</v>
      </c>
      <c r="E183" s="6">
        <f ca="1">D183-LARGE(D$2:D$292,RBCount+WRCount)</f>
        <v>-59.19</v>
      </c>
      <c r="F183" t="str">
        <f ca="1">IF(H183&lt;=I183,"Starter",IF(G183&gt;=LARGE(G:G,FlexOn*LeagueInfo!$F$2),"Starter","Bench"))</f>
        <v>Bench</v>
      </c>
      <c r="G183">
        <f ca="1">IF(H183&gt;I183,D183,0)</f>
        <v>49.510000000000005</v>
      </c>
      <c r="H183">
        <f ca="1">INDEX(INDIRECT(""&amp;C183&amp;"!A2:A489"),MATCH(B183,INDIRECT(""&amp;C183&amp;"!B2:B489"),0))</f>
        <v>110</v>
      </c>
      <c r="I183">
        <f>IF(C183="RB",LeagueInfo!$D$4*LeagueInfo!$F$2,LeagueInfo!$D$5*LeagueInfo!$F$2)</f>
        <v>24</v>
      </c>
    </row>
    <row r="184" spans="1:9" x14ac:dyDescent="0.25">
      <c r="A184">
        <f ca="1">RANK(E184,E$2:E$349)</f>
        <v>183</v>
      </c>
      <c r="B184" t="s">
        <v>2453</v>
      </c>
      <c r="C184" t="s">
        <v>28</v>
      </c>
      <c r="D184">
        <f ca="1">INDEX(INDIRECT($C184&amp;"!P:P"),MATCH($B184,INDIRECT($C184&amp;"!B:B"),0))</f>
        <v>49.38</v>
      </c>
      <c r="E184" s="6">
        <f ca="1">D184-LARGE(D$2:D$292,RBCount+WRCount)</f>
        <v>-59.32</v>
      </c>
      <c r="F184" t="str">
        <f ca="1">IF(H184&lt;=I184,"Starter",IF(G184&gt;=LARGE(G:G,FlexOn*LeagueInfo!$F$2),"Starter","Bench"))</f>
        <v>Bench</v>
      </c>
      <c r="G184">
        <f ca="1">IF(H184&gt;I184,D184,0)</f>
        <v>49.38</v>
      </c>
      <c r="H184">
        <f ca="1">INDEX(INDIRECT(""&amp;C184&amp;"!A2:A489"),MATCH(B184,INDIRECT(""&amp;C184&amp;"!B2:B489"),0))</f>
        <v>73</v>
      </c>
      <c r="I184">
        <f>IF(C184="RB",LeagueInfo!$D$4*LeagueInfo!$F$2,LeagueInfo!$D$5*LeagueInfo!$F$2)</f>
        <v>24</v>
      </c>
    </row>
    <row r="185" spans="1:9" x14ac:dyDescent="0.25">
      <c r="A185">
        <f ca="1">RANK(E185,E$2:E$349)</f>
        <v>184</v>
      </c>
      <c r="B185" t="s">
        <v>932</v>
      </c>
      <c r="C185" t="s">
        <v>28</v>
      </c>
      <c r="D185">
        <f ca="1">INDEX(INDIRECT($C185&amp;"!P:P"),MATCH($B185,INDIRECT($C185&amp;"!B:B"),0))</f>
        <v>48.78</v>
      </c>
      <c r="E185" s="6">
        <f ca="1">D185-LARGE(D$2:D$292,RBCount+WRCount)</f>
        <v>-59.92</v>
      </c>
      <c r="F185" t="str">
        <f ca="1">IF(H185&lt;=I185,"Starter",IF(G185&gt;=LARGE(G:G,FlexOn*LeagueInfo!$F$2),"Starter","Bench"))</f>
        <v>Bench</v>
      </c>
      <c r="G185">
        <f ca="1">IF(H185&gt;I185,D185,0)</f>
        <v>48.78</v>
      </c>
      <c r="H185">
        <f ca="1">INDEX(INDIRECT(""&amp;C185&amp;"!A2:A489"),MATCH(B185,INDIRECT(""&amp;C185&amp;"!B2:B489"),0))</f>
        <v>74</v>
      </c>
      <c r="I185">
        <f>IF(C185="RB",LeagueInfo!$D$4*LeagueInfo!$F$2,LeagueInfo!$D$5*LeagueInfo!$F$2)</f>
        <v>24</v>
      </c>
    </row>
    <row r="186" spans="1:9" x14ac:dyDescent="0.25">
      <c r="A186">
        <f ca="1">RANK(E186,E$2:E$349)</f>
        <v>185</v>
      </c>
      <c r="B186" t="s">
        <v>901</v>
      </c>
      <c r="C186" t="s">
        <v>35</v>
      </c>
      <c r="D186">
        <f ca="1">INDEX(INDIRECT($C186&amp;"!P:P"),MATCH($B186,INDIRECT($C186&amp;"!B:B"),0))</f>
        <v>48.68</v>
      </c>
      <c r="E186" s="6">
        <f ca="1">D186-LARGE(D$2:D$292,RBCount+WRCount)</f>
        <v>-60.02</v>
      </c>
      <c r="F186" t="str">
        <f ca="1">IF(H186&lt;=I186,"Starter",IF(G186&gt;=LARGE(G:G,FlexOn*LeagueInfo!$F$2),"Starter","Bench"))</f>
        <v>Bench</v>
      </c>
      <c r="G186">
        <f ca="1">IF(H186&gt;I186,D186,0)</f>
        <v>48.68</v>
      </c>
      <c r="H186">
        <f ca="1">INDEX(INDIRECT(""&amp;C186&amp;"!A2:A489"),MATCH(B186,INDIRECT(""&amp;C186&amp;"!B2:B489"),0))</f>
        <v>111</v>
      </c>
      <c r="I186">
        <f>IF(C186="RB",LeagueInfo!$D$4*LeagueInfo!$F$2,LeagueInfo!$D$5*LeagueInfo!$F$2)</f>
        <v>24</v>
      </c>
    </row>
    <row r="187" spans="1:9" x14ac:dyDescent="0.25">
      <c r="A187">
        <f ca="1">RANK(E187,E$2:E$349)</f>
        <v>186</v>
      </c>
      <c r="B187" t="s">
        <v>959</v>
      </c>
      <c r="C187" t="s">
        <v>35</v>
      </c>
      <c r="D187">
        <f ca="1">INDEX(INDIRECT($C187&amp;"!P:P"),MATCH($B187,INDIRECT($C187&amp;"!B:B"),0))</f>
        <v>48.400000000000006</v>
      </c>
      <c r="E187" s="6">
        <f ca="1">D187-LARGE(D$2:D$292,RBCount+WRCount)</f>
        <v>-60.3</v>
      </c>
      <c r="F187" t="str">
        <f ca="1">IF(H187&lt;=I187,"Starter",IF(G187&gt;=LARGE(G:G,FlexOn*LeagueInfo!$F$2),"Starter","Bench"))</f>
        <v>Bench</v>
      </c>
      <c r="G187">
        <f ca="1">IF(H187&gt;I187,D187,0)</f>
        <v>48.400000000000006</v>
      </c>
      <c r="H187">
        <f ca="1">INDEX(INDIRECT(""&amp;C187&amp;"!A2:A489"),MATCH(B187,INDIRECT(""&amp;C187&amp;"!B2:B489"),0))</f>
        <v>112</v>
      </c>
      <c r="I187">
        <f>IF(C187="RB",LeagueInfo!$D$4*LeagueInfo!$F$2,LeagueInfo!$D$5*LeagueInfo!$F$2)</f>
        <v>24</v>
      </c>
    </row>
    <row r="188" spans="1:9" x14ac:dyDescent="0.25">
      <c r="A188">
        <f ca="1">RANK(E188,E$2:E$349)</f>
        <v>187</v>
      </c>
      <c r="B188" t="s">
        <v>409</v>
      </c>
      <c r="C188" t="s">
        <v>35</v>
      </c>
      <c r="D188">
        <f ca="1">INDEX(INDIRECT($C188&amp;"!P:P"),MATCH($B188,INDIRECT($C188&amp;"!B:B"),0))</f>
        <v>47.5</v>
      </c>
      <c r="E188" s="6">
        <f ca="1">D188-LARGE(D$2:D$292,RBCount+WRCount)</f>
        <v>-61.2</v>
      </c>
      <c r="F188" t="str">
        <f ca="1">IF(H188&lt;=I188,"Starter",IF(G188&gt;=LARGE(G:G,FlexOn*LeagueInfo!$F$2),"Starter","Bench"))</f>
        <v>Bench</v>
      </c>
      <c r="G188">
        <f ca="1">IF(H188&gt;I188,D188,0)</f>
        <v>47.5</v>
      </c>
      <c r="H188">
        <f ca="1">INDEX(INDIRECT(""&amp;C188&amp;"!A2:A489"),MATCH(B188,INDIRECT(""&amp;C188&amp;"!B2:B489"),0))</f>
        <v>113</v>
      </c>
      <c r="I188">
        <f>IF(C188="RB",LeagueInfo!$D$4*LeagueInfo!$F$2,LeagueInfo!$D$5*LeagueInfo!$F$2)</f>
        <v>24</v>
      </c>
    </row>
    <row r="189" spans="1:9" x14ac:dyDescent="0.25">
      <c r="A189">
        <f ca="1">RANK(E189,E$2:E$349)</f>
        <v>188</v>
      </c>
      <c r="B189" t="s">
        <v>952</v>
      </c>
      <c r="C189" t="s">
        <v>35</v>
      </c>
      <c r="D189">
        <f ca="1">INDEX(INDIRECT($C189&amp;"!P:P"),MATCH($B189,INDIRECT($C189&amp;"!B:B"),0))</f>
        <v>46.81</v>
      </c>
      <c r="E189" s="6">
        <f ca="1">D189-LARGE(D$2:D$292,RBCount+WRCount)</f>
        <v>-61.89</v>
      </c>
      <c r="F189" t="str">
        <f ca="1">IF(H189&lt;=I189,"Starter",IF(G189&gt;=LARGE(G:G,FlexOn*LeagueInfo!$F$2),"Starter","Bench"))</f>
        <v>Bench</v>
      </c>
      <c r="G189">
        <f ca="1">IF(H189&gt;I189,D189,0)</f>
        <v>46.81</v>
      </c>
      <c r="H189">
        <f ca="1">INDEX(INDIRECT(""&amp;C189&amp;"!A2:A489"),MATCH(B189,INDIRECT(""&amp;C189&amp;"!B2:B489"),0))</f>
        <v>114</v>
      </c>
      <c r="I189">
        <f>IF(C189="RB",LeagueInfo!$D$4*LeagueInfo!$F$2,LeagueInfo!$D$5*LeagueInfo!$F$2)</f>
        <v>24</v>
      </c>
    </row>
    <row r="190" spans="1:9" x14ac:dyDescent="0.25">
      <c r="A190">
        <f ca="1">RANK(E190,E$2:E$349)</f>
        <v>189</v>
      </c>
      <c r="B190" t="s">
        <v>343</v>
      </c>
      <c r="C190" t="s">
        <v>28</v>
      </c>
      <c r="D190">
        <f ca="1">INDEX(INDIRECT($C190&amp;"!P:P"),MATCH($B190,INDIRECT($C190&amp;"!B:B"),0))</f>
        <v>46.179999999999993</v>
      </c>
      <c r="E190" s="6">
        <f ca="1">D190-LARGE(D$2:D$292,RBCount+WRCount)</f>
        <v>-62.52000000000001</v>
      </c>
      <c r="F190" t="str">
        <f ca="1">IF(H190&lt;=I190,"Starter",IF(G190&gt;=LARGE(G:G,FlexOn*LeagueInfo!$F$2),"Starter","Bench"))</f>
        <v>Bench</v>
      </c>
      <c r="G190">
        <f ca="1">IF(H190&gt;I190,D190,0)</f>
        <v>46.179999999999993</v>
      </c>
      <c r="H190">
        <f ca="1">INDEX(INDIRECT(""&amp;C190&amp;"!A2:A489"),MATCH(B190,INDIRECT(""&amp;C190&amp;"!B2:B489"),0))</f>
        <v>75</v>
      </c>
      <c r="I190">
        <f>IF(C190="RB",LeagueInfo!$D$4*LeagueInfo!$F$2,LeagueInfo!$D$5*LeagueInfo!$F$2)</f>
        <v>24</v>
      </c>
    </row>
    <row r="191" spans="1:9" x14ac:dyDescent="0.25">
      <c r="A191">
        <f ca="1">RANK(E191,E$2:E$349)</f>
        <v>190</v>
      </c>
      <c r="B191" t="s">
        <v>2454</v>
      </c>
      <c r="C191" t="s">
        <v>28</v>
      </c>
      <c r="D191">
        <f ca="1">INDEX(INDIRECT($C191&amp;"!P:P"),MATCH($B191,INDIRECT($C191&amp;"!B:B"),0))</f>
        <v>45.339999999999996</v>
      </c>
      <c r="E191" s="6">
        <f ca="1">D191-LARGE(D$2:D$292,RBCount+WRCount)</f>
        <v>-63.360000000000007</v>
      </c>
      <c r="F191" t="str">
        <f ca="1">IF(H191&lt;=I191,"Starter",IF(G191&gt;=LARGE(G:G,FlexOn*LeagueInfo!$F$2),"Starter","Bench"))</f>
        <v>Bench</v>
      </c>
      <c r="G191">
        <f ca="1">IF(H191&gt;I191,D191,0)</f>
        <v>45.339999999999996</v>
      </c>
      <c r="H191">
        <f ca="1">INDEX(INDIRECT(""&amp;C191&amp;"!A2:A489"),MATCH(B191,INDIRECT(""&amp;C191&amp;"!B2:B489"),0))</f>
        <v>76</v>
      </c>
      <c r="I191">
        <f>IF(C191="RB",LeagueInfo!$D$4*LeagueInfo!$F$2,LeagueInfo!$D$5*LeagueInfo!$F$2)</f>
        <v>24</v>
      </c>
    </row>
    <row r="192" spans="1:9" x14ac:dyDescent="0.25">
      <c r="A192">
        <f ca="1">RANK(E192,E$2:E$349)</f>
        <v>191</v>
      </c>
      <c r="B192" t="s">
        <v>617</v>
      </c>
      <c r="C192" t="s">
        <v>28</v>
      </c>
      <c r="D192">
        <f ca="1">INDEX(INDIRECT($C192&amp;"!P:P"),MATCH($B192,INDIRECT($C192&amp;"!B:B"),0))</f>
        <v>44.7</v>
      </c>
      <c r="E192" s="6">
        <f ca="1">D192-LARGE(D$2:D$292,RBCount+WRCount)</f>
        <v>-64</v>
      </c>
      <c r="F192" t="str">
        <f ca="1">IF(H192&lt;=I192,"Starter",IF(G192&gt;=LARGE(G:G,FlexOn*LeagueInfo!$F$2),"Starter","Bench"))</f>
        <v>Bench</v>
      </c>
      <c r="G192">
        <f ca="1">IF(H192&gt;I192,D192,0)</f>
        <v>44.7</v>
      </c>
      <c r="H192">
        <f ca="1">INDEX(INDIRECT(""&amp;C192&amp;"!A2:A489"),MATCH(B192,INDIRECT(""&amp;C192&amp;"!B2:B489"),0))</f>
        <v>77</v>
      </c>
      <c r="I192">
        <f>IF(C192="RB",LeagueInfo!$D$4*LeagueInfo!$F$2,LeagueInfo!$D$5*LeagueInfo!$F$2)</f>
        <v>24</v>
      </c>
    </row>
    <row r="193" spans="1:9" x14ac:dyDescent="0.25">
      <c r="A193">
        <f ca="1">RANK(E193,E$2:E$349)</f>
        <v>192</v>
      </c>
      <c r="B193" t="s">
        <v>867</v>
      </c>
      <c r="C193" t="s">
        <v>35</v>
      </c>
      <c r="D193">
        <f ca="1">INDEX(INDIRECT($C193&amp;"!P:P"),MATCH($B193,INDIRECT($C193&amp;"!B:B"),0))</f>
        <v>44.370000000000005</v>
      </c>
      <c r="E193" s="6">
        <f ca="1">D193-LARGE(D$2:D$292,RBCount+WRCount)</f>
        <v>-64.33</v>
      </c>
      <c r="F193" t="str">
        <f ca="1">IF(H193&lt;=I193,"Starter",IF(G193&gt;=LARGE(G:G,FlexOn*LeagueInfo!$F$2),"Starter","Bench"))</f>
        <v>Bench</v>
      </c>
      <c r="G193">
        <f ca="1">IF(H193&gt;I193,D193,0)</f>
        <v>44.370000000000005</v>
      </c>
      <c r="H193">
        <f ca="1">INDEX(INDIRECT(""&amp;C193&amp;"!A2:A489"),MATCH(B193,INDIRECT(""&amp;C193&amp;"!B2:B489"),0))</f>
        <v>115</v>
      </c>
      <c r="I193">
        <f>IF(C193="RB",LeagueInfo!$D$4*LeagueInfo!$F$2,LeagueInfo!$D$5*LeagueInfo!$F$2)</f>
        <v>24</v>
      </c>
    </row>
    <row r="194" spans="1:9" x14ac:dyDescent="0.25">
      <c r="A194">
        <f ca="1">RANK(E194,E$2:E$349)</f>
        <v>193</v>
      </c>
      <c r="B194" t="s">
        <v>799</v>
      </c>
      <c r="C194" t="s">
        <v>28</v>
      </c>
      <c r="D194">
        <f ca="1">INDEX(INDIRECT($C194&amp;"!P:P"),MATCH($B194,INDIRECT($C194&amp;"!B:B"),0))</f>
        <v>44.210000000000008</v>
      </c>
      <c r="E194" s="6">
        <f ca="1">D194-LARGE(D$2:D$292,RBCount+WRCount)</f>
        <v>-64.489999999999995</v>
      </c>
      <c r="F194" t="str">
        <f ca="1">IF(H194&lt;=I194,"Starter",IF(G194&gt;=LARGE(G:G,FlexOn*LeagueInfo!$F$2),"Starter","Bench"))</f>
        <v>Bench</v>
      </c>
      <c r="G194">
        <f ca="1">IF(H194&gt;I194,D194,0)</f>
        <v>44.210000000000008</v>
      </c>
      <c r="H194">
        <f ca="1">INDEX(INDIRECT(""&amp;C194&amp;"!A2:A489"),MATCH(B194,INDIRECT(""&amp;C194&amp;"!B2:B489"),0))</f>
        <v>78</v>
      </c>
      <c r="I194">
        <f>IF(C194="RB",LeagueInfo!$D$4*LeagueInfo!$F$2,LeagueInfo!$D$5*LeagueInfo!$F$2)</f>
        <v>24</v>
      </c>
    </row>
    <row r="195" spans="1:9" x14ac:dyDescent="0.25">
      <c r="A195">
        <f ca="1">RANK(E195,E$2:E$349)</f>
        <v>194</v>
      </c>
      <c r="B195" t="s">
        <v>897</v>
      </c>
      <c r="C195" t="s">
        <v>28</v>
      </c>
      <c r="D195">
        <f ca="1">INDEX(INDIRECT($C195&amp;"!P:P"),MATCH($B195,INDIRECT($C195&amp;"!B:B"),0))</f>
        <v>42.420000000000009</v>
      </c>
      <c r="E195" s="6">
        <f ca="1">D195-LARGE(D$2:D$292,RBCount+WRCount)</f>
        <v>-66.28</v>
      </c>
      <c r="F195" t="str">
        <f ca="1">IF(H195&lt;=I195,"Starter",IF(G195&gt;=LARGE(G:G,FlexOn*LeagueInfo!$F$2),"Starter","Bench"))</f>
        <v>Bench</v>
      </c>
      <c r="G195">
        <f ca="1">IF(H195&gt;I195,D195,0)</f>
        <v>42.420000000000009</v>
      </c>
      <c r="H195">
        <f ca="1">INDEX(INDIRECT(""&amp;C195&amp;"!A2:A489"),MATCH(B195,INDIRECT(""&amp;C195&amp;"!B2:B489"),0))</f>
        <v>79</v>
      </c>
      <c r="I195">
        <f>IF(C195="RB",LeagueInfo!$D$4*LeagueInfo!$F$2,LeagueInfo!$D$5*LeagueInfo!$F$2)</f>
        <v>24</v>
      </c>
    </row>
    <row r="196" spans="1:9" x14ac:dyDescent="0.25">
      <c r="A196">
        <f ca="1">RANK(E196,E$2:E$349)</f>
        <v>195</v>
      </c>
      <c r="B196" t="s">
        <v>850</v>
      </c>
      <c r="C196" t="s">
        <v>35</v>
      </c>
      <c r="D196">
        <f ca="1">INDEX(INDIRECT($C196&amp;"!P:P"),MATCH($B196,INDIRECT($C196&amp;"!B:B"),0))</f>
        <v>40.329999999999991</v>
      </c>
      <c r="E196" s="6">
        <f ca="1">D196-LARGE(D$2:D$292,RBCount+WRCount)</f>
        <v>-68.37</v>
      </c>
      <c r="F196" t="str">
        <f ca="1">IF(H196&lt;=I196,"Starter",IF(G196&gt;=LARGE(G:G,FlexOn*LeagueInfo!$F$2),"Starter","Bench"))</f>
        <v>Bench</v>
      </c>
      <c r="G196">
        <f ca="1">IF(H196&gt;I196,D196,0)</f>
        <v>40.329999999999991</v>
      </c>
      <c r="H196">
        <f ca="1">INDEX(INDIRECT(""&amp;C196&amp;"!A2:A489"),MATCH(B196,INDIRECT(""&amp;C196&amp;"!B2:B489"),0))</f>
        <v>116</v>
      </c>
      <c r="I196">
        <f>IF(C196="RB",LeagueInfo!$D$4*LeagueInfo!$F$2,LeagueInfo!$D$5*LeagueInfo!$F$2)</f>
        <v>24</v>
      </c>
    </row>
    <row r="197" spans="1:9" x14ac:dyDescent="0.25">
      <c r="A197">
        <f ca="1">RANK(E197,E$2:E$349)</f>
        <v>196</v>
      </c>
      <c r="B197" t="s">
        <v>811</v>
      </c>
      <c r="C197" t="s">
        <v>28</v>
      </c>
      <c r="D197">
        <f ca="1">INDEX(INDIRECT($C197&amp;"!P:P"),MATCH($B197,INDIRECT($C197&amp;"!B:B"),0))</f>
        <v>39.980000000000004</v>
      </c>
      <c r="E197" s="6">
        <f ca="1">D197-LARGE(D$2:D$292,RBCount+WRCount)</f>
        <v>-68.72</v>
      </c>
      <c r="F197" t="str">
        <f ca="1">IF(H197&lt;=I197,"Starter",IF(G197&gt;=LARGE(G:G,FlexOn*LeagueInfo!$F$2),"Starter","Bench"))</f>
        <v>Bench</v>
      </c>
      <c r="G197">
        <f ca="1">IF(H197&gt;I197,D197,0)</f>
        <v>39.980000000000004</v>
      </c>
      <c r="H197">
        <f ca="1">INDEX(INDIRECT(""&amp;C197&amp;"!A2:A489"),MATCH(B197,INDIRECT(""&amp;C197&amp;"!B2:B489"),0))</f>
        <v>80</v>
      </c>
      <c r="I197">
        <f>IF(C197="RB",LeagueInfo!$D$4*LeagueInfo!$F$2,LeagueInfo!$D$5*LeagueInfo!$F$2)</f>
        <v>24</v>
      </c>
    </row>
    <row r="198" spans="1:9" x14ac:dyDescent="0.25">
      <c r="A198">
        <f ca="1">RANK(E198,E$2:E$349)</f>
        <v>197</v>
      </c>
      <c r="B198" t="s">
        <v>2657</v>
      </c>
      <c r="C198" t="s">
        <v>28</v>
      </c>
      <c r="D198">
        <f ca="1">INDEX(INDIRECT($C198&amp;"!P:P"),MATCH($B198,INDIRECT($C198&amp;"!B:B"),0))</f>
        <v>38.910000000000004</v>
      </c>
      <c r="E198" s="6">
        <f ca="1">D198-LARGE(D$2:D$292,RBCount+WRCount)</f>
        <v>-69.789999999999992</v>
      </c>
      <c r="F198" t="str">
        <f ca="1">IF(H198&lt;=I198,"Starter",IF(G198&gt;=LARGE(G:G,FlexOn*LeagueInfo!$F$2),"Starter","Bench"))</f>
        <v>Bench</v>
      </c>
      <c r="G198">
        <f ca="1">IF(H198&gt;I198,D198,0)</f>
        <v>38.910000000000004</v>
      </c>
      <c r="H198">
        <f ca="1">INDEX(INDIRECT(""&amp;C198&amp;"!A2:A489"),MATCH(B198,INDIRECT(""&amp;C198&amp;"!B2:B489"),0))</f>
        <v>81</v>
      </c>
      <c r="I198">
        <f>IF(C198="RB",LeagueInfo!$D$4*LeagueInfo!$F$2,LeagueInfo!$D$5*LeagueInfo!$F$2)</f>
        <v>24</v>
      </c>
    </row>
    <row r="199" spans="1:9" x14ac:dyDescent="0.25">
      <c r="A199">
        <f ca="1">RANK(E199,E$2:E$349)</f>
        <v>198</v>
      </c>
      <c r="B199" t="s">
        <v>406</v>
      </c>
      <c r="C199" t="s">
        <v>35</v>
      </c>
      <c r="D199">
        <f ca="1">INDEX(INDIRECT($C199&amp;"!P:P"),MATCH($B199,INDIRECT($C199&amp;"!B:B"),0))</f>
        <v>38.86</v>
      </c>
      <c r="E199" s="6">
        <f ca="1">D199-LARGE(D$2:D$292,RBCount+WRCount)</f>
        <v>-69.84</v>
      </c>
      <c r="F199" t="str">
        <f ca="1">IF(H199&lt;=I199,"Starter",IF(G199&gt;=LARGE(G:G,FlexOn*LeagueInfo!$F$2),"Starter","Bench"))</f>
        <v>Bench</v>
      </c>
      <c r="G199">
        <f ca="1">IF(H199&gt;I199,D199,0)</f>
        <v>38.86</v>
      </c>
      <c r="H199">
        <f ca="1">INDEX(INDIRECT(""&amp;C199&amp;"!A2:A489"),MATCH(B199,INDIRECT(""&amp;C199&amp;"!B2:B489"),0))</f>
        <v>117</v>
      </c>
      <c r="I199">
        <f>IF(C199="RB",LeagueInfo!$D$4*LeagueInfo!$F$2,LeagueInfo!$D$5*LeagueInfo!$F$2)</f>
        <v>24</v>
      </c>
    </row>
    <row r="200" spans="1:9" x14ac:dyDescent="0.25">
      <c r="A200">
        <f ca="1">RANK(E200,E$2:E$349)</f>
        <v>199</v>
      </c>
      <c r="B200" t="s">
        <v>561</v>
      </c>
      <c r="C200" t="s">
        <v>28</v>
      </c>
      <c r="D200">
        <f ca="1">INDEX(INDIRECT($C200&amp;"!P:P"),MATCH($B200,INDIRECT($C200&amp;"!B:B"),0))</f>
        <v>38.76</v>
      </c>
      <c r="E200" s="6">
        <f ca="1">D200-LARGE(D$2:D$292,RBCount+WRCount)</f>
        <v>-69.94</v>
      </c>
      <c r="F200" t="str">
        <f ca="1">IF(H200&lt;=I200,"Starter",IF(G200&gt;=LARGE(G:G,FlexOn*LeagueInfo!$F$2),"Starter","Bench"))</f>
        <v>Bench</v>
      </c>
      <c r="G200">
        <f ca="1">IF(H200&gt;I200,D200,0)</f>
        <v>38.76</v>
      </c>
      <c r="H200">
        <f ca="1">INDEX(INDIRECT(""&amp;C200&amp;"!A2:A489"),MATCH(B200,INDIRECT(""&amp;C200&amp;"!B2:B489"),0))</f>
        <v>82</v>
      </c>
      <c r="I200">
        <f>IF(C200="RB",LeagueInfo!$D$4*LeagueInfo!$F$2,LeagueInfo!$D$5*LeagueInfo!$F$2)</f>
        <v>24</v>
      </c>
    </row>
    <row r="201" spans="1:9" x14ac:dyDescent="0.25">
      <c r="A201">
        <f ca="1">RANK(E201,E$2:E$349)</f>
        <v>200</v>
      </c>
      <c r="B201" t="s">
        <v>846</v>
      </c>
      <c r="C201" t="s">
        <v>35</v>
      </c>
      <c r="D201">
        <f ca="1">INDEX(INDIRECT($C201&amp;"!P:P"),MATCH($B201,INDIRECT($C201&amp;"!B:B"),0))</f>
        <v>38.599999999999994</v>
      </c>
      <c r="E201" s="6">
        <f ca="1">D201-LARGE(D$2:D$292,RBCount+WRCount)</f>
        <v>-70.100000000000009</v>
      </c>
      <c r="F201" t="str">
        <f ca="1">IF(H201&lt;=I201,"Starter",IF(G201&gt;=LARGE(G:G,FlexOn*LeagueInfo!$F$2),"Starter","Bench"))</f>
        <v>Bench</v>
      </c>
      <c r="G201">
        <f ca="1">IF(H201&gt;I201,D201,0)</f>
        <v>38.599999999999994</v>
      </c>
      <c r="H201">
        <f ca="1">INDEX(INDIRECT(""&amp;C201&amp;"!A2:A489"),MATCH(B201,INDIRECT(""&amp;C201&amp;"!B2:B489"),0))</f>
        <v>118</v>
      </c>
      <c r="I201">
        <f>IF(C201="RB",LeagueInfo!$D$4*LeagueInfo!$F$2,LeagueInfo!$D$5*LeagueInfo!$F$2)</f>
        <v>24</v>
      </c>
    </row>
    <row r="202" spans="1:9" x14ac:dyDescent="0.25">
      <c r="A202">
        <f ca="1">RANK(E202,E$2:E$349)</f>
        <v>201</v>
      </c>
      <c r="B202" t="s">
        <v>884</v>
      </c>
      <c r="C202" t="s">
        <v>28</v>
      </c>
      <c r="D202">
        <f ca="1">INDEX(INDIRECT($C202&amp;"!P:P"),MATCH($B202,INDIRECT($C202&amp;"!B:B"),0))</f>
        <v>38.249999999999993</v>
      </c>
      <c r="E202" s="6">
        <f ca="1">D202-LARGE(D$2:D$292,RBCount+WRCount)</f>
        <v>-70.450000000000017</v>
      </c>
      <c r="F202" t="str">
        <f ca="1">IF(H202&lt;=I202,"Starter",IF(G202&gt;=LARGE(G:G,FlexOn*LeagueInfo!$F$2),"Starter","Bench"))</f>
        <v>Bench</v>
      </c>
      <c r="G202">
        <f ca="1">IF(H202&gt;I202,D202,0)</f>
        <v>38.249999999999993</v>
      </c>
      <c r="H202">
        <f ca="1">INDEX(INDIRECT(""&amp;C202&amp;"!A2:A489"),MATCH(B202,INDIRECT(""&amp;C202&amp;"!B2:B489"),0))</f>
        <v>83</v>
      </c>
      <c r="I202">
        <f>IF(C202="RB",LeagueInfo!$D$4*LeagueInfo!$F$2,LeagueInfo!$D$5*LeagueInfo!$F$2)</f>
        <v>24</v>
      </c>
    </row>
    <row r="203" spans="1:9" x14ac:dyDescent="0.25">
      <c r="A203">
        <f ca="1">RANK(E203,E$2:E$349)</f>
        <v>202</v>
      </c>
      <c r="B203" t="s">
        <v>398</v>
      </c>
      <c r="C203" t="s">
        <v>35</v>
      </c>
      <c r="D203">
        <f ca="1">INDEX(INDIRECT($C203&amp;"!P:P"),MATCH($B203,INDIRECT($C203&amp;"!B:B"),0))</f>
        <v>37.970000000000006</v>
      </c>
      <c r="E203" s="6">
        <f ca="1">D203-LARGE(D$2:D$292,RBCount+WRCount)</f>
        <v>-70.72999999999999</v>
      </c>
      <c r="F203" t="str">
        <f ca="1">IF(H203&lt;=I203,"Starter",IF(G203&gt;=LARGE(G:G,FlexOn*LeagueInfo!$F$2),"Starter","Bench"))</f>
        <v>Bench</v>
      </c>
      <c r="G203">
        <f ca="1">IF(H203&gt;I203,D203,0)</f>
        <v>37.970000000000006</v>
      </c>
      <c r="H203">
        <f ca="1">INDEX(INDIRECT(""&amp;C203&amp;"!A2:A489"),MATCH(B203,INDIRECT(""&amp;C203&amp;"!B2:B489"),0))</f>
        <v>119</v>
      </c>
      <c r="I203">
        <f>IF(C203="RB",LeagueInfo!$D$4*LeagueInfo!$F$2,LeagueInfo!$D$5*LeagueInfo!$F$2)</f>
        <v>24</v>
      </c>
    </row>
    <row r="204" spans="1:9" x14ac:dyDescent="0.25">
      <c r="A204">
        <f ca="1">RANK(E204,E$2:E$349)</f>
        <v>203</v>
      </c>
      <c r="B204" t="s">
        <v>395</v>
      </c>
      <c r="C204" t="s">
        <v>35</v>
      </c>
      <c r="D204">
        <f ca="1">INDEX(INDIRECT($C204&amp;"!P:P"),MATCH($B204,INDIRECT($C204&amp;"!B:B"),0))</f>
        <v>37.93</v>
      </c>
      <c r="E204" s="6">
        <f ca="1">D204-LARGE(D$2:D$292,RBCount+WRCount)</f>
        <v>-70.77000000000001</v>
      </c>
      <c r="F204" t="str">
        <f ca="1">IF(H204&lt;=I204,"Starter",IF(G204&gt;=LARGE(G:G,FlexOn*LeagueInfo!$F$2),"Starter","Bench"))</f>
        <v>Bench</v>
      </c>
      <c r="G204">
        <f ca="1">IF(H204&gt;I204,D204,0)</f>
        <v>37.93</v>
      </c>
      <c r="H204">
        <f ca="1">INDEX(INDIRECT(""&amp;C204&amp;"!A2:A489"),MATCH(B204,INDIRECT(""&amp;C204&amp;"!B2:B489"),0))</f>
        <v>120</v>
      </c>
      <c r="I204">
        <f>IF(C204="RB",LeagueInfo!$D$4*LeagueInfo!$F$2,LeagueInfo!$D$5*LeagueInfo!$F$2)</f>
        <v>24</v>
      </c>
    </row>
    <row r="205" spans="1:9" x14ac:dyDescent="0.25">
      <c r="A205">
        <f ca="1">RANK(E205,E$2:E$349)</f>
        <v>204</v>
      </c>
      <c r="B205" t="s">
        <v>720</v>
      </c>
      <c r="C205" t="s">
        <v>35</v>
      </c>
      <c r="D205">
        <f ca="1">INDEX(INDIRECT($C205&amp;"!P:P"),MATCH($B205,INDIRECT($C205&amp;"!B:B"),0))</f>
        <v>37.92</v>
      </c>
      <c r="E205" s="6">
        <f ca="1">D205-LARGE(D$2:D$292,RBCount+WRCount)</f>
        <v>-70.78</v>
      </c>
      <c r="F205" t="str">
        <f ca="1">IF(H205&lt;=I205,"Starter",IF(G205&gt;=LARGE(G:G,FlexOn*LeagueInfo!$F$2),"Starter","Bench"))</f>
        <v>Bench</v>
      </c>
      <c r="G205">
        <f ca="1">IF(H205&gt;I205,D205,0)</f>
        <v>37.92</v>
      </c>
      <c r="H205">
        <f ca="1">INDEX(INDIRECT(""&amp;C205&amp;"!A2:A489"),MATCH(B205,INDIRECT(""&amp;C205&amp;"!B2:B489"),0))</f>
        <v>121</v>
      </c>
      <c r="I205">
        <f>IF(C205="RB",LeagueInfo!$D$4*LeagueInfo!$F$2,LeagueInfo!$D$5*LeagueInfo!$F$2)</f>
        <v>24</v>
      </c>
    </row>
    <row r="206" spans="1:9" x14ac:dyDescent="0.25">
      <c r="A206">
        <f ca="1">RANK(E206,E$2:E$349)</f>
        <v>205</v>
      </c>
      <c r="B206" t="s">
        <v>847</v>
      </c>
      <c r="C206" t="s">
        <v>35</v>
      </c>
      <c r="D206">
        <f ca="1">INDEX(INDIRECT($C206&amp;"!P:P"),MATCH($B206,INDIRECT($C206&amp;"!B:B"),0))</f>
        <v>37.64</v>
      </c>
      <c r="E206" s="6">
        <f ca="1">D206-LARGE(D$2:D$292,RBCount+WRCount)</f>
        <v>-71.06</v>
      </c>
      <c r="F206" t="str">
        <f ca="1">IF(H206&lt;=I206,"Starter",IF(G206&gt;=LARGE(G:G,FlexOn*LeagueInfo!$F$2),"Starter","Bench"))</f>
        <v>Bench</v>
      </c>
      <c r="G206">
        <f ca="1">IF(H206&gt;I206,D206,0)</f>
        <v>37.64</v>
      </c>
      <c r="H206">
        <f ca="1">INDEX(INDIRECT(""&amp;C206&amp;"!A2:A489"),MATCH(B206,INDIRECT(""&amp;C206&amp;"!B2:B489"),0))</f>
        <v>122</v>
      </c>
      <c r="I206">
        <f>IF(C206="RB",LeagueInfo!$D$4*LeagueInfo!$F$2,LeagueInfo!$D$5*LeagueInfo!$F$2)</f>
        <v>24</v>
      </c>
    </row>
    <row r="207" spans="1:9" x14ac:dyDescent="0.25">
      <c r="A207">
        <f ca="1">RANK(E207,E$2:E$349)</f>
        <v>206</v>
      </c>
      <c r="B207" t="s">
        <v>939</v>
      </c>
      <c r="C207" t="s">
        <v>28</v>
      </c>
      <c r="D207">
        <f ca="1">INDEX(INDIRECT($C207&amp;"!P:P"),MATCH($B207,INDIRECT($C207&amp;"!B:B"),0))</f>
        <v>37</v>
      </c>
      <c r="E207" s="6">
        <f ca="1">D207-LARGE(D$2:D$292,RBCount+WRCount)</f>
        <v>-71.7</v>
      </c>
      <c r="F207" t="str">
        <f ca="1">IF(H207&lt;=I207,"Starter",IF(G207&gt;=LARGE(G:G,FlexOn*LeagueInfo!$F$2),"Starter","Bench"))</f>
        <v>Bench</v>
      </c>
      <c r="G207">
        <f ca="1">IF(H207&gt;I207,D207,0)</f>
        <v>37</v>
      </c>
      <c r="H207">
        <f ca="1">INDEX(INDIRECT(""&amp;C207&amp;"!A2:A489"),MATCH(B207,INDIRECT(""&amp;C207&amp;"!B2:B489"),0))</f>
        <v>84</v>
      </c>
      <c r="I207">
        <f>IF(C207="RB",LeagueInfo!$D$4*LeagueInfo!$F$2,LeagueInfo!$D$5*LeagueInfo!$F$2)</f>
        <v>24</v>
      </c>
    </row>
    <row r="208" spans="1:9" x14ac:dyDescent="0.25">
      <c r="A208">
        <f ca="1">RANK(E208,E$2:E$349)</f>
        <v>207</v>
      </c>
      <c r="B208" t="s">
        <v>2660</v>
      </c>
      <c r="C208" t="s">
        <v>35</v>
      </c>
      <c r="D208">
        <f ca="1">INDEX(INDIRECT($C208&amp;"!P:P"),MATCH($B208,INDIRECT($C208&amp;"!B:B"),0))</f>
        <v>36.480000000000004</v>
      </c>
      <c r="E208" s="6">
        <f ca="1">D208-LARGE(D$2:D$292,RBCount+WRCount)</f>
        <v>-72.22</v>
      </c>
      <c r="F208" t="str">
        <f ca="1">IF(H208&lt;=I208,"Starter",IF(G208&gt;=LARGE(G:G,FlexOn*LeagueInfo!$F$2),"Starter","Bench"))</f>
        <v>Bench</v>
      </c>
      <c r="G208">
        <f ca="1">IF(H208&gt;I208,D208,0)</f>
        <v>36.480000000000004</v>
      </c>
      <c r="H208">
        <f ca="1">INDEX(INDIRECT(""&amp;C208&amp;"!A2:A489"),MATCH(B208,INDIRECT(""&amp;C208&amp;"!B2:B489"),0))</f>
        <v>123</v>
      </c>
      <c r="I208">
        <f>IF(C208="RB",LeagueInfo!$D$4*LeagueInfo!$F$2,LeagueInfo!$D$5*LeagueInfo!$F$2)</f>
        <v>24</v>
      </c>
    </row>
    <row r="209" spans="1:9" x14ac:dyDescent="0.25">
      <c r="A209">
        <f ca="1">RANK(E209,E$2:E$349)</f>
        <v>208</v>
      </c>
      <c r="B209" t="s">
        <v>678</v>
      </c>
      <c r="C209" t="s">
        <v>28</v>
      </c>
      <c r="D209">
        <f ca="1">INDEX(INDIRECT($C209&amp;"!P:P"),MATCH($B209,INDIRECT($C209&amp;"!B:B"),0))</f>
        <v>36.250000000000007</v>
      </c>
      <c r="E209" s="6">
        <f ca="1">D209-LARGE(D$2:D$292,RBCount+WRCount)</f>
        <v>-72.449999999999989</v>
      </c>
      <c r="F209" t="str">
        <f ca="1">IF(H209&lt;=I209,"Starter",IF(G209&gt;=LARGE(G:G,FlexOn*LeagueInfo!$F$2),"Starter","Bench"))</f>
        <v>Bench</v>
      </c>
      <c r="G209">
        <f ca="1">IF(H209&gt;I209,D209,0)</f>
        <v>36.250000000000007</v>
      </c>
      <c r="H209">
        <f ca="1">INDEX(INDIRECT(""&amp;C209&amp;"!A2:A489"),MATCH(B209,INDIRECT(""&amp;C209&amp;"!B2:B489"),0))</f>
        <v>85</v>
      </c>
      <c r="I209">
        <f>IF(C209="RB",LeagueInfo!$D$4*LeagueInfo!$F$2,LeagueInfo!$D$5*LeagueInfo!$F$2)</f>
        <v>24</v>
      </c>
    </row>
    <row r="210" spans="1:9" x14ac:dyDescent="0.25">
      <c r="A210">
        <f ca="1">RANK(E210,E$2:E$349)</f>
        <v>209</v>
      </c>
      <c r="B210" t="s">
        <v>555</v>
      </c>
      <c r="C210" t="s">
        <v>28</v>
      </c>
      <c r="D210">
        <f ca="1">INDEX(INDIRECT($C210&amp;"!P:P"),MATCH($B210,INDIRECT($C210&amp;"!B:B"),0))</f>
        <v>36.020000000000003</v>
      </c>
      <c r="E210" s="6">
        <f ca="1">D210-LARGE(D$2:D$292,RBCount+WRCount)</f>
        <v>-72.680000000000007</v>
      </c>
      <c r="F210" t="str">
        <f ca="1">IF(H210&lt;=I210,"Starter",IF(G210&gt;=LARGE(G:G,FlexOn*LeagueInfo!$F$2),"Starter","Bench"))</f>
        <v>Bench</v>
      </c>
      <c r="G210">
        <f ca="1">IF(H210&gt;I210,D210,0)</f>
        <v>36.020000000000003</v>
      </c>
      <c r="H210">
        <f ca="1">INDEX(INDIRECT(""&amp;C210&amp;"!A2:A489"),MATCH(B210,INDIRECT(""&amp;C210&amp;"!B2:B489"),0))</f>
        <v>86</v>
      </c>
      <c r="I210">
        <f>IF(C210="RB",LeagueInfo!$D$4*LeagueInfo!$F$2,LeagueInfo!$D$5*LeagueInfo!$F$2)</f>
        <v>24</v>
      </c>
    </row>
    <row r="211" spans="1:9" x14ac:dyDescent="0.25">
      <c r="A211">
        <f ca="1">RANK(E211,E$2:E$349)</f>
        <v>210</v>
      </c>
      <c r="B211" t="s">
        <v>1002</v>
      </c>
      <c r="C211" t="s">
        <v>35</v>
      </c>
      <c r="D211">
        <f ca="1">INDEX(INDIRECT($C211&amp;"!P:P"),MATCH($B211,INDIRECT($C211&amp;"!B:B"),0))</f>
        <v>35.92</v>
      </c>
      <c r="E211" s="6">
        <f ca="1">D211-LARGE(D$2:D$292,RBCount+WRCount)</f>
        <v>-72.78</v>
      </c>
      <c r="F211" t="str">
        <f ca="1">IF(H211&lt;=I211,"Starter",IF(G211&gt;=LARGE(G:G,FlexOn*LeagueInfo!$F$2),"Starter","Bench"))</f>
        <v>Bench</v>
      </c>
      <c r="G211">
        <f ca="1">IF(H211&gt;I211,D211,0)</f>
        <v>35.92</v>
      </c>
      <c r="H211">
        <f ca="1">INDEX(INDIRECT(""&amp;C211&amp;"!A2:A489"),MATCH(B211,INDIRECT(""&amp;C211&amp;"!B2:B489"),0))</f>
        <v>124</v>
      </c>
      <c r="I211">
        <f>IF(C211="RB",LeagueInfo!$D$4*LeagueInfo!$F$2,LeagueInfo!$D$5*LeagueInfo!$F$2)</f>
        <v>24</v>
      </c>
    </row>
    <row r="212" spans="1:9" x14ac:dyDescent="0.25">
      <c r="A212">
        <f ca="1">RANK(E212,E$2:E$349)</f>
        <v>211</v>
      </c>
      <c r="B212" t="s">
        <v>677</v>
      </c>
      <c r="C212" t="s">
        <v>28</v>
      </c>
      <c r="D212">
        <f ca="1">INDEX(INDIRECT($C212&amp;"!P:P"),MATCH($B212,INDIRECT($C212&amp;"!B:B"),0))</f>
        <v>35.39</v>
      </c>
      <c r="E212" s="6">
        <f ca="1">D212-LARGE(D$2:D$292,RBCount+WRCount)</f>
        <v>-73.31</v>
      </c>
      <c r="F212" t="str">
        <f ca="1">IF(H212&lt;=I212,"Starter",IF(G212&gt;=LARGE(G:G,FlexOn*LeagueInfo!$F$2),"Starter","Bench"))</f>
        <v>Bench</v>
      </c>
      <c r="G212">
        <f ca="1">IF(H212&gt;I212,D212,0)</f>
        <v>35.39</v>
      </c>
      <c r="H212">
        <f ca="1">INDEX(INDIRECT(""&amp;C212&amp;"!A2:A489"),MATCH(B212,INDIRECT(""&amp;C212&amp;"!B2:B489"),0))</f>
        <v>87</v>
      </c>
      <c r="I212">
        <f>IF(C212="RB",LeagueInfo!$D$4*LeagueInfo!$F$2,LeagueInfo!$D$5*LeagueInfo!$F$2)</f>
        <v>24</v>
      </c>
    </row>
    <row r="213" spans="1:9" x14ac:dyDescent="0.25">
      <c r="A213">
        <f ca="1">RANK(E213,E$2:E$349)</f>
        <v>212</v>
      </c>
      <c r="B213" t="s">
        <v>887</v>
      </c>
      <c r="C213" t="s">
        <v>28</v>
      </c>
      <c r="D213">
        <f ca="1">INDEX(INDIRECT($C213&amp;"!P:P"),MATCH($B213,INDIRECT($C213&amp;"!B:B"),0))</f>
        <v>35.200000000000003</v>
      </c>
      <c r="E213" s="6">
        <f ca="1">D213-LARGE(D$2:D$292,RBCount+WRCount)</f>
        <v>-73.5</v>
      </c>
      <c r="F213" t="str">
        <f ca="1">IF(H213&lt;=I213,"Starter",IF(G213&gt;=LARGE(G:G,FlexOn*LeagueInfo!$F$2),"Starter","Bench"))</f>
        <v>Bench</v>
      </c>
      <c r="G213">
        <f ca="1">IF(H213&gt;I213,D213,0)</f>
        <v>35.200000000000003</v>
      </c>
      <c r="H213">
        <f ca="1">INDEX(INDIRECT(""&amp;C213&amp;"!A2:A489"),MATCH(B213,INDIRECT(""&amp;C213&amp;"!B2:B489"),0))</f>
        <v>88</v>
      </c>
      <c r="I213">
        <f>IF(C213="RB",LeagueInfo!$D$4*LeagueInfo!$F$2,LeagueInfo!$D$5*LeagueInfo!$F$2)</f>
        <v>24</v>
      </c>
    </row>
    <row r="214" spans="1:9" x14ac:dyDescent="0.25">
      <c r="A214">
        <f ca="1">RANK(E214,E$2:E$349)</f>
        <v>213</v>
      </c>
      <c r="B214" t="s">
        <v>394</v>
      </c>
      <c r="C214" t="s">
        <v>35</v>
      </c>
      <c r="D214">
        <f ca="1">INDEX(INDIRECT($C214&amp;"!P:P"),MATCH($B214,INDIRECT($C214&amp;"!B:B"),0))</f>
        <v>35.159999999999997</v>
      </c>
      <c r="E214" s="6">
        <f ca="1">D214-LARGE(D$2:D$292,RBCount+WRCount)</f>
        <v>-73.540000000000006</v>
      </c>
      <c r="F214" t="str">
        <f ca="1">IF(H214&lt;=I214,"Starter",IF(G214&gt;=LARGE(G:G,FlexOn*LeagueInfo!$F$2),"Starter","Bench"))</f>
        <v>Bench</v>
      </c>
      <c r="G214">
        <f ca="1">IF(H214&gt;I214,D214,0)</f>
        <v>35.159999999999997</v>
      </c>
      <c r="H214">
        <f ca="1">INDEX(INDIRECT(""&amp;C214&amp;"!A2:A489"),MATCH(B214,INDIRECT(""&amp;C214&amp;"!B2:B489"),0))</f>
        <v>125</v>
      </c>
      <c r="I214">
        <f>IF(C214="RB",LeagueInfo!$D$4*LeagueInfo!$F$2,LeagueInfo!$D$5*LeagueInfo!$F$2)</f>
        <v>24</v>
      </c>
    </row>
    <row r="215" spans="1:9" x14ac:dyDescent="0.25">
      <c r="A215">
        <f ca="1">RANK(E215,E$2:E$349)</f>
        <v>214</v>
      </c>
      <c r="B215" t="s">
        <v>895</v>
      </c>
      <c r="C215" t="s">
        <v>28</v>
      </c>
      <c r="D215">
        <f ca="1">INDEX(INDIRECT($C215&amp;"!P:P"),MATCH($B215,INDIRECT($C215&amp;"!B:B"),0))</f>
        <v>33.909999999999997</v>
      </c>
      <c r="E215" s="6">
        <f ca="1">D215-LARGE(D$2:D$292,RBCount+WRCount)</f>
        <v>-74.790000000000006</v>
      </c>
      <c r="F215" t="str">
        <f ca="1">IF(H215&lt;=I215,"Starter",IF(G215&gt;=LARGE(G:G,FlexOn*LeagueInfo!$F$2),"Starter","Bench"))</f>
        <v>Bench</v>
      </c>
      <c r="G215">
        <f ca="1">IF(H215&gt;I215,D215,0)</f>
        <v>33.909999999999997</v>
      </c>
      <c r="H215">
        <f ca="1">INDEX(INDIRECT(""&amp;C215&amp;"!A2:A489"),MATCH(B215,INDIRECT(""&amp;C215&amp;"!B2:B489"),0))</f>
        <v>89</v>
      </c>
      <c r="I215">
        <f>IF(C215="RB",LeagueInfo!$D$4*LeagueInfo!$F$2,LeagueInfo!$D$5*LeagueInfo!$F$2)</f>
        <v>24</v>
      </c>
    </row>
    <row r="216" spans="1:9" x14ac:dyDescent="0.25">
      <c r="A216">
        <f ca="1">RANK(E216,E$2:E$349)</f>
        <v>215</v>
      </c>
      <c r="B216" t="s">
        <v>886</v>
      </c>
      <c r="C216" t="s">
        <v>28</v>
      </c>
      <c r="D216">
        <f ca="1">INDEX(INDIRECT($C216&amp;"!P:P"),MATCH($B216,INDIRECT($C216&amp;"!B:B"),0))</f>
        <v>33.51</v>
      </c>
      <c r="E216" s="6">
        <f ca="1">D216-LARGE(D$2:D$292,RBCount+WRCount)</f>
        <v>-75.19</v>
      </c>
      <c r="F216" t="str">
        <f ca="1">IF(H216&lt;=I216,"Starter",IF(G216&gt;=LARGE(G:G,FlexOn*LeagueInfo!$F$2),"Starter","Bench"))</f>
        <v>Bench</v>
      </c>
      <c r="G216">
        <f ca="1">IF(H216&gt;I216,D216,0)</f>
        <v>33.51</v>
      </c>
      <c r="H216">
        <f ca="1">INDEX(INDIRECT(""&amp;C216&amp;"!A2:A489"),MATCH(B216,INDIRECT(""&amp;C216&amp;"!B2:B489"),0))</f>
        <v>90</v>
      </c>
      <c r="I216">
        <f>IF(C216="RB",LeagueInfo!$D$4*LeagueInfo!$F$2,LeagueInfo!$D$5*LeagueInfo!$F$2)</f>
        <v>24</v>
      </c>
    </row>
    <row r="217" spans="1:9" x14ac:dyDescent="0.25">
      <c r="A217">
        <f ca="1">RANK(E217,E$2:E$349)</f>
        <v>216</v>
      </c>
      <c r="B217" t="s">
        <v>883</v>
      </c>
      <c r="C217" t="s">
        <v>28</v>
      </c>
      <c r="D217">
        <f ca="1">INDEX(INDIRECT($C217&amp;"!P:P"),MATCH($B217,INDIRECT($C217&amp;"!B:B"),0))</f>
        <v>33.339999999999996</v>
      </c>
      <c r="E217" s="6">
        <f ca="1">D217-LARGE(D$2:D$292,RBCount+WRCount)</f>
        <v>-75.360000000000014</v>
      </c>
      <c r="F217" t="str">
        <f ca="1">IF(H217&lt;=I217,"Starter",IF(G217&gt;=LARGE(G:G,FlexOn*LeagueInfo!$F$2),"Starter","Bench"))</f>
        <v>Bench</v>
      </c>
      <c r="G217">
        <f ca="1">IF(H217&gt;I217,D217,0)</f>
        <v>33.339999999999996</v>
      </c>
      <c r="H217">
        <f ca="1">INDEX(INDIRECT(""&amp;C217&amp;"!A2:A489"),MATCH(B217,INDIRECT(""&amp;C217&amp;"!B2:B489"),0))</f>
        <v>91</v>
      </c>
      <c r="I217">
        <f>IF(C217="RB",LeagueInfo!$D$4*LeagueInfo!$F$2,LeagueInfo!$D$5*LeagueInfo!$F$2)</f>
        <v>24</v>
      </c>
    </row>
    <row r="218" spans="1:9" x14ac:dyDescent="0.25">
      <c r="A218">
        <f ca="1">RANK(E218,E$2:E$349)</f>
        <v>217</v>
      </c>
      <c r="B218" t="s">
        <v>960</v>
      </c>
      <c r="C218" t="s">
        <v>35</v>
      </c>
      <c r="D218">
        <f ca="1">INDEX(INDIRECT($C218&amp;"!P:P"),MATCH($B218,INDIRECT($C218&amp;"!B:B"),0))</f>
        <v>33.080000000000005</v>
      </c>
      <c r="E218" s="6">
        <f ca="1">D218-LARGE(D$2:D$292,RBCount+WRCount)</f>
        <v>-75.62</v>
      </c>
      <c r="F218" t="str">
        <f ca="1">IF(H218&lt;=I218,"Starter",IF(G218&gt;=LARGE(G:G,FlexOn*LeagueInfo!$F$2),"Starter","Bench"))</f>
        <v>Bench</v>
      </c>
      <c r="G218">
        <f ca="1">IF(H218&gt;I218,D218,0)</f>
        <v>33.080000000000005</v>
      </c>
      <c r="H218">
        <f ca="1">INDEX(INDIRECT(""&amp;C218&amp;"!A2:A489"),MATCH(B218,INDIRECT(""&amp;C218&amp;"!B2:B489"),0))</f>
        <v>126</v>
      </c>
      <c r="I218">
        <f>IF(C218="RB",LeagueInfo!$D$4*LeagueInfo!$F$2,LeagueInfo!$D$5*LeagueInfo!$F$2)</f>
        <v>24</v>
      </c>
    </row>
    <row r="219" spans="1:9" x14ac:dyDescent="0.25">
      <c r="A219">
        <f ca="1">RANK(E219,E$2:E$349)</f>
        <v>218</v>
      </c>
      <c r="B219" t="s">
        <v>371</v>
      </c>
      <c r="C219" t="s">
        <v>35</v>
      </c>
      <c r="D219">
        <f ca="1">INDEX(INDIRECT($C219&amp;"!P:P"),MATCH($B219,INDIRECT($C219&amp;"!B:B"),0))</f>
        <v>32.589999999999996</v>
      </c>
      <c r="E219" s="6">
        <f ca="1">D219-LARGE(D$2:D$292,RBCount+WRCount)</f>
        <v>-76.110000000000014</v>
      </c>
      <c r="F219" t="str">
        <f ca="1">IF(H219&lt;=I219,"Starter",IF(G219&gt;=LARGE(G:G,FlexOn*LeagueInfo!$F$2),"Starter","Bench"))</f>
        <v>Bench</v>
      </c>
      <c r="G219">
        <f ca="1">IF(H219&gt;I219,D219,0)</f>
        <v>32.589999999999996</v>
      </c>
      <c r="H219">
        <f ca="1">INDEX(INDIRECT(""&amp;C219&amp;"!A2:A489"),MATCH(B219,INDIRECT(""&amp;C219&amp;"!B2:B489"),0))</f>
        <v>127</v>
      </c>
      <c r="I219">
        <f>IF(C219="RB",LeagueInfo!$D$4*LeagueInfo!$F$2,LeagueInfo!$D$5*LeagueInfo!$F$2)</f>
        <v>24</v>
      </c>
    </row>
    <row r="220" spans="1:9" x14ac:dyDescent="0.25">
      <c r="A220">
        <f ca="1">RANK(E220,E$2:E$349)</f>
        <v>219</v>
      </c>
      <c r="B220" t="s">
        <v>2437</v>
      </c>
      <c r="C220" t="s">
        <v>35</v>
      </c>
      <c r="D220">
        <f ca="1">INDEX(INDIRECT($C220&amp;"!P:P"),MATCH($B220,INDIRECT($C220&amp;"!B:B"),0))</f>
        <v>32.28</v>
      </c>
      <c r="E220" s="6">
        <f ca="1">D220-LARGE(D$2:D$292,RBCount+WRCount)</f>
        <v>-76.42</v>
      </c>
      <c r="F220" t="str">
        <f ca="1">IF(H220&lt;=I220,"Starter",IF(G220&gt;=LARGE(G:G,FlexOn*LeagueInfo!$F$2),"Starter","Bench"))</f>
        <v>Bench</v>
      </c>
      <c r="G220">
        <f ca="1">IF(H220&gt;I220,D220,0)</f>
        <v>32.28</v>
      </c>
      <c r="H220">
        <f ca="1">INDEX(INDIRECT(""&amp;C220&amp;"!A2:A489"),MATCH(B220,INDIRECT(""&amp;C220&amp;"!B2:B489"),0))</f>
        <v>128</v>
      </c>
      <c r="I220">
        <f>IF(C220="RB",LeagueInfo!$D$4*LeagueInfo!$F$2,LeagueInfo!$D$5*LeagueInfo!$F$2)</f>
        <v>24</v>
      </c>
    </row>
    <row r="221" spans="1:9" x14ac:dyDescent="0.25">
      <c r="A221">
        <f ca="1">RANK(E221,E$2:E$349)</f>
        <v>220</v>
      </c>
      <c r="B221" t="s">
        <v>2560</v>
      </c>
      <c r="C221" t="s">
        <v>35</v>
      </c>
      <c r="D221">
        <f ca="1">INDEX(INDIRECT($C221&amp;"!P:P"),MATCH($B221,INDIRECT($C221&amp;"!B:B"),0))</f>
        <v>31.68</v>
      </c>
      <c r="E221" s="6">
        <f ca="1">D221-LARGE(D$2:D$292,RBCount+WRCount)</f>
        <v>-77.02000000000001</v>
      </c>
      <c r="F221" t="str">
        <f ca="1">IF(H221&lt;=I221,"Starter",IF(G221&gt;=LARGE(G:G,FlexOn*LeagueInfo!$F$2),"Starter","Bench"))</f>
        <v>Bench</v>
      </c>
      <c r="G221">
        <f ca="1">IF(H221&gt;I221,D221,0)</f>
        <v>31.68</v>
      </c>
      <c r="H221">
        <f ca="1">INDEX(INDIRECT(""&amp;C221&amp;"!A2:A489"),MATCH(B221,INDIRECT(""&amp;C221&amp;"!B2:B489"),0))</f>
        <v>129</v>
      </c>
      <c r="I221">
        <f>IF(C221="RB",LeagueInfo!$D$4*LeagueInfo!$F$2,LeagueInfo!$D$5*LeagueInfo!$F$2)</f>
        <v>24</v>
      </c>
    </row>
    <row r="222" spans="1:9" x14ac:dyDescent="0.25">
      <c r="A222">
        <f ca="1">RANK(E222,E$2:E$349)</f>
        <v>221</v>
      </c>
      <c r="B222" t="s">
        <v>580</v>
      </c>
      <c r="C222" t="s">
        <v>35</v>
      </c>
      <c r="D222">
        <f ca="1">INDEX(INDIRECT($C222&amp;"!P:P"),MATCH($B222,INDIRECT($C222&amp;"!B:B"),0))</f>
        <v>31.66</v>
      </c>
      <c r="E222" s="6">
        <f ca="1">D222-LARGE(D$2:D$292,RBCount+WRCount)</f>
        <v>-77.040000000000006</v>
      </c>
      <c r="F222" t="str">
        <f ca="1">IF(H222&lt;=I222,"Starter",IF(G222&gt;=LARGE(G:G,FlexOn*LeagueInfo!$F$2),"Starter","Bench"))</f>
        <v>Bench</v>
      </c>
      <c r="G222">
        <f ca="1">IF(H222&gt;I222,D222,0)</f>
        <v>31.66</v>
      </c>
      <c r="H222">
        <f ca="1">INDEX(INDIRECT(""&amp;C222&amp;"!A2:A489"),MATCH(B222,INDIRECT(""&amp;C222&amp;"!B2:B489"),0))</f>
        <v>130</v>
      </c>
      <c r="I222">
        <f>IF(C222="RB",LeagueInfo!$D$4*LeagueInfo!$F$2,LeagueInfo!$D$5*LeagueInfo!$F$2)</f>
        <v>24</v>
      </c>
    </row>
    <row r="223" spans="1:9" x14ac:dyDescent="0.25">
      <c r="A223">
        <f ca="1">RANK(E223,E$2:E$349)</f>
        <v>222</v>
      </c>
      <c r="B223" t="s">
        <v>855</v>
      </c>
      <c r="C223" t="s">
        <v>35</v>
      </c>
      <c r="D223">
        <f ca="1">INDEX(INDIRECT($C223&amp;"!P:P"),MATCH($B223,INDIRECT($C223&amp;"!B:B"),0))</f>
        <v>31.580000000000002</v>
      </c>
      <c r="E223" s="6">
        <f ca="1">D223-LARGE(D$2:D$292,RBCount+WRCount)</f>
        <v>-77.12</v>
      </c>
      <c r="F223" t="str">
        <f ca="1">IF(H223&lt;=I223,"Starter",IF(G223&gt;=LARGE(G:G,FlexOn*LeagueInfo!$F$2),"Starter","Bench"))</f>
        <v>Bench</v>
      </c>
      <c r="G223">
        <f ca="1">IF(H223&gt;I223,D223,0)</f>
        <v>31.580000000000002</v>
      </c>
      <c r="H223">
        <f ca="1">INDEX(INDIRECT(""&amp;C223&amp;"!A2:A489"),MATCH(B223,INDIRECT(""&amp;C223&amp;"!B2:B489"),0))</f>
        <v>131</v>
      </c>
      <c r="I223">
        <f>IF(C223="RB",LeagueInfo!$D$4*LeagueInfo!$F$2,LeagueInfo!$D$5*LeagueInfo!$F$2)</f>
        <v>24</v>
      </c>
    </row>
    <row r="224" spans="1:9" x14ac:dyDescent="0.25">
      <c r="A224">
        <f ca="1">RANK(E224,E$2:E$349)</f>
        <v>223</v>
      </c>
      <c r="B224" t="s">
        <v>574</v>
      </c>
      <c r="C224" t="s">
        <v>35</v>
      </c>
      <c r="D224">
        <f ca="1">INDEX(INDIRECT($C224&amp;"!P:P"),MATCH($B224,INDIRECT($C224&amp;"!B:B"),0))</f>
        <v>31.180000000000007</v>
      </c>
      <c r="E224" s="6">
        <f ca="1">D224-LARGE(D$2:D$292,RBCount+WRCount)</f>
        <v>-77.52</v>
      </c>
      <c r="F224" t="str">
        <f ca="1">IF(H224&lt;=I224,"Starter",IF(G224&gt;=LARGE(G:G,FlexOn*LeagueInfo!$F$2),"Starter","Bench"))</f>
        <v>Bench</v>
      </c>
      <c r="G224">
        <f ca="1">IF(H224&gt;I224,D224,0)</f>
        <v>31.180000000000007</v>
      </c>
      <c r="H224">
        <f ca="1">INDEX(INDIRECT(""&amp;C224&amp;"!A2:A489"),MATCH(B224,INDIRECT(""&amp;C224&amp;"!B2:B489"),0))</f>
        <v>132</v>
      </c>
      <c r="I224">
        <f>IF(C224="RB",LeagueInfo!$D$4*LeagueInfo!$F$2,LeagueInfo!$D$5*LeagueInfo!$F$2)</f>
        <v>24</v>
      </c>
    </row>
    <row r="225" spans="1:9" x14ac:dyDescent="0.25">
      <c r="A225">
        <f ca="1">RANK(E225,E$2:E$349)</f>
        <v>224</v>
      </c>
      <c r="B225" t="s">
        <v>681</v>
      </c>
      <c r="C225" t="s">
        <v>28</v>
      </c>
      <c r="D225">
        <f ca="1">INDEX(INDIRECT($C225&amp;"!P:P"),MATCH($B225,INDIRECT($C225&amp;"!B:B"),0))</f>
        <v>30.84</v>
      </c>
      <c r="E225" s="6">
        <f ca="1">D225-LARGE(D$2:D$292,RBCount+WRCount)</f>
        <v>-77.86</v>
      </c>
      <c r="F225" t="str">
        <f ca="1">IF(H225&lt;=I225,"Starter",IF(G225&gt;=LARGE(G:G,FlexOn*LeagueInfo!$F$2),"Starter","Bench"))</f>
        <v>Bench</v>
      </c>
      <c r="G225">
        <f ca="1">IF(H225&gt;I225,D225,0)</f>
        <v>30.84</v>
      </c>
      <c r="H225">
        <f ca="1">INDEX(INDIRECT(""&amp;C225&amp;"!A2:A489"),MATCH(B225,INDIRECT(""&amp;C225&amp;"!B2:B489"),0))</f>
        <v>92</v>
      </c>
      <c r="I225">
        <f>IF(C225="RB",LeagueInfo!$D$4*LeagueInfo!$F$2,LeagueInfo!$D$5*LeagueInfo!$F$2)</f>
        <v>24</v>
      </c>
    </row>
    <row r="226" spans="1:9" x14ac:dyDescent="0.25">
      <c r="A226">
        <f ca="1">RANK(E226,E$2:E$349)</f>
        <v>225</v>
      </c>
      <c r="B226" t="s">
        <v>327</v>
      </c>
      <c r="C226" t="s">
        <v>28</v>
      </c>
      <c r="D226">
        <f ca="1">INDEX(INDIRECT($C226&amp;"!P:P"),MATCH($B226,INDIRECT($C226&amp;"!B:B"),0))</f>
        <v>30.620000000000005</v>
      </c>
      <c r="E226" s="6">
        <f ca="1">D226-LARGE(D$2:D$292,RBCount+WRCount)</f>
        <v>-78.08</v>
      </c>
      <c r="F226" t="str">
        <f ca="1">IF(H226&lt;=I226,"Starter",IF(G226&gt;=LARGE(G:G,FlexOn*LeagueInfo!$F$2),"Starter","Bench"))</f>
        <v>Bench</v>
      </c>
      <c r="G226">
        <f ca="1">IF(H226&gt;I226,D226,0)</f>
        <v>30.620000000000005</v>
      </c>
      <c r="H226">
        <f ca="1">INDEX(INDIRECT(""&amp;C226&amp;"!A2:A489"),MATCH(B226,INDIRECT(""&amp;C226&amp;"!B2:B489"),0))</f>
        <v>93</v>
      </c>
      <c r="I226">
        <f>IF(C226="RB",LeagueInfo!$D$4*LeagueInfo!$F$2,LeagueInfo!$D$5*LeagueInfo!$F$2)</f>
        <v>24</v>
      </c>
    </row>
    <row r="227" spans="1:9" x14ac:dyDescent="0.25">
      <c r="A227">
        <f ca="1">RANK(E227,E$2:E$349)</f>
        <v>226</v>
      </c>
      <c r="B227" t="s">
        <v>404</v>
      </c>
      <c r="C227" t="s">
        <v>35</v>
      </c>
      <c r="D227">
        <f ca="1">INDEX(INDIRECT($C227&amp;"!P:P"),MATCH($B227,INDIRECT($C227&amp;"!B:B"),0))</f>
        <v>30.549999999999997</v>
      </c>
      <c r="E227" s="6">
        <f ca="1">D227-LARGE(D$2:D$292,RBCount+WRCount)</f>
        <v>-78.150000000000006</v>
      </c>
      <c r="F227" t="str">
        <f ca="1">IF(H227&lt;=I227,"Starter",IF(G227&gt;=LARGE(G:G,FlexOn*LeagueInfo!$F$2),"Starter","Bench"))</f>
        <v>Bench</v>
      </c>
      <c r="G227">
        <f ca="1">IF(H227&gt;I227,D227,0)</f>
        <v>30.549999999999997</v>
      </c>
      <c r="H227">
        <f ca="1">INDEX(INDIRECT(""&amp;C227&amp;"!A2:A489"),MATCH(B227,INDIRECT(""&amp;C227&amp;"!B2:B489"),0))</f>
        <v>133</v>
      </c>
      <c r="I227">
        <f>IF(C227="RB",LeagueInfo!$D$4*LeagueInfo!$F$2,LeagueInfo!$D$5*LeagueInfo!$F$2)</f>
        <v>24</v>
      </c>
    </row>
    <row r="228" spans="1:9" x14ac:dyDescent="0.25">
      <c r="A228">
        <f ca="1">RANK(E228,E$2:E$349)</f>
        <v>227</v>
      </c>
      <c r="B228" t="s">
        <v>732</v>
      </c>
      <c r="C228" t="s">
        <v>35</v>
      </c>
      <c r="D228">
        <f ca="1">INDEX(INDIRECT($C228&amp;"!P:P"),MATCH($B228,INDIRECT($C228&amp;"!B:B"),0))</f>
        <v>30.44</v>
      </c>
      <c r="E228" s="6">
        <f ca="1">D228-LARGE(D$2:D$292,RBCount+WRCount)</f>
        <v>-78.260000000000005</v>
      </c>
      <c r="F228" t="str">
        <f ca="1">IF(H228&lt;=I228,"Starter",IF(G228&gt;=LARGE(G:G,FlexOn*LeagueInfo!$F$2),"Starter","Bench"))</f>
        <v>Bench</v>
      </c>
      <c r="G228">
        <f ca="1">IF(H228&gt;I228,D228,0)</f>
        <v>30.44</v>
      </c>
      <c r="H228">
        <f ca="1">INDEX(INDIRECT(""&amp;C228&amp;"!A2:A489"),MATCH(B228,INDIRECT(""&amp;C228&amp;"!B2:B489"),0))</f>
        <v>134</v>
      </c>
      <c r="I228">
        <f>IF(C228="RB",LeagueInfo!$D$4*LeagueInfo!$F$2,LeagueInfo!$D$5*LeagueInfo!$F$2)</f>
        <v>24</v>
      </c>
    </row>
    <row r="229" spans="1:9" x14ac:dyDescent="0.25">
      <c r="A229">
        <f ca="1">RANK(E229,E$2:E$349)</f>
        <v>228</v>
      </c>
      <c r="B229" t="s">
        <v>958</v>
      </c>
      <c r="C229" t="s">
        <v>35</v>
      </c>
      <c r="D229">
        <f ca="1">INDEX(INDIRECT($C229&amp;"!P:P"),MATCH($B229,INDIRECT($C229&amp;"!B:B"),0))</f>
        <v>30.240000000000002</v>
      </c>
      <c r="E229" s="6">
        <f ca="1">D229-LARGE(D$2:D$292,RBCount+WRCount)</f>
        <v>-78.460000000000008</v>
      </c>
      <c r="F229" t="str">
        <f ca="1">IF(H229&lt;=I229,"Starter",IF(G229&gt;=LARGE(G:G,FlexOn*LeagueInfo!$F$2),"Starter","Bench"))</f>
        <v>Bench</v>
      </c>
      <c r="G229">
        <f ca="1">IF(H229&gt;I229,D229,0)</f>
        <v>30.240000000000002</v>
      </c>
      <c r="H229">
        <f ca="1">INDEX(INDIRECT(""&amp;C229&amp;"!A2:A489"),MATCH(B229,INDIRECT(""&amp;C229&amp;"!B2:B489"),0))</f>
        <v>135</v>
      </c>
      <c r="I229">
        <f>IF(C229="RB",LeagueInfo!$D$4*LeagueInfo!$F$2,LeagueInfo!$D$5*LeagueInfo!$F$2)</f>
        <v>24</v>
      </c>
    </row>
    <row r="230" spans="1:9" x14ac:dyDescent="0.25">
      <c r="A230">
        <f ca="1">RANK(E230,E$2:E$349)</f>
        <v>229</v>
      </c>
      <c r="B230" t="s">
        <v>645</v>
      </c>
      <c r="C230" t="s">
        <v>35</v>
      </c>
      <c r="D230">
        <f ca="1">INDEX(INDIRECT($C230&amp;"!P:P"),MATCH($B230,INDIRECT($C230&amp;"!B:B"),0))</f>
        <v>29.94</v>
      </c>
      <c r="E230" s="6">
        <f ca="1">D230-LARGE(D$2:D$292,RBCount+WRCount)</f>
        <v>-78.760000000000005</v>
      </c>
      <c r="F230" t="str">
        <f ca="1">IF(H230&lt;=I230,"Starter",IF(G230&gt;=LARGE(G:G,FlexOn*LeagueInfo!$F$2),"Starter","Bench"))</f>
        <v>Bench</v>
      </c>
      <c r="G230">
        <f ca="1">IF(H230&gt;I230,D230,0)</f>
        <v>29.94</v>
      </c>
      <c r="H230">
        <f ca="1">INDEX(INDIRECT(""&amp;C230&amp;"!A2:A489"),MATCH(B230,INDIRECT(""&amp;C230&amp;"!B2:B489"),0))</f>
        <v>136</v>
      </c>
      <c r="I230">
        <f>IF(C230="RB",LeagueInfo!$D$4*LeagueInfo!$F$2,LeagueInfo!$D$5*LeagueInfo!$F$2)</f>
        <v>24</v>
      </c>
    </row>
    <row r="231" spans="1:9" x14ac:dyDescent="0.25">
      <c r="A231">
        <f ca="1">RANK(E231,E$2:E$349)</f>
        <v>230</v>
      </c>
      <c r="B231" t="s">
        <v>134</v>
      </c>
      <c r="C231" t="s">
        <v>28</v>
      </c>
      <c r="D231">
        <f ca="1">INDEX(INDIRECT($C231&amp;"!P:P"),MATCH($B231,INDIRECT($C231&amp;"!B:B"),0))</f>
        <v>29.84</v>
      </c>
      <c r="E231" s="6">
        <f ca="1">D231-LARGE(D$2:D$292,RBCount+WRCount)</f>
        <v>-78.86</v>
      </c>
      <c r="F231" t="str">
        <f ca="1">IF(H231&lt;=I231,"Starter",IF(G231&gt;=LARGE(G:G,FlexOn*LeagueInfo!$F$2),"Starter","Bench"))</f>
        <v>Bench</v>
      </c>
      <c r="G231">
        <f ca="1">IF(H231&gt;I231,D231,0)</f>
        <v>29.84</v>
      </c>
      <c r="H231">
        <f ca="1">INDEX(INDIRECT(""&amp;C231&amp;"!A2:A489"),MATCH(B231,INDIRECT(""&amp;C231&amp;"!B2:B489"),0))</f>
        <v>94</v>
      </c>
      <c r="I231">
        <f>IF(C231="RB",LeagueInfo!$D$4*LeagueInfo!$F$2,LeagueInfo!$D$5*LeagueInfo!$F$2)</f>
        <v>24</v>
      </c>
    </row>
    <row r="232" spans="1:9" x14ac:dyDescent="0.25">
      <c r="A232">
        <f ca="1">RANK(E232,E$2:E$349)</f>
        <v>231</v>
      </c>
      <c r="B232" t="s">
        <v>961</v>
      </c>
      <c r="C232" t="s">
        <v>35</v>
      </c>
      <c r="D232">
        <f ca="1">INDEX(INDIRECT($C232&amp;"!P:P"),MATCH($B232,INDIRECT($C232&amp;"!B:B"),0))</f>
        <v>29.430000000000003</v>
      </c>
      <c r="E232" s="6">
        <f ca="1">D232-LARGE(D$2:D$292,RBCount+WRCount)</f>
        <v>-79.27</v>
      </c>
      <c r="F232" t="str">
        <f ca="1">IF(H232&lt;=I232,"Starter",IF(G232&gt;=LARGE(G:G,FlexOn*LeagueInfo!$F$2),"Starter","Bench"))</f>
        <v>Bench</v>
      </c>
      <c r="G232">
        <f ca="1">IF(H232&gt;I232,D232,0)</f>
        <v>29.430000000000003</v>
      </c>
      <c r="H232">
        <f ca="1">INDEX(INDIRECT(""&amp;C232&amp;"!A2:A489"),MATCH(B232,INDIRECT(""&amp;C232&amp;"!B2:B489"),0))</f>
        <v>137</v>
      </c>
      <c r="I232">
        <f>IF(C232="RB",LeagueInfo!$D$4*LeagueInfo!$F$2,LeagueInfo!$D$5*LeagueInfo!$F$2)</f>
        <v>24</v>
      </c>
    </row>
    <row r="233" spans="1:9" x14ac:dyDescent="0.25">
      <c r="A233">
        <f ca="1">RANK(E233,E$2:E$349)</f>
        <v>232</v>
      </c>
      <c r="B233" t="s">
        <v>673</v>
      </c>
      <c r="C233" t="s">
        <v>28</v>
      </c>
      <c r="D233">
        <f ca="1">INDEX(INDIRECT($C233&amp;"!P:P"),MATCH($B233,INDIRECT($C233&amp;"!B:B"),0))</f>
        <v>29.260000000000005</v>
      </c>
      <c r="E233" s="6">
        <f ca="1">D233-LARGE(D$2:D$292,RBCount+WRCount)</f>
        <v>-79.44</v>
      </c>
      <c r="F233" t="str">
        <f ca="1">IF(H233&lt;=I233,"Starter",IF(G233&gt;=LARGE(G:G,FlexOn*LeagueInfo!$F$2),"Starter","Bench"))</f>
        <v>Bench</v>
      </c>
      <c r="G233">
        <f ca="1">IF(H233&gt;I233,D233,0)</f>
        <v>29.260000000000005</v>
      </c>
      <c r="H233">
        <f ca="1">INDEX(INDIRECT(""&amp;C233&amp;"!A2:A489"),MATCH(B233,INDIRECT(""&amp;C233&amp;"!B2:B489"),0))</f>
        <v>95</v>
      </c>
      <c r="I233">
        <f>IF(C233="RB",LeagueInfo!$D$4*LeagueInfo!$F$2,LeagueInfo!$D$5*LeagueInfo!$F$2)</f>
        <v>24</v>
      </c>
    </row>
    <row r="234" spans="1:9" x14ac:dyDescent="0.25">
      <c r="A234">
        <f ca="1">RANK(E234,E$2:E$349)</f>
        <v>233</v>
      </c>
      <c r="B234" t="s">
        <v>2460</v>
      </c>
      <c r="C234" t="s">
        <v>28</v>
      </c>
      <c r="D234">
        <f ca="1">INDEX(INDIRECT($C234&amp;"!P:P"),MATCH($B234,INDIRECT($C234&amp;"!B:B"),0))</f>
        <v>28.400000000000002</v>
      </c>
      <c r="E234" s="6">
        <f ca="1">D234-LARGE(D$2:D$292,RBCount+WRCount)</f>
        <v>-80.3</v>
      </c>
      <c r="F234" t="str">
        <f ca="1">IF(H234&lt;=I234,"Starter",IF(G234&gt;=LARGE(G:G,FlexOn*LeagueInfo!$F$2),"Starter","Bench"))</f>
        <v>Bench</v>
      </c>
      <c r="G234">
        <f ca="1">IF(H234&gt;I234,D234,0)</f>
        <v>28.400000000000002</v>
      </c>
      <c r="H234">
        <f ca="1">INDEX(INDIRECT(""&amp;C234&amp;"!A2:A489"),MATCH(B234,INDIRECT(""&amp;C234&amp;"!B2:B489"),0))</f>
        <v>96</v>
      </c>
      <c r="I234">
        <f>IF(C234="RB",LeagueInfo!$D$4*LeagueInfo!$F$2,LeagueInfo!$D$5*LeagueInfo!$F$2)</f>
        <v>24</v>
      </c>
    </row>
    <row r="235" spans="1:9" x14ac:dyDescent="0.25">
      <c r="A235">
        <f ca="1">RANK(E235,E$2:E$349)</f>
        <v>234</v>
      </c>
      <c r="B235" t="s">
        <v>728</v>
      </c>
      <c r="C235" t="s">
        <v>35</v>
      </c>
      <c r="D235">
        <f ca="1">INDEX(INDIRECT($C235&amp;"!P:P"),MATCH($B235,INDIRECT($C235&amp;"!B:B"),0))</f>
        <v>28.39</v>
      </c>
      <c r="E235" s="6">
        <f ca="1">D235-LARGE(D$2:D$292,RBCount+WRCount)</f>
        <v>-80.31</v>
      </c>
      <c r="F235" t="str">
        <f ca="1">IF(H235&lt;=I235,"Starter",IF(G235&gt;=LARGE(G:G,FlexOn*LeagueInfo!$F$2),"Starter","Bench"))</f>
        <v>Bench</v>
      </c>
      <c r="G235">
        <f ca="1">IF(H235&gt;I235,D235,0)</f>
        <v>28.39</v>
      </c>
      <c r="H235">
        <f ca="1">INDEX(INDIRECT(""&amp;C235&amp;"!A2:A489"),MATCH(B235,INDIRECT(""&amp;C235&amp;"!B2:B489"),0))</f>
        <v>138</v>
      </c>
      <c r="I235">
        <f>IF(C235="RB",LeagueInfo!$D$4*LeagueInfo!$F$2,LeagueInfo!$D$5*LeagueInfo!$F$2)</f>
        <v>24</v>
      </c>
    </row>
    <row r="236" spans="1:9" x14ac:dyDescent="0.25">
      <c r="A236">
        <f ca="1">RANK(E236,E$2:E$349)</f>
        <v>235</v>
      </c>
      <c r="B236" t="s">
        <v>2735</v>
      </c>
      <c r="C236" t="s">
        <v>28</v>
      </c>
      <c r="D236">
        <f ca="1">INDEX(INDIRECT($C236&amp;"!P:P"),MATCH($B236,INDIRECT($C236&amp;"!B:B"),0))</f>
        <v>28.110000000000003</v>
      </c>
      <c r="E236" s="6">
        <f ca="1">D236-LARGE(D$2:D$292,RBCount+WRCount)</f>
        <v>-80.59</v>
      </c>
      <c r="F236" t="str">
        <f ca="1">IF(H236&lt;=I236,"Starter",IF(G236&gt;=LARGE(G:G,FlexOn*LeagueInfo!$F$2),"Starter","Bench"))</f>
        <v>Bench</v>
      </c>
      <c r="G236">
        <f ca="1">IF(H236&gt;I236,D236,0)</f>
        <v>28.110000000000003</v>
      </c>
      <c r="H236">
        <f ca="1">INDEX(INDIRECT(""&amp;C236&amp;"!A2:A489"),MATCH(B236,INDIRECT(""&amp;C236&amp;"!B2:B489"),0))</f>
        <v>97</v>
      </c>
      <c r="I236">
        <f>IF(C236="RB",LeagueInfo!$D$4*LeagueInfo!$F$2,LeagueInfo!$D$5*LeagueInfo!$F$2)</f>
        <v>24</v>
      </c>
    </row>
    <row r="237" spans="1:9" x14ac:dyDescent="0.25">
      <c r="A237">
        <f ca="1">RANK(E237,E$2:E$349)</f>
        <v>236</v>
      </c>
      <c r="B237" t="s">
        <v>2468</v>
      </c>
      <c r="C237" t="s">
        <v>28</v>
      </c>
      <c r="D237">
        <f ca="1">INDEX(INDIRECT($C237&amp;"!P:P"),MATCH($B237,INDIRECT($C237&amp;"!B:B"),0))</f>
        <v>28.070000000000004</v>
      </c>
      <c r="E237" s="6">
        <f ca="1">D237-LARGE(D$2:D$292,RBCount+WRCount)</f>
        <v>-80.63</v>
      </c>
      <c r="F237" t="str">
        <f ca="1">IF(H237&lt;=I237,"Starter",IF(G237&gt;=LARGE(G:G,FlexOn*LeagueInfo!$F$2),"Starter","Bench"))</f>
        <v>Bench</v>
      </c>
      <c r="G237">
        <f ca="1">IF(H237&gt;I237,D237,0)</f>
        <v>28.070000000000004</v>
      </c>
      <c r="H237">
        <f ca="1">INDEX(INDIRECT(""&amp;C237&amp;"!A2:A489"),MATCH(B237,INDIRECT(""&amp;C237&amp;"!B2:B489"),0))</f>
        <v>98</v>
      </c>
      <c r="I237">
        <f>IF(C237="RB",LeagueInfo!$D$4*LeagueInfo!$F$2,LeagueInfo!$D$5*LeagueInfo!$F$2)</f>
        <v>24</v>
      </c>
    </row>
    <row r="238" spans="1:9" x14ac:dyDescent="0.25">
      <c r="A238">
        <f ca="1">RANK(E238,E$2:E$349)</f>
        <v>237</v>
      </c>
      <c r="B238" t="s">
        <v>957</v>
      </c>
      <c r="C238" t="s">
        <v>35</v>
      </c>
      <c r="D238">
        <f ca="1">INDEX(INDIRECT($C238&amp;"!P:P"),MATCH($B238,INDIRECT($C238&amp;"!B:B"),0))</f>
        <v>27.860000000000003</v>
      </c>
      <c r="E238" s="6">
        <f ca="1">D238-LARGE(D$2:D$292,RBCount+WRCount)</f>
        <v>-80.84</v>
      </c>
      <c r="F238" t="str">
        <f ca="1">IF(H238&lt;=I238,"Starter",IF(G238&gt;=LARGE(G:G,FlexOn*LeagueInfo!$F$2),"Starter","Bench"))</f>
        <v>Bench</v>
      </c>
      <c r="G238">
        <f ca="1">IF(H238&gt;I238,D238,0)</f>
        <v>27.860000000000003</v>
      </c>
      <c r="H238">
        <f ca="1">INDEX(INDIRECT(""&amp;C238&amp;"!A2:A489"),MATCH(B238,INDIRECT(""&amp;C238&amp;"!B2:B489"),0))</f>
        <v>139</v>
      </c>
      <c r="I238">
        <f>IF(C238="RB",LeagueInfo!$D$4*LeagueInfo!$F$2,LeagueInfo!$D$5*LeagueInfo!$F$2)</f>
        <v>24</v>
      </c>
    </row>
    <row r="239" spans="1:9" x14ac:dyDescent="0.25">
      <c r="A239">
        <f ca="1">RANK(E239,E$2:E$349)</f>
        <v>238</v>
      </c>
      <c r="B239" t="s">
        <v>689</v>
      </c>
      <c r="C239" t="s">
        <v>28</v>
      </c>
      <c r="D239">
        <f ca="1">INDEX(INDIRECT($C239&amp;"!P:P"),MATCH($B239,INDIRECT($C239&amp;"!B:B"),0))</f>
        <v>27.750000000000004</v>
      </c>
      <c r="E239" s="6">
        <f ca="1">D239-LARGE(D$2:D$292,RBCount+WRCount)</f>
        <v>-80.95</v>
      </c>
      <c r="F239" t="str">
        <f ca="1">IF(H239&lt;=I239,"Starter",IF(G239&gt;=LARGE(G:G,FlexOn*LeagueInfo!$F$2),"Starter","Bench"))</f>
        <v>Bench</v>
      </c>
      <c r="G239">
        <f ca="1">IF(H239&gt;I239,D239,0)</f>
        <v>27.750000000000004</v>
      </c>
      <c r="H239">
        <f ca="1">INDEX(INDIRECT(""&amp;C239&amp;"!A2:A489"),MATCH(B239,INDIRECT(""&amp;C239&amp;"!B2:B489"),0))</f>
        <v>99</v>
      </c>
      <c r="I239">
        <f>IF(C239="RB",LeagueInfo!$D$4*LeagueInfo!$F$2,LeagueInfo!$D$5*LeagueInfo!$F$2)</f>
        <v>24</v>
      </c>
    </row>
    <row r="240" spans="1:9" x14ac:dyDescent="0.25">
      <c r="A240">
        <f ca="1">RANK(E240,E$2:E$349)</f>
        <v>239</v>
      </c>
      <c r="B240" t="s">
        <v>2430</v>
      </c>
      <c r="C240" t="s">
        <v>35</v>
      </c>
      <c r="D240">
        <f ca="1">INDEX(INDIRECT($C240&amp;"!P:P"),MATCH($B240,INDIRECT($C240&amp;"!B:B"),0))</f>
        <v>27.21</v>
      </c>
      <c r="E240" s="6">
        <f ca="1">D240-LARGE(D$2:D$292,RBCount+WRCount)</f>
        <v>-81.490000000000009</v>
      </c>
      <c r="F240" t="str">
        <f ca="1">IF(H240&lt;=I240,"Starter",IF(G240&gt;=LARGE(G:G,FlexOn*LeagueInfo!$F$2),"Starter","Bench"))</f>
        <v>Bench</v>
      </c>
      <c r="G240">
        <f ca="1">IF(H240&gt;I240,D240,0)</f>
        <v>27.21</v>
      </c>
      <c r="H240">
        <f ca="1">INDEX(INDIRECT(""&amp;C240&amp;"!A2:A489"),MATCH(B240,INDIRECT(""&amp;C240&amp;"!B2:B489"),0))</f>
        <v>140</v>
      </c>
      <c r="I240">
        <f>IF(C240="RB",LeagueInfo!$D$4*LeagueInfo!$F$2,LeagueInfo!$D$5*LeagueInfo!$F$2)</f>
        <v>24</v>
      </c>
    </row>
    <row r="241" spans="1:9" x14ac:dyDescent="0.25">
      <c r="A241">
        <f ca="1">RANK(E241,E$2:E$349)</f>
        <v>240</v>
      </c>
      <c r="B241" t="s">
        <v>2459</v>
      </c>
      <c r="C241" t="s">
        <v>28</v>
      </c>
      <c r="D241">
        <f ca="1">INDEX(INDIRECT($C241&amp;"!P:P"),MATCH($B241,INDIRECT($C241&amp;"!B:B"),0))</f>
        <v>27.040000000000006</v>
      </c>
      <c r="E241" s="6">
        <f ca="1">D241-LARGE(D$2:D$292,RBCount+WRCount)</f>
        <v>-81.66</v>
      </c>
      <c r="F241" t="str">
        <f ca="1">IF(H241&lt;=I241,"Starter",IF(G241&gt;=LARGE(G:G,FlexOn*LeagueInfo!$F$2),"Starter","Bench"))</f>
        <v>Bench</v>
      </c>
      <c r="G241">
        <f ca="1">IF(H241&gt;I241,D241,0)</f>
        <v>27.040000000000006</v>
      </c>
      <c r="H241">
        <f ca="1">INDEX(INDIRECT(""&amp;C241&amp;"!A2:A489"),MATCH(B241,INDIRECT(""&amp;C241&amp;"!B2:B489"),0))</f>
        <v>100</v>
      </c>
      <c r="I241">
        <f>IF(C241="RB",LeagueInfo!$D$4*LeagueInfo!$F$2,LeagueInfo!$D$5*LeagueInfo!$F$2)</f>
        <v>24</v>
      </c>
    </row>
    <row r="242" spans="1:9" x14ac:dyDescent="0.25">
      <c r="A242">
        <f ca="1">RANK(E242,E$2:E$349)</f>
        <v>241</v>
      </c>
      <c r="B242" t="s">
        <v>2674</v>
      </c>
      <c r="C242" t="s">
        <v>35</v>
      </c>
      <c r="D242">
        <f ca="1">INDEX(INDIRECT($C242&amp;"!P:P"),MATCH($B242,INDIRECT($C242&amp;"!B:B"),0))</f>
        <v>26.55</v>
      </c>
      <c r="E242" s="6">
        <f ca="1">D242-LARGE(D$2:D$292,RBCount+WRCount)</f>
        <v>-82.15</v>
      </c>
      <c r="F242" t="str">
        <f ca="1">IF(H242&lt;=I242,"Starter",IF(G242&gt;=LARGE(G:G,FlexOn*LeagueInfo!$F$2),"Starter","Bench"))</f>
        <v>Bench</v>
      </c>
      <c r="G242">
        <f ca="1">IF(H242&gt;I242,D242,0)</f>
        <v>26.55</v>
      </c>
      <c r="H242">
        <f ca="1">INDEX(INDIRECT(""&amp;C242&amp;"!A2:A489"),MATCH(B242,INDIRECT(""&amp;C242&amp;"!B2:B489"),0))</f>
        <v>141</v>
      </c>
      <c r="I242">
        <f>IF(C242="RB",LeagueInfo!$D$4*LeagueInfo!$F$2,LeagueInfo!$D$5*LeagueInfo!$F$2)</f>
        <v>24</v>
      </c>
    </row>
    <row r="243" spans="1:9" x14ac:dyDescent="0.25">
      <c r="A243">
        <f ca="1">RANK(E243,E$2:E$349)</f>
        <v>242</v>
      </c>
      <c r="B243" t="s">
        <v>2456</v>
      </c>
      <c r="C243" t="s">
        <v>28</v>
      </c>
      <c r="D243">
        <f ca="1">INDEX(INDIRECT($C243&amp;"!P:P"),MATCH($B243,INDIRECT($C243&amp;"!B:B"),0))</f>
        <v>26.500000000000004</v>
      </c>
      <c r="E243" s="6">
        <f ca="1">D243-LARGE(D$2:D$292,RBCount+WRCount)</f>
        <v>-82.2</v>
      </c>
      <c r="F243" t="str">
        <f ca="1">IF(H243&lt;=I243,"Starter",IF(G243&gt;=LARGE(G:G,FlexOn*LeagueInfo!$F$2),"Starter","Bench"))</f>
        <v>Bench</v>
      </c>
      <c r="G243">
        <f ca="1">IF(H243&gt;I243,D243,0)</f>
        <v>26.500000000000004</v>
      </c>
      <c r="H243">
        <f ca="1">INDEX(INDIRECT(""&amp;C243&amp;"!A2:A489"),MATCH(B243,INDIRECT(""&amp;C243&amp;"!B2:B489"),0))</f>
        <v>101</v>
      </c>
      <c r="I243">
        <f>IF(C243="RB",LeagueInfo!$D$4*LeagueInfo!$F$2,LeagueInfo!$D$5*LeagueInfo!$F$2)</f>
        <v>24</v>
      </c>
    </row>
    <row r="244" spans="1:9" x14ac:dyDescent="0.25">
      <c r="A244">
        <f ca="1">RANK(E244,E$2:E$349)</f>
        <v>243</v>
      </c>
      <c r="B244" t="s">
        <v>856</v>
      </c>
      <c r="C244" t="s">
        <v>35</v>
      </c>
      <c r="D244">
        <f ca="1">INDEX(INDIRECT($C244&amp;"!P:P"),MATCH($B244,INDIRECT($C244&amp;"!B:B"),0))</f>
        <v>26.459999999999997</v>
      </c>
      <c r="E244" s="6">
        <f ca="1">D244-LARGE(D$2:D$292,RBCount+WRCount)</f>
        <v>-82.240000000000009</v>
      </c>
      <c r="F244" t="str">
        <f ca="1">IF(H244&lt;=I244,"Starter",IF(G244&gt;=LARGE(G:G,FlexOn*LeagueInfo!$F$2),"Starter","Bench"))</f>
        <v>Bench</v>
      </c>
      <c r="G244">
        <f ca="1">IF(H244&gt;I244,D244,0)</f>
        <v>26.459999999999997</v>
      </c>
      <c r="H244">
        <f ca="1">INDEX(INDIRECT(""&amp;C244&amp;"!A2:A489"),MATCH(B244,INDIRECT(""&amp;C244&amp;"!B2:B489"),0))</f>
        <v>142</v>
      </c>
      <c r="I244">
        <f>IF(C244="RB",LeagueInfo!$D$4*LeagueInfo!$F$2,LeagueInfo!$D$5*LeagueInfo!$F$2)</f>
        <v>24</v>
      </c>
    </row>
    <row r="245" spans="1:9" x14ac:dyDescent="0.25">
      <c r="A245">
        <f ca="1">RANK(E245,E$2:E$349)</f>
        <v>244</v>
      </c>
      <c r="B245" t="s">
        <v>833</v>
      </c>
      <c r="C245" t="s">
        <v>35</v>
      </c>
      <c r="D245">
        <f ca="1">INDEX(INDIRECT($C245&amp;"!P:P"),MATCH($B245,INDIRECT($C245&amp;"!B:B"),0))</f>
        <v>26.37</v>
      </c>
      <c r="E245" s="6">
        <f ca="1">D245-LARGE(D$2:D$292,RBCount+WRCount)</f>
        <v>-82.33</v>
      </c>
      <c r="F245" t="str">
        <f ca="1">IF(H245&lt;=I245,"Starter",IF(G245&gt;=LARGE(G:G,FlexOn*LeagueInfo!$F$2),"Starter","Bench"))</f>
        <v>Bench</v>
      </c>
      <c r="G245">
        <f ca="1">IF(H245&gt;I245,D245,0)</f>
        <v>26.37</v>
      </c>
      <c r="H245">
        <f ca="1">INDEX(INDIRECT(""&amp;C245&amp;"!A2:A489"),MATCH(B245,INDIRECT(""&amp;C245&amp;"!B2:B489"),0))</f>
        <v>143</v>
      </c>
      <c r="I245">
        <f>IF(C245="RB",LeagueInfo!$D$4*LeagueInfo!$F$2,LeagueInfo!$D$5*LeagueInfo!$F$2)</f>
        <v>24</v>
      </c>
    </row>
    <row r="246" spans="1:9" x14ac:dyDescent="0.25">
      <c r="A246">
        <f ca="1">RANK(E246,E$2:E$349)</f>
        <v>245</v>
      </c>
      <c r="B246" t="s">
        <v>934</v>
      </c>
      <c r="C246" t="s">
        <v>28</v>
      </c>
      <c r="D246">
        <f ca="1">INDEX(INDIRECT($C246&amp;"!P:P"),MATCH($B246,INDIRECT($C246&amp;"!B:B"),0))</f>
        <v>25.62</v>
      </c>
      <c r="E246" s="6">
        <f ca="1">D246-LARGE(D$2:D$292,RBCount+WRCount)</f>
        <v>-83.08</v>
      </c>
      <c r="F246" t="str">
        <f ca="1">IF(H246&lt;=I246,"Starter",IF(G246&gt;=LARGE(G:G,FlexOn*LeagueInfo!$F$2),"Starter","Bench"))</f>
        <v>Bench</v>
      </c>
      <c r="G246">
        <f ca="1">IF(H246&gt;I246,D246,0)</f>
        <v>25.62</v>
      </c>
      <c r="H246">
        <f ca="1">INDEX(INDIRECT(""&amp;C246&amp;"!A2:A489"),MATCH(B246,INDIRECT(""&amp;C246&amp;"!B2:B489"),0))</f>
        <v>102</v>
      </c>
      <c r="I246">
        <f>IF(C246="RB",LeagueInfo!$D$4*LeagueInfo!$F$2,LeagueInfo!$D$5*LeagueInfo!$F$2)</f>
        <v>24</v>
      </c>
    </row>
    <row r="247" spans="1:9" x14ac:dyDescent="0.25">
      <c r="A247">
        <f ca="1">RANK(E247,E$2:E$349)</f>
        <v>246</v>
      </c>
      <c r="B247" t="s">
        <v>2463</v>
      </c>
      <c r="C247" t="s">
        <v>28</v>
      </c>
      <c r="D247">
        <f ca="1">INDEX(INDIRECT($C247&amp;"!P:P"),MATCH($B247,INDIRECT($C247&amp;"!B:B"),0))</f>
        <v>25.580000000000005</v>
      </c>
      <c r="E247" s="6">
        <f ca="1">D247-LARGE(D$2:D$292,RBCount+WRCount)</f>
        <v>-83.12</v>
      </c>
      <c r="F247" t="str">
        <f ca="1">IF(H247&lt;=I247,"Starter",IF(G247&gt;=LARGE(G:G,FlexOn*LeagueInfo!$F$2),"Starter","Bench"))</f>
        <v>Bench</v>
      </c>
      <c r="G247">
        <f ca="1">IF(H247&gt;I247,D247,0)</f>
        <v>25.580000000000005</v>
      </c>
      <c r="H247">
        <f ca="1">INDEX(INDIRECT(""&amp;C247&amp;"!A2:A489"),MATCH(B247,INDIRECT(""&amp;C247&amp;"!B2:B489"),0))</f>
        <v>103</v>
      </c>
      <c r="I247">
        <f>IF(C247="RB",LeagueInfo!$D$4*LeagueInfo!$F$2,LeagueInfo!$D$5*LeagueInfo!$F$2)</f>
        <v>24</v>
      </c>
    </row>
    <row r="248" spans="1:9" x14ac:dyDescent="0.25">
      <c r="A248">
        <f ca="1">RANK(E248,E$2:E$349)</f>
        <v>247</v>
      </c>
      <c r="B248" t="s">
        <v>692</v>
      </c>
      <c r="C248" t="s">
        <v>28</v>
      </c>
      <c r="D248">
        <f ca="1">INDEX(INDIRECT($C248&amp;"!P:P"),MATCH($B248,INDIRECT($C248&amp;"!B:B"),0))</f>
        <v>25.419999999999998</v>
      </c>
      <c r="E248" s="6">
        <f ca="1">D248-LARGE(D$2:D$292,RBCount+WRCount)</f>
        <v>-83.28</v>
      </c>
      <c r="F248" t="str">
        <f ca="1">IF(H248&lt;=I248,"Starter",IF(G248&gt;=LARGE(G:G,FlexOn*LeagueInfo!$F$2),"Starter","Bench"))</f>
        <v>Bench</v>
      </c>
      <c r="G248">
        <f ca="1">IF(H248&gt;I248,D248,0)</f>
        <v>25.419999999999998</v>
      </c>
      <c r="H248">
        <f ca="1">INDEX(INDIRECT(""&amp;C248&amp;"!A2:A489"),MATCH(B248,INDIRECT(""&amp;C248&amp;"!B2:B489"),0))</f>
        <v>104</v>
      </c>
      <c r="I248">
        <f>IF(C248="RB",LeagueInfo!$D$4*LeagueInfo!$F$2,LeagueInfo!$D$5*LeagueInfo!$F$2)</f>
        <v>24</v>
      </c>
    </row>
    <row r="249" spans="1:9" x14ac:dyDescent="0.25">
      <c r="A249">
        <f ca="1">RANK(E249,E$2:E$349)</f>
        <v>248</v>
      </c>
      <c r="B249" t="s">
        <v>2618</v>
      </c>
      <c r="C249" t="s">
        <v>28</v>
      </c>
      <c r="D249">
        <f ca="1">INDEX(INDIRECT($C249&amp;"!P:P"),MATCH($B249,INDIRECT($C249&amp;"!B:B"),0))</f>
        <v>25.410000000000004</v>
      </c>
      <c r="E249" s="6">
        <f ca="1">D249-LARGE(D$2:D$292,RBCount+WRCount)</f>
        <v>-83.289999999999992</v>
      </c>
      <c r="F249" t="str">
        <f ca="1">IF(H249&lt;=I249,"Starter",IF(G249&gt;=LARGE(G:G,FlexOn*LeagueInfo!$F$2),"Starter","Bench"))</f>
        <v>Bench</v>
      </c>
      <c r="G249">
        <f ca="1">IF(H249&gt;I249,D249,0)</f>
        <v>25.410000000000004</v>
      </c>
      <c r="H249">
        <f ca="1">INDEX(INDIRECT(""&amp;C249&amp;"!A2:A489"),MATCH(B249,INDIRECT(""&amp;C249&amp;"!B2:B489"),0))</f>
        <v>105</v>
      </c>
      <c r="I249">
        <f>IF(C249="RB",LeagueInfo!$D$4*LeagueInfo!$F$2,LeagueInfo!$D$5*LeagueInfo!$F$2)</f>
        <v>24</v>
      </c>
    </row>
    <row r="250" spans="1:9" x14ac:dyDescent="0.25">
      <c r="A250">
        <f ca="1">RANK(E250,E$2:E$349)</f>
        <v>249</v>
      </c>
      <c r="B250" t="s">
        <v>542</v>
      </c>
      <c r="C250" t="s">
        <v>28</v>
      </c>
      <c r="D250">
        <f ca="1">INDEX(INDIRECT($C250&amp;"!P:P"),MATCH($B250,INDIRECT($C250&amp;"!B:B"),0))</f>
        <v>25.119999999999997</v>
      </c>
      <c r="E250" s="6">
        <f ca="1">D250-LARGE(D$2:D$292,RBCount+WRCount)</f>
        <v>-83.580000000000013</v>
      </c>
      <c r="F250" t="str">
        <f ca="1">IF(H250&lt;=I250,"Starter",IF(G250&gt;=LARGE(G:G,FlexOn*LeagueInfo!$F$2),"Starter","Bench"))</f>
        <v>Bench</v>
      </c>
      <c r="G250">
        <f ca="1">IF(H250&gt;I250,D250,0)</f>
        <v>25.119999999999997</v>
      </c>
      <c r="H250">
        <f ca="1">INDEX(INDIRECT(""&amp;C250&amp;"!A2:A489"),MATCH(B250,INDIRECT(""&amp;C250&amp;"!B2:B489"),0))</f>
        <v>106</v>
      </c>
      <c r="I250">
        <f>IF(C250="RB",LeagueInfo!$D$4*LeagueInfo!$F$2,LeagueInfo!$D$5*LeagueInfo!$F$2)</f>
        <v>24</v>
      </c>
    </row>
    <row r="251" spans="1:9" x14ac:dyDescent="0.25">
      <c r="A251">
        <f ca="1">RANK(E251,E$2:E$349)</f>
        <v>250</v>
      </c>
      <c r="B251" t="s">
        <v>912</v>
      </c>
      <c r="C251" t="s">
        <v>35</v>
      </c>
      <c r="D251">
        <f ca="1">INDEX(INDIRECT($C251&amp;"!P:P"),MATCH($B251,INDIRECT($C251&amp;"!B:B"),0))</f>
        <v>25.080000000000002</v>
      </c>
      <c r="E251" s="6">
        <f ca="1">D251-LARGE(D$2:D$292,RBCount+WRCount)</f>
        <v>-83.62</v>
      </c>
      <c r="F251" t="str">
        <f ca="1">IF(H251&lt;=I251,"Starter",IF(G251&gt;=LARGE(G:G,FlexOn*LeagueInfo!$F$2),"Starter","Bench"))</f>
        <v>Bench</v>
      </c>
      <c r="G251">
        <f ca="1">IF(H251&gt;I251,D251,0)</f>
        <v>25.080000000000002</v>
      </c>
      <c r="H251">
        <f ca="1">INDEX(INDIRECT(""&amp;C251&amp;"!A2:A489"),MATCH(B251,INDIRECT(""&amp;C251&amp;"!B2:B489"),0))</f>
        <v>144</v>
      </c>
      <c r="I251">
        <f>IF(C251="RB",LeagueInfo!$D$4*LeagueInfo!$F$2,LeagueInfo!$D$5*LeagueInfo!$F$2)</f>
        <v>24</v>
      </c>
    </row>
    <row r="252" spans="1:9" x14ac:dyDescent="0.25">
      <c r="A252">
        <f ca="1">RANK(E252,E$2:E$349)</f>
        <v>251</v>
      </c>
      <c r="B252" t="s">
        <v>733</v>
      </c>
      <c r="C252" t="s">
        <v>35</v>
      </c>
      <c r="D252">
        <f ca="1">INDEX(INDIRECT($C252&amp;"!P:P"),MATCH($B252,INDIRECT($C252&amp;"!B:B"),0))</f>
        <v>24.690000000000005</v>
      </c>
      <c r="E252" s="6">
        <f ca="1">D252-LARGE(D$2:D$292,RBCount+WRCount)</f>
        <v>-84.009999999999991</v>
      </c>
      <c r="F252" t="str">
        <f ca="1">IF(H252&lt;=I252,"Starter",IF(G252&gt;=LARGE(G:G,FlexOn*LeagueInfo!$F$2),"Starter","Bench"))</f>
        <v>Bench</v>
      </c>
      <c r="G252">
        <f ca="1">IF(H252&gt;I252,D252,0)</f>
        <v>24.690000000000005</v>
      </c>
      <c r="H252">
        <f ca="1">INDEX(INDIRECT(""&amp;C252&amp;"!A2:A489"),MATCH(B252,INDIRECT(""&amp;C252&amp;"!B2:B489"),0))</f>
        <v>145</v>
      </c>
      <c r="I252">
        <f>IF(C252="RB",LeagueInfo!$D$4*LeagueInfo!$F$2,LeagueInfo!$D$5*LeagueInfo!$F$2)</f>
        <v>24</v>
      </c>
    </row>
    <row r="253" spans="1:9" x14ac:dyDescent="0.25">
      <c r="A253">
        <f ca="1">RANK(E253,E$2:E$349)</f>
        <v>252</v>
      </c>
      <c r="B253" t="s">
        <v>682</v>
      </c>
      <c r="C253" t="s">
        <v>28</v>
      </c>
      <c r="D253">
        <f ca="1">INDEX(INDIRECT($C253&amp;"!P:P"),MATCH($B253,INDIRECT($C253&amp;"!B:B"),0))</f>
        <v>24.67</v>
      </c>
      <c r="E253" s="6">
        <f ca="1">D253-LARGE(D$2:D$292,RBCount+WRCount)</f>
        <v>-84.03</v>
      </c>
      <c r="F253" t="str">
        <f ca="1">IF(H253&lt;=I253,"Starter",IF(G253&gt;=LARGE(G:G,FlexOn*LeagueInfo!$F$2),"Starter","Bench"))</f>
        <v>Bench</v>
      </c>
      <c r="G253">
        <f ca="1">IF(H253&gt;I253,D253,0)</f>
        <v>24.67</v>
      </c>
      <c r="H253">
        <f ca="1">INDEX(INDIRECT(""&amp;C253&amp;"!A2:A489"),MATCH(B253,INDIRECT(""&amp;C253&amp;"!B2:B489"),0))</f>
        <v>107</v>
      </c>
      <c r="I253">
        <f>IF(C253="RB",LeagueInfo!$D$4*LeagueInfo!$F$2,LeagueInfo!$D$5*LeagueInfo!$F$2)</f>
        <v>24</v>
      </c>
    </row>
    <row r="254" spans="1:9" x14ac:dyDescent="0.25">
      <c r="A254">
        <f ca="1">RANK(E254,E$2:E$349)</f>
        <v>253</v>
      </c>
      <c r="B254" t="s">
        <v>888</v>
      </c>
      <c r="C254" t="s">
        <v>28</v>
      </c>
      <c r="D254">
        <f ca="1">INDEX(INDIRECT($C254&amp;"!P:P"),MATCH($B254,INDIRECT($C254&amp;"!B:B"),0))</f>
        <v>23.54</v>
      </c>
      <c r="E254" s="6">
        <f ca="1">D254-LARGE(D$2:D$292,RBCount+WRCount)</f>
        <v>-85.16</v>
      </c>
      <c r="F254" t="str">
        <f ca="1">IF(H254&lt;=I254,"Starter",IF(G254&gt;=LARGE(G:G,FlexOn*LeagueInfo!$F$2),"Starter","Bench"))</f>
        <v>Bench</v>
      </c>
      <c r="G254">
        <f ca="1">IF(H254&gt;I254,D254,0)</f>
        <v>23.54</v>
      </c>
      <c r="H254">
        <f ca="1">INDEX(INDIRECT(""&amp;C254&amp;"!A2:A489"),MATCH(B254,INDIRECT(""&amp;C254&amp;"!B2:B489"),0))</f>
        <v>108</v>
      </c>
      <c r="I254">
        <f>IF(C254="RB",LeagueInfo!$D$4*LeagueInfo!$F$2,LeagueInfo!$D$5*LeagueInfo!$F$2)</f>
        <v>24</v>
      </c>
    </row>
    <row r="255" spans="1:9" x14ac:dyDescent="0.25">
      <c r="A255">
        <f ca="1">RANK(E255,E$2:E$349)</f>
        <v>254</v>
      </c>
      <c r="B255" t="s">
        <v>2436</v>
      </c>
      <c r="C255" t="s">
        <v>35</v>
      </c>
      <c r="D255">
        <f ca="1">INDEX(INDIRECT($C255&amp;"!P:P"),MATCH($B255,INDIRECT($C255&amp;"!B:B"),0))</f>
        <v>23.480000000000004</v>
      </c>
      <c r="E255" s="6">
        <f ca="1">D255-LARGE(D$2:D$292,RBCount+WRCount)</f>
        <v>-85.22</v>
      </c>
      <c r="F255" t="str">
        <f ca="1">IF(H255&lt;=I255,"Starter",IF(G255&gt;=LARGE(G:G,FlexOn*LeagueInfo!$F$2),"Starter","Bench"))</f>
        <v>Bench</v>
      </c>
      <c r="G255">
        <f ca="1">IF(H255&gt;I255,D255,0)</f>
        <v>23.480000000000004</v>
      </c>
      <c r="H255">
        <f ca="1">INDEX(INDIRECT(""&amp;C255&amp;"!A2:A489"),MATCH(B255,INDIRECT(""&amp;C255&amp;"!B2:B489"),0))</f>
        <v>146</v>
      </c>
      <c r="I255">
        <f>IF(C255="RB",LeagueInfo!$D$4*LeagueInfo!$F$2,LeagueInfo!$D$5*LeagueInfo!$F$2)</f>
        <v>24</v>
      </c>
    </row>
    <row r="256" spans="1:9" x14ac:dyDescent="0.25">
      <c r="A256">
        <f ca="1">RANK(E256,E$2:E$349)</f>
        <v>255</v>
      </c>
      <c r="B256" t="s">
        <v>2675</v>
      </c>
      <c r="C256" t="s">
        <v>35</v>
      </c>
      <c r="D256">
        <f ca="1">INDEX(INDIRECT($C256&amp;"!P:P"),MATCH($B256,INDIRECT($C256&amp;"!B:B"),0))</f>
        <v>23.009999999999998</v>
      </c>
      <c r="E256" s="6">
        <f ca="1">D256-LARGE(D$2:D$292,RBCount+WRCount)</f>
        <v>-85.69</v>
      </c>
      <c r="F256" t="str">
        <f ca="1">IF(H256&lt;=I256,"Starter",IF(G256&gt;=LARGE(G:G,FlexOn*LeagueInfo!$F$2),"Starter","Bench"))</f>
        <v>Bench</v>
      </c>
      <c r="G256">
        <f ca="1">IF(H256&gt;I256,D256,0)</f>
        <v>23.009999999999998</v>
      </c>
      <c r="H256">
        <f ca="1">INDEX(INDIRECT(""&amp;C256&amp;"!A2:A489"),MATCH(B256,INDIRECT(""&amp;C256&amp;"!B2:B489"),0))</f>
        <v>147</v>
      </c>
      <c r="I256">
        <f>IF(C256="RB",LeagueInfo!$D$4*LeagueInfo!$F$2,LeagueInfo!$D$5*LeagueInfo!$F$2)</f>
        <v>24</v>
      </c>
    </row>
    <row r="257" spans="1:9" x14ac:dyDescent="0.25">
      <c r="A257">
        <f ca="1">RANK(E257,E$2:E$349)</f>
        <v>256</v>
      </c>
      <c r="B257" t="s">
        <v>2431</v>
      </c>
      <c r="C257" t="s">
        <v>35</v>
      </c>
      <c r="D257">
        <f ca="1">INDEX(INDIRECT($C257&amp;"!P:P"),MATCH($B257,INDIRECT($C257&amp;"!B:B"),0))</f>
        <v>22.91</v>
      </c>
      <c r="E257" s="6">
        <f ca="1">D257-LARGE(D$2:D$292,RBCount+WRCount)</f>
        <v>-85.79</v>
      </c>
      <c r="F257" t="str">
        <f ca="1">IF(H257&lt;=I257,"Starter",IF(G257&gt;=LARGE(G:G,FlexOn*LeagueInfo!$F$2),"Starter","Bench"))</f>
        <v>Bench</v>
      </c>
      <c r="G257">
        <f ca="1">IF(H257&gt;I257,D257,0)</f>
        <v>22.91</v>
      </c>
      <c r="H257">
        <f ca="1">INDEX(INDIRECT(""&amp;C257&amp;"!A2:A489"),MATCH(B257,INDIRECT(""&amp;C257&amp;"!B2:B489"),0))</f>
        <v>148</v>
      </c>
      <c r="I257">
        <f>IF(C257="RB",LeagueInfo!$D$4*LeagueInfo!$F$2,LeagueInfo!$D$5*LeagueInfo!$F$2)</f>
        <v>24</v>
      </c>
    </row>
    <row r="258" spans="1:9" x14ac:dyDescent="0.25">
      <c r="A258">
        <f ca="1">RANK(E258,E$2:E$349)</f>
        <v>256</v>
      </c>
      <c r="B258" t="s">
        <v>869</v>
      </c>
      <c r="C258" t="s">
        <v>35</v>
      </c>
      <c r="D258">
        <f ca="1">INDEX(INDIRECT($C258&amp;"!P:P"),MATCH($B258,INDIRECT($C258&amp;"!B:B"),0))</f>
        <v>22.91</v>
      </c>
      <c r="E258" s="6">
        <f ca="1">D258-LARGE(D$2:D$292,RBCount+WRCount)</f>
        <v>-85.79</v>
      </c>
      <c r="F258" t="str">
        <f ca="1">IF(H258&lt;=I258,"Starter",IF(G258&gt;=LARGE(G:G,FlexOn*LeagueInfo!$F$2),"Starter","Bench"))</f>
        <v>Bench</v>
      </c>
      <c r="G258">
        <f ca="1">IF(H258&gt;I258,D258,0)</f>
        <v>22.91</v>
      </c>
      <c r="H258">
        <f ca="1">INDEX(INDIRECT(""&amp;C258&amp;"!A2:A489"),MATCH(B258,INDIRECT(""&amp;C258&amp;"!B2:B489"),0))</f>
        <v>148</v>
      </c>
      <c r="I258">
        <f>IF(C258="RB",LeagueInfo!$D$4*LeagueInfo!$F$2,LeagueInfo!$D$5*LeagueInfo!$F$2)</f>
        <v>24</v>
      </c>
    </row>
    <row r="259" spans="1:9" x14ac:dyDescent="0.25">
      <c r="A259">
        <f ca="1">RANK(E259,E$2:E$349)</f>
        <v>258</v>
      </c>
      <c r="B259" t="s">
        <v>937</v>
      </c>
      <c r="C259" t="s">
        <v>28</v>
      </c>
      <c r="D259">
        <f ca="1">INDEX(INDIRECT($C259&amp;"!P:P"),MATCH($B259,INDIRECT($C259&amp;"!B:B"),0))</f>
        <v>22.720000000000006</v>
      </c>
      <c r="E259" s="6">
        <f ca="1">D259-LARGE(D$2:D$292,RBCount+WRCount)</f>
        <v>-85.97999999999999</v>
      </c>
      <c r="F259" t="str">
        <f ca="1">IF(H259&lt;=I259,"Starter",IF(G259&gt;=LARGE(G:G,FlexOn*LeagueInfo!$F$2),"Starter","Bench"))</f>
        <v>Bench</v>
      </c>
      <c r="G259">
        <f ca="1">IF(H259&gt;I259,D259,0)</f>
        <v>22.720000000000006</v>
      </c>
      <c r="H259">
        <f ca="1">INDEX(INDIRECT(""&amp;C259&amp;"!A2:A489"),MATCH(B259,INDIRECT(""&amp;C259&amp;"!B2:B489"),0))</f>
        <v>109</v>
      </c>
      <c r="I259">
        <f>IF(C259="RB",LeagueInfo!$D$4*LeagueInfo!$F$2,LeagueInfo!$D$5*LeagueInfo!$F$2)</f>
        <v>24</v>
      </c>
    </row>
    <row r="260" spans="1:9" x14ac:dyDescent="0.25">
      <c r="A260">
        <f ca="1">RANK(E260,E$2:E$349)</f>
        <v>259</v>
      </c>
      <c r="B260" t="s">
        <v>966</v>
      </c>
      <c r="C260" t="s">
        <v>35</v>
      </c>
      <c r="D260">
        <f ca="1">INDEX(INDIRECT($C260&amp;"!P:P"),MATCH($B260,INDIRECT($C260&amp;"!B:B"),0))</f>
        <v>22.680000000000003</v>
      </c>
      <c r="E260" s="6">
        <f ca="1">D260-LARGE(D$2:D$292,RBCount+WRCount)</f>
        <v>-86.02</v>
      </c>
      <c r="F260" t="str">
        <f ca="1">IF(H260&lt;=I260,"Starter",IF(G260&gt;=LARGE(G:G,FlexOn*LeagueInfo!$F$2),"Starter","Bench"))</f>
        <v>Bench</v>
      </c>
      <c r="G260">
        <f ca="1">IF(H260&gt;I260,D260,0)</f>
        <v>22.680000000000003</v>
      </c>
      <c r="H260">
        <f ca="1">INDEX(INDIRECT(""&amp;C260&amp;"!A2:A489"),MATCH(B260,INDIRECT(""&amp;C260&amp;"!B2:B489"),0))</f>
        <v>150</v>
      </c>
      <c r="I260">
        <f>IF(C260="RB",LeagueInfo!$D$4*LeagueInfo!$F$2,LeagueInfo!$D$5*LeagueInfo!$F$2)</f>
        <v>24</v>
      </c>
    </row>
    <row r="261" spans="1:9" x14ac:dyDescent="0.25">
      <c r="A261">
        <f ca="1">RANK(E261,E$2:E$349)</f>
        <v>259</v>
      </c>
      <c r="B261" t="s">
        <v>735</v>
      </c>
      <c r="C261" t="s">
        <v>35</v>
      </c>
      <c r="D261">
        <f ca="1">INDEX(INDIRECT($C261&amp;"!P:P"),MATCH($B261,INDIRECT($C261&amp;"!B:B"),0))</f>
        <v>22.680000000000003</v>
      </c>
      <c r="E261" s="6">
        <f ca="1">D261-LARGE(D$2:D$292,RBCount+WRCount)</f>
        <v>-86.02</v>
      </c>
      <c r="F261" t="str">
        <f ca="1">IF(H261&lt;=I261,"Starter",IF(G261&gt;=LARGE(G:G,FlexOn*LeagueInfo!$F$2),"Starter","Bench"))</f>
        <v>Bench</v>
      </c>
      <c r="G261">
        <f ca="1">IF(H261&gt;I261,D261,0)</f>
        <v>22.680000000000003</v>
      </c>
      <c r="H261">
        <f ca="1">INDEX(INDIRECT(""&amp;C261&amp;"!A2:A489"),MATCH(B261,INDIRECT(""&amp;C261&amp;"!B2:B489"),0))</f>
        <v>150</v>
      </c>
      <c r="I261">
        <f>IF(C261="RB",LeagueInfo!$D$4*LeagueInfo!$F$2,LeagueInfo!$D$5*LeagueInfo!$F$2)</f>
        <v>24</v>
      </c>
    </row>
    <row r="262" spans="1:9" x14ac:dyDescent="0.25">
      <c r="A262">
        <f ca="1">RANK(E262,E$2:E$349)</f>
        <v>261</v>
      </c>
      <c r="B262" t="s">
        <v>2458</v>
      </c>
      <c r="C262" t="s">
        <v>35</v>
      </c>
      <c r="D262">
        <f ca="1">INDEX(INDIRECT($C262&amp;"!P:P"),MATCH($B262,INDIRECT($C262&amp;"!B:B"),0))</f>
        <v>22.51</v>
      </c>
      <c r="E262" s="6">
        <f ca="1">D262-LARGE(D$2:D$292,RBCount+WRCount)</f>
        <v>-86.19</v>
      </c>
      <c r="F262" t="str">
        <f ca="1">IF(H262&lt;=I262,"Starter",IF(G262&gt;=LARGE(G:G,FlexOn*LeagueInfo!$F$2),"Starter","Bench"))</f>
        <v>Bench</v>
      </c>
      <c r="G262">
        <f ca="1">IF(H262&gt;I262,D262,0)</f>
        <v>22.51</v>
      </c>
      <c r="H262">
        <f ca="1">INDEX(INDIRECT(""&amp;C262&amp;"!A2:A489"),MATCH(B262,INDIRECT(""&amp;C262&amp;"!B2:B489"),0))</f>
        <v>152</v>
      </c>
      <c r="I262">
        <f>IF(C262="RB",LeagueInfo!$D$4*LeagueInfo!$F$2,LeagueInfo!$D$5*LeagueInfo!$F$2)</f>
        <v>24</v>
      </c>
    </row>
    <row r="263" spans="1:9" x14ac:dyDescent="0.25">
      <c r="A263">
        <f ca="1">RANK(E263,E$2:E$349)</f>
        <v>262</v>
      </c>
      <c r="B263" t="s">
        <v>1028</v>
      </c>
      <c r="C263" t="s">
        <v>35</v>
      </c>
      <c r="D263">
        <f ca="1">INDEX(INDIRECT($C263&amp;"!P:P"),MATCH($B263,INDIRECT($C263&amp;"!B:B"),0))</f>
        <v>22.39</v>
      </c>
      <c r="E263" s="6">
        <f ca="1">D263-LARGE(D$2:D$292,RBCount+WRCount)</f>
        <v>-86.31</v>
      </c>
      <c r="F263" t="str">
        <f ca="1">IF(H263&lt;=I263,"Starter",IF(G263&gt;=LARGE(G:G,FlexOn*LeagueInfo!$F$2),"Starter","Bench"))</f>
        <v>Bench</v>
      </c>
      <c r="G263">
        <f ca="1">IF(H263&gt;I263,D263,0)</f>
        <v>22.39</v>
      </c>
      <c r="H263">
        <f ca="1">INDEX(INDIRECT(""&amp;C263&amp;"!A2:A489"),MATCH(B263,INDIRECT(""&amp;C263&amp;"!B2:B489"),0))</f>
        <v>153</v>
      </c>
      <c r="I263">
        <f>IF(C263="RB",LeagueInfo!$D$4*LeagueInfo!$F$2,LeagueInfo!$D$5*LeagueInfo!$F$2)</f>
        <v>24</v>
      </c>
    </row>
    <row r="264" spans="1:9" x14ac:dyDescent="0.25">
      <c r="A264">
        <f ca="1">RANK(E264,E$2:E$349)</f>
        <v>263</v>
      </c>
      <c r="B264" t="s">
        <v>998</v>
      </c>
      <c r="C264" t="s">
        <v>35</v>
      </c>
      <c r="D264">
        <f ca="1">INDEX(INDIRECT($C264&amp;"!P:P"),MATCH($B264,INDIRECT($C264&amp;"!B:B"),0))</f>
        <v>21.62</v>
      </c>
      <c r="E264" s="6">
        <f ca="1">D264-LARGE(D$2:D$292,RBCount+WRCount)</f>
        <v>-87.08</v>
      </c>
      <c r="F264" t="str">
        <f ca="1">IF(H264&lt;=I264,"Starter",IF(G264&gt;=LARGE(G:G,FlexOn*LeagueInfo!$F$2),"Starter","Bench"))</f>
        <v>Bench</v>
      </c>
      <c r="G264">
        <f ca="1">IF(H264&gt;I264,D264,0)</f>
        <v>21.62</v>
      </c>
      <c r="H264">
        <f ca="1">INDEX(INDIRECT(""&amp;C264&amp;"!A2:A489"),MATCH(B264,INDIRECT(""&amp;C264&amp;"!B2:B489"),0))</f>
        <v>154</v>
      </c>
      <c r="I264">
        <f>IF(C264="RB",LeagueInfo!$D$4*LeagueInfo!$F$2,LeagueInfo!$D$5*LeagueInfo!$F$2)</f>
        <v>24</v>
      </c>
    </row>
    <row r="265" spans="1:9" x14ac:dyDescent="0.25">
      <c r="A265">
        <f ca="1">RANK(E265,E$2:E$349)</f>
        <v>264</v>
      </c>
      <c r="B265" t="s">
        <v>968</v>
      </c>
      <c r="C265" t="s">
        <v>35</v>
      </c>
      <c r="D265">
        <f ca="1">INDEX(INDIRECT($C265&amp;"!P:P"),MATCH($B265,INDIRECT($C265&amp;"!B:B"),0))</f>
        <v>21.470000000000002</v>
      </c>
      <c r="E265" s="6">
        <f ca="1">D265-LARGE(D$2:D$292,RBCount+WRCount)</f>
        <v>-87.23</v>
      </c>
      <c r="F265" t="str">
        <f ca="1">IF(H265&lt;=I265,"Starter",IF(G265&gt;=LARGE(G:G,FlexOn*LeagueInfo!$F$2),"Starter","Bench"))</f>
        <v>Bench</v>
      </c>
      <c r="G265">
        <f ca="1">IF(H265&gt;I265,D265,0)</f>
        <v>21.470000000000002</v>
      </c>
      <c r="H265">
        <f ca="1">INDEX(INDIRECT(""&amp;C265&amp;"!A2:A489"),MATCH(B265,INDIRECT(""&amp;C265&amp;"!B2:B489"),0))</f>
        <v>155</v>
      </c>
      <c r="I265">
        <f>IF(C265="RB",LeagueInfo!$D$4*LeagueInfo!$F$2,LeagueInfo!$D$5*LeagueInfo!$F$2)</f>
        <v>24</v>
      </c>
    </row>
    <row r="266" spans="1:9" x14ac:dyDescent="0.25">
      <c r="A266">
        <f ca="1">RANK(E266,E$2:E$349)</f>
        <v>265</v>
      </c>
      <c r="B266" t="s">
        <v>2433</v>
      </c>
      <c r="C266" t="s">
        <v>35</v>
      </c>
      <c r="D266">
        <f ca="1">INDEX(INDIRECT($C266&amp;"!P:P"),MATCH($B266,INDIRECT($C266&amp;"!B:B"),0))</f>
        <v>21.3</v>
      </c>
      <c r="E266" s="6">
        <f ca="1">D266-LARGE(D$2:D$292,RBCount+WRCount)</f>
        <v>-87.4</v>
      </c>
      <c r="F266" t="str">
        <f ca="1">IF(H266&lt;=I266,"Starter",IF(G266&gt;=LARGE(G:G,FlexOn*LeagueInfo!$F$2),"Starter","Bench"))</f>
        <v>Bench</v>
      </c>
      <c r="G266">
        <f ca="1">IF(H266&gt;I266,D266,0)</f>
        <v>21.3</v>
      </c>
      <c r="H266">
        <f ca="1">INDEX(INDIRECT(""&amp;C266&amp;"!A2:A489"),MATCH(B266,INDIRECT(""&amp;C266&amp;"!B2:B489"),0))</f>
        <v>156</v>
      </c>
      <c r="I266">
        <f>IF(C266="RB",LeagueInfo!$D$4*LeagueInfo!$F$2,LeagueInfo!$D$5*LeagueInfo!$F$2)</f>
        <v>24</v>
      </c>
    </row>
    <row r="267" spans="1:9" x14ac:dyDescent="0.25">
      <c r="A267">
        <f ca="1">RANK(E267,E$2:E$349)</f>
        <v>266</v>
      </c>
      <c r="B267" t="s">
        <v>2438</v>
      </c>
      <c r="C267" t="s">
        <v>35</v>
      </c>
      <c r="D267">
        <f ca="1">INDEX(INDIRECT($C267&amp;"!P:P"),MATCH($B267,INDIRECT($C267&amp;"!B:B"),0))</f>
        <v>21.09</v>
      </c>
      <c r="E267" s="6">
        <f ca="1">D267-LARGE(D$2:D$292,RBCount+WRCount)</f>
        <v>-87.61</v>
      </c>
      <c r="F267" t="str">
        <f ca="1">IF(H267&lt;=I267,"Starter",IF(G267&gt;=LARGE(G:G,FlexOn*LeagueInfo!$F$2),"Starter","Bench"))</f>
        <v>Bench</v>
      </c>
      <c r="G267">
        <f ca="1">IF(H267&gt;I267,D267,0)</f>
        <v>21.09</v>
      </c>
      <c r="H267">
        <f ca="1">INDEX(INDIRECT(""&amp;C267&amp;"!A2:A489"),MATCH(B267,INDIRECT(""&amp;C267&amp;"!B2:B489"),0))</f>
        <v>157</v>
      </c>
      <c r="I267">
        <f>IF(C267="RB",LeagueInfo!$D$4*LeagueInfo!$F$2,LeagueInfo!$D$5*LeagueInfo!$F$2)</f>
        <v>24</v>
      </c>
    </row>
    <row r="268" spans="1:9" x14ac:dyDescent="0.25">
      <c r="A268">
        <f ca="1">RANK(E268,E$2:E$349)</f>
        <v>267</v>
      </c>
      <c r="B268" t="s">
        <v>2458</v>
      </c>
      <c r="C268" t="s">
        <v>28</v>
      </c>
      <c r="D268">
        <f ca="1">INDEX(INDIRECT($C268&amp;"!P:P"),MATCH($B268,INDIRECT($C268&amp;"!B:B"),0))</f>
        <v>20.94</v>
      </c>
      <c r="E268" s="6">
        <f ca="1">D268-LARGE(D$2:D$292,RBCount+WRCount)</f>
        <v>-87.76</v>
      </c>
      <c r="F268" t="str">
        <f ca="1">IF(H268&lt;=I268,"Starter",IF(G268&gt;=LARGE(G:G,FlexOn*LeagueInfo!$F$2),"Starter","Bench"))</f>
        <v>Bench</v>
      </c>
      <c r="G268">
        <f ca="1">IF(H268&gt;I268,D268,0)</f>
        <v>20.94</v>
      </c>
      <c r="H268">
        <f ca="1">INDEX(INDIRECT(""&amp;C268&amp;"!A2:A489"),MATCH(B268,INDIRECT(""&amp;C268&amp;"!B2:B489"),0))</f>
        <v>110</v>
      </c>
      <c r="I268">
        <f>IF(C268="RB",LeagueInfo!$D$4*LeagueInfo!$F$2,LeagueInfo!$D$5*LeagueInfo!$F$2)</f>
        <v>24</v>
      </c>
    </row>
    <row r="269" spans="1:9" x14ac:dyDescent="0.25">
      <c r="A269">
        <f ca="1">RANK(E269,E$2:E$349)</f>
        <v>268</v>
      </c>
      <c r="B269" t="s">
        <v>737</v>
      </c>
      <c r="C269" t="s">
        <v>35</v>
      </c>
      <c r="D269">
        <f ca="1">INDEX(INDIRECT($C269&amp;"!P:P"),MATCH($B269,INDIRECT($C269&amp;"!B:B"),0))</f>
        <v>20.9</v>
      </c>
      <c r="E269" s="6">
        <f ca="1">D269-LARGE(D$2:D$292,RBCount+WRCount)</f>
        <v>-87.800000000000011</v>
      </c>
      <c r="F269" t="str">
        <f ca="1">IF(H269&lt;=I269,"Starter",IF(G269&gt;=LARGE(G:G,FlexOn*LeagueInfo!$F$2),"Starter","Bench"))</f>
        <v>Bench</v>
      </c>
      <c r="G269">
        <f ca="1">IF(H269&gt;I269,D269,0)</f>
        <v>20.9</v>
      </c>
      <c r="H269">
        <f ca="1">INDEX(INDIRECT(""&amp;C269&amp;"!A2:A489"),MATCH(B269,INDIRECT(""&amp;C269&amp;"!B2:B489"),0))</f>
        <v>158</v>
      </c>
      <c r="I269">
        <f>IF(C269="RB",LeagueInfo!$D$4*LeagueInfo!$F$2,LeagueInfo!$D$5*LeagueInfo!$F$2)</f>
        <v>24</v>
      </c>
    </row>
    <row r="270" spans="1:9" x14ac:dyDescent="0.25">
      <c r="A270">
        <f ca="1">RANK(E270,E$2:E$349)</f>
        <v>269</v>
      </c>
      <c r="B270" t="s">
        <v>2461</v>
      </c>
      <c r="C270" t="s">
        <v>28</v>
      </c>
      <c r="D270">
        <f ca="1">INDEX(INDIRECT($C270&amp;"!P:P"),MATCH($B270,INDIRECT($C270&amp;"!B:B"),0))</f>
        <v>20.89</v>
      </c>
      <c r="E270" s="6">
        <f ca="1">D270-LARGE(D$2:D$292,RBCount+WRCount)</f>
        <v>-87.81</v>
      </c>
      <c r="F270" t="str">
        <f ca="1">IF(H270&lt;=I270,"Starter",IF(G270&gt;=LARGE(G:G,FlexOn*LeagueInfo!$F$2),"Starter","Bench"))</f>
        <v>Bench</v>
      </c>
      <c r="G270">
        <f ca="1">IF(H270&gt;I270,D270,0)</f>
        <v>20.89</v>
      </c>
      <c r="H270">
        <f ca="1">INDEX(INDIRECT(""&amp;C270&amp;"!A2:A489"),MATCH(B270,INDIRECT(""&amp;C270&amp;"!B2:B489"),0))</f>
        <v>111</v>
      </c>
      <c r="I270">
        <f>IF(C270="RB",LeagueInfo!$D$4*LeagueInfo!$F$2,LeagueInfo!$D$5*LeagueInfo!$F$2)</f>
        <v>24</v>
      </c>
    </row>
    <row r="271" spans="1:9" x14ac:dyDescent="0.25">
      <c r="A271">
        <f ca="1">RANK(E271,E$2:E$349)</f>
        <v>270</v>
      </c>
      <c r="B271" t="s">
        <v>2469</v>
      </c>
      <c r="C271" t="s">
        <v>28</v>
      </c>
      <c r="D271">
        <f ca="1">INDEX(INDIRECT($C271&amp;"!P:P"),MATCH($B271,INDIRECT($C271&amp;"!B:B"),0))</f>
        <v>20.82</v>
      </c>
      <c r="E271" s="6">
        <f ca="1">D271-LARGE(D$2:D$292,RBCount+WRCount)</f>
        <v>-87.88</v>
      </c>
      <c r="F271" t="str">
        <f ca="1">IF(H271&lt;=I271,"Starter",IF(G271&gt;=LARGE(G:G,FlexOn*LeagueInfo!$F$2),"Starter","Bench"))</f>
        <v>Bench</v>
      </c>
      <c r="G271">
        <f ca="1">IF(H271&gt;I271,D271,0)</f>
        <v>20.82</v>
      </c>
      <c r="H271">
        <f ca="1">INDEX(INDIRECT(""&amp;C271&amp;"!A2:A489"),MATCH(B271,INDIRECT(""&amp;C271&amp;"!B2:B489"),0))</f>
        <v>112</v>
      </c>
      <c r="I271">
        <f>IF(C271="RB",LeagueInfo!$D$4*LeagueInfo!$F$2,LeagueInfo!$D$5*LeagueInfo!$F$2)</f>
        <v>24</v>
      </c>
    </row>
    <row r="272" spans="1:9" x14ac:dyDescent="0.25">
      <c r="A272">
        <f ca="1">RANK(E272,E$2:E$349)</f>
        <v>271</v>
      </c>
      <c r="B272" t="s">
        <v>703</v>
      </c>
      <c r="C272" t="s">
        <v>35</v>
      </c>
      <c r="D272">
        <f ca="1">INDEX(INDIRECT($C272&amp;"!P:P"),MATCH($B272,INDIRECT($C272&amp;"!B:B"),0))</f>
        <v>20.39</v>
      </c>
      <c r="E272" s="6">
        <f ca="1">D272-LARGE(D$2:D$292,RBCount+WRCount)</f>
        <v>-88.31</v>
      </c>
      <c r="F272" t="str">
        <f ca="1">IF(H272&lt;=I272,"Starter",IF(G272&gt;=LARGE(G:G,FlexOn*LeagueInfo!$F$2),"Starter","Bench"))</f>
        <v>Bench</v>
      </c>
      <c r="G272">
        <f ca="1">IF(H272&gt;I272,D272,0)</f>
        <v>20.39</v>
      </c>
      <c r="H272">
        <f ca="1">INDEX(INDIRECT(""&amp;C272&amp;"!A2:A489"),MATCH(B272,INDIRECT(""&amp;C272&amp;"!B2:B489"),0))</f>
        <v>159</v>
      </c>
      <c r="I272">
        <f>IF(C272="RB",LeagueInfo!$D$4*LeagueInfo!$F$2,LeagueInfo!$D$5*LeagueInfo!$F$2)</f>
        <v>24</v>
      </c>
    </row>
    <row r="273" spans="1:9" x14ac:dyDescent="0.25">
      <c r="A273">
        <f ca="1">RANK(E273,E$2:E$349)</f>
        <v>272</v>
      </c>
      <c r="B273" t="s">
        <v>2466</v>
      </c>
      <c r="C273" t="s">
        <v>28</v>
      </c>
      <c r="D273">
        <f ca="1">INDEX(INDIRECT($C273&amp;"!P:P"),MATCH($B273,INDIRECT($C273&amp;"!B:B"),0))</f>
        <v>19.72</v>
      </c>
      <c r="E273" s="6">
        <f ca="1">D273-LARGE(D$2:D$292,RBCount+WRCount)</f>
        <v>-88.98</v>
      </c>
      <c r="F273" t="str">
        <f ca="1">IF(H273&lt;=I273,"Starter",IF(G273&gt;=LARGE(G:G,FlexOn*LeagueInfo!$F$2),"Starter","Bench"))</f>
        <v>Bench</v>
      </c>
      <c r="G273">
        <f ca="1">IF(H273&gt;I273,D273,0)</f>
        <v>19.72</v>
      </c>
      <c r="H273">
        <f ca="1">INDEX(INDIRECT(""&amp;C273&amp;"!A2:A489"),MATCH(B273,INDIRECT(""&amp;C273&amp;"!B2:B489"),0))</f>
        <v>113</v>
      </c>
      <c r="I273">
        <f>IF(C273="RB",LeagueInfo!$D$4*LeagueInfo!$F$2,LeagueInfo!$D$5*LeagueInfo!$F$2)</f>
        <v>24</v>
      </c>
    </row>
    <row r="274" spans="1:9" x14ac:dyDescent="0.25">
      <c r="A274">
        <f ca="1">RANK(E274,E$2:E$349)</f>
        <v>273</v>
      </c>
      <c r="B274" t="s">
        <v>885</v>
      </c>
      <c r="C274" t="s">
        <v>28</v>
      </c>
      <c r="D274">
        <f ca="1">INDEX(INDIRECT($C274&amp;"!P:P"),MATCH($B274,INDIRECT($C274&amp;"!B:B"),0))</f>
        <v>19.590000000000003</v>
      </c>
      <c r="E274" s="6">
        <f ca="1">D274-LARGE(D$2:D$292,RBCount+WRCount)</f>
        <v>-89.11</v>
      </c>
      <c r="F274" t="str">
        <f ca="1">IF(H274&lt;=I274,"Starter",IF(G274&gt;=LARGE(G:G,FlexOn*LeagueInfo!$F$2),"Starter","Bench"))</f>
        <v>Bench</v>
      </c>
      <c r="G274">
        <f ca="1">IF(H274&gt;I274,D274,0)</f>
        <v>19.590000000000003</v>
      </c>
      <c r="H274">
        <f ca="1">INDEX(INDIRECT(""&amp;C274&amp;"!A2:A489"),MATCH(B274,INDIRECT(""&amp;C274&amp;"!B2:B489"),0))</f>
        <v>114</v>
      </c>
      <c r="I274">
        <f>IF(C274="RB",LeagueInfo!$D$4*LeagueInfo!$F$2,LeagueInfo!$D$5*LeagueInfo!$F$2)</f>
        <v>24</v>
      </c>
    </row>
    <row r="275" spans="1:9" x14ac:dyDescent="0.25">
      <c r="A275">
        <f ca="1">RANK(E275,E$2:E$349)</f>
        <v>274</v>
      </c>
      <c r="B275" t="s">
        <v>693</v>
      </c>
      <c r="C275" t="s">
        <v>28</v>
      </c>
      <c r="D275">
        <f ca="1">INDEX(INDIRECT($C275&amp;"!P:P"),MATCH($B275,INDIRECT($C275&amp;"!B:B"),0))</f>
        <v>19.540000000000003</v>
      </c>
      <c r="E275" s="6">
        <f ca="1">D275-LARGE(D$2:D$292,RBCount+WRCount)</f>
        <v>-89.16</v>
      </c>
      <c r="F275" t="str">
        <f ca="1">IF(H275&lt;=I275,"Starter",IF(G275&gt;=LARGE(G:G,FlexOn*LeagueInfo!$F$2),"Starter","Bench"))</f>
        <v>Bench</v>
      </c>
      <c r="G275">
        <f ca="1">IF(H275&gt;I275,D275,0)</f>
        <v>19.540000000000003</v>
      </c>
      <c r="H275">
        <f ca="1">INDEX(INDIRECT(""&amp;C275&amp;"!A2:A489"),MATCH(B275,INDIRECT(""&amp;C275&amp;"!B2:B489"),0))</f>
        <v>115</v>
      </c>
      <c r="I275">
        <f>IF(C275="RB",LeagueInfo!$D$4*LeagueInfo!$F$2,LeagueInfo!$D$5*LeagueInfo!$F$2)</f>
        <v>24</v>
      </c>
    </row>
    <row r="276" spans="1:9" x14ac:dyDescent="0.25">
      <c r="A276">
        <f ca="1">RANK(E276,E$2:E$349)</f>
        <v>275</v>
      </c>
      <c r="B276" t="s">
        <v>2462</v>
      </c>
      <c r="C276" t="s">
        <v>28</v>
      </c>
      <c r="D276">
        <f ca="1">INDEX(INDIRECT($C276&amp;"!P:P"),MATCH($B276,INDIRECT($C276&amp;"!B:B"),0))</f>
        <v>19.47</v>
      </c>
      <c r="E276" s="6">
        <f ca="1">D276-LARGE(D$2:D$292,RBCount+WRCount)</f>
        <v>-89.23</v>
      </c>
      <c r="F276" t="str">
        <f ca="1">IF(H276&lt;=I276,"Starter",IF(G276&gt;=LARGE(G:G,FlexOn*LeagueInfo!$F$2),"Starter","Bench"))</f>
        <v>Bench</v>
      </c>
      <c r="G276">
        <f ca="1">IF(H276&gt;I276,D276,0)</f>
        <v>19.47</v>
      </c>
      <c r="H276">
        <f ca="1">INDEX(INDIRECT(""&amp;C276&amp;"!A2:A489"),MATCH(B276,INDIRECT(""&amp;C276&amp;"!B2:B489"),0))</f>
        <v>116</v>
      </c>
      <c r="I276">
        <f>IF(C276="RB",LeagueInfo!$D$4*LeagueInfo!$F$2,LeagueInfo!$D$5*LeagueInfo!$F$2)</f>
        <v>24</v>
      </c>
    </row>
    <row r="277" spans="1:9" x14ac:dyDescent="0.25">
      <c r="A277">
        <f ca="1">RANK(E277,E$2:E$349)</f>
        <v>276</v>
      </c>
      <c r="B277" t="s">
        <v>943</v>
      </c>
      <c r="C277" t="s">
        <v>28</v>
      </c>
      <c r="D277">
        <f ca="1">INDEX(INDIRECT($C277&amp;"!P:P"),MATCH($B277,INDIRECT($C277&amp;"!B:B"),0))</f>
        <v>19.380000000000003</v>
      </c>
      <c r="E277" s="6">
        <f ca="1">D277-LARGE(D$2:D$292,RBCount+WRCount)</f>
        <v>-89.32</v>
      </c>
      <c r="F277" t="str">
        <f ca="1">IF(H277&lt;=I277,"Starter",IF(G277&gt;=LARGE(G:G,FlexOn*LeagueInfo!$F$2),"Starter","Bench"))</f>
        <v>Bench</v>
      </c>
      <c r="G277">
        <f ca="1">IF(H277&gt;I277,D277,0)</f>
        <v>19.380000000000003</v>
      </c>
      <c r="H277">
        <f ca="1">INDEX(INDIRECT(""&amp;C277&amp;"!A2:A489"),MATCH(B277,INDIRECT(""&amp;C277&amp;"!B2:B489"),0))</f>
        <v>117</v>
      </c>
      <c r="I277">
        <f>IF(C277="RB",LeagueInfo!$D$4*LeagueInfo!$F$2,LeagueInfo!$D$5*LeagueInfo!$F$2)</f>
        <v>24</v>
      </c>
    </row>
    <row r="278" spans="1:9" x14ac:dyDescent="0.25">
      <c r="A278">
        <f ca="1">RANK(E278,E$2:E$349)</f>
        <v>277</v>
      </c>
      <c r="B278" t="s">
        <v>969</v>
      </c>
      <c r="C278" t="s">
        <v>35</v>
      </c>
      <c r="D278">
        <f ca="1">INDEX(INDIRECT($C278&amp;"!P:P"),MATCH($B278,INDIRECT($C278&amp;"!B:B"),0))</f>
        <v>19.309999999999999</v>
      </c>
      <c r="E278" s="6">
        <f ca="1">D278-LARGE(D$2:D$292,RBCount+WRCount)</f>
        <v>-89.39</v>
      </c>
      <c r="F278" t="str">
        <f ca="1">IF(H278&lt;=I278,"Starter",IF(G278&gt;=LARGE(G:G,FlexOn*LeagueInfo!$F$2),"Starter","Bench"))</f>
        <v>Bench</v>
      </c>
      <c r="G278">
        <f ca="1">IF(H278&gt;I278,D278,0)</f>
        <v>19.309999999999999</v>
      </c>
      <c r="H278">
        <f ca="1">INDEX(INDIRECT(""&amp;C278&amp;"!A2:A489"),MATCH(B278,INDIRECT(""&amp;C278&amp;"!B2:B489"),0))</f>
        <v>160</v>
      </c>
      <c r="I278">
        <f>IF(C278="RB",LeagueInfo!$D$4*LeagueInfo!$F$2,LeagueInfo!$D$5*LeagueInfo!$F$2)</f>
        <v>24</v>
      </c>
    </row>
    <row r="279" spans="1:9" x14ac:dyDescent="0.25">
      <c r="A279">
        <f ca="1">RANK(E279,E$2:E$349)</f>
        <v>278</v>
      </c>
      <c r="B279" t="s">
        <v>803</v>
      </c>
      <c r="C279" t="s">
        <v>35</v>
      </c>
      <c r="D279">
        <f ca="1">INDEX(INDIRECT($C279&amp;"!P:P"),MATCH($B279,INDIRECT($C279&amp;"!B:B"),0))</f>
        <v>18.950000000000003</v>
      </c>
      <c r="E279" s="6">
        <f ca="1">D279-LARGE(D$2:D$292,RBCount+WRCount)</f>
        <v>-89.75</v>
      </c>
      <c r="F279" t="str">
        <f ca="1">IF(H279&lt;=I279,"Starter",IF(G279&gt;=LARGE(G:G,FlexOn*LeagueInfo!$F$2),"Starter","Bench"))</f>
        <v>Bench</v>
      </c>
      <c r="G279">
        <f ca="1">IF(H279&gt;I279,D279,0)</f>
        <v>18.950000000000003</v>
      </c>
      <c r="H279">
        <f ca="1">INDEX(INDIRECT(""&amp;C279&amp;"!A2:A489"),MATCH(B279,INDIRECT(""&amp;C279&amp;"!B2:B489"),0))</f>
        <v>161</v>
      </c>
      <c r="I279">
        <f>IF(C279="RB",LeagueInfo!$D$4*LeagueInfo!$F$2,LeagueInfo!$D$5*LeagueInfo!$F$2)</f>
        <v>24</v>
      </c>
    </row>
    <row r="280" spans="1:9" x14ac:dyDescent="0.25">
      <c r="A280">
        <f ca="1">RANK(E280,E$2:E$349)</f>
        <v>279</v>
      </c>
      <c r="B280" t="s">
        <v>736</v>
      </c>
      <c r="C280" t="s">
        <v>35</v>
      </c>
      <c r="D280">
        <f ca="1">INDEX(INDIRECT($C280&amp;"!P:P"),MATCH($B280,INDIRECT($C280&amp;"!B:B"),0))</f>
        <v>18.78</v>
      </c>
      <c r="E280" s="6">
        <f ca="1">D280-LARGE(D$2:D$292,RBCount+WRCount)</f>
        <v>-89.92</v>
      </c>
      <c r="F280" t="str">
        <f ca="1">IF(H280&lt;=I280,"Starter",IF(G280&gt;=LARGE(G:G,FlexOn*LeagueInfo!$F$2),"Starter","Bench"))</f>
        <v>Bench</v>
      </c>
      <c r="G280">
        <f ca="1">IF(H280&gt;I280,D280,0)</f>
        <v>18.78</v>
      </c>
      <c r="H280">
        <f ca="1">INDEX(INDIRECT(""&amp;C280&amp;"!A2:A489"),MATCH(B280,INDIRECT(""&amp;C280&amp;"!B2:B489"),0))</f>
        <v>162</v>
      </c>
      <c r="I280">
        <f>IF(C280="RB",LeagueInfo!$D$4*LeagueInfo!$F$2,LeagueInfo!$D$5*LeagueInfo!$F$2)</f>
        <v>24</v>
      </c>
    </row>
    <row r="281" spans="1:9" x14ac:dyDescent="0.25">
      <c r="A281">
        <f ca="1">RANK(E281,E$2:E$349)</f>
        <v>280</v>
      </c>
      <c r="B281" t="s">
        <v>2435</v>
      </c>
      <c r="C281" t="s">
        <v>35</v>
      </c>
      <c r="D281">
        <f ca="1">INDEX(INDIRECT($C281&amp;"!P:P"),MATCH($B281,INDIRECT($C281&amp;"!B:B"),0))</f>
        <v>18.68</v>
      </c>
      <c r="E281" s="6">
        <f ca="1">D281-LARGE(D$2:D$292,RBCount+WRCount)</f>
        <v>-90.02000000000001</v>
      </c>
      <c r="F281" t="str">
        <f ca="1">IF(H281&lt;=I281,"Starter",IF(G281&gt;=LARGE(G:G,FlexOn*LeagueInfo!$F$2),"Starter","Bench"))</f>
        <v>Bench</v>
      </c>
      <c r="G281">
        <f ca="1">IF(H281&gt;I281,D281,0)</f>
        <v>18.68</v>
      </c>
      <c r="H281">
        <f ca="1">INDEX(INDIRECT(""&amp;C281&amp;"!A2:A489"),MATCH(B281,INDIRECT(""&amp;C281&amp;"!B2:B489"),0))</f>
        <v>163</v>
      </c>
      <c r="I281">
        <f>IF(C281="RB",LeagueInfo!$D$4*LeagueInfo!$F$2,LeagueInfo!$D$5*LeagueInfo!$F$2)</f>
        <v>24</v>
      </c>
    </row>
    <row r="282" spans="1:9" x14ac:dyDescent="0.25">
      <c r="A282">
        <f ca="1">RANK(E282,E$2:E$349)</f>
        <v>281</v>
      </c>
      <c r="B282" t="s">
        <v>941</v>
      </c>
      <c r="C282" t="s">
        <v>28</v>
      </c>
      <c r="D282">
        <f ca="1">INDEX(INDIRECT($C282&amp;"!P:P"),MATCH($B282,INDIRECT($C282&amp;"!B:B"),0))</f>
        <v>18.630000000000003</v>
      </c>
      <c r="E282" s="6">
        <f ca="1">D282-LARGE(D$2:D$292,RBCount+WRCount)</f>
        <v>-90.07</v>
      </c>
      <c r="F282" t="str">
        <f ca="1">IF(H282&lt;=I282,"Starter",IF(G282&gt;=LARGE(G:G,FlexOn*LeagueInfo!$F$2),"Starter","Bench"))</f>
        <v>Bench</v>
      </c>
      <c r="G282">
        <f ca="1">IF(H282&gt;I282,D282,0)</f>
        <v>18.630000000000003</v>
      </c>
      <c r="H282">
        <f ca="1">INDEX(INDIRECT(""&amp;C282&amp;"!A2:A489"),MATCH(B282,INDIRECT(""&amp;C282&amp;"!B2:B489"),0))</f>
        <v>118</v>
      </c>
      <c r="I282">
        <f>IF(C282="RB",LeagueInfo!$D$4*LeagueInfo!$F$2,LeagueInfo!$D$5*LeagueInfo!$F$2)</f>
        <v>24</v>
      </c>
    </row>
    <row r="283" spans="1:9" x14ac:dyDescent="0.25">
      <c r="A283">
        <f ca="1">RANK(E283,E$2:E$349)</f>
        <v>282</v>
      </c>
      <c r="B283" t="s">
        <v>2432</v>
      </c>
      <c r="C283" t="s">
        <v>35</v>
      </c>
      <c r="D283">
        <f ca="1">INDEX(INDIRECT($C283&amp;"!P:P"),MATCH($B283,INDIRECT($C283&amp;"!B:B"),0))</f>
        <v>18.610000000000003</v>
      </c>
      <c r="E283" s="6">
        <f ca="1">D283-LARGE(D$2:D$292,RBCount+WRCount)</f>
        <v>-90.09</v>
      </c>
      <c r="F283" t="str">
        <f ca="1">IF(H283&lt;=I283,"Starter",IF(G283&gt;=LARGE(G:G,FlexOn*LeagueInfo!$F$2),"Starter","Bench"))</f>
        <v>Bench</v>
      </c>
      <c r="G283">
        <f ca="1">IF(H283&gt;I283,D283,0)</f>
        <v>18.610000000000003</v>
      </c>
      <c r="H283">
        <f ca="1">INDEX(INDIRECT(""&amp;C283&amp;"!A2:A489"),MATCH(B283,INDIRECT(""&amp;C283&amp;"!B2:B489"),0))</f>
        <v>164</v>
      </c>
      <c r="I283">
        <f>IF(C283="RB",LeagueInfo!$D$4*LeagueInfo!$F$2,LeagueInfo!$D$5*LeagueInfo!$F$2)</f>
        <v>24</v>
      </c>
    </row>
    <row r="284" spans="1:9" x14ac:dyDescent="0.25">
      <c r="A284">
        <f ca="1">RANK(E284,E$2:E$349)</f>
        <v>282</v>
      </c>
      <c r="B284" t="s">
        <v>962</v>
      </c>
      <c r="C284" t="s">
        <v>35</v>
      </c>
      <c r="D284">
        <f ca="1">INDEX(INDIRECT($C284&amp;"!P:P"),MATCH($B284,INDIRECT($C284&amp;"!B:B"),0))</f>
        <v>18.61</v>
      </c>
      <c r="E284" s="6">
        <f ca="1">D284-LARGE(D$2:D$292,RBCount+WRCount)</f>
        <v>-90.09</v>
      </c>
      <c r="F284" t="str">
        <f ca="1">IF(H284&lt;=I284,"Starter",IF(G284&gt;=LARGE(G:G,FlexOn*LeagueInfo!$F$2),"Starter","Bench"))</f>
        <v>Bench</v>
      </c>
      <c r="G284">
        <f ca="1">IF(H284&gt;I284,D284,0)</f>
        <v>18.61</v>
      </c>
      <c r="H284">
        <f ca="1">INDEX(INDIRECT(""&amp;C284&amp;"!A2:A489"),MATCH(B284,INDIRECT(""&amp;C284&amp;"!B2:B489"),0))</f>
        <v>165</v>
      </c>
      <c r="I284">
        <f>IF(C284="RB",LeagueInfo!$D$4*LeagueInfo!$F$2,LeagueInfo!$D$5*LeagueInfo!$F$2)</f>
        <v>24</v>
      </c>
    </row>
    <row r="285" spans="1:9" x14ac:dyDescent="0.25">
      <c r="A285">
        <f ca="1">RANK(E285,E$2:E$349)</f>
        <v>284</v>
      </c>
      <c r="B285" t="s">
        <v>2670</v>
      </c>
      <c r="C285" t="s">
        <v>28</v>
      </c>
      <c r="D285">
        <f ca="1">INDEX(INDIRECT($C285&amp;"!P:P"),MATCH($B285,INDIRECT($C285&amp;"!B:B"),0))</f>
        <v>18.12</v>
      </c>
      <c r="E285" s="6">
        <f ca="1">D285-LARGE(D$2:D$292,RBCount+WRCount)</f>
        <v>-90.58</v>
      </c>
      <c r="F285" t="str">
        <f ca="1">IF(H285&lt;=I285,"Starter",IF(G285&gt;=LARGE(G:G,FlexOn*LeagueInfo!$F$2),"Starter","Bench"))</f>
        <v>Bench</v>
      </c>
      <c r="G285">
        <f ca="1">IF(H285&gt;I285,D285,0)</f>
        <v>18.12</v>
      </c>
      <c r="H285">
        <f ca="1">INDEX(INDIRECT(""&amp;C285&amp;"!A2:A489"),MATCH(B285,INDIRECT(""&amp;C285&amp;"!B2:B489"),0))</f>
        <v>119</v>
      </c>
      <c r="I285">
        <f>IF(C285="RB",LeagueInfo!$D$4*LeagueInfo!$F$2,LeagueInfo!$D$5*LeagueInfo!$F$2)</f>
        <v>24</v>
      </c>
    </row>
    <row r="286" spans="1:9" x14ac:dyDescent="0.25">
      <c r="A286">
        <f ca="1">RANK(E286,E$2:E$349)</f>
        <v>285</v>
      </c>
      <c r="B286" t="s">
        <v>967</v>
      </c>
      <c r="C286" t="s">
        <v>35</v>
      </c>
      <c r="D286">
        <f ca="1">INDEX(INDIRECT($C286&amp;"!P:P"),MATCH($B286,INDIRECT($C286&amp;"!B:B"),0))</f>
        <v>18.060000000000002</v>
      </c>
      <c r="E286" s="6">
        <f ca="1">D286-LARGE(D$2:D$292,RBCount+WRCount)</f>
        <v>-90.64</v>
      </c>
      <c r="F286" t="str">
        <f ca="1">IF(H286&lt;=I286,"Starter",IF(G286&gt;=LARGE(G:G,FlexOn*LeagueInfo!$F$2),"Starter","Bench"))</f>
        <v>Bench</v>
      </c>
      <c r="G286">
        <f ca="1">IF(H286&gt;I286,D286,0)</f>
        <v>18.060000000000002</v>
      </c>
      <c r="H286">
        <f ca="1">INDEX(INDIRECT(""&amp;C286&amp;"!A2:A489"),MATCH(B286,INDIRECT(""&amp;C286&amp;"!B2:B489"),0))</f>
        <v>166</v>
      </c>
      <c r="I286">
        <f>IF(C286="RB",LeagueInfo!$D$4*LeagueInfo!$F$2,LeagueInfo!$D$5*LeagueInfo!$F$2)</f>
        <v>24</v>
      </c>
    </row>
    <row r="287" spans="1:9" x14ac:dyDescent="0.25">
      <c r="A287">
        <f ca="1">RANK(E287,E$2:E$349)</f>
        <v>286</v>
      </c>
      <c r="B287" t="s">
        <v>2464</v>
      </c>
      <c r="C287" t="s">
        <v>28</v>
      </c>
      <c r="D287">
        <f ca="1">INDEX(INDIRECT($C287&amp;"!P:P"),MATCH($B287,INDIRECT($C287&amp;"!B:B"),0))</f>
        <v>17.490000000000006</v>
      </c>
      <c r="E287" s="6">
        <f ca="1">D287-LARGE(D$2:D$292,RBCount+WRCount)</f>
        <v>-91.21</v>
      </c>
      <c r="F287" t="str">
        <f ca="1">IF(H287&lt;=I287,"Starter",IF(G287&gt;=LARGE(G:G,FlexOn*LeagueInfo!$F$2),"Starter","Bench"))</f>
        <v>Bench</v>
      </c>
      <c r="G287">
        <f ca="1">IF(H287&gt;I287,D287,0)</f>
        <v>17.490000000000006</v>
      </c>
      <c r="H287">
        <f ca="1">INDEX(INDIRECT(""&amp;C287&amp;"!A2:A489"),MATCH(B287,INDIRECT(""&amp;C287&amp;"!B2:B489"),0))</f>
        <v>120</v>
      </c>
      <c r="I287">
        <f>IF(C287="RB",LeagueInfo!$D$4*LeagueInfo!$F$2,LeagueInfo!$D$5*LeagueInfo!$F$2)</f>
        <v>24</v>
      </c>
    </row>
    <row r="288" spans="1:9" x14ac:dyDescent="0.25">
      <c r="A288">
        <f ca="1">RANK(E288,E$2:E$349)</f>
        <v>287</v>
      </c>
      <c r="B288" t="s">
        <v>686</v>
      </c>
      <c r="C288" t="s">
        <v>28</v>
      </c>
      <c r="D288">
        <f ca="1">INDEX(INDIRECT($C288&amp;"!P:P"),MATCH($B288,INDIRECT($C288&amp;"!B:B"),0))</f>
        <v>17.43</v>
      </c>
      <c r="E288" s="6">
        <f ca="1">D288-LARGE(D$2:D$292,RBCount+WRCount)</f>
        <v>-91.27000000000001</v>
      </c>
      <c r="F288" t="str">
        <f ca="1">IF(H288&lt;=I288,"Starter",IF(G288&gt;=LARGE(G:G,FlexOn*LeagueInfo!$F$2),"Starter","Bench"))</f>
        <v>Bench</v>
      </c>
      <c r="G288">
        <f ca="1">IF(H288&gt;I288,D288,0)</f>
        <v>17.43</v>
      </c>
      <c r="H288">
        <f ca="1">INDEX(INDIRECT(""&amp;C288&amp;"!A2:A489"),MATCH(B288,INDIRECT(""&amp;C288&amp;"!B2:B489"),0))</f>
        <v>121</v>
      </c>
      <c r="I288">
        <f>IF(C288="RB",LeagueInfo!$D$4*LeagueInfo!$F$2,LeagueInfo!$D$5*LeagueInfo!$F$2)</f>
        <v>24</v>
      </c>
    </row>
    <row r="289" spans="1:9" x14ac:dyDescent="0.25">
      <c r="A289">
        <f ca="1">RANK(E289,E$2:E$349)</f>
        <v>288</v>
      </c>
      <c r="B289" t="s">
        <v>2457</v>
      </c>
      <c r="C289" t="s">
        <v>28</v>
      </c>
      <c r="D289">
        <f ca="1">INDEX(INDIRECT($C289&amp;"!P:P"),MATCH($B289,INDIRECT($C289&amp;"!B:B"),0))</f>
        <v>17.39</v>
      </c>
      <c r="E289" s="6">
        <f ca="1">D289-LARGE(D$2:D$292,RBCount+WRCount)</f>
        <v>-91.31</v>
      </c>
      <c r="F289" t="str">
        <f ca="1">IF(H289&lt;=I289,"Starter",IF(G289&gt;=LARGE(G:G,FlexOn*LeagueInfo!$F$2),"Starter","Bench"))</f>
        <v>Bench</v>
      </c>
      <c r="G289">
        <f ca="1">IF(H289&gt;I289,D289,0)</f>
        <v>17.39</v>
      </c>
      <c r="H289">
        <f ca="1">INDEX(INDIRECT(""&amp;C289&amp;"!A2:A489"),MATCH(B289,INDIRECT(""&amp;C289&amp;"!B2:B489"),0))</f>
        <v>122</v>
      </c>
      <c r="I289">
        <f>IF(C289="RB",LeagueInfo!$D$4*LeagueInfo!$F$2,LeagueInfo!$D$5*LeagueInfo!$F$2)</f>
        <v>24</v>
      </c>
    </row>
    <row r="290" spans="1:9" x14ac:dyDescent="0.25">
      <c r="A290">
        <f ca="1">RANK(E290,E$2:E$349)</f>
        <v>289</v>
      </c>
      <c r="B290" t="s">
        <v>2441</v>
      </c>
      <c r="C290" t="s">
        <v>35</v>
      </c>
      <c r="D290">
        <f ca="1">INDEX(INDIRECT($C290&amp;"!P:P"),MATCH($B290,INDIRECT($C290&amp;"!B:B"),0))</f>
        <v>17.13</v>
      </c>
      <c r="E290" s="6">
        <f ca="1">D290-LARGE(D$2:D$292,RBCount+WRCount)</f>
        <v>-91.570000000000007</v>
      </c>
      <c r="F290" t="str">
        <f ca="1">IF(H290&lt;=I290,"Starter",IF(G290&gt;=LARGE(G:G,FlexOn*LeagueInfo!$F$2),"Starter","Bench"))</f>
        <v>Bench</v>
      </c>
      <c r="G290">
        <f ca="1">IF(H290&gt;I290,D290,0)</f>
        <v>17.13</v>
      </c>
      <c r="H290">
        <f ca="1">INDEX(INDIRECT(""&amp;C290&amp;"!A2:A489"),MATCH(B290,INDIRECT(""&amp;C290&amp;"!B2:B489"),0))</f>
        <v>167</v>
      </c>
      <c r="I290">
        <f>IF(C290="RB",LeagueInfo!$D$4*LeagueInfo!$F$2,LeagueInfo!$D$5*LeagueInfo!$F$2)</f>
        <v>24</v>
      </c>
    </row>
    <row r="291" spans="1:9" x14ac:dyDescent="0.25">
      <c r="A291">
        <f ca="1">RANK(E291,E$2:E$349)</f>
        <v>290</v>
      </c>
      <c r="B291" t="s">
        <v>685</v>
      </c>
      <c r="C291" t="s">
        <v>28</v>
      </c>
      <c r="D291">
        <f ca="1">INDEX(INDIRECT($C291&amp;"!P:P"),MATCH($B291,INDIRECT($C291&amp;"!B:B"),0))</f>
        <v>17.12</v>
      </c>
      <c r="E291" s="6">
        <f ca="1">D291-LARGE(D$2:D$292,RBCount+WRCount)</f>
        <v>-91.58</v>
      </c>
      <c r="F291" t="str">
        <f ca="1">IF(H291&lt;=I291,"Starter",IF(G291&gt;=LARGE(G:G,FlexOn*LeagueInfo!$F$2),"Starter","Bench"))</f>
        <v>Bench</v>
      </c>
      <c r="G291">
        <f ca="1">IF(H291&gt;I291,D291,0)</f>
        <v>17.12</v>
      </c>
      <c r="H291">
        <f ca="1">INDEX(INDIRECT(""&amp;C291&amp;"!A2:A489"),MATCH(B291,INDIRECT(""&amp;C291&amp;"!B2:B489"),0))</f>
        <v>123</v>
      </c>
      <c r="I291">
        <f>IF(C291="RB",LeagueInfo!$D$4*LeagueInfo!$F$2,LeagueInfo!$D$5*LeagueInfo!$F$2)</f>
        <v>24</v>
      </c>
    </row>
    <row r="292" spans="1:9" x14ac:dyDescent="0.25">
      <c r="A292">
        <f ca="1">RANK(E292,E$2:E$349)</f>
        <v>291</v>
      </c>
      <c r="B292" t="s">
        <v>1029</v>
      </c>
      <c r="C292" t="s">
        <v>35</v>
      </c>
      <c r="D292">
        <f ca="1">INDEX(INDIRECT($C292&amp;"!P:P"),MATCH($B292,INDIRECT($C292&amp;"!B:B"),0))</f>
        <v>16.97</v>
      </c>
      <c r="E292" s="6">
        <f ca="1">D292-LARGE(D$2:D$292,RBCount+WRCount)</f>
        <v>-91.73</v>
      </c>
      <c r="F292" t="str">
        <f ca="1">IF(H292&lt;=I292,"Starter",IF(G292&gt;=LARGE(G:G,FlexOn*LeagueInfo!$F$2),"Starter","Bench"))</f>
        <v>Bench</v>
      </c>
      <c r="G292">
        <f ca="1">IF(H292&gt;I292,D292,0)</f>
        <v>16.97</v>
      </c>
      <c r="H292">
        <f ca="1">INDEX(INDIRECT(""&amp;C292&amp;"!A2:A489"),MATCH(B292,INDIRECT(""&amp;C292&amp;"!B2:B489"),0))</f>
        <v>168</v>
      </c>
      <c r="I292">
        <f>IF(C292="RB",LeagueInfo!$D$4*LeagueInfo!$F$2,LeagueInfo!$D$5*LeagueInfo!$F$2)</f>
        <v>24</v>
      </c>
    </row>
    <row r="293" spans="1:9" x14ac:dyDescent="0.25">
      <c r="A293">
        <f ca="1">RANK(E293,E$2:E$349)</f>
        <v>292</v>
      </c>
      <c r="B293" t="s">
        <v>669</v>
      </c>
      <c r="C293" t="s">
        <v>28</v>
      </c>
      <c r="D293">
        <f ca="1">INDEX(INDIRECT($C293&amp;"!P:P"),MATCH($B293,INDIRECT($C293&amp;"!B:B"),0))</f>
        <v>16.940000000000001</v>
      </c>
      <c r="E293" s="6">
        <f ca="1">D293-LARGE(D$2:D$292,RBCount+WRCount)</f>
        <v>-91.76</v>
      </c>
      <c r="F293" t="str">
        <f ca="1">IF(H293&lt;=I293,"Starter",IF(G293&gt;=LARGE(G:G,FlexOn*LeagueInfo!$F$2),"Starter","Bench"))</f>
        <v>Bench</v>
      </c>
      <c r="G293">
        <f ca="1">IF(H293&gt;I293,D293,0)</f>
        <v>16.940000000000001</v>
      </c>
      <c r="H293">
        <f ca="1">INDEX(INDIRECT(""&amp;C293&amp;"!A2:A489"),MATCH(B293,INDIRECT(""&amp;C293&amp;"!B2:B489"),0))</f>
        <v>124</v>
      </c>
      <c r="I293">
        <f>IF(C293="RB",LeagueInfo!$D$4*LeagueInfo!$F$2,LeagueInfo!$D$5*LeagueInfo!$F$2)</f>
        <v>24</v>
      </c>
    </row>
    <row r="294" spans="1:9" x14ac:dyDescent="0.25">
      <c r="A294">
        <f ca="1">RANK(E294,E$2:E$349)</f>
        <v>293</v>
      </c>
      <c r="B294" t="s">
        <v>892</v>
      </c>
      <c r="C294" t="s">
        <v>28</v>
      </c>
      <c r="D294">
        <f ca="1">INDEX(INDIRECT($C294&amp;"!P:P"),MATCH($B294,INDIRECT($C294&amp;"!B:B"),0))</f>
        <v>16.830000000000002</v>
      </c>
      <c r="E294" s="6">
        <f ca="1">D294-LARGE(D$2:D$292,RBCount+WRCount)</f>
        <v>-91.87</v>
      </c>
      <c r="F294" t="str">
        <f ca="1">IF(H294&lt;=I294,"Starter",IF(G294&gt;=LARGE(G:G,FlexOn*LeagueInfo!$F$2),"Starter","Bench"))</f>
        <v>Bench</v>
      </c>
      <c r="G294">
        <f ca="1">IF(H294&gt;I294,D294,0)</f>
        <v>16.830000000000002</v>
      </c>
      <c r="H294">
        <f ca="1">INDEX(INDIRECT(""&amp;C294&amp;"!A2:A489"),MATCH(B294,INDIRECT(""&amp;C294&amp;"!B2:B489"),0))</f>
        <v>125</v>
      </c>
      <c r="I294">
        <f>IF(C294="RB",LeagueInfo!$D$4*LeagueInfo!$F$2,LeagueInfo!$D$5*LeagueInfo!$F$2)</f>
        <v>24</v>
      </c>
    </row>
    <row r="295" spans="1:9" x14ac:dyDescent="0.25">
      <c r="A295">
        <f ca="1">RANK(E295,E$2:E$349)</f>
        <v>294</v>
      </c>
      <c r="B295" t="s">
        <v>562</v>
      </c>
      <c r="C295" t="s">
        <v>28</v>
      </c>
      <c r="D295">
        <f ca="1">INDEX(INDIRECT($C295&amp;"!P:P"),MATCH($B295,INDIRECT($C295&amp;"!B:B"),0))</f>
        <v>16.7</v>
      </c>
      <c r="E295" s="6">
        <f ca="1">D295-LARGE(D$2:D$292,RBCount+WRCount)</f>
        <v>-92</v>
      </c>
      <c r="F295" t="str">
        <f ca="1">IF(H295&lt;=I295,"Starter",IF(G295&gt;=LARGE(G:G,FlexOn*LeagueInfo!$F$2),"Starter","Bench"))</f>
        <v>Bench</v>
      </c>
      <c r="G295">
        <f ca="1">IF(H295&gt;I295,D295,0)</f>
        <v>16.7</v>
      </c>
      <c r="H295">
        <f ca="1">INDEX(INDIRECT(""&amp;C295&amp;"!A2:A489"),MATCH(B295,INDIRECT(""&amp;C295&amp;"!B2:B489"),0))</f>
        <v>126</v>
      </c>
      <c r="I295">
        <f>IF(C295="RB",LeagueInfo!$D$4*LeagueInfo!$F$2,LeagueInfo!$D$5*LeagueInfo!$F$2)</f>
        <v>24</v>
      </c>
    </row>
    <row r="296" spans="1:9" x14ac:dyDescent="0.25">
      <c r="A296">
        <f ca="1">RANK(E296,E$2:E$349)</f>
        <v>295</v>
      </c>
      <c r="B296" t="s">
        <v>936</v>
      </c>
      <c r="C296" t="s">
        <v>28</v>
      </c>
      <c r="D296">
        <f ca="1">INDEX(INDIRECT($C296&amp;"!P:P"),MATCH($B296,INDIRECT($C296&amp;"!B:B"),0))</f>
        <v>16.62</v>
      </c>
      <c r="E296" s="6">
        <f ca="1">D296-LARGE(D$2:D$292,RBCount+WRCount)</f>
        <v>-92.08</v>
      </c>
      <c r="F296" t="str">
        <f ca="1">IF(H296&lt;=I296,"Starter",IF(G296&gt;=LARGE(G:G,FlexOn*LeagueInfo!$F$2),"Starter","Bench"))</f>
        <v>Bench</v>
      </c>
      <c r="G296">
        <f ca="1">IF(H296&gt;I296,D296,0)</f>
        <v>16.62</v>
      </c>
      <c r="H296">
        <f ca="1">INDEX(INDIRECT(""&amp;C296&amp;"!A2:A489"),MATCH(B296,INDIRECT(""&amp;C296&amp;"!B2:B489"),0))</f>
        <v>127</v>
      </c>
      <c r="I296">
        <f>IF(C296="RB",LeagueInfo!$D$4*LeagueInfo!$F$2,LeagueInfo!$D$5*LeagueInfo!$F$2)</f>
        <v>24</v>
      </c>
    </row>
    <row r="297" spans="1:9" x14ac:dyDescent="0.25">
      <c r="A297">
        <f ca="1">RANK(E297,E$2:E$349)</f>
        <v>296</v>
      </c>
      <c r="B297" t="s">
        <v>638</v>
      </c>
      <c r="C297" t="s">
        <v>28</v>
      </c>
      <c r="D297">
        <f ca="1">INDEX(INDIRECT($C297&amp;"!P:P"),MATCH($B297,INDIRECT($C297&amp;"!B:B"),0))</f>
        <v>16.580000000000002</v>
      </c>
      <c r="E297" s="6">
        <f ca="1">D297-LARGE(D$2:D$292,RBCount+WRCount)</f>
        <v>-92.12</v>
      </c>
      <c r="F297" t="str">
        <f ca="1">IF(H297&lt;=I297,"Starter",IF(G297&gt;=LARGE(G:G,FlexOn*LeagueInfo!$F$2),"Starter","Bench"))</f>
        <v>Bench</v>
      </c>
      <c r="G297">
        <f ca="1">IF(H297&gt;I297,D297,0)</f>
        <v>16.580000000000002</v>
      </c>
      <c r="H297">
        <f ca="1">INDEX(INDIRECT(""&amp;C297&amp;"!A2:A489"),MATCH(B297,INDIRECT(""&amp;C297&amp;"!B2:B489"),0))</f>
        <v>128</v>
      </c>
      <c r="I297">
        <f>IF(C297="RB",LeagueInfo!$D$4*LeagueInfo!$F$2,LeagueInfo!$D$5*LeagueInfo!$F$2)</f>
        <v>24</v>
      </c>
    </row>
    <row r="298" spans="1:9" x14ac:dyDescent="0.25">
      <c r="A298">
        <f ca="1">RANK(E298,E$2:E$349)</f>
        <v>297</v>
      </c>
      <c r="B298" t="s">
        <v>938</v>
      </c>
      <c r="C298" t="s">
        <v>28</v>
      </c>
      <c r="D298">
        <f ca="1">INDEX(INDIRECT($C298&amp;"!P:P"),MATCH($B298,INDIRECT($C298&amp;"!B:B"),0))</f>
        <v>16.2</v>
      </c>
      <c r="E298" s="6">
        <f ca="1">D298-LARGE(D$2:D$292,RBCount+WRCount)</f>
        <v>-92.5</v>
      </c>
      <c r="F298" t="str">
        <f ca="1">IF(H298&lt;=I298,"Starter",IF(G298&gt;=LARGE(G:G,FlexOn*LeagueInfo!$F$2),"Starter","Bench"))</f>
        <v>Bench</v>
      </c>
      <c r="G298">
        <f ca="1">IF(H298&gt;I298,D298,0)</f>
        <v>16.2</v>
      </c>
      <c r="H298">
        <f ca="1">INDEX(INDIRECT(""&amp;C298&amp;"!A2:A489"),MATCH(B298,INDIRECT(""&amp;C298&amp;"!B2:B489"),0))</f>
        <v>129</v>
      </c>
      <c r="I298">
        <f>IF(C298="RB",LeagueInfo!$D$4*LeagueInfo!$F$2,LeagueInfo!$D$5*LeagueInfo!$F$2)</f>
        <v>24</v>
      </c>
    </row>
    <row r="299" spans="1:9" x14ac:dyDescent="0.25">
      <c r="A299">
        <f ca="1">RANK(E299,E$2:E$349)</f>
        <v>298</v>
      </c>
      <c r="B299" t="s">
        <v>845</v>
      </c>
      <c r="C299" t="s">
        <v>35</v>
      </c>
      <c r="D299">
        <f ca="1">INDEX(INDIRECT($C299&amp;"!P:P"),MATCH($B299,INDIRECT($C299&amp;"!B:B"),0))</f>
        <v>16.170000000000002</v>
      </c>
      <c r="E299" s="6">
        <f ca="1">D299-LARGE(D$2:D$292,RBCount+WRCount)</f>
        <v>-92.53</v>
      </c>
      <c r="F299" t="str">
        <f ca="1">IF(H299&lt;=I299,"Starter",IF(G299&gt;=LARGE(G:G,FlexOn*LeagueInfo!$F$2),"Starter","Bench"))</f>
        <v>Bench</v>
      </c>
      <c r="G299">
        <f ca="1">IF(H299&gt;I299,D299,0)</f>
        <v>16.170000000000002</v>
      </c>
      <c r="H299">
        <f ca="1">INDEX(INDIRECT(""&amp;C299&amp;"!A2:A489"),MATCH(B299,INDIRECT(""&amp;C299&amp;"!B2:B489"),0))</f>
        <v>169</v>
      </c>
      <c r="I299">
        <f>IF(C299="RB",LeagueInfo!$D$4*LeagueInfo!$F$2,LeagueInfo!$D$5*LeagueInfo!$F$2)</f>
        <v>24</v>
      </c>
    </row>
    <row r="300" spans="1:9" x14ac:dyDescent="0.25">
      <c r="A300">
        <f ca="1">RANK(E300,E$2:E$349)</f>
        <v>299</v>
      </c>
      <c r="B300" t="s">
        <v>2740</v>
      </c>
      <c r="C300" t="s">
        <v>35</v>
      </c>
      <c r="D300">
        <f ca="1">INDEX(INDIRECT($C300&amp;"!P:P"),MATCH($B300,INDIRECT($C300&amp;"!B:B"),0))</f>
        <v>16.100000000000001</v>
      </c>
      <c r="E300" s="6">
        <f ca="1">D300-LARGE(D$2:D$292,RBCount+WRCount)</f>
        <v>-92.6</v>
      </c>
      <c r="F300" t="str">
        <f ca="1">IF(H300&lt;=I300,"Starter",IF(G300&gt;=LARGE(G:G,FlexOn*LeagueInfo!$F$2),"Starter","Bench"))</f>
        <v>Bench</v>
      </c>
      <c r="G300">
        <f ca="1">IF(H300&gt;I300,D300,0)</f>
        <v>16.100000000000001</v>
      </c>
      <c r="H300">
        <f ca="1">INDEX(INDIRECT(""&amp;C300&amp;"!A2:A489"),MATCH(B300,INDIRECT(""&amp;C300&amp;"!B2:B489"),0))</f>
        <v>170</v>
      </c>
      <c r="I300">
        <f>IF(C300="RB",LeagueInfo!$D$4*LeagueInfo!$F$2,LeagueInfo!$D$5*LeagueInfo!$F$2)</f>
        <v>24</v>
      </c>
    </row>
    <row r="301" spans="1:9" x14ac:dyDescent="0.25">
      <c r="A301">
        <f ca="1">RANK(E301,E$2:E$349)</f>
        <v>300</v>
      </c>
      <c r="B301" t="s">
        <v>2676</v>
      </c>
      <c r="C301" t="s">
        <v>35</v>
      </c>
      <c r="D301">
        <f ca="1">INDEX(INDIRECT($C301&amp;"!P:P"),MATCH($B301,INDIRECT($C301&amp;"!B:B"),0))</f>
        <v>15.91</v>
      </c>
      <c r="E301" s="6">
        <f ca="1">D301-LARGE(D$2:D$292,RBCount+WRCount)</f>
        <v>-92.79</v>
      </c>
      <c r="F301" t="str">
        <f ca="1">IF(H301&lt;=I301,"Starter",IF(G301&gt;=LARGE(G:G,FlexOn*LeagueInfo!$F$2),"Starter","Bench"))</f>
        <v>Bench</v>
      </c>
      <c r="G301">
        <f ca="1">IF(H301&gt;I301,D301,0)</f>
        <v>15.91</v>
      </c>
      <c r="H301">
        <f ca="1">INDEX(INDIRECT(""&amp;C301&amp;"!A2:A489"),MATCH(B301,INDIRECT(""&amp;C301&amp;"!B2:B489"),0))</f>
        <v>171</v>
      </c>
      <c r="I301">
        <f>IF(C301="RB",LeagueInfo!$D$4*LeagueInfo!$F$2,LeagueInfo!$D$5*LeagueInfo!$F$2)</f>
        <v>24</v>
      </c>
    </row>
    <row r="302" spans="1:9" x14ac:dyDescent="0.25">
      <c r="A302">
        <f ca="1">RANK(E302,E$2:E$349)</f>
        <v>301</v>
      </c>
      <c r="B302" t="s">
        <v>392</v>
      </c>
      <c r="C302" t="s">
        <v>35</v>
      </c>
      <c r="D302">
        <f ca="1">INDEX(INDIRECT($C302&amp;"!P:P"),MATCH($B302,INDIRECT($C302&amp;"!B:B"),0))</f>
        <v>15.82</v>
      </c>
      <c r="E302" s="6">
        <f ca="1">D302-LARGE(D$2:D$292,RBCount+WRCount)</f>
        <v>-92.88</v>
      </c>
      <c r="F302" t="str">
        <f ca="1">IF(H302&lt;=I302,"Starter",IF(G302&gt;=LARGE(G:G,FlexOn*LeagueInfo!$F$2),"Starter","Bench"))</f>
        <v>Bench</v>
      </c>
      <c r="G302">
        <f ca="1">IF(H302&gt;I302,D302,0)</f>
        <v>15.82</v>
      </c>
      <c r="H302">
        <f ca="1">INDEX(INDIRECT(""&amp;C302&amp;"!A2:A489"),MATCH(B302,INDIRECT(""&amp;C302&amp;"!B2:B489"),0))</f>
        <v>172</v>
      </c>
      <c r="I302">
        <f>IF(C302="RB",LeagueInfo!$D$4*LeagueInfo!$F$2,LeagueInfo!$D$5*LeagueInfo!$F$2)</f>
        <v>24</v>
      </c>
    </row>
    <row r="303" spans="1:9" x14ac:dyDescent="0.25">
      <c r="A303">
        <f ca="1">RANK(E303,E$2:E$349)</f>
        <v>302</v>
      </c>
      <c r="B303" t="s">
        <v>2434</v>
      </c>
      <c r="C303" t="s">
        <v>35</v>
      </c>
      <c r="D303">
        <f ca="1">INDEX(INDIRECT($C303&amp;"!P:P"),MATCH($B303,INDIRECT($C303&amp;"!B:B"),0))</f>
        <v>15.690000000000001</v>
      </c>
      <c r="E303" s="6">
        <f ca="1">D303-LARGE(D$2:D$292,RBCount+WRCount)</f>
        <v>-93.01</v>
      </c>
      <c r="F303" t="str">
        <f ca="1">IF(H303&lt;=I303,"Starter",IF(G303&gt;=LARGE(G:G,FlexOn*LeagueInfo!$F$2),"Starter","Bench"))</f>
        <v>Bench</v>
      </c>
      <c r="G303">
        <f ca="1">IF(H303&gt;I303,D303,0)</f>
        <v>15.690000000000001</v>
      </c>
      <c r="H303">
        <f ca="1">INDEX(INDIRECT(""&amp;C303&amp;"!A2:A489"),MATCH(B303,INDIRECT(""&amp;C303&amp;"!B2:B489"),0))</f>
        <v>173</v>
      </c>
      <c r="I303">
        <f>IF(C303="RB",LeagueInfo!$D$4*LeagueInfo!$F$2,LeagueInfo!$D$5*LeagueInfo!$F$2)</f>
        <v>24</v>
      </c>
    </row>
    <row r="304" spans="1:9" x14ac:dyDescent="0.25">
      <c r="A304">
        <f ca="1">RANK(E304,E$2:E$349)</f>
        <v>303</v>
      </c>
      <c r="B304" t="s">
        <v>910</v>
      </c>
      <c r="C304" t="s">
        <v>28</v>
      </c>
      <c r="D304">
        <f ca="1">INDEX(INDIRECT($C304&amp;"!P:P"),MATCH($B304,INDIRECT($C304&amp;"!B:B"),0))</f>
        <v>15.560000000000002</v>
      </c>
      <c r="E304" s="6">
        <f ca="1">D304-LARGE(D$2:D$292,RBCount+WRCount)</f>
        <v>-93.14</v>
      </c>
      <c r="F304" t="str">
        <f ca="1">IF(H304&lt;=I304,"Starter",IF(G304&gt;=LARGE(G:G,FlexOn*LeagueInfo!$F$2),"Starter","Bench"))</f>
        <v>Bench</v>
      </c>
      <c r="G304">
        <f ca="1">IF(H304&gt;I304,D304,0)</f>
        <v>15.560000000000002</v>
      </c>
      <c r="H304">
        <f ca="1">INDEX(INDIRECT(""&amp;C304&amp;"!A2:A489"),MATCH(B304,INDIRECT(""&amp;C304&amp;"!B2:B489"),0))</f>
        <v>130</v>
      </c>
      <c r="I304">
        <f>IF(C304="RB",LeagueInfo!$D$4*LeagueInfo!$F$2,LeagueInfo!$D$5*LeagueInfo!$F$2)</f>
        <v>24</v>
      </c>
    </row>
    <row r="305" spans="1:9" x14ac:dyDescent="0.25">
      <c r="A305">
        <f ca="1">RANK(E305,E$2:E$349)</f>
        <v>304</v>
      </c>
      <c r="B305" t="s">
        <v>900</v>
      </c>
      <c r="C305" t="s">
        <v>28</v>
      </c>
      <c r="D305">
        <f ca="1">INDEX(INDIRECT($C305&amp;"!P:P"),MATCH($B305,INDIRECT($C305&amp;"!B:B"),0))</f>
        <v>15.470000000000002</v>
      </c>
      <c r="E305" s="6">
        <f ca="1">D305-LARGE(D$2:D$292,RBCount+WRCount)</f>
        <v>-93.23</v>
      </c>
      <c r="F305" t="str">
        <f ca="1">IF(H305&lt;=I305,"Starter",IF(G305&gt;=LARGE(G:G,FlexOn*LeagueInfo!$F$2),"Starter","Bench"))</f>
        <v>Bench</v>
      </c>
      <c r="G305">
        <f ca="1">IF(H305&gt;I305,D305,0)</f>
        <v>15.470000000000002</v>
      </c>
      <c r="H305">
        <f ca="1">INDEX(INDIRECT(""&amp;C305&amp;"!A2:A489"),MATCH(B305,INDIRECT(""&amp;C305&amp;"!B2:B489"),0))</f>
        <v>131</v>
      </c>
      <c r="I305">
        <f>IF(C305="RB",LeagueInfo!$D$4*LeagueInfo!$F$2,LeagueInfo!$D$5*LeagueInfo!$F$2)</f>
        <v>24</v>
      </c>
    </row>
    <row r="306" spans="1:9" x14ac:dyDescent="0.25">
      <c r="A306">
        <f ca="1">RANK(E306,E$2:E$349)</f>
        <v>305</v>
      </c>
      <c r="B306" t="s">
        <v>354</v>
      </c>
      <c r="C306" t="s">
        <v>28</v>
      </c>
      <c r="D306">
        <f ca="1">INDEX(INDIRECT($C306&amp;"!P:P"),MATCH($B306,INDIRECT($C306&amp;"!B:B"),0))</f>
        <v>15.400000000000002</v>
      </c>
      <c r="E306" s="6">
        <f ca="1">D306-LARGE(D$2:D$292,RBCount+WRCount)</f>
        <v>-93.3</v>
      </c>
      <c r="F306" t="str">
        <f ca="1">IF(H306&lt;=I306,"Starter",IF(G306&gt;=LARGE(G:G,FlexOn*LeagueInfo!$F$2),"Starter","Bench"))</f>
        <v>Bench</v>
      </c>
      <c r="G306">
        <f ca="1">IF(H306&gt;I306,D306,0)</f>
        <v>15.400000000000002</v>
      </c>
      <c r="H306">
        <f ca="1">INDEX(INDIRECT(""&amp;C306&amp;"!A2:A489"),MATCH(B306,INDIRECT(""&amp;C306&amp;"!B2:B489"),0))</f>
        <v>132</v>
      </c>
      <c r="I306">
        <f>IF(C306="RB",LeagueInfo!$D$4*LeagueInfo!$F$2,LeagueInfo!$D$5*LeagueInfo!$F$2)</f>
        <v>24</v>
      </c>
    </row>
    <row r="307" spans="1:9" x14ac:dyDescent="0.25">
      <c r="A307">
        <f ca="1">RANK(E307,E$2:E$349)</f>
        <v>306</v>
      </c>
      <c r="B307" t="s">
        <v>804</v>
      </c>
      <c r="C307" t="s">
        <v>35</v>
      </c>
      <c r="D307">
        <f ca="1">INDEX(INDIRECT($C307&amp;"!P:P"),MATCH($B307,INDIRECT($C307&amp;"!B:B"),0))</f>
        <v>15.059999999999999</v>
      </c>
      <c r="E307" s="6">
        <f ca="1">D307-LARGE(D$2:D$292,RBCount+WRCount)</f>
        <v>-93.64</v>
      </c>
      <c r="F307" t="str">
        <f ca="1">IF(H307&lt;=I307,"Starter",IF(G307&gt;=LARGE(G:G,FlexOn*LeagueInfo!$F$2),"Starter","Bench"))</f>
        <v>Bench</v>
      </c>
      <c r="G307">
        <f ca="1">IF(H307&gt;I307,D307,0)</f>
        <v>15.059999999999999</v>
      </c>
      <c r="H307">
        <f ca="1">INDEX(INDIRECT(""&amp;C307&amp;"!A2:A489"),MATCH(B307,INDIRECT(""&amp;C307&amp;"!B2:B489"),0))</f>
        <v>174</v>
      </c>
      <c r="I307">
        <f>IF(C307="RB",LeagueInfo!$D$4*LeagueInfo!$F$2,LeagueInfo!$D$5*LeagueInfo!$F$2)</f>
        <v>24</v>
      </c>
    </row>
    <row r="308" spans="1:9" x14ac:dyDescent="0.25">
      <c r="A308">
        <f ca="1">RANK(E308,E$2:E$349)</f>
        <v>307</v>
      </c>
      <c r="B308" t="s">
        <v>684</v>
      </c>
      <c r="C308" t="s">
        <v>28</v>
      </c>
      <c r="D308">
        <f ca="1">INDEX(INDIRECT($C308&amp;"!P:P"),MATCH($B308,INDIRECT($C308&amp;"!B:B"),0))</f>
        <v>14.899999999999999</v>
      </c>
      <c r="E308" s="6">
        <f ca="1">D308-LARGE(D$2:D$292,RBCount+WRCount)</f>
        <v>-93.800000000000011</v>
      </c>
      <c r="F308" t="str">
        <f ca="1">IF(H308&lt;=I308,"Starter",IF(G308&gt;=LARGE(G:G,FlexOn*LeagueInfo!$F$2),"Starter","Bench"))</f>
        <v>Bench</v>
      </c>
      <c r="G308">
        <f ca="1">IF(H308&gt;I308,D308,0)</f>
        <v>14.899999999999999</v>
      </c>
      <c r="H308">
        <f ca="1">INDEX(INDIRECT(""&amp;C308&amp;"!A2:A489"),MATCH(B308,INDIRECT(""&amp;C308&amp;"!B2:B489"),0))</f>
        <v>133</v>
      </c>
      <c r="I308">
        <f>IF(C308="RB",LeagueInfo!$D$4*LeagueInfo!$F$2,LeagueInfo!$D$5*LeagueInfo!$F$2)</f>
        <v>24</v>
      </c>
    </row>
    <row r="309" spans="1:9" x14ac:dyDescent="0.25">
      <c r="A309">
        <f ca="1">RANK(E309,E$2:E$349)</f>
        <v>308</v>
      </c>
      <c r="B309" t="s">
        <v>2678</v>
      </c>
      <c r="C309" t="s">
        <v>35</v>
      </c>
      <c r="D309">
        <f ca="1">INDEX(INDIRECT($C309&amp;"!P:P"),MATCH($B309,INDIRECT($C309&amp;"!B:B"),0))</f>
        <v>14.480000000000002</v>
      </c>
      <c r="E309" s="6">
        <f ca="1">D309-LARGE(D$2:D$292,RBCount+WRCount)</f>
        <v>-94.22</v>
      </c>
      <c r="F309" t="str">
        <f ca="1">IF(H309&lt;=I309,"Starter",IF(G309&gt;=LARGE(G:G,FlexOn*LeagueInfo!$F$2),"Starter","Bench"))</f>
        <v>Bench</v>
      </c>
      <c r="G309">
        <f ca="1">IF(H309&gt;I309,D309,0)</f>
        <v>14.480000000000002</v>
      </c>
      <c r="H309">
        <f ca="1">INDEX(INDIRECT(""&amp;C309&amp;"!A2:A489"),MATCH(B309,INDIRECT(""&amp;C309&amp;"!B2:B489"),0))</f>
        <v>175</v>
      </c>
      <c r="I309">
        <f>IF(C309="RB",LeagueInfo!$D$4*LeagueInfo!$F$2,LeagueInfo!$D$5*LeagueInfo!$F$2)</f>
        <v>24</v>
      </c>
    </row>
    <row r="310" spans="1:9" x14ac:dyDescent="0.25">
      <c r="A310">
        <f ca="1">RANK(E310,E$2:E$349)</f>
        <v>309</v>
      </c>
      <c r="B310" t="s">
        <v>403</v>
      </c>
      <c r="C310" t="s">
        <v>35</v>
      </c>
      <c r="D310">
        <f ca="1">INDEX(INDIRECT($C310&amp;"!P:P"),MATCH($B310,INDIRECT($C310&amp;"!B:B"),0))</f>
        <v>14.36</v>
      </c>
      <c r="E310" s="6">
        <f ca="1">D310-LARGE(D$2:D$292,RBCount+WRCount)</f>
        <v>-94.34</v>
      </c>
      <c r="F310" t="str">
        <f ca="1">IF(H310&lt;=I310,"Starter",IF(G310&gt;=LARGE(G:G,FlexOn*LeagueInfo!$F$2),"Starter","Bench"))</f>
        <v>Bench</v>
      </c>
      <c r="G310">
        <f ca="1">IF(H310&gt;I310,D310,0)</f>
        <v>14.36</v>
      </c>
      <c r="H310">
        <f ca="1">INDEX(INDIRECT(""&amp;C310&amp;"!A2:A489"),MATCH(B310,INDIRECT(""&amp;C310&amp;"!B2:B489"),0))</f>
        <v>176</v>
      </c>
      <c r="I310">
        <f>IF(C310="RB",LeagueInfo!$D$4*LeagueInfo!$F$2,LeagueInfo!$D$5*LeagueInfo!$F$2)</f>
        <v>24</v>
      </c>
    </row>
    <row r="311" spans="1:9" x14ac:dyDescent="0.25">
      <c r="A311">
        <f ca="1">RANK(E311,E$2:E$349)</f>
        <v>310</v>
      </c>
      <c r="B311" t="s">
        <v>994</v>
      </c>
      <c r="C311" t="s">
        <v>35</v>
      </c>
      <c r="D311">
        <f ca="1">INDEX(INDIRECT($C311&amp;"!P:P"),MATCH($B311,INDIRECT($C311&amp;"!B:B"),0))</f>
        <v>14.25</v>
      </c>
      <c r="E311" s="6">
        <f ca="1">D311-LARGE(D$2:D$292,RBCount+WRCount)</f>
        <v>-94.45</v>
      </c>
      <c r="F311" t="str">
        <f ca="1">IF(H311&lt;=I311,"Starter",IF(G311&gt;=LARGE(G:G,FlexOn*LeagueInfo!$F$2),"Starter","Bench"))</f>
        <v>Bench</v>
      </c>
      <c r="G311">
        <f ca="1">IF(H311&gt;I311,D311,0)</f>
        <v>14.25</v>
      </c>
      <c r="H311">
        <f ca="1">INDEX(INDIRECT(""&amp;C311&amp;"!A2:A489"),MATCH(B311,INDIRECT(""&amp;C311&amp;"!B2:B489"),0))</f>
        <v>177</v>
      </c>
      <c r="I311">
        <f>IF(C311="RB",LeagueInfo!$D$4*LeagueInfo!$F$2,LeagueInfo!$D$5*LeagueInfo!$F$2)</f>
        <v>24</v>
      </c>
    </row>
    <row r="312" spans="1:9" x14ac:dyDescent="0.25">
      <c r="A312">
        <f ca="1">RANK(E312,E$2:E$349)</f>
        <v>311</v>
      </c>
      <c r="B312" t="s">
        <v>999</v>
      </c>
      <c r="C312" t="s">
        <v>35</v>
      </c>
      <c r="D312">
        <f ca="1">INDEX(INDIRECT($C312&amp;"!P:P"),MATCH($B312,INDIRECT($C312&amp;"!B:B"),0))</f>
        <v>14.11</v>
      </c>
      <c r="E312" s="6">
        <f ca="1">D312-LARGE(D$2:D$292,RBCount+WRCount)</f>
        <v>-94.59</v>
      </c>
      <c r="F312" t="str">
        <f ca="1">IF(H312&lt;=I312,"Starter",IF(G312&gt;=LARGE(G:G,FlexOn*LeagueInfo!$F$2),"Starter","Bench"))</f>
        <v>Bench</v>
      </c>
      <c r="G312">
        <f ca="1">IF(H312&gt;I312,D312,0)</f>
        <v>14.11</v>
      </c>
      <c r="H312">
        <f ca="1">INDEX(INDIRECT(""&amp;C312&amp;"!A2:A489"),MATCH(B312,INDIRECT(""&amp;C312&amp;"!B2:B489"),0))</f>
        <v>178</v>
      </c>
      <c r="I312">
        <f>IF(C312="RB",LeagueInfo!$D$4*LeagueInfo!$F$2,LeagueInfo!$D$5*LeagueInfo!$F$2)</f>
        <v>24</v>
      </c>
    </row>
    <row r="313" spans="1:9" x14ac:dyDescent="0.25">
      <c r="A313">
        <f ca="1">RANK(E313,E$2:E$349)</f>
        <v>312</v>
      </c>
      <c r="B313" t="s">
        <v>853</v>
      </c>
      <c r="C313" t="s">
        <v>35</v>
      </c>
      <c r="D313">
        <f ca="1">INDEX(INDIRECT($C313&amp;"!P:P"),MATCH($B313,INDIRECT($C313&amp;"!B:B"),0))</f>
        <v>14.01</v>
      </c>
      <c r="E313" s="6">
        <f ca="1">D313-LARGE(D$2:D$292,RBCount+WRCount)</f>
        <v>-94.69</v>
      </c>
      <c r="F313" t="str">
        <f ca="1">IF(H313&lt;=I313,"Starter",IF(G313&gt;=LARGE(G:G,FlexOn*LeagueInfo!$F$2),"Starter","Bench"))</f>
        <v>Bench</v>
      </c>
      <c r="G313">
        <f ca="1">IF(H313&gt;I313,D313,0)</f>
        <v>14.01</v>
      </c>
      <c r="H313">
        <f ca="1">INDEX(INDIRECT(""&amp;C313&amp;"!A2:A489"),MATCH(B313,INDIRECT(""&amp;C313&amp;"!B2:B489"),0))</f>
        <v>179</v>
      </c>
      <c r="I313">
        <f>IF(C313="RB",LeagueInfo!$D$4*LeagueInfo!$F$2,LeagueInfo!$D$5*LeagueInfo!$F$2)</f>
        <v>24</v>
      </c>
    </row>
    <row r="314" spans="1:9" x14ac:dyDescent="0.25">
      <c r="A314">
        <f ca="1">RANK(E314,E$2:E$349)</f>
        <v>313</v>
      </c>
      <c r="B314" t="s">
        <v>2741</v>
      </c>
      <c r="C314" t="s">
        <v>35</v>
      </c>
      <c r="D314">
        <f ca="1">INDEX(INDIRECT($C314&amp;"!P:P"),MATCH($B314,INDIRECT($C314&amp;"!B:B"),0))</f>
        <v>13.920000000000002</v>
      </c>
      <c r="E314" s="6">
        <f ca="1">D314-LARGE(D$2:D$292,RBCount+WRCount)</f>
        <v>-94.78</v>
      </c>
      <c r="F314" t="str">
        <f ca="1">IF(H314&lt;=I314,"Starter",IF(G314&gt;=LARGE(G:G,FlexOn*LeagueInfo!$F$2),"Starter","Bench"))</f>
        <v>Bench</v>
      </c>
      <c r="G314">
        <f ca="1">IF(H314&gt;I314,D314,0)</f>
        <v>13.920000000000002</v>
      </c>
      <c r="H314">
        <f ca="1">INDEX(INDIRECT(""&amp;C314&amp;"!A2:A489"),MATCH(B314,INDIRECT(""&amp;C314&amp;"!B2:B489"),0))</f>
        <v>180</v>
      </c>
      <c r="I314">
        <f>IF(C314="RB",LeagueInfo!$D$4*LeagueInfo!$F$2,LeagueInfo!$D$5*LeagueInfo!$F$2)</f>
        <v>24</v>
      </c>
    </row>
    <row r="315" spans="1:9" x14ac:dyDescent="0.25">
      <c r="A315">
        <f ca="1">RANK(E315,E$2:E$349)</f>
        <v>314</v>
      </c>
      <c r="B315" t="s">
        <v>858</v>
      </c>
      <c r="C315" t="s">
        <v>35</v>
      </c>
      <c r="D315">
        <f ca="1">INDEX(INDIRECT($C315&amp;"!P:P"),MATCH($B315,INDIRECT($C315&amp;"!B:B"),0))</f>
        <v>13.890000000000002</v>
      </c>
      <c r="E315" s="6">
        <f ca="1">D315-LARGE(D$2:D$292,RBCount+WRCount)</f>
        <v>-94.81</v>
      </c>
      <c r="F315" t="str">
        <f ca="1">IF(H315&lt;=I315,"Starter",IF(G315&gt;=LARGE(G:G,FlexOn*LeagueInfo!$F$2),"Starter","Bench"))</f>
        <v>Bench</v>
      </c>
      <c r="G315">
        <f ca="1">IF(H315&gt;I315,D315,0)</f>
        <v>13.890000000000002</v>
      </c>
      <c r="H315">
        <f ca="1">INDEX(INDIRECT(""&amp;C315&amp;"!A2:A489"),MATCH(B315,INDIRECT(""&amp;C315&amp;"!B2:B489"),0))</f>
        <v>181</v>
      </c>
      <c r="I315">
        <f>IF(C315="RB",LeagueInfo!$D$4*LeagueInfo!$F$2,LeagueInfo!$D$5*LeagueInfo!$F$2)</f>
        <v>24</v>
      </c>
    </row>
    <row r="316" spans="1:9" x14ac:dyDescent="0.25">
      <c r="A316">
        <f ca="1">RANK(E316,E$2:E$349)</f>
        <v>315</v>
      </c>
      <c r="B316" t="s">
        <v>838</v>
      </c>
      <c r="C316" t="s">
        <v>35</v>
      </c>
      <c r="D316">
        <f ca="1">INDEX(INDIRECT($C316&amp;"!P:P"),MATCH($B316,INDIRECT($C316&amp;"!B:B"),0))</f>
        <v>13.729999999999999</v>
      </c>
      <c r="E316" s="6">
        <f ca="1">D316-LARGE(D$2:D$292,RBCount+WRCount)</f>
        <v>-94.97</v>
      </c>
      <c r="F316" t="str">
        <f ca="1">IF(H316&lt;=I316,"Starter",IF(G316&gt;=LARGE(G:G,FlexOn*LeagueInfo!$F$2),"Starter","Bench"))</f>
        <v>Bench</v>
      </c>
      <c r="G316">
        <f ca="1">IF(H316&gt;I316,D316,0)</f>
        <v>13.729999999999999</v>
      </c>
      <c r="H316">
        <f ca="1">INDEX(INDIRECT(""&amp;C316&amp;"!A2:A489"),MATCH(B316,INDIRECT(""&amp;C316&amp;"!B2:B489"),0))</f>
        <v>182</v>
      </c>
      <c r="I316">
        <f>IF(C316="RB",LeagueInfo!$D$4*LeagueInfo!$F$2,LeagueInfo!$D$5*LeagueInfo!$F$2)</f>
        <v>24</v>
      </c>
    </row>
    <row r="317" spans="1:9" x14ac:dyDescent="0.25">
      <c r="A317">
        <f ca="1">RANK(E317,E$2:E$349)</f>
        <v>316</v>
      </c>
      <c r="B317" t="s">
        <v>995</v>
      </c>
      <c r="C317" t="s">
        <v>35</v>
      </c>
      <c r="D317">
        <f ca="1">INDEX(INDIRECT($C317&amp;"!P:P"),MATCH($B317,INDIRECT($C317&amp;"!B:B"),0))</f>
        <v>13.64</v>
      </c>
      <c r="E317" s="6">
        <f ca="1">D317-LARGE(D$2:D$292,RBCount+WRCount)</f>
        <v>-95.06</v>
      </c>
      <c r="F317" t="str">
        <f ca="1">IF(H317&lt;=I317,"Starter",IF(G317&gt;=LARGE(G:G,FlexOn*LeagueInfo!$F$2),"Starter","Bench"))</f>
        <v>Bench</v>
      </c>
      <c r="G317">
        <f ca="1">IF(H317&gt;I317,D317,0)</f>
        <v>13.64</v>
      </c>
      <c r="H317">
        <f ca="1">INDEX(INDIRECT(""&amp;C317&amp;"!A2:A489"),MATCH(B317,INDIRECT(""&amp;C317&amp;"!B2:B489"),0))</f>
        <v>183</v>
      </c>
      <c r="I317">
        <f>IF(C317="RB",LeagueInfo!$D$4*LeagueInfo!$F$2,LeagueInfo!$D$5*LeagueInfo!$F$2)</f>
        <v>24</v>
      </c>
    </row>
    <row r="318" spans="1:9" x14ac:dyDescent="0.25">
      <c r="A318">
        <f ca="1">RANK(E318,E$2:E$349)</f>
        <v>317</v>
      </c>
      <c r="B318" t="s">
        <v>956</v>
      </c>
      <c r="C318" t="s">
        <v>35</v>
      </c>
      <c r="D318">
        <f ca="1">INDEX(INDIRECT($C318&amp;"!P:P"),MATCH($B318,INDIRECT($C318&amp;"!B:B"),0))</f>
        <v>13.510000000000002</v>
      </c>
      <c r="E318" s="6">
        <f ca="1">D318-LARGE(D$2:D$292,RBCount+WRCount)</f>
        <v>-95.19</v>
      </c>
      <c r="F318" t="str">
        <f ca="1">IF(H318&lt;=I318,"Starter",IF(G318&gt;=LARGE(G:G,FlexOn*LeagueInfo!$F$2),"Starter","Bench"))</f>
        <v>Bench</v>
      </c>
      <c r="G318">
        <f ca="1">IF(H318&gt;I318,D318,0)</f>
        <v>13.510000000000002</v>
      </c>
      <c r="H318">
        <f ca="1">INDEX(INDIRECT(""&amp;C318&amp;"!A2:A489"),MATCH(B318,INDIRECT(""&amp;C318&amp;"!B2:B489"),0))</f>
        <v>184</v>
      </c>
      <c r="I318">
        <f>IF(C318="RB",LeagueInfo!$D$4*LeagueInfo!$F$2,LeagueInfo!$D$5*LeagueInfo!$F$2)</f>
        <v>24</v>
      </c>
    </row>
    <row r="319" spans="1:9" x14ac:dyDescent="0.25">
      <c r="A319">
        <f ca="1">RANK(E319,E$2:E$349)</f>
        <v>318</v>
      </c>
      <c r="B319" t="s">
        <v>970</v>
      </c>
      <c r="C319" t="s">
        <v>35</v>
      </c>
      <c r="D319">
        <f ca="1">INDEX(INDIRECT($C319&amp;"!P:P"),MATCH($B319,INDIRECT($C319&amp;"!B:B"),0))</f>
        <v>13.440000000000001</v>
      </c>
      <c r="E319" s="6">
        <f ca="1">D319-LARGE(D$2:D$292,RBCount+WRCount)</f>
        <v>-95.26</v>
      </c>
      <c r="F319" t="str">
        <f ca="1">IF(H319&lt;=I319,"Starter",IF(G319&gt;=LARGE(G:G,FlexOn*LeagueInfo!$F$2),"Starter","Bench"))</f>
        <v>Bench</v>
      </c>
      <c r="G319">
        <f ca="1">IF(H319&gt;I319,D319,0)</f>
        <v>13.440000000000001</v>
      </c>
      <c r="H319">
        <f ca="1">INDEX(INDIRECT(""&amp;C319&amp;"!A2:A489"),MATCH(B319,INDIRECT(""&amp;C319&amp;"!B2:B489"),0))</f>
        <v>185</v>
      </c>
      <c r="I319">
        <f>IF(C319="RB",LeagueInfo!$D$4*LeagueInfo!$F$2,LeagueInfo!$D$5*LeagueInfo!$F$2)</f>
        <v>24</v>
      </c>
    </row>
    <row r="320" spans="1:9" x14ac:dyDescent="0.25">
      <c r="A320">
        <f ca="1">RANK(E320,E$2:E$349)</f>
        <v>319</v>
      </c>
      <c r="B320" t="s">
        <v>582</v>
      </c>
      <c r="C320" t="s">
        <v>35</v>
      </c>
      <c r="D320">
        <f ca="1">INDEX(INDIRECT($C320&amp;"!P:P"),MATCH($B320,INDIRECT($C320&amp;"!B:B"),0))</f>
        <v>13.26</v>
      </c>
      <c r="E320" s="6">
        <f ca="1">D320-LARGE(D$2:D$292,RBCount+WRCount)</f>
        <v>-95.44</v>
      </c>
      <c r="F320" t="str">
        <f ca="1">IF(H320&lt;=I320,"Starter",IF(G320&gt;=LARGE(G:G,FlexOn*LeagueInfo!$F$2),"Starter","Bench"))</f>
        <v>Bench</v>
      </c>
      <c r="G320">
        <f ca="1">IF(H320&gt;I320,D320,0)</f>
        <v>13.26</v>
      </c>
      <c r="H320">
        <f ca="1">INDEX(INDIRECT(""&amp;C320&amp;"!A2:A489"),MATCH(B320,INDIRECT(""&amp;C320&amp;"!B2:B489"),0))</f>
        <v>186</v>
      </c>
      <c r="I320">
        <f>IF(C320="RB",LeagueInfo!$D$4*LeagueInfo!$F$2,LeagueInfo!$D$5*LeagueInfo!$F$2)</f>
        <v>24</v>
      </c>
    </row>
    <row r="321" spans="1:9" x14ac:dyDescent="0.25">
      <c r="A321">
        <f ca="1">RANK(E321,E$2:E$349)</f>
        <v>320</v>
      </c>
      <c r="B321" t="s">
        <v>710</v>
      </c>
      <c r="C321" t="s">
        <v>35</v>
      </c>
      <c r="D321">
        <f ca="1">INDEX(INDIRECT($C321&amp;"!P:P"),MATCH($B321,INDIRECT($C321&amp;"!B:B"),0))</f>
        <v>13.040000000000001</v>
      </c>
      <c r="E321" s="6">
        <f ca="1">D321-LARGE(D$2:D$292,RBCount+WRCount)</f>
        <v>-95.66</v>
      </c>
      <c r="F321" t="str">
        <f ca="1">IF(H321&lt;=I321,"Starter",IF(G321&gt;=LARGE(G:G,FlexOn*LeagueInfo!$F$2),"Starter","Bench"))</f>
        <v>Bench</v>
      </c>
      <c r="G321">
        <f ca="1">IF(H321&gt;I321,D321,0)</f>
        <v>13.040000000000001</v>
      </c>
      <c r="H321">
        <f ca="1">INDEX(INDIRECT(""&amp;C321&amp;"!A2:A489"),MATCH(B321,INDIRECT(""&amp;C321&amp;"!B2:B489"),0))</f>
        <v>187</v>
      </c>
      <c r="I321">
        <f>IF(C321="RB",LeagueInfo!$D$4*LeagueInfo!$F$2,LeagueInfo!$D$5*LeagueInfo!$F$2)</f>
        <v>24</v>
      </c>
    </row>
    <row r="322" spans="1:9" x14ac:dyDescent="0.25">
      <c r="A322">
        <f ca="1">RANK(E322,E$2:E$349)</f>
        <v>321</v>
      </c>
      <c r="B322" t="s">
        <v>861</v>
      </c>
      <c r="C322" t="s">
        <v>35</v>
      </c>
      <c r="D322">
        <f ca="1">INDEX(INDIRECT($C322&amp;"!P:P"),MATCH($B322,INDIRECT($C322&amp;"!B:B"),0))</f>
        <v>13.020000000000001</v>
      </c>
      <c r="E322" s="6">
        <f ca="1">D322-LARGE(D$2:D$292,RBCount+WRCount)</f>
        <v>-95.68</v>
      </c>
      <c r="F322" t="str">
        <f ca="1">IF(H322&lt;=I322,"Starter",IF(G322&gt;=LARGE(G:G,FlexOn*LeagueInfo!$F$2),"Starter","Bench"))</f>
        <v>Bench</v>
      </c>
      <c r="G322">
        <f ca="1">IF(H322&gt;I322,D322,0)</f>
        <v>13.020000000000001</v>
      </c>
      <c r="H322">
        <f ca="1">INDEX(INDIRECT(""&amp;C322&amp;"!A2:A489"),MATCH(B322,INDIRECT(""&amp;C322&amp;"!B2:B489"),0))</f>
        <v>188</v>
      </c>
      <c r="I322">
        <f>IF(C322="RB",LeagueInfo!$D$4*LeagueInfo!$F$2,LeagueInfo!$D$5*LeagueInfo!$F$2)</f>
        <v>24</v>
      </c>
    </row>
    <row r="323" spans="1:9" x14ac:dyDescent="0.25">
      <c r="A323">
        <f ca="1">RANK(E323,E$2:E$349)</f>
        <v>322</v>
      </c>
      <c r="B323" t="s">
        <v>644</v>
      </c>
      <c r="C323" t="s">
        <v>35</v>
      </c>
      <c r="D323">
        <f ca="1">INDEX(INDIRECT($C323&amp;"!P:P"),MATCH($B323,INDIRECT($C323&amp;"!B:B"),0))</f>
        <v>12.740000000000002</v>
      </c>
      <c r="E323" s="6">
        <f ca="1">D323-LARGE(D$2:D$292,RBCount+WRCount)</f>
        <v>-95.960000000000008</v>
      </c>
      <c r="F323" t="str">
        <f ca="1">IF(H323&lt;=I323,"Starter",IF(G323&gt;=LARGE(G:G,FlexOn*LeagueInfo!$F$2),"Starter","Bench"))</f>
        <v>Bench</v>
      </c>
      <c r="G323">
        <f ca="1">IF(H323&gt;I323,D323,0)</f>
        <v>12.740000000000002</v>
      </c>
      <c r="H323">
        <f ca="1">INDEX(INDIRECT(""&amp;C323&amp;"!A2:A489"),MATCH(B323,INDIRECT(""&amp;C323&amp;"!B2:B489"),0))</f>
        <v>189</v>
      </c>
      <c r="I323">
        <f>IF(C323="RB",LeagueInfo!$D$4*LeagueInfo!$F$2,LeagueInfo!$D$5*LeagueInfo!$F$2)</f>
        <v>24</v>
      </c>
    </row>
    <row r="324" spans="1:9" x14ac:dyDescent="0.25">
      <c r="A324">
        <f ca="1">RANK(E324,E$2:E$349)</f>
        <v>323</v>
      </c>
      <c r="B324" t="s">
        <v>571</v>
      </c>
      <c r="C324" t="s">
        <v>35</v>
      </c>
      <c r="D324">
        <f ca="1">INDEX(INDIRECT($C324&amp;"!P:P"),MATCH($B324,INDIRECT($C324&amp;"!B:B"),0))</f>
        <v>12.030000000000001</v>
      </c>
      <c r="E324" s="6">
        <f ca="1">D324-LARGE(D$2:D$292,RBCount+WRCount)</f>
        <v>-96.67</v>
      </c>
      <c r="F324" t="str">
        <f ca="1">IF(H324&lt;=I324,"Starter",IF(G324&gt;=LARGE(G:G,FlexOn*LeagueInfo!$F$2),"Starter","Bench"))</f>
        <v>Bench</v>
      </c>
      <c r="G324">
        <f ca="1">IF(H324&gt;I324,D324,0)</f>
        <v>12.030000000000001</v>
      </c>
      <c r="H324">
        <f ca="1">INDEX(INDIRECT(""&amp;C324&amp;"!A2:A489"),MATCH(B324,INDIRECT(""&amp;C324&amp;"!B2:B489"),0))</f>
        <v>190</v>
      </c>
      <c r="I324">
        <f>IF(C324="RB",LeagueInfo!$D$4*LeagueInfo!$F$2,LeagueInfo!$D$5*LeagueInfo!$F$2)</f>
        <v>24</v>
      </c>
    </row>
    <row r="325" spans="1:9" x14ac:dyDescent="0.25">
      <c r="A325">
        <f ca="1">RANK(E325,E$2:E$349)</f>
        <v>324</v>
      </c>
      <c r="B325" t="s">
        <v>890</v>
      </c>
      <c r="C325" t="s">
        <v>28</v>
      </c>
      <c r="D325">
        <f ca="1">INDEX(INDIRECT($C325&amp;"!P:P"),MATCH($B325,INDIRECT($C325&amp;"!B:B"),0))</f>
        <v>11.95</v>
      </c>
      <c r="E325" s="6">
        <f ca="1">D325-LARGE(D$2:D$292,RBCount+WRCount)</f>
        <v>-96.75</v>
      </c>
      <c r="F325" t="str">
        <f ca="1">IF(H325&lt;=I325,"Starter",IF(G325&gt;=LARGE(G:G,FlexOn*LeagueInfo!$F$2),"Starter","Bench"))</f>
        <v>Bench</v>
      </c>
      <c r="G325">
        <f ca="1">IF(H325&gt;I325,D325,0)</f>
        <v>11.95</v>
      </c>
      <c r="H325">
        <f ca="1">INDEX(INDIRECT(""&amp;C325&amp;"!A2:A489"),MATCH(B325,INDIRECT(""&amp;C325&amp;"!B2:B489"),0))</f>
        <v>134</v>
      </c>
      <c r="I325">
        <f>IF(C325="RB",LeagueInfo!$D$4*LeagueInfo!$F$2,LeagueInfo!$D$5*LeagueInfo!$F$2)</f>
        <v>24</v>
      </c>
    </row>
    <row r="326" spans="1:9" x14ac:dyDescent="0.25">
      <c r="A326">
        <f ca="1">RANK(E326,E$2:E$349)</f>
        <v>325</v>
      </c>
      <c r="B326" t="s">
        <v>2677</v>
      </c>
      <c r="C326" t="s">
        <v>35</v>
      </c>
      <c r="D326">
        <f ca="1">INDEX(INDIRECT($C326&amp;"!P:P"),MATCH($B326,INDIRECT($C326&amp;"!B:B"),0))</f>
        <v>11.73</v>
      </c>
      <c r="E326" s="6">
        <f ca="1">D326-LARGE(D$2:D$292,RBCount+WRCount)</f>
        <v>-96.97</v>
      </c>
      <c r="F326" t="str">
        <f ca="1">IF(H326&lt;=I326,"Starter",IF(G326&gt;=LARGE(G:G,FlexOn*LeagueInfo!$F$2),"Starter","Bench"))</f>
        <v>Bench</v>
      </c>
      <c r="G326">
        <f ca="1">IF(H326&gt;I326,D326,0)</f>
        <v>11.73</v>
      </c>
      <c r="H326">
        <f ca="1">INDEX(INDIRECT(""&amp;C326&amp;"!A2:A489"),MATCH(B326,INDIRECT(""&amp;C326&amp;"!B2:B489"),0))</f>
        <v>191</v>
      </c>
      <c r="I326">
        <f>IF(C326="RB",LeagueInfo!$D$4*LeagueInfo!$F$2,LeagueInfo!$D$5*LeagueInfo!$F$2)</f>
        <v>24</v>
      </c>
    </row>
    <row r="327" spans="1:9" x14ac:dyDescent="0.25">
      <c r="A327">
        <f ca="1">RANK(E327,E$2:E$349)</f>
        <v>326</v>
      </c>
      <c r="B327" t="s">
        <v>2439</v>
      </c>
      <c r="C327" t="s">
        <v>35</v>
      </c>
      <c r="D327">
        <f ca="1">INDEX(INDIRECT($C327&amp;"!P:P"),MATCH($B327,INDIRECT($C327&amp;"!B:B"),0))</f>
        <v>11.280000000000001</v>
      </c>
      <c r="E327" s="6">
        <f ca="1">D327-LARGE(D$2:D$292,RBCount+WRCount)</f>
        <v>-97.42</v>
      </c>
      <c r="F327" t="str">
        <f ca="1">IF(H327&lt;=I327,"Starter",IF(G327&gt;=LARGE(G:G,FlexOn*LeagueInfo!$F$2),"Starter","Bench"))</f>
        <v>Bench</v>
      </c>
      <c r="G327">
        <f ca="1">IF(H327&gt;I327,D327,0)</f>
        <v>11.280000000000001</v>
      </c>
      <c r="H327">
        <f ca="1">INDEX(INDIRECT(""&amp;C327&amp;"!A2:A489"),MATCH(B327,INDIRECT(""&amp;C327&amp;"!B2:B489"),0))</f>
        <v>192</v>
      </c>
      <c r="I327">
        <f>IF(C327="RB",LeagueInfo!$D$4*LeagueInfo!$F$2,LeagueInfo!$D$5*LeagueInfo!$F$2)</f>
        <v>24</v>
      </c>
    </row>
    <row r="328" spans="1:9" x14ac:dyDescent="0.25">
      <c r="A328">
        <f ca="1">RANK(E328,E$2:E$349)</f>
        <v>327</v>
      </c>
      <c r="B328" t="s">
        <v>667</v>
      </c>
      <c r="C328" t="s">
        <v>28</v>
      </c>
      <c r="D328">
        <f ca="1">INDEX(INDIRECT($C328&amp;"!P:P"),MATCH($B328,INDIRECT($C328&amp;"!B:B"),0))</f>
        <v>10.540000000000001</v>
      </c>
      <c r="E328" s="6">
        <f ca="1">D328-LARGE(D$2:D$292,RBCount+WRCount)</f>
        <v>-98.16</v>
      </c>
      <c r="F328" t="str">
        <f ca="1">IF(H328&lt;=I328,"Starter",IF(G328&gt;=LARGE(G:G,FlexOn*LeagueInfo!$F$2),"Starter","Bench"))</f>
        <v>Bench</v>
      </c>
      <c r="G328">
        <f ca="1">IF(H328&gt;I328,D328,0)</f>
        <v>10.540000000000001</v>
      </c>
      <c r="H328">
        <f ca="1">INDEX(INDIRECT(""&amp;C328&amp;"!A2:A489"),MATCH(B328,INDIRECT(""&amp;C328&amp;"!B2:B489"),0))</f>
        <v>135</v>
      </c>
      <c r="I328">
        <f>IF(C328="RB",LeagueInfo!$D$4*LeagueInfo!$F$2,LeagueInfo!$D$5*LeagueInfo!$F$2)</f>
        <v>24</v>
      </c>
    </row>
    <row r="329" spans="1:9" x14ac:dyDescent="0.25">
      <c r="A329">
        <f ca="1">RANK(E329,E$2:E$349)</f>
        <v>328</v>
      </c>
      <c r="B329" t="s">
        <v>393</v>
      </c>
      <c r="C329" t="s">
        <v>35</v>
      </c>
      <c r="D329">
        <f ca="1">INDEX(INDIRECT($C329&amp;"!P:P"),MATCH($B329,INDIRECT($C329&amp;"!B:B"),0))</f>
        <v>10.3</v>
      </c>
      <c r="E329" s="6">
        <f ca="1">D329-LARGE(D$2:D$292,RBCount+WRCount)</f>
        <v>-98.4</v>
      </c>
      <c r="F329" t="str">
        <f ca="1">IF(H329&lt;=I329,"Starter",IF(G329&gt;=LARGE(G:G,FlexOn*LeagueInfo!$F$2),"Starter","Bench"))</f>
        <v>Bench</v>
      </c>
      <c r="G329">
        <f ca="1">IF(H329&gt;I329,D329,0)</f>
        <v>10.3</v>
      </c>
      <c r="H329">
        <f ca="1">INDEX(INDIRECT(""&amp;C329&amp;"!A2:A489"),MATCH(B329,INDIRECT(""&amp;C329&amp;"!B2:B489"),0))</f>
        <v>193</v>
      </c>
      <c r="I329">
        <f>IF(C329="RB",LeagueInfo!$D$4*LeagueInfo!$F$2,LeagueInfo!$D$5*LeagueInfo!$F$2)</f>
        <v>24</v>
      </c>
    </row>
    <row r="330" spans="1:9" x14ac:dyDescent="0.25">
      <c r="A330">
        <f ca="1">RANK(E330,E$2:E$349)</f>
        <v>329</v>
      </c>
      <c r="B330" t="s">
        <v>865</v>
      </c>
      <c r="C330" t="s">
        <v>35</v>
      </c>
      <c r="D330">
        <f ca="1">INDEX(INDIRECT($C330&amp;"!P:P"),MATCH($B330,INDIRECT($C330&amp;"!B:B"),0))</f>
        <v>10.039999999999999</v>
      </c>
      <c r="E330" s="6">
        <f ca="1">D330-LARGE(D$2:D$292,RBCount+WRCount)</f>
        <v>-98.66</v>
      </c>
      <c r="F330" t="str">
        <f ca="1">IF(H330&lt;=I330,"Starter",IF(G330&gt;=LARGE(G:G,FlexOn*LeagueInfo!$F$2),"Starter","Bench"))</f>
        <v>Bench</v>
      </c>
      <c r="G330">
        <f ca="1">IF(H330&gt;I330,D330,0)</f>
        <v>10.039999999999999</v>
      </c>
      <c r="H330">
        <f ca="1">INDEX(INDIRECT(""&amp;C330&amp;"!A2:A489"),MATCH(B330,INDIRECT(""&amp;C330&amp;"!B2:B489"),0))</f>
        <v>194</v>
      </c>
      <c r="I330">
        <f>IF(C330="RB",LeagueInfo!$D$4*LeagueInfo!$F$2,LeagueInfo!$D$5*LeagueInfo!$F$2)</f>
        <v>24</v>
      </c>
    </row>
    <row r="331" spans="1:9" x14ac:dyDescent="0.25">
      <c r="A331">
        <f ca="1">RANK(E331,E$2:E$349)</f>
        <v>330</v>
      </c>
      <c r="B331" t="s">
        <v>931</v>
      </c>
      <c r="C331" t="s">
        <v>28</v>
      </c>
      <c r="D331">
        <f ca="1">INDEX(INDIRECT($C331&amp;"!P:P"),MATCH($B331,INDIRECT($C331&amp;"!B:B"),0))</f>
        <v>9.99</v>
      </c>
      <c r="E331" s="6">
        <f ca="1">D331-LARGE(D$2:D$292,RBCount+WRCount)</f>
        <v>-98.710000000000008</v>
      </c>
      <c r="F331" t="str">
        <f ca="1">IF(H331&lt;=I331,"Starter",IF(G331&gt;=LARGE(G:G,FlexOn*LeagueInfo!$F$2),"Starter","Bench"))</f>
        <v>Bench</v>
      </c>
      <c r="G331">
        <f ca="1">IF(H331&gt;I331,D331,0)</f>
        <v>9.99</v>
      </c>
      <c r="H331">
        <f ca="1">INDEX(INDIRECT(""&amp;C331&amp;"!A2:A489"),MATCH(B331,INDIRECT(""&amp;C331&amp;"!B2:B489"),0))</f>
        <v>136</v>
      </c>
      <c r="I331">
        <f>IF(C331="RB",LeagueInfo!$D$4*LeagueInfo!$F$2,LeagueInfo!$D$5*LeagueInfo!$F$2)</f>
        <v>24</v>
      </c>
    </row>
    <row r="332" spans="1:9" x14ac:dyDescent="0.25">
      <c r="A332">
        <f ca="1">RANK(E332,E$2:E$349)</f>
        <v>331</v>
      </c>
      <c r="B332" t="s">
        <v>631</v>
      </c>
      <c r="C332" t="s">
        <v>35</v>
      </c>
      <c r="D332">
        <f ca="1">INDEX(INDIRECT($C332&amp;"!P:P"),MATCH($B332,INDIRECT($C332&amp;"!B:B"),0))</f>
        <v>9.7100000000000009</v>
      </c>
      <c r="E332" s="6">
        <f ca="1">D332-LARGE(D$2:D$292,RBCount+WRCount)</f>
        <v>-98.990000000000009</v>
      </c>
      <c r="F332" t="str">
        <f ca="1">IF(H332&lt;=I332,"Starter",IF(G332&gt;=LARGE(G:G,FlexOn*LeagueInfo!$F$2),"Starter","Bench"))</f>
        <v>Bench</v>
      </c>
      <c r="G332">
        <f ca="1">IF(H332&gt;I332,D332,0)</f>
        <v>9.7100000000000009</v>
      </c>
      <c r="H332">
        <f ca="1">INDEX(INDIRECT(""&amp;C332&amp;"!A2:A489"),MATCH(B332,INDIRECT(""&amp;C332&amp;"!B2:B489"),0))</f>
        <v>195</v>
      </c>
      <c r="I332">
        <f>IF(C332="RB",LeagueInfo!$D$4*LeagueInfo!$F$2,LeagueInfo!$D$5*LeagueInfo!$F$2)</f>
        <v>24</v>
      </c>
    </row>
    <row r="333" spans="1:9" x14ac:dyDescent="0.25">
      <c r="A333">
        <f ca="1">RANK(E333,E$2:E$349)</f>
        <v>332</v>
      </c>
      <c r="B333" t="s">
        <v>738</v>
      </c>
      <c r="C333" t="s">
        <v>35</v>
      </c>
      <c r="D333">
        <f ca="1">INDEX(INDIRECT($C333&amp;"!P:P"),MATCH($B333,INDIRECT($C333&amp;"!B:B"),0))</f>
        <v>9.56</v>
      </c>
      <c r="E333" s="6">
        <f ca="1">D333-LARGE(D$2:D$292,RBCount+WRCount)</f>
        <v>-99.14</v>
      </c>
      <c r="F333" t="str">
        <f ca="1">IF(H333&lt;=I333,"Starter",IF(G333&gt;=LARGE(G:G,FlexOn*LeagueInfo!$F$2),"Starter","Bench"))</f>
        <v>Bench</v>
      </c>
      <c r="G333">
        <f ca="1">IF(H333&gt;I333,D333,0)</f>
        <v>9.56</v>
      </c>
      <c r="H333">
        <f ca="1">INDEX(INDIRECT(""&amp;C333&amp;"!A2:A489"),MATCH(B333,INDIRECT(""&amp;C333&amp;"!B2:B489"),0))</f>
        <v>196</v>
      </c>
      <c r="I333">
        <f>IF(C333="RB",LeagueInfo!$D$4*LeagueInfo!$F$2,LeagueInfo!$D$5*LeagueInfo!$F$2)</f>
        <v>24</v>
      </c>
    </row>
    <row r="334" spans="1:9" x14ac:dyDescent="0.25">
      <c r="A334">
        <f ca="1">RANK(E334,E$2:E$349)</f>
        <v>333</v>
      </c>
      <c r="B334" t="s">
        <v>800</v>
      </c>
      <c r="C334" t="s">
        <v>35</v>
      </c>
      <c r="D334">
        <f ca="1">INDEX(INDIRECT($C334&amp;"!P:P"),MATCH($B334,INDIRECT($C334&amp;"!B:B"),0))</f>
        <v>9.4600000000000009</v>
      </c>
      <c r="E334" s="6">
        <f ca="1">D334-LARGE(D$2:D$292,RBCount+WRCount)</f>
        <v>-99.240000000000009</v>
      </c>
      <c r="F334" t="str">
        <f ca="1">IF(H334&lt;=I334,"Starter",IF(G334&gt;=LARGE(G:G,FlexOn*LeagueInfo!$F$2),"Starter","Bench"))</f>
        <v>Bench</v>
      </c>
      <c r="G334">
        <f ca="1">IF(H334&gt;I334,D334,0)</f>
        <v>9.4600000000000009</v>
      </c>
      <c r="H334">
        <f ca="1">INDEX(INDIRECT(""&amp;C334&amp;"!A2:A489"),MATCH(B334,INDIRECT(""&amp;C334&amp;"!B2:B489"),0))</f>
        <v>197</v>
      </c>
      <c r="I334">
        <f>IF(C334="RB",LeagueInfo!$D$4*LeagueInfo!$F$2,LeagueInfo!$D$5*LeagueInfo!$F$2)</f>
        <v>24</v>
      </c>
    </row>
    <row r="335" spans="1:9" x14ac:dyDescent="0.25">
      <c r="A335">
        <f ca="1">RANK(E335,E$2:E$349)</f>
        <v>334</v>
      </c>
      <c r="B335" t="s">
        <v>2440</v>
      </c>
      <c r="C335" t="s">
        <v>35</v>
      </c>
      <c r="D335">
        <f ca="1">INDEX(INDIRECT($C335&amp;"!P:P"),MATCH($B335,INDIRECT($C335&amp;"!B:B"),0))</f>
        <v>9.43</v>
      </c>
      <c r="E335" s="6">
        <f ca="1">D335-LARGE(D$2:D$292,RBCount+WRCount)</f>
        <v>-99.27000000000001</v>
      </c>
      <c r="F335" t="str">
        <f ca="1">IF(H335&lt;=I335,"Starter",IF(G335&gt;=LARGE(G:G,FlexOn*LeagueInfo!$F$2),"Starter","Bench"))</f>
        <v>Bench</v>
      </c>
      <c r="G335">
        <f ca="1">IF(H335&gt;I335,D335,0)</f>
        <v>9.43</v>
      </c>
      <c r="H335">
        <f ca="1">INDEX(INDIRECT(""&amp;C335&amp;"!A2:A489"),MATCH(B335,INDIRECT(""&amp;C335&amp;"!B2:B489"),0))</f>
        <v>198</v>
      </c>
      <c r="I335">
        <f>IF(C335="RB",LeagueInfo!$D$4*LeagueInfo!$F$2,LeagueInfo!$D$5*LeagueInfo!$F$2)</f>
        <v>24</v>
      </c>
    </row>
    <row r="336" spans="1:9" x14ac:dyDescent="0.25">
      <c r="A336">
        <f ca="1">RANK(E336,E$2:E$349)</f>
        <v>335</v>
      </c>
      <c r="B336" t="s">
        <v>2630</v>
      </c>
      <c r="C336" t="s">
        <v>35</v>
      </c>
      <c r="D336">
        <f ca="1">INDEX(INDIRECT($C336&amp;"!P:P"),MATCH($B336,INDIRECT($C336&amp;"!B:B"),0))</f>
        <v>7.96</v>
      </c>
      <c r="E336" s="6">
        <f ca="1">D336-LARGE(D$2:D$292,RBCount+WRCount)</f>
        <v>-100.74000000000001</v>
      </c>
      <c r="F336" t="str">
        <f ca="1">IF(H336&lt;=I336,"Starter",IF(G336&gt;=LARGE(G:G,FlexOn*LeagueInfo!$F$2),"Starter","Bench"))</f>
        <v>Bench</v>
      </c>
      <c r="G336">
        <f ca="1">IF(H336&gt;I336,D336,0)</f>
        <v>7.96</v>
      </c>
      <c r="H336">
        <f ca="1">INDEX(INDIRECT(""&amp;C336&amp;"!A2:A489"),MATCH(B336,INDIRECT(""&amp;C336&amp;"!B2:B489"),0))</f>
        <v>199</v>
      </c>
      <c r="I336">
        <f>IF(C336="RB",LeagueInfo!$D$4*LeagueInfo!$F$2,LeagueInfo!$D$5*LeagueInfo!$F$2)</f>
        <v>24</v>
      </c>
    </row>
    <row r="337" spans="1:9" x14ac:dyDescent="0.25">
      <c r="A337">
        <f ca="1">RANK(E337,E$2:E$349)</f>
        <v>336</v>
      </c>
      <c r="B337" t="s">
        <v>704</v>
      </c>
      <c r="C337" t="s">
        <v>35</v>
      </c>
      <c r="D337">
        <f ca="1">INDEX(INDIRECT($C337&amp;"!P:P"),MATCH($B337,INDIRECT($C337&amp;"!B:B"),0))</f>
        <v>7.74</v>
      </c>
      <c r="E337" s="6">
        <f ca="1">D337-LARGE(D$2:D$292,RBCount+WRCount)</f>
        <v>-100.96000000000001</v>
      </c>
      <c r="F337" t="str">
        <f ca="1">IF(H337&lt;=I337,"Starter",IF(G337&gt;=LARGE(G:G,FlexOn*LeagueInfo!$F$2),"Starter","Bench"))</f>
        <v>Bench</v>
      </c>
      <c r="G337">
        <f ca="1">IF(H337&gt;I337,D337,0)</f>
        <v>7.74</v>
      </c>
      <c r="H337">
        <f ca="1">INDEX(INDIRECT(""&amp;C337&amp;"!A2:A489"),MATCH(B337,INDIRECT(""&amp;C337&amp;"!B2:B489"),0))</f>
        <v>200</v>
      </c>
      <c r="I337">
        <f>IF(C337="RB",LeagueInfo!$D$4*LeagueInfo!$F$2,LeagueInfo!$D$5*LeagueInfo!$F$2)</f>
        <v>24</v>
      </c>
    </row>
    <row r="338" spans="1:9" x14ac:dyDescent="0.25">
      <c r="A338">
        <f ca="1">RANK(E338,E$2:E$349)</f>
        <v>337</v>
      </c>
      <c r="B338" t="s">
        <v>2620</v>
      </c>
      <c r="C338" t="s">
        <v>35</v>
      </c>
      <c r="D338">
        <f ca="1">INDEX(INDIRECT($C338&amp;"!P:P"),MATCH($B338,INDIRECT($C338&amp;"!B:B"),0))</f>
        <v>7.7</v>
      </c>
      <c r="E338" s="6">
        <f ca="1">D338-LARGE(D$2:D$292,RBCount+WRCount)</f>
        <v>-101</v>
      </c>
      <c r="F338" t="str">
        <f ca="1">IF(H338&lt;=I338,"Starter",IF(G338&gt;=LARGE(G:G,FlexOn*LeagueInfo!$F$2),"Starter","Bench"))</f>
        <v>Bench</v>
      </c>
      <c r="G338">
        <f ca="1">IF(H338&gt;I338,D338,0)</f>
        <v>7.7</v>
      </c>
      <c r="H338">
        <f ca="1">INDEX(INDIRECT(""&amp;C338&amp;"!A2:A489"),MATCH(B338,INDIRECT(""&amp;C338&amp;"!B2:B489"),0))</f>
        <v>201</v>
      </c>
      <c r="I338">
        <f>IF(C338="RB",LeagueInfo!$D$4*LeagueInfo!$F$2,LeagueInfo!$D$5*LeagueInfo!$F$2)</f>
        <v>24</v>
      </c>
    </row>
    <row r="339" spans="1:9" x14ac:dyDescent="0.25">
      <c r="A339">
        <f ca="1">RANK(E339,E$2:E$349)</f>
        <v>338</v>
      </c>
      <c r="B339" t="s">
        <v>1000</v>
      </c>
      <c r="C339" t="s">
        <v>35</v>
      </c>
      <c r="D339">
        <f ca="1">INDEX(INDIRECT($C339&amp;"!P:P"),MATCH($B339,INDIRECT($C339&amp;"!B:B"),0))</f>
        <v>7.66</v>
      </c>
      <c r="E339" s="6">
        <f ca="1">D339-LARGE(D$2:D$292,RBCount+WRCount)</f>
        <v>-101.04</v>
      </c>
      <c r="F339" t="str">
        <f ca="1">IF(H339&lt;=I339,"Starter",IF(G339&gt;=LARGE(G:G,FlexOn*LeagueInfo!$F$2),"Starter","Bench"))</f>
        <v>Bench</v>
      </c>
      <c r="G339">
        <f ca="1">IF(H339&gt;I339,D339,0)</f>
        <v>7.66</v>
      </c>
      <c r="H339">
        <f ca="1">INDEX(INDIRECT(""&amp;C339&amp;"!A2:A489"),MATCH(B339,INDIRECT(""&amp;C339&amp;"!B2:B489"),0))</f>
        <v>202</v>
      </c>
      <c r="I339">
        <f>IF(C339="RB",LeagueInfo!$D$4*LeagueInfo!$F$2,LeagueInfo!$D$5*LeagueInfo!$F$2)</f>
        <v>24</v>
      </c>
    </row>
    <row r="340" spans="1:9" x14ac:dyDescent="0.25">
      <c r="A340">
        <f ca="1">RANK(E340,E$2:E$349)</f>
        <v>339</v>
      </c>
      <c r="B340" t="s">
        <v>697</v>
      </c>
      <c r="C340" t="s">
        <v>35</v>
      </c>
      <c r="D340">
        <f ca="1">INDEX(INDIRECT($C340&amp;"!P:P"),MATCH($B340,INDIRECT($C340&amp;"!B:B"),0))</f>
        <v>7.55</v>
      </c>
      <c r="E340" s="6">
        <f ca="1">D340-LARGE(D$2:D$292,RBCount+WRCount)</f>
        <v>-101.15</v>
      </c>
      <c r="F340" t="str">
        <f ca="1">IF(H340&lt;=I340,"Starter",IF(G340&gt;=LARGE(G:G,FlexOn*LeagueInfo!$F$2),"Starter","Bench"))</f>
        <v>Bench</v>
      </c>
      <c r="G340">
        <f ca="1">IF(H340&gt;I340,D340,0)</f>
        <v>7.55</v>
      </c>
      <c r="H340">
        <f ca="1">INDEX(INDIRECT(""&amp;C340&amp;"!A2:A489"),MATCH(B340,INDIRECT(""&amp;C340&amp;"!B2:B489"),0))</f>
        <v>203</v>
      </c>
      <c r="I340">
        <f>IF(C340="RB",LeagueInfo!$D$4*LeagueInfo!$F$2,LeagueInfo!$D$5*LeagueInfo!$F$2)</f>
        <v>24</v>
      </c>
    </row>
    <row r="341" spans="1:9" x14ac:dyDescent="0.25">
      <c r="A341">
        <f ca="1">RANK(E341,E$2:E$349)</f>
        <v>340</v>
      </c>
      <c r="B341" t="s">
        <v>868</v>
      </c>
      <c r="C341" t="s">
        <v>35</v>
      </c>
      <c r="D341">
        <f ca="1">INDEX(INDIRECT($C341&amp;"!P:P"),MATCH($B341,INDIRECT($C341&amp;"!B:B"),0))</f>
        <v>7.5100000000000007</v>
      </c>
      <c r="E341" s="6">
        <f ca="1">D341-LARGE(D$2:D$292,RBCount+WRCount)</f>
        <v>-101.19</v>
      </c>
      <c r="F341" t="str">
        <f ca="1">IF(H341&lt;=I341,"Starter",IF(G341&gt;=LARGE(G:G,FlexOn*LeagueInfo!$F$2),"Starter","Bench"))</f>
        <v>Bench</v>
      </c>
      <c r="G341">
        <f ca="1">IF(H341&gt;I341,D341,0)</f>
        <v>7.5100000000000007</v>
      </c>
      <c r="H341">
        <f ca="1">INDEX(INDIRECT(""&amp;C341&amp;"!A2:A489"),MATCH(B341,INDIRECT(""&amp;C341&amp;"!B2:B489"),0))</f>
        <v>204</v>
      </c>
      <c r="I341">
        <f>IF(C341="RB",LeagueInfo!$D$4*LeagueInfo!$F$2,LeagueInfo!$D$5*LeagueInfo!$F$2)</f>
        <v>24</v>
      </c>
    </row>
    <row r="342" spans="1:9" x14ac:dyDescent="0.25">
      <c r="A342">
        <f ca="1">RANK(E342,E$2:E$349)</f>
        <v>341</v>
      </c>
      <c r="B342" t="s">
        <v>2621</v>
      </c>
      <c r="C342" t="s">
        <v>35</v>
      </c>
      <c r="D342">
        <f ca="1">INDEX(INDIRECT($C342&amp;"!P:P"),MATCH($B342,INDIRECT($C342&amp;"!B:B"),0))</f>
        <v>7.0500000000000007</v>
      </c>
      <c r="E342" s="6">
        <f ca="1">D342-LARGE(D$2:D$292,RBCount+WRCount)</f>
        <v>-101.65</v>
      </c>
      <c r="F342" t="str">
        <f ca="1">IF(H342&lt;=I342,"Starter",IF(G342&gt;=LARGE(G:G,FlexOn*LeagueInfo!$F$2),"Starter","Bench"))</f>
        <v>Bench</v>
      </c>
      <c r="G342">
        <f ca="1">IF(H342&gt;I342,D342,0)</f>
        <v>7.0500000000000007</v>
      </c>
      <c r="H342">
        <f ca="1">INDEX(INDIRECT(""&amp;C342&amp;"!A2:A489"),MATCH(B342,INDIRECT(""&amp;C342&amp;"!B2:B489"),0))</f>
        <v>205</v>
      </c>
      <c r="I342">
        <f>IF(C342="RB",LeagueInfo!$D$4*LeagueInfo!$F$2,LeagueInfo!$D$5*LeagueInfo!$F$2)</f>
        <v>24</v>
      </c>
    </row>
    <row r="343" spans="1:9" x14ac:dyDescent="0.25">
      <c r="A343">
        <f ca="1">RANK(E343,E$2:E$349)</f>
        <v>342</v>
      </c>
      <c r="B343" t="s">
        <v>729</v>
      </c>
      <c r="C343" t="s">
        <v>35</v>
      </c>
      <c r="D343">
        <f ca="1">INDEX(INDIRECT($C343&amp;"!P:P"),MATCH($B343,INDIRECT($C343&amp;"!B:B"),0))</f>
        <v>6.93</v>
      </c>
      <c r="E343" s="6">
        <f ca="1">D343-LARGE(D$2:D$292,RBCount+WRCount)</f>
        <v>-101.77000000000001</v>
      </c>
      <c r="F343" t="str">
        <f ca="1">IF(H343&lt;=I343,"Starter",IF(G343&gt;=LARGE(G:G,FlexOn*LeagueInfo!$F$2),"Starter","Bench"))</f>
        <v>Bench</v>
      </c>
      <c r="G343">
        <f ca="1">IF(H343&gt;I343,D343,0)</f>
        <v>6.93</v>
      </c>
      <c r="H343">
        <f ca="1">INDEX(INDIRECT(""&amp;C343&amp;"!A2:A489"),MATCH(B343,INDIRECT(""&amp;C343&amp;"!B2:B489"),0))</f>
        <v>206</v>
      </c>
      <c r="I343">
        <f>IF(C343="RB",LeagueInfo!$D$4*LeagueInfo!$F$2,LeagueInfo!$D$5*LeagueInfo!$F$2)</f>
        <v>24</v>
      </c>
    </row>
    <row r="344" spans="1:9" x14ac:dyDescent="0.25">
      <c r="A344">
        <f ca="1">RANK(E344,E$2:E$349)</f>
        <v>343</v>
      </c>
      <c r="B344" t="s">
        <v>727</v>
      </c>
      <c r="C344" t="s">
        <v>35</v>
      </c>
      <c r="D344">
        <f ca="1">INDEX(INDIRECT($C344&amp;"!P:P"),MATCH($B344,INDIRECT($C344&amp;"!B:B"),0))</f>
        <v>6.83</v>
      </c>
      <c r="E344" s="6">
        <f ca="1">D344-LARGE(D$2:D$292,RBCount+WRCount)</f>
        <v>-101.87</v>
      </c>
      <c r="F344" t="str">
        <f ca="1">IF(H344&lt;=I344,"Starter",IF(G344&gt;=LARGE(G:G,FlexOn*LeagueInfo!$F$2),"Starter","Bench"))</f>
        <v>Bench</v>
      </c>
      <c r="G344">
        <f ca="1">IF(H344&gt;I344,D344,0)</f>
        <v>6.83</v>
      </c>
      <c r="H344">
        <f ca="1">INDEX(INDIRECT(""&amp;C344&amp;"!A2:A489"),MATCH(B344,INDIRECT(""&amp;C344&amp;"!B2:B489"),0))</f>
        <v>207</v>
      </c>
      <c r="I344">
        <f>IF(C344="RB",LeagueInfo!$D$4*LeagueInfo!$F$2,LeagueInfo!$D$5*LeagueInfo!$F$2)</f>
        <v>24</v>
      </c>
    </row>
    <row r="345" spans="1:9" x14ac:dyDescent="0.25">
      <c r="A345">
        <f ca="1">RANK(E345,E$2:E$349)</f>
        <v>344</v>
      </c>
      <c r="B345" t="s">
        <v>863</v>
      </c>
      <c r="C345" t="s">
        <v>35</v>
      </c>
      <c r="D345">
        <f ca="1">INDEX(INDIRECT($C345&amp;"!P:P"),MATCH($B345,INDIRECT($C345&amp;"!B:B"),0))</f>
        <v>6.5600000000000005</v>
      </c>
      <c r="E345" s="6">
        <f ca="1">D345-LARGE(D$2:D$292,RBCount+WRCount)</f>
        <v>-102.14</v>
      </c>
      <c r="F345" t="str">
        <f ca="1">IF(H345&lt;=I345,"Starter",IF(G345&gt;=LARGE(G:G,FlexOn*LeagueInfo!$F$2),"Starter","Bench"))</f>
        <v>Bench</v>
      </c>
      <c r="G345">
        <f ca="1">IF(H345&gt;I345,D345,0)</f>
        <v>6.5600000000000005</v>
      </c>
      <c r="H345">
        <f ca="1">INDEX(INDIRECT(""&amp;C345&amp;"!A2:A489"),MATCH(B345,INDIRECT(""&amp;C345&amp;"!B2:B489"),0))</f>
        <v>208</v>
      </c>
      <c r="I345">
        <f>IF(C345="RB",LeagueInfo!$D$4*LeagueInfo!$F$2,LeagueInfo!$D$5*LeagueInfo!$F$2)</f>
        <v>24</v>
      </c>
    </row>
    <row r="346" spans="1:9" x14ac:dyDescent="0.25">
      <c r="A346">
        <f ca="1">RANK(E346,E$2:E$349)</f>
        <v>345</v>
      </c>
      <c r="B346" t="s">
        <v>573</v>
      </c>
      <c r="C346" t="s">
        <v>35</v>
      </c>
      <c r="D346">
        <f ca="1">INDEX(INDIRECT($C346&amp;"!P:P"),MATCH($B346,INDIRECT($C346&amp;"!B:B"),0))</f>
        <v>6.53</v>
      </c>
      <c r="E346" s="6">
        <f ca="1">D346-LARGE(D$2:D$292,RBCount+WRCount)</f>
        <v>-102.17</v>
      </c>
      <c r="F346" t="str">
        <f ca="1">IF(H346&lt;=I346,"Starter",IF(G346&gt;=LARGE(G:G,FlexOn*LeagueInfo!$F$2),"Starter","Bench"))</f>
        <v>Bench</v>
      </c>
      <c r="G346">
        <f ca="1">IF(H346&gt;I346,D346,0)</f>
        <v>6.53</v>
      </c>
      <c r="H346">
        <f ca="1">INDEX(INDIRECT(""&amp;C346&amp;"!A2:A489"),MATCH(B346,INDIRECT(""&amp;C346&amp;"!B2:B489"),0))</f>
        <v>209</v>
      </c>
      <c r="I346">
        <f>IF(C346="RB",LeagueInfo!$D$4*LeagueInfo!$F$2,LeagueInfo!$D$5*LeagueInfo!$F$2)</f>
        <v>24</v>
      </c>
    </row>
    <row r="347" spans="1:9" x14ac:dyDescent="0.25">
      <c r="A347">
        <f ca="1">RANK(E347,E$2:E$349)</f>
        <v>346</v>
      </c>
      <c r="B347" t="s">
        <v>852</v>
      </c>
      <c r="C347" t="s">
        <v>35</v>
      </c>
      <c r="D347">
        <f ca="1">INDEX(INDIRECT($C347&amp;"!P:P"),MATCH($B347,INDIRECT($C347&amp;"!B:B"),0))</f>
        <v>6.28</v>
      </c>
      <c r="E347" s="6">
        <f ca="1">D347-LARGE(D$2:D$292,RBCount+WRCount)</f>
        <v>-102.42</v>
      </c>
      <c r="F347" t="str">
        <f ca="1">IF(H347&lt;=I347,"Starter",IF(G347&gt;=LARGE(G:G,FlexOn*LeagueInfo!$F$2),"Starter","Bench"))</f>
        <v>Bench</v>
      </c>
      <c r="G347">
        <f ca="1">IF(H347&gt;I347,D347,0)</f>
        <v>6.28</v>
      </c>
      <c r="H347">
        <f ca="1">INDEX(INDIRECT(""&amp;C347&amp;"!A2:A489"),MATCH(B347,INDIRECT(""&amp;C347&amp;"!B2:B489"),0))</f>
        <v>210</v>
      </c>
      <c r="I347">
        <f>IF(C347="RB",LeagueInfo!$D$4*LeagueInfo!$F$2,LeagueInfo!$D$5*LeagueInfo!$F$2)</f>
        <v>24</v>
      </c>
    </row>
    <row r="348" spans="1:9" x14ac:dyDescent="0.25">
      <c r="A348">
        <f ca="1">RANK(E348,E$2:E$349)</f>
        <v>347</v>
      </c>
      <c r="B348" t="s">
        <v>1009</v>
      </c>
      <c r="C348" t="s">
        <v>28</v>
      </c>
      <c r="D348">
        <f ca="1">INDEX(INDIRECT($C348&amp;"!P:P"),MATCH($B348,INDIRECT($C348&amp;"!B:B"),0))</f>
        <v>0</v>
      </c>
      <c r="E348" s="6">
        <f ca="1">D348-LARGE(D$2:D$292,RBCount+WRCount)</f>
        <v>-108.7</v>
      </c>
      <c r="F348" t="str">
        <f ca="1">IF(H348&lt;=I348,"Starter",IF(G348&gt;=LARGE(G:G,FlexOn*LeagueInfo!$F$2),"Starter","Bench"))</f>
        <v>Bench</v>
      </c>
      <c r="G348">
        <f ca="1">IF(H348&gt;I348,D348,0)</f>
        <v>0</v>
      </c>
      <c r="H348">
        <f ca="1">INDEX(INDIRECT(""&amp;C348&amp;"!A2:A489"),MATCH(B348,INDIRECT(""&amp;C348&amp;"!B2:B489"),0))</f>
        <v>137</v>
      </c>
      <c r="I348">
        <f>IF(C348="RB",LeagueInfo!$D$4*LeagueInfo!$F$2,LeagueInfo!$D$5*LeagueInfo!$F$2)</f>
        <v>24</v>
      </c>
    </row>
    <row r="349" spans="1:9" x14ac:dyDescent="0.25">
      <c r="A349">
        <f ca="1">RANK(E349,E$2:E$349)</f>
        <v>347</v>
      </c>
      <c r="B349" t="s">
        <v>2745</v>
      </c>
      <c r="C349" t="s">
        <v>35</v>
      </c>
      <c r="D349">
        <f ca="1">INDEX(INDIRECT($C349&amp;"!P:P"),MATCH($B349,INDIRECT($C349&amp;"!B:B"),0))</f>
        <v>0</v>
      </c>
      <c r="E349" s="6">
        <f ca="1">D349-LARGE(D$2:D$292,RBCount+WRCount)</f>
        <v>-108.7</v>
      </c>
      <c r="F349" t="str">
        <f ca="1">IF(H349&lt;=I349,"Starter",IF(G349&gt;=LARGE(G:G,FlexOn*LeagueInfo!$F$2),"Starter","Bench"))</f>
        <v>Bench</v>
      </c>
      <c r="G349">
        <f ca="1">IF(H349&gt;I349,D349,0)</f>
        <v>0</v>
      </c>
      <c r="H349">
        <f ca="1">INDEX(INDIRECT(""&amp;C349&amp;"!A2:A489"),MATCH(B349,INDIRECT(""&amp;C349&amp;"!B2:B489"),0))</f>
        <v>211</v>
      </c>
      <c r="I349">
        <f>IF(C349="RB",LeagueInfo!$D$4*LeagueInfo!$F$2,LeagueInfo!$D$5*LeagueInfo!$F$2)</f>
        <v>24</v>
      </c>
    </row>
  </sheetData>
  <autoFilter ref="A1:I380" xr:uid="{0E1F979A-09A4-471E-8A38-D8CC4B9BCAED}"/>
  <sortState xmlns:xlrd2="http://schemas.microsoft.com/office/spreadsheetml/2017/richdata2" ref="A2:J349">
    <sortCondition descending="1" ref="E2"/>
  </sortState>
  <conditionalFormatting sqref="B153:C292">
    <cfRule type="expression" dxfId="80" priority="260">
      <formula>$J153="Yes"</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J462"/>
  <sheetViews>
    <sheetView topLeftCell="A337" workbookViewId="0">
      <selection activeCell="A2" sqref="A2:J462"/>
    </sheetView>
  </sheetViews>
  <sheetFormatPr defaultColWidth="8.85546875" defaultRowHeight="15" x14ac:dyDescent="0.25"/>
  <cols>
    <col min="2" max="2" width="23.42578125" bestFit="1" customWidth="1"/>
    <col min="3" max="3" width="4.42578125" bestFit="1" customWidth="1"/>
    <col min="9" max="9" width="12" customWidth="1"/>
  </cols>
  <sheetData>
    <row r="1" spans="1:10" ht="24.75" x14ac:dyDescent="0.25">
      <c r="A1" s="1" t="s">
        <v>253</v>
      </c>
      <c r="B1" s="1" t="s">
        <v>85</v>
      </c>
      <c r="C1" s="1" t="s">
        <v>254</v>
      </c>
      <c r="D1" s="2" t="s">
        <v>263</v>
      </c>
      <c r="E1" s="3" t="s">
        <v>14</v>
      </c>
      <c r="F1" s="3" t="s">
        <v>411</v>
      </c>
      <c r="G1" s="3" t="s">
        <v>412</v>
      </c>
      <c r="H1" s="3" t="s">
        <v>413</v>
      </c>
      <c r="I1" s="3" t="s">
        <v>414</v>
      </c>
      <c r="J1" s="3"/>
    </row>
    <row r="2" spans="1:10" x14ac:dyDescent="0.25">
      <c r="A2">
        <f ca="1">RANK(E2,E$2:E$462)</f>
        <v>1</v>
      </c>
      <c r="B2" t="s">
        <v>879</v>
      </c>
      <c r="C2" t="s">
        <v>28</v>
      </c>
      <c r="D2">
        <f ca="1">INDEX(INDIRECT($C2&amp;"!P:P"),MATCH($B2,INDIRECT($C2&amp;"!B:B"),0))</f>
        <v>317.48</v>
      </c>
      <c r="E2" s="210">
        <f ca="1">D2-LARGE(D$2:D$385,RBCount+WRCount+TECount)</f>
        <v>209.49</v>
      </c>
      <c r="F2" t="str">
        <f ca="1">IF(H2&lt;=I2,"Starter",IF(G2&gt;=LARGE(G:G,FlexOn*LeagueInfo!$F$2),"Starter","Bench"))</f>
        <v>Starter</v>
      </c>
      <c r="G2">
        <f ca="1">IF(H2&gt;I2,D2,0)</f>
        <v>0</v>
      </c>
      <c r="H2">
        <f ca="1">INDEX(INDIRECT(""&amp;C2&amp;"!A2:A489"),MATCH(B2,INDIRECT(""&amp;C2&amp;"!B2:B489"),0))</f>
        <v>1</v>
      </c>
      <c r="I2">
        <f>IF(C2="RB",LeagueInfo!$D$4*LeagueInfo!$F$2,IF(C2="WR",LeagueInfo!$D$5*LeagueInfo!$F$2,IF(C2="TE",LeagueInfo!$D$6*LeagueInfo!$F$2)))</f>
        <v>24</v>
      </c>
    </row>
    <row r="3" spans="1:10" x14ac:dyDescent="0.25">
      <c r="A3">
        <f ca="1">RANK(E3,E$2:E$462)</f>
        <v>2</v>
      </c>
      <c r="B3" t="s">
        <v>375</v>
      </c>
      <c r="C3" t="s">
        <v>35</v>
      </c>
      <c r="D3">
        <f ca="1">INDEX(INDIRECT($C3&amp;"!P:P"),MATCH($B3,INDIRECT($C3&amp;"!B:B"),0))</f>
        <v>297.59000000000003</v>
      </c>
      <c r="E3" s="210">
        <f ca="1">D3-LARGE(D$2:D$385,RBCount+WRCount+TECount)</f>
        <v>189.60000000000002</v>
      </c>
      <c r="F3" t="str">
        <f ca="1">IF(H3&lt;=I3,"Starter",IF(G3&gt;=LARGE(G:G,FlexOn*LeagueInfo!$F$2),"Starter","Bench"))</f>
        <v>Starter</v>
      </c>
      <c r="G3">
        <f ca="1">IF(H3&gt;I3,D3,0)</f>
        <v>0</v>
      </c>
      <c r="H3">
        <f ca="1">INDEX(INDIRECT(""&amp;C3&amp;"!A2:A489"),MATCH(B3,INDIRECT(""&amp;C3&amp;"!B2:B489"),0))</f>
        <v>1</v>
      </c>
      <c r="I3">
        <f>IF(C3="RB",LeagueInfo!$D$4*LeagueInfo!$F$2,IF(C3="WR",LeagueInfo!$D$5*LeagueInfo!$F$2,IF(C3="TE",LeagueInfo!$D$6*LeagueInfo!$F$2)))</f>
        <v>24</v>
      </c>
    </row>
    <row r="4" spans="1:10" x14ac:dyDescent="0.25">
      <c r="A4">
        <f ca="1">RANK(E4,E$2:E$462)</f>
        <v>3</v>
      </c>
      <c r="B4" t="s">
        <v>116</v>
      </c>
      <c r="C4" t="s">
        <v>28</v>
      </c>
      <c r="D4">
        <f ca="1">INDEX(INDIRECT($C4&amp;"!P:P"),MATCH($B4,INDIRECT($C4&amp;"!B:B"),0))</f>
        <v>293.45000000000005</v>
      </c>
      <c r="E4" s="210">
        <f ca="1">D4-LARGE(D$2:D$385,RBCount+WRCount+TECount)</f>
        <v>185.46000000000004</v>
      </c>
      <c r="F4" t="str">
        <f ca="1">IF(H4&lt;=I4,"Starter",IF(G4&gt;=LARGE(G:G,FlexOn*LeagueInfo!$F$2),"Starter","Bench"))</f>
        <v>Starter</v>
      </c>
      <c r="G4">
        <f ca="1">IF(H4&gt;I4,D4,0)</f>
        <v>0</v>
      </c>
      <c r="H4">
        <f ca="1">INDEX(INDIRECT(""&amp;C4&amp;"!A2:A489"),MATCH(B4,INDIRECT(""&amp;C4&amp;"!B2:B489"),0))</f>
        <v>2</v>
      </c>
      <c r="I4">
        <f>IF(C4="RB",LeagueInfo!$D$4*LeagueInfo!$F$2,IF(C4="WR",LeagueInfo!$D$5*LeagueInfo!$F$2,IF(C4="TE",LeagueInfo!$D$6*LeagueInfo!$F$2)))</f>
        <v>24</v>
      </c>
    </row>
    <row r="5" spans="1:10" x14ac:dyDescent="0.25">
      <c r="A5">
        <f ca="1">RANK(E5,E$2:E$462)</f>
        <v>4</v>
      </c>
      <c r="B5" t="s">
        <v>549</v>
      </c>
      <c r="C5" t="s">
        <v>28</v>
      </c>
      <c r="D5">
        <f ca="1">INDEX(INDIRECT($C5&amp;"!P:P"),MATCH($B5,INDIRECT($C5&amp;"!B:B"),0))</f>
        <v>282.33</v>
      </c>
      <c r="E5" s="210">
        <f ca="1">D5-LARGE(D$2:D$385,RBCount+WRCount+TECount)</f>
        <v>174.33999999999997</v>
      </c>
      <c r="F5" t="str">
        <f ca="1">IF(H5&lt;=I5,"Starter",IF(G5&gt;=LARGE(G:G,FlexOn*LeagueInfo!$F$2),"Starter","Bench"))</f>
        <v>Starter</v>
      </c>
      <c r="G5">
        <f ca="1">IF(H5&gt;I5,D5,0)</f>
        <v>0</v>
      </c>
      <c r="H5">
        <f ca="1">INDEX(INDIRECT(""&amp;C5&amp;"!A2:A489"),MATCH(B5,INDIRECT(""&amp;C5&amp;"!B2:B489"),0))</f>
        <v>3</v>
      </c>
      <c r="I5">
        <f>IF(C5="RB",LeagueInfo!$D$4*LeagueInfo!$F$2,IF(C5="WR",LeagueInfo!$D$5*LeagueInfo!$F$2,IF(C5="TE",LeagueInfo!$D$6*LeagueInfo!$F$2)))</f>
        <v>24</v>
      </c>
    </row>
    <row r="6" spans="1:10" x14ac:dyDescent="0.25">
      <c r="A6">
        <f ca="1">RANK(E6,E$2:E$462)</f>
        <v>5</v>
      </c>
      <c r="B6" t="s">
        <v>148</v>
      </c>
      <c r="C6" t="s">
        <v>28</v>
      </c>
      <c r="D6">
        <f ca="1">INDEX(INDIRECT($C6&amp;"!P:P"),MATCH($B6,INDIRECT($C6&amp;"!B:B"),0))</f>
        <v>278.63</v>
      </c>
      <c r="E6" s="210">
        <f ca="1">D6-LARGE(D$2:D$385,RBCount+WRCount+TECount)</f>
        <v>170.64</v>
      </c>
      <c r="F6" t="str">
        <f ca="1">IF(H6&lt;=I6,"Starter",IF(G6&gt;=LARGE(G:G,FlexOn*LeagueInfo!$F$2),"Starter","Bench"))</f>
        <v>Starter</v>
      </c>
      <c r="G6">
        <f ca="1">IF(H6&gt;I6,D6,0)</f>
        <v>0</v>
      </c>
      <c r="H6">
        <f ca="1">INDEX(INDIRECT(""&amp;C6&amp;"!A2:A489"),MATCH(B6,INDIRECT(""&amp;C6&amp;"!B2:B489"),0))</f>
        <v>4</v>
      </c>
      <c r="I6">
        <f>IF(C6="RB",LeagueInfo!$D$4*LeagueInfo!$F$2,IF(C6="WR",LeagueInfo!$D$5*LeagueInfo!$F$2,IF(C6="TE",LeagueInfo!$D$6*LeagueInfo!$F$2)))</f>
        <v>24</v>
      </c>
    </row>
    <row r="7" spans="1:10" x14ac:dyDescent="0.25">
      <c r="A7">
        <f ca="1">RANK(E7,E$2:E$462)</f>
        <v>6</v>
      </c>
      <c r="B7" t="s">
        <v>835</v>
      </c>
      <c r="C7" t="s">
        <v>35</v>
      </c>
      <c r="D7">
        <f ca="1">INDEX(INDIRECT($C7&amp;"!P:P"),MATCH($B7,INDIRECT($C7&amp;"!B:B"),0))</f>
        <v>258.64000000000004</v>
      </c>
      <c r="E7" s="210">
        <f ca="1">D7-LARGE(D$2:D$385,RBCount+WRCount+TECount)</f>
        <v>150.65000000000003</v>
      </c>
      <c r="F7" t="str">
        <f ca="1">IF(H7&lt;=I7,"Starter",IF(G7&gt;=LARGE(G:G,FlexOn*LeagueInfo!$F$2),"Starter","Bench"))</f>
        <v>Starter</v>
      </c>
      <c r="G7">
        <f ca="1">IF(H7&gt;I7,D7,0)</f>
        <v>0</v>
      </c>
      <c r="H7">
        <f ca="1">INDEX(INDIRECT(""&amp;C7&amp;"!A2:A489"),MATCH(B7,INDIRECT(""&amp;C7&amp;"!B2:B489"),0))</f>
        <v>2</v>
      </c>
      <c r="I7">
        <f>IF(C7="RB",LeagueInfo!$D$4*LeagueInfo!$F$2,IF(C7="WR",LeagueInfo!$D$5*LeagueInfo!$F$2,IF(C7="TE",LeagueInfo!$D$6*LeagueInfo!$F$2)))</f>
        <v>24</v>
      </c>
    </row>
    <row r="8" spans="1:10" x14ac:dyDescent="0.25">
      <c r="A8">
        <f ca="1">RANK(E8,E$2:E$462)</f>
        <v>7</v>
      </c>
      <c r="B8" t="s">
        <v>945</v>
      </c>
      <c r="C8" t="s">
        <v>35</v>
      </c>
      <c r="D8">
        <f ca="1">INDEX(INDIRECT($C8&amp;"!P:P"),MATCH($B8,INDIRECT($C8&amp;"!B:B"),0))</f>
        <v>255.09000000000003</v>
      </c>
      <c r="E8" s="210">
        <f ca="1">D8-LARGE(D$2:D$385,RBCount+WRCount+TECount)</f>
        <v>147.10000000000002</v>
      </c>
      <c r="F8" t="str">
        <f ca="1">IF(H8&lt;=I8,"Starter",IF(G8&gt;=LARGE(G:G,FlexOn*LeagueInfo!$F$2),"Starter","Bench"))</f>
        <v>Starter</v>
      </c>
      <c r="G8">
        <f ca="1">IF(H8&gt;I8,D8,0)</f>
        <v>0</v>
      </c>
      <c r="H8">
        <f ca="1">INDEX(INDIRECT(""&amp;C8&amp;"!A2:A489"),MATCH(B8,INDIRECT(""&amp;C8&amp;"!B2:B489"),0))</f>
        <v>3</v>
      </c>
      <c r="I8">
        <f>IF(C8="RB",LeagueInfo!$D$4*LeagueInfo!$F$2,IF(C8="WR",LeagueInfo!$D$5*LeagueInfo!$F$2,IF(C8="TE",LeagueInfo!$D$6*LeagueInfo!$F$2)))</f>
        <v>24</v>
      </c>
    </row>
    <row r="9" spans="1:10" x14ac:dyDescent="0.25">
      <c r="A9">
        <f ca="1">RANK(E9,E$2:E$462)</f>
        <v>8</v>
      </c>
      <c r="B9" t="s">
        <v>335</v>
      </c>
      <c r="C9" t="s">
        <v>28</v>
      </c>
      <c r="D9">
        <f ca="1">INDEX(INDIRECT($C9&amp;"!P:P"),MATCH($B9,INDIRECT($C9&amp;"!B:B"),0))</f>
        <v>249.96</v>
      </c>
      <c r="E9" s="210">
        <f ca="1">D9-LARGE(D$2:D$385,RBCount+WRCount+TECount)</f>
        <v>141.97000000000003</v>
      </c>
      <c r="F9" t="str">
        <f ca="1">IF(H9&lt;=I9,"Starter",IF(G9&gt;=LARGE(G:G,FlexOn*LeagueInfo!$F$2),"Starter","Bench"))</f>
        <v>Starter</v>
      </c>
      <c r="G9">
        <f ca="1">IF(H9&gt;I9,D9,0)</f>
        <v>0</v>
      </c>
      <c r="H9">
        <f ca="1">INDEX(INDIRECT(""&amp;C9&amp;"!A2:A489"),MATCH(B9,INDIRECT(""&amp;C9&amp;"!B2:B489"),0))</f>
        <v>5</v>
      </c>
      <c r="I9">
        <f>IF(C9="RB",LeagueInfo!$D$4*LeagueInfo!$F$2,IF(C9="WR",LeagueInfo!$D$5*LeagueInfo!$F$2,IF(C9="TE",LeagueInfo!$D$6*LeagueInfo!$F$2)))</f>
        <v>24</v>
      </c>
    </row>
    <row r="10" spans="1:10" x14ac:dyDescent="0.25">
      <c r="A10">
        <f ca="1">RANK(E10,E$2:E$462)</f>
        <v>9</v>
      </c>
      <c r="B10" t="s">
        <v>118</v>
      </c>
      <c r="C10" t="s">
        <v>28</v>
      </c>
      <c r="D10">
        <f ca="1">INDEX(INDIRECT($C10&amp;"!P:P"),MATCH($B10,INDIRECT($C10&amp;"!B:B"),0))</f>
        <v>246.72</v>
      </c>
      <c r="E10" s="210">
        <f ca="1">D10-LARGE(D$2:D$385,RBCount+WRCount+TECount)</f>
        <v>138.73000000000002</v>
      </c>
      <c r="F10" t="str">
        <f ca="1">IF(H10&lt;=I10,"Starter",IF(G10&gt;=LARGE(G:G,FlexOn*LeagueInfo!$F$2),"Starter","Bench"))</f>
        <v>Starter</v>
      </c>
      <c r="G10">
        <f ca="1">IF(H10&gt;I10,D10,0)</f>
        <v>0</v>
      </c>
      <c r="H10">
        <f ca="1">INDEX(INDIRECT(""&amp;C10&amp;"!A2:A489"),MATCH(B10,INDIRECT(""&amp;C10&amp;"!B2:B489"),0))</f>
        <v>6</v>
      </c>
      <c r="I10">
        <f>IF(C10="RB",LeagueInfo!$D$4*LeagueInfo!$F$2,IF(C10="WR",LeagueInfo!$D$5*LeagueInfo!$F$2,IF(C10="TE",LeagueInfo!$D$6*LeagueInfo!$F$2)))</f>
        <v>24</v>
      </c>
    </row>
    <row r="11" spans="1:10" x14ac:dyDescent="0.25">
      <c r="A11">
        <f ca="1">RANK(E11,E$2:E$462)</f>
        <v>10</v>
      </c>
      <c r="B11" t="s">
        <v>926</v>
      </c>
      <c r="C11" t="s">
        <v>28</v>
      </c>
      <c r="D11">
        <f ca="1">INDEX(INDIRECT($C11&amp;"!P:P"),MATCH($B11,INDIRECT($C11&amp;"!B:B"),0))</f>
        <v>244.26000000000002</v>
      </c>
      <c r="E11" s="210">
        <f ca="1">D11-LARGE(D$2:D$385,RBCount+WRCount+TECount)</f>
        <v>136.27000000000004</v>
      </c>
      <c r="F11" t="str">
        <f ca="1">IF(H11&lt;=I11,"Starter",IF(G11&gt;=LARGE(G:G,FlexOn*LeagueInfo!$F$2),"Starter","Bench"))</f>
        <v>Starter</v>
      </c>
      <c r="G11">
        <f ca="1">IF(H11&gt;I11,D11,0)</f>
        <v>0</v>
      </c>
      <c r="H11">
        <f ca="1">INDEX(INDIRECT(""&amp;C11&amp;"!A2:A489"),MATCH(B11,INDIRECT(""&amp;C11&amp;"!B2:B489"),0))</f>
        <v>7</v>
      </c>
      <c r="I11">
        <f>IF(C11="RB",LeagueInfo!$D$4*LeagueInfo!$F$2,IF(C11="WR",LeagueInfo!$D$5*LeagueInfo!$F$2,IF(C11="TE",LeagueInfo!$D$6*LeagueInfo!$F$2)))</f>
        <v>24</v>
      </c>
    </row>
    <row r="12" spans="1:10" x14ac:dyDescent="0.25">
      <c r="A12">
        <f ca="1">RANK(E12,E$2:E$462)</f>
        <v>11</v>
      </c>
      <c r="B12" t="s">
        <v>139</v>
      </c>
      <c r="C12" t="s">
        <v>28</v>
      </c>
      <c r="D12">
        <f ca="1">INDEX(INDIRECT($C12&amp;"!P:P"),MATCH($B12,INDIRECT($C12&amp;"!B:B"),0))</f>
        <v>242.92</v>
      </c>
      <c r="E12" s="210">
        <f ca="1">D12-LARGE(D$2:D$385,RBCount+WRCount+TECount)</f>
        <v>134.93</v>
      </c>
      <c r="F12" t="str">
        <f ca="1">IF(H12&lt;=I12,"Starter",IF(G12&gt;=LARGE(G:G,FlexOn*LeagueInfo!$F$2),"Starter","Bench"))</f>
        <v>Starter</v>
      </c>
      <c r="G12">
        <f ca="1">IF(H12&gt;I12,D12,0)</f>
        <v>0</v>
      </c>
      <c r="H12">
        <f ca="1">INDEX(INDIRECT(""&amp;C12&amp;"!A2:A489"),MATCH(B12,INDIRECT(""&amp;C12&amp;"!B2:B489"),0))</f>
        <v>8</v>
      </c>
      <c r="I12">
        <f>IF(C12="RB",LeagueInfo!$D$4*LeagueInfo!$F$2,IF(C12="WR",LeagueInfo!$D$5*LeagueInfo!$F$2,IF(C12="TE",LeagueInfo!$D$6*LeagueInfo!$F$2)))</f>
        <v>24</v>
      </c>
    </row>
    <row r="13" spans="1:10" x14ac:dyDescent="0.25">
      <c r="A13">
        <f ca="1">RANK(E13,E$2:E$462)</f>
        <v>12</v>
      </c>
      <c r="B13" t="s">
        <v>125</v>
      </c>
      <c r="C13" t="s">
        <v>35</v>
      </c>
      <c r="D13">
        <f ca="1">INDEX(INDIRECT($C13&amp;"!P:P"),MATCH($B13,INDIRECT($C13&amp;"!B:B"),0))</f>
        <v>240.86</v>
      </c>
      <c r="E13" s="210">
        <f ca="1">D13-LARGE(D$2:D$385,RBCount+WRCount+TECount)</f>
        <v>132.87</v>
      </c>
      <c r="F13" t="str">
        <f ca="1">IF(H13&lt;=I13,"Starter",IF(G13&gt;=LARGE(G:G,FlexOn*LeagueInfo!$F$2),"Starter","Bench"))</f>
        <v>Starter</v>
      </c>
      <c r="G13">
        <f ca="1">IF(H13&gt;I13,D13,0)</f>
        <v>0</v>
      </c>
      <c r="H13">
        <f ca="1">INDEX(INDIRECT(""&amp;C13&amp;"!A2:A489"),MATCH(B13,INDIRECT(""&amp;C13&amp;"!B2:B489"),0))</f>
        <v>4</v>
      </c>
      <c r="I13">
        <f>IF(C13="RB",LeagueInfo!$D$4*LeagueInfo!$F$2,IF(C13="WR",LeagueInfo!$D$5*LeagueInfo!$F$2,IF(C13="TE",LeagueInfo!$D$6*LeagueInfo!$F$2)))</f>
        <v>24</v>
      </c>
    </row>
    <row r="14" spans="1:10" x14ac:dyDescent="0.25">
      <c r="A14">
        <f ca="1">RANK(E14,E$2:E$462)</f>
        <v>13</v>
      </c>
      <c r="B14" t="s">
        <v>702</v>
      </c>
      <c r="C14" t="s">
        <v>35</v>
      </c>
      <c r="D14">
        <f ca="1">INDEX(INDIRECT($C14&amp;"!P:P"),MATCH($B14,INDIRECT($C14&amp;"!B:B"),0))</f>
        <v>240.51</v>
      </c>
      <c r="E14" s="210">
        <f ca="1">D14-LARGE(D$2:D$385,RBCount+WRCount+TECount)</f>
        <v>132.51999999999998</v>
      </c>
      <c r="F14" t="str">
        <f ca="1">IF(H14&lt;=I14,"Starter",IF(G14&gt;=LARGE(G:G,FlexOn*LeagueInfo!$F$2),"Starter","Bench"))</f>
        <v>Starter</v>
      </c>
      <c r="G14">
        <f ca="1">IF(H14&gt;I14,D14,0)</f>
        <v>0</v>
      </c>
      <c r="H14">
        <f ca="1">INDEX(INDIRECT(""&amp;C14&amp;"!A2:A489"),MATCH(B14,INDIRECT(""&amp;C14&amp;"!B2:B489"),0))</f>
        <v>5</v>
      </c>
      <c r="I14">
        <f>IF(C14="RB",LeagueInfo!$D$4*LeagueInfo!$F$2,IF(C14="WR",LeagueInfo!$D$5*LeagueInfo!$F$2,IF(C14="TE",LeagueInfo!$D$6*LeagueInfo!$F$2)))</f>
        <v>24</v>
      </c>
    </row>
    <row r="15" spans="1:10" x14ac:dyDescent="0.25">
      <c r="A15">
        <f ca="1">RANK(E15,E$2:E$462)</f>
        <v>14</v>
      </c>
      <c r="B15" t="s">
        <v>346</v>
      </c>
      <c r="C15" t="s">
        <v>28</v>
      </c>
      <c r="D15">
        <f ca="1">INDEX(INDIRECT($C15&amp;"!P:P"),MATCH($B15,INDIRECT($C15&amp;"!B:B"),0))</f>
        <v>232.56000000000003</v>
      </c>
      <c r="E15" s="210">
        <f ca="1">D15-LARGE(D$2:D$385,RBCount+WRCount+TECount)</f>
        <v>124.57000000000004</v>
      </c>
      <c r="F15" t="str">
        <f ca="1">IF(H15&lt;=I15,"Starter",IF(G15&gt;=LARGE(G:G,FlexOn*LeagueInfo!$F$2),"Starter","Bench"))</f>
        <v>Starter</v>
      </c>
      <c r="G15">
        <f ca="1">IF(H15&gt;I15,D15,0)</f>
        <v>0</v>
      </c>
      <c r="H15">
        <f ca="1">INDEX(INDIRECT(""&amp;C15&amp;"!A2:A489"),MATCH(B15,INDIRECT(""&amp;C15&amp;"!B2:B489"),0))</f>
        <v>9</v>
      </c>
      <c r="I15">
        <f>IF(C15="RB",LeagueInfo!$D$4*LeagueInfo!$F$2,IF(C15="WR",LeagueInfo!$D$5*LeagueInfo!$F$2,IF(C15="TE",LeagueInfo!$D$6*LeagueInfo!$F$2)))</f>
        <v>24</v>
      </c>
    </row>
    <row r="16" spans="1:10" x14ac:dyDescent="0.25">
      <c r="A16">
        <f ca="1">RANK(E16,E$2:E$462)</f>
        <v>15</v>
      </c>
      <c r="B16" t="s">
        <v>111</v>
      </c>
      <c r="C16" t="s">
        <v>28</v>
      </c>
      <c r="D16">
        <f ca="1">INDEX(INDIRECT($C16&amp;"!P:P"),MATCH($B16,INDIRECT($C16&amp;"!B:B"),0))</f>
        <v>230.97</v>
      </c>
      <c r="E16" s="210">
        <f ca="1">D16-LARGE(D$2:D$385,RBCount+WRCount+TECount)</f>
        <v>122.98</v>
      </c>
      <c r="F16" t="str">
        <f ca="1">IF(H16&lt;=I16,"Starter",IF(G16&gt;=LARGE(G:G,FlexOn*LeagueInfo!$F$2),"Starter","Bench"))</f>
        <v>Starter</v>
      </c>
      <c r="G16">
        <f ca="1">IF(H16&gt;I16,D16,0)</f>
        <v>0</v>
      </c>
      <c r="H16">
        <f ca="1">INDEX(INDIRECT(""&amp;C16&amp;"!A2:A489"),MATCH(B16,INDIRECT(""&amp;C16&amp;"!B2:B489"),0))</f>
        <v>10</v>
      </c>
      <c r="I16">
        <f>IF(C16="RB",LeagueInfo!$D$4*LeagueInfo!$F$2,IF(C16="WR",LeagueInfo!$D$5*LeagueInfo!$F$2,IF(C16="TE",LeagueInfo!$D$6*LeagueInfo!$F$2)))</f>
        <v>24</v>
      </c>
    </row>
    <row r="17" spans="1:9" x14ac:dyDescent="0.25">
      <c r="A17">
        <f ca="1">RANK(E17,E$2:E$462)</f>
        <v>16</v>
      </c>
      <c r="B17" t="s">
        <v>169</v>
      </c>
      <c r="C17" t="s">
        <v>35</v>
      </c>
      <c r="D17">
        <f ca="1">INDEX(INDIRECT($C17&amp;"!P:P"),MATCH($B17,INDIRECT($C17&amp;"!B:B"),0))</f>
        <v>228.82000000000002</v>
      </c>
      <c r="E17" s="210">
        <f ca="1">D17-LARGE(D$2:D$385,RBCount+WRCount+TECount)</f>
        <v>120.83000000000003</v>
      </c>
      <c r="F17" t="str">
        <f ca="1">IF(H17&lt;=I17,"Starter",IF(G17&gt;=LARGE(G:G,FlexOn*LeagueInfo!$F$2),"Starter","Bench"))</f>
        <v>Starter</v>
      </c>
      <c r="G17">
        <f ca="1">IF(H17&gt;I17,D17,0)</f>
        <v>0</v>
      </c>
      <c r="H17">
        <f ca="1">INDEX(INDIRECT(""&amp;C17&amp;"!A2:A489"),MATCH(B17,INDIRECT(""&amp;C17&amp;"!B2:B489"),0))</f>
        <v>6</v>
      </c>
      <c r="I17">
        <f>IF(C17="RB",LeagueInfo!$D$4*LeagueInfo!$F$2,IF(C17="WR",LeagueInfo!$D$5*LeagueInfo!$F$2,IF(C17="TE",LeagueInfo!$D$6*LeagueInfo!$F$2)))</f>
        <v>24</v>
      </c>
    </row>
    <row r="18" spans="1:9" x14ac:dyDescent="0.25">
      <c r="A18">
        <f ca="1">RANK(E18,E$2:E$462)</f>
        <v>17</v>
      </c>
      <c r="B18" t="s">
        <v>880</v>
      </c>
      <c r="C18" t="s">
        <v>28</v>
      </c>
      <c r="D18">
        <f ca="1">INDEX(INDIRECT($C18&amp;"!P:P"),MATCH($B18,INDIRECT($C18&amp;"!B:B"),0))</f>
        <v>224.06999999999996</v>
      </c>
      <c r="E18" s="210">
        <f ca="1">D18-LARGE(D$2:D$385,RBCount+WRCount+TECount)</f>
        <v>116.07999999999997</v>
      </c>
      <c r="F18" t="str">
        <f ca="1">IF(H18&lt;=I18,"Starter",IF(G18&gt;=LARGE(G:G,FlexOn*LeagueInfo!$F$2),"Starter","Bench"))</f>
        <v>Starter</v>
      </c>
      <c r="G18">
        <f ca="1">IF(H18&gt;I18,D18,0)</f>
        <v>0</v>
      </c>
      <c r="H18">
        <f ca="1">INDEX(INDIRECT(""&amp;C18&amp;"!A2:A489"),MATCH(B18,INDIRECT(""&amp;C18&amp;"!B2:B489"),0))</f>
        <v>11</v>
      </c>
      <c r="I18">
        <f>IF(C18="RB",LeagueInfo!$D$4*LeagueInfo!$F$2,IF(C18="WR",LeagueInfo!$D$5*LeagueInfo!$F$2,IF(C18="TE",LeagueInfo!$D$6*LeagueInfo!$F$2)))</f>
        <v>24</v>
      </c>
    </row>
    <row r="19" spans="1:9" x14ac:dyDescent="0.25">
      <c r="A19">
        <f ca="1">RANK(E19,E$2:E$462)</f>
        <v>18</v>
      </c>
      <c r="B19" t="s">
        <v>121</v>
      </c>
      <c r="C19" t="s">
        <v>43</v>
      </c>
      <c r="D19">
        <f ca="1">INDEX(INDIRECT($C19&amp;"!P:P"),MATCH($B19,INDIRECT($C19&amp;"!B:B"),0))</f>
        <v>223.08</v>
      </c>
      <c r="E19" s="210">
        <f ca="1">D19-LARGE(D$2:D$385,RBCount+WRCount+TECount)</f>
        <v>115.09000000000002</v>
      </c>
      <c r="F19" t="str">
        <f ca="1">IF(H19&lt;=I19,"Starter",IF(G19&gt;=LARGE(G:G,FlexOn*LeagueInfo!$F$2),"Starter","Bench"))</f>
        <v>Starter</v>
      </c>
      <c r="G19">
        <f ca="1">IF(H19&gt;I19,D19,0)</f>
        <v>0</v>
      </c>
      <c r="H19">
        <f ca="1">INDEX(INDIRECT(""&amp;C19&amp;"!A2:A489"),MATCH(B19,INDIRECT(""&amp;C19&amp;"!B2:B489"),0))</f>
        <v>1</v>
      </c>
      <c r="I19">
        <f>IF(C19="RB",LeagueInfo!$D$4*LeagueInfo!$F$2,IF(C19="WR",LeagueInfo!$D$5*LeagueInfo!$F$2,IF(C19="TE",LeagueInfo!$D$6*LeagueInfo!$F$2)))</f>
        <v>12</v>
      </c>
    </row>
    <row r="20" spans="1:9" x14ac:dyDescent="0.25">
      <c r="A20">
        <f ca="1">RANK(E20,E$2:E$462)</f>
        <v>19</v>
      </c>
      <c r="B20" t="s">
        <v>541</v>
      </c>
      <c r="C20" t="s">
        <v>28</v>
      </c>
      <c r="D20">
        <f ca="1">INDEX(INDIRECT($C20&amp;"!P:P"),MATCH($B20,INDIRECT($C20&amp;"!B:B"),0))</f>
        <v>222.48</v>
      </c>
      <c r="E20" s="210">
        <f ca="1">D20-LARGE(D$2:D$385,RBCount+WRCount+TECount)</f>
        <v>114.49</v>
      </c>
      <c r="F20" t="str">
        <f ca="1">IF(H20&lt;=I20,"Starter",IF(G20&gt;=LARGE(G:G,FlexOn*LeagueInfo!$F$2),"Starter","Bench"))</f>
        <v>Starter</v>
      </c>
      <c r="G20">
        <f ca="1">IF(H20&gt;I20,D20,0)</f>
        <v>0</v>
      </c>
      <c r="H20">
        <f ca="1">INDEX(INDIRECT(""&amp;C20&amp;"!A2:A489"),MATCH(B20,INDIRECT(""&amp;C20&amp;"!B2:B489"),0))</f>
        <v>12</v>
      </c>
      <c r="I20">
        <f>IF(C20="RB",LeagueInfo!$D$4*LeagueInfo!$F$2,IF(C20="WR",LeagueInfo!$D$5*LeagueInfo!$F$2,IF(C20="TE",LeagueInfo!$D$6*LeagueInfo!$F$2)))</f>
        <v>24</v>
      </c>
    </row>
    <row r="21" spans="1:9" x14ac:dyDescent="0.25">
      <c r="A21">
        <f ca="1">RANK(E21,E$2:E$462)</f>
        <v>20</v>
      </c>
      <c r="B21" t="s">
        <v>339</v>
      </c>
      <c r="C21" t="s">
        <v>28</v>
      </c>
      <c r="D21">
        <f ca="1">INDEX(INDIRECT($C21&amp;"!P:P"),MATCH($B21,INDIRECT($C21&amp;"!B:B"),0))</f>
        <v>220.68</v>
      </c>
      <c r="E21" s="210">
        <f ca="1">D21-LARGE(D$2:D$385,RBCount+WRCount+TECount)</f>
        <v>112.69000000000001</v>
      </c>
      <c r="F21" t="str">
        <f ca="1">IF(H21&lt;=I21,"Starter",IF(G21&gt;=LARGE(G:G,FlexOn*LeagueInfo!$F$2),"Starter","Bench"))</f>
        <v>Starter</v>
      </c>
      <c r="G21">
        <f ca="1">IF(H21&gt;I21,D21,0)</f>
        <v>0</v>
      </c>
      <c r="H21">
        <f ca="1">INDEX(INDIRECT(""&amp;C21&amp;"!A2:A489"),MATCH(B21,INDIRECT(""&amp;C21&amp;"!B2:B489"),0))</f>
        <v>13</v>
      </c>
      <c r="I21">
        <f>IF(C21="RB",LeagueInfo!$D$4*LeagueInfo!$F$2,IF(C21="WR",LeagueInfo!$D$5*LeagueInfo!$F$2,IF(C21="TE",LeagueInfo!$D$6*LeagueInfo!$F$2)))</f>
        <v>24</v>
      </c>
    </row>
    <row r="22" spans="1:9" x14ac:dyDescent="0.25">
      <c r="A22">
        <f ca="1">RANK(E22,E$2:E$462)</f>
        <v>21</v>
      </c>
      <c r="B22" t="s">
        <v>591</v>
      </c>
      <c r="C22" t="s">
        <v>43</v>
      </c>
      <c r="D22">
        <f ca="1">INDEX(INDIRECT($C22&amp;"!P:P"),MATCH($B22,INDIRECT($C22&amp;"!B:B"),0))</f>
        <v>219.95000000000002</v>
      </c>
      <c r="E22" s="210">
        <f ca="1">D22-LARGE(D$2:D$385,RBCount+WRCount+TECount)</f>
        <v>111.96000000000002</v>
      </c>
      <c r="F22" t="str">
        <f ca="1">IF(H22&lt;=I22,"Starter",IF(G22&gt;=LARGE(G:G,FlexOn*LeagueInfo!$F$2),"Starter","Bench"))</f>
        <v>Starter</v>
      </c>
      <c r="G22">
        <f ca="1">IF(H22&gt;I22,D22,0)</f>
        <v>0</v>
      </c>
      <c r="H22">
        <f ca="1">INDEX(INDIRECT(""&amp;C22&amp;"!A2:A489"),MATCH(B22,INDIRECT(""&amp;C22&amp;"!B2:B489"),0))</f>
        <v>2</v>
      </c>
      <c r="I22">
        <f>IF(C22="RB",LeagueInfo!$D$4*LeagueInfo!$F$2,IF(C22="WR",LeagueInfo!$D$5*LeagueInfo!$F$2,IF(C22="TE",LeagueInfo!$D$6*LeagueInfo!$F$2)))</f>
        <v>12</v>
      </c>
    </row>
    <row r="23" spans="1:9" x14ac:dyDescent="0.25">
      <c r="A23">
        <f ca="1">RANK(E23,E$2:E$462)</f>
        <v>22</v>
      </c>
      <c r="B23" t="s">
        <v>927</v>
      </c>
      <c r="C23" t="s">
        <v>28</v>
      </c>
      <c r="D23">
        <f ca="1">INDEX(INDIRECT($C23&amp;"!P:P"),MATCH($B23,INDIRECT($C23&amp;"!B:B"),0))</f>
        <v>219.67</v>
      </c>
      <c r="E23" s="210">
        <f ca="1">D23-LARGE(D$2:D$385,RBCount+WRCount+TECount)</f>
        <v>111.67999999999999</v>
      </c>
      <c r="F23" t="str">
        <f ca="1">IF(H23&lt;=I23,"Starter",IF(G23&gt;=LARGE(G:G,FlexOn*LeagueInfo!$F$2),"Starter","Bench"))</f>
        <v>Starter</v>
      </c>
      <c r="G23">
        <f ca="1">IF(H23&gt;I23,D23,0)</f>
        <v>0</v>
      </c>
      <c r="H23">
        <f ca="1">INDEX(INDIRECT(""&amp;C23&amp;"!A2:A489"),MATCH(B23,INDIRECT(""&amp;C23&amp;"!B2:B489"),0))</f>
        <v>14</v>
      </c>
      <c r="I23">
        <f>IF(C23="RB",LeagueInfo!$D$4*LeagueInfo!$F$2,IF(C23="WR",LeagueInfo!$D$5*LeagueInfo!$F$2,IF(C23="TE",LeagueInfo!$D$6*LeagueInfo!$F$2)))</f>
        <v>24</v>
      </c>
    </row>
    <row r="24" spans="1:9" x14ac:dyDescent="0.25">
      <c r="A24">
        <f ca="1">RANK(E24,E$2:E$462)</f>
        <v>23</v>
      </c>
      <c r="B24" t="s">
        <v>832</v>
      </c>
      <c r="C24" t="s">
        <v>35</v>
      </c>
      <c r="D24">
        <f ca="1">INDEX(INDIRECT($C24&amp;"!P:P"),MATCH($B24,INDIRECT($C24&amp;"!B:B"),0))</f>
        <v>218.93</v>
      </c>
      <c r="E24" s="210">
        <f ca="1">D24-LARGE(D$2:D$385,RBCount+WRCount+TECount)</f>
        <v>110.94000000000001</v>
      </c>
      <c r="F24" t="str">
        <f ca="1">IF(H24&lt;=I24,"Starter",IF(G24&gt;=LARGE(G:G,FlexOn*LeagueInfo!$F$2),"Starter","Bench"))</f>
        <v>Starter</v>
      </c>
      <c r="G24">
        <f ca="1">IF(H24&gt;I24,D24,0)</f>
        <v>0</v>
      </c>
      <c r="H24">
        <f ca="1">INDEX(INDIRECT(""&amp;C24&amp;"!A2:A489"),MATCH(B24,INDIRECT(""&amp;C24&amp;"!B2:B489"),0))</f>
        <v>7</v>
      </c>
      <c r="I24">
        <f>IF(C24="RB",LeagueInfo!$D$4*LeagueInfo!$F$2,IF(C24="WR",LeagueInfo!$D$5*LeagueInfo!$F$2,IF(C24="TE",LeagueInfo!$D$6*LeagueInfo!$F$2)))</f>
        <v>24</v>
      </c>
    </row>
    <row r="25" spans="1:9" x14ac:dyDescent="0.25">
      <c r="A25">
        <f ca="1">RANK(E25,E$2:E$462)</f>
        <v>24</v>
      </c>
      <c r="B25" t="s">
        <v>132</v>
      </c>
      <c r="C25" t="s">
        <v>35</v>
      </c>
      <c r="D25">
        <f ca="1">INDEX(INDIRECT($C25&amp;"!P:P"),MATCH($B25,INDIRECT($C25&amp;"!B:B"),0))</f>
        <v>218.57</v>
      </c>
      <c r="E25" s="210">
        <f ca="1">D25-LARGE(D$2:D$385,RBCount+WRCount+TECount)</f>
        <v>110.58</v>
      </c>
      <c r="F25" t="str">
        <f ca="1">IF(H25&lt;=I25,"Starter",IF(G25&gt;=LARGE(G:G,FlexOn*LeagueInfo!$F$2),"Starter","Bench"))</f>
        <v>Starter</v>
      </c>
      <c r="G25">
        <f ca="1">IF(H25&gt;I25,D25,0)</f>
        <v>0</v>
      </c>
      <c r="H25">
        <f ca="1">INDEX(INDIRECT(""&amp;C25&amp;"!A2:A489"),MATCH(B25,INDIRECT(""&amp;C25&amp;"!B2:B489"),0))</f>
        <v>8</v>
      </c>
      <c r="I25">
        <f>IF(C25="RB",LeagueInfo!$D$4*LeagueInfo!$F$2,IF(C25="WR",LeagueInfo!$D$5*LeagueInfo!$F$2,IF(C25="TE",LeagueInfo!$D$6*LeagueInfo!$F$2)))</f>
        <v>24</v>
      </c>
    </row>
    <row r="26" spans="1:9" x14ac:dyDescent="0.25">
      <c r="A26">
        <f ca="1">RANK(E26,E$2:E$462)</f>
        <v>25</v>
      </c>
      <c r="B26" t="s">
        <v>97</v>
      </c>
      <c r="C26" t="s">
        <v>35</v>
      </c>
      <c r="D26">
        <f ca="1">INDEX(INDIRECT($C26&amp;"!P:P"),MATCH($B26,INDIRECT($C26&amp;"!B:B"),0))</f>
        <v>213.97</v>
      </c>
      <c r="E26" s="210">
        <f ca="1">D26-LARGE(D$2:D$385,RBCount+WRCount+TECount)</f>
        <v>105.98</v>
      </c>
      <c r="F26" t="str">
        <f ca="1">IF(H26&lt;=I26,"Starter",IF(G26&gt;=LARGE(G:G,FlexOn*LeagueInfo!$F$2),"Starter","Bench"))</f>
        <v>Starter</v>
      </c>
      <c r="G26">
        <f ca="1">IF(H26&gt;I26,D26,0)</f>
        <v>0</v>
      </c>
      <c r="H26">
        <f ca="1">INDEX(INDIRECT(""&amp;C26&amp;"!A2:A489"),MATCH(B26,INDIRECT(""&amp;C26&amp;"!B2:B489"),0))</f>
        <v>9</v>
      </c>
      <c r="I26">
        <f>IF(C26="RB",LeagueInfo!$D$4*LeagueInfo!$F$2,IF(C26="WR",LeagueInfo!$D$5*LeagueInfo!$F$2,IF(C26="TE",LeagueInfo!$D$6*LeagueInfo!$F$2)))</f>
        <v>24</v>
      </c>
    </row>
    <row r="27" spans="1:9" x14ac:dyDescent="0.25">
      <c r="A27">
        <f ca="1">RANK(E27,E$2:E$462)</f>
        <v>26</v>
      </c>
      <c r="B27" t="s">
        <v>548</v>
      </c>
      <c r="C27" t="s">
        <v>28</v>
      </c>
      <c r="D27">
        <f ca="1">INDEX(INDIRECT($C27&amp;"!P:P"),MATCH($B27,INDIRECT($C27&amp;"!B:B"),0))</f>
        <v>209.68</v>
      </c>
      <c r="E27" s="210">
        <f ca="1">D27-LARGE(D$2:D$385,RBCount+WRCount+TECount)</f>
        <v>101.69000000000001</v>
      </c>
      <c r="F27" t="str">
        <f ca="1">IF(H27&lt;=I27,"Starter",IF(G27&gt;=LARGE(G:G,FlexOn*LeagueInfo!$F$2),"Starter","Bench"))</f>
        <v>Starter</v>
      </c>
      <c r="G27">
        <f ca="1">IF(H27&gt;I27,D27,0)</f>
        <v>0</v>
      </c>
      <c r="H27">
        <f ca="1">INDEX(INDIRECT(""&amp;C27&amp;"!A2:A489"),MATCH(B27,INDIRECT(""&amp;C27&amp;"!B2:B489"),0))</f>
        <v>15</v>
      </c>
      <c r="I27">
        <f>IF(C27="RB",LeagueInfo!$D$4*LeagueInfo!$F$2,IF(C27="WR",LeagueInfo!$D$5*LeagueInfo!$F$2,IF(C27="TE",LeagueInfo!$D$6*LeagueInfo!$F$2)))</f>
        <v>24</v>
      </c>
    </row>
    <row r="28" spans="1:9" x14ac:dyDescent="0.25">
      <c r="A28">
        <f ca="1">RANK(E28,E$2:E$462)</f>
        <v>27</v>
      </c>
      <c r="B28" t="s">
        <v>839</v>
      </c>
      <c r="C28" t="s">
        <v>35</v>
      </c>
      <c r="D28">
        <f ca="1">INDEX(INDIRECT($C28&amp;"!P:P"),MATCH($B28,INDIRECT($C28&amp;"!B:B"),0))</f>
        <v>207.06</v>
      </c>
      <c r="E28" s="210">
        <f ca="1">D28-LARGE(D$2:D$385,RBCount+WRCount+TECount)</f>
        <v>99.070000000000007</v>
      </c>
      <c r="F28" t="str">
        <f ca="1">IF(H28&lt;=I28,"Starter",IF(G28&gt;=LARGE(G:G,FlexOn*LeagueInfo!$F$2),"Starter","Bench"))</f>
        <v>Starter</v>
      </c>
      <c r="G28">
        <f ca="1">IF(H28&gt;I28,D28,0)</f>
        <v>0</v>
      </c>
      <c r="H28">
        <f ca="1">INDEX(INDIRECT(""&amp;C28&amp;"!A2:A489"),MATCH(B28,INDIRECT(""&amp;C28&amp;"!B2:B489"),0))</f>
        <v>10</v>
      </c>
      <c r="I28">
        <f>IF(C28="RB",LeagueInfo!$D$4*LeagueInfo!$F$2,IF(C28="WR",LeagueInfo!$D$5*LeagueInfo!$F$2,IF(C28="TE",LeagueInfo!$D$6*LeagueInfo!$F$2)))</f>
        <v>24</v>
      </c>
    </row>
    <row r="29" spans="1:9" x14ac:dyDescent="0.25">
      <c r="A29">
        <f ca="1">RANK(E29,E$2:E$462)</f>
        <v>28</v>
      </c>
      <c r="B29" t="s">
        <v>661</v>
      </c>
      <c r="C29" t="s">
        <v>28</v>
      </c>
      <c r="D29">
        <f ca="1">INDEX(INDIRECT($C29&amp;"!P:P"),MATCH($B29,INDIRECT($C29&amp;"!B:B"),0))</f>
        <v>205.10999999999999</v>
      </c>
      <c r="E29" s="210">
        <f ca="1">D29-LARGE(D$2:D$385,RBCount+WRCount+TECount)</f>
        <v>97.11999999999999</v>
      </c>
      <c r="F29" t="str">
        <f ca="1">IF(H29&lt;=I29,"Starter",IF(G29&gt;=LARGE(G:G,FlexOn*LeagueInfo!$F$2),"Starter","Bench"))</f>
        <v>Starter</v>
      </c>
      <c r="G29">
        <f ca="1">IF(H29&gt;I29,D29,0)</f>
        <v>0</v>
      </c>
      <c r="H29">
        <f ca="1">INDEX(INDIRECT(""&amp;C29&amp;"!A2:A489"),MATCH(B29,INDIRECT(""&amp;C29&amp;"!B2:B489"),0))</f>
        <v>16</v>
      </c>
      <c r="I29">
        <f>IF(C29="RB",LeagueInfo!$D$4*LeagueInfo!$F$2,IF(C29="WR",LeagueInfo!$D$5*LeagueInfo!$F$2,IF(C29="TE",LeagueInfo!$D$6*LeagueInfo!$F$2)))</f>
        <v>24</v>
      </c>
    </row>
    <row r="30" spans="1:9" x14ac:dyDescent="0.25">
      <c r="A30">
        <f ca="1">RANK(E30,E$2:E$462)</f>
        <v>29</v>
      </c>
      <c r="B30" t="s">
        <v>836</v>
      </c>
      <c r="C30" t="s">
        <v>35</v>
      </c>
      <c r="D30">
        <f ca="1">INDEX(INDIRECT($C30&amp;"!P:P"),MATCH($B30,INDIRECT($C30&amp;"!B:B"),0))</f>
        <v>202.08999999999997</v>
      </c>
      <c r="E30" s="210">
        <f ca="1">D30-LARGE(D$2:D$385,RBCount+WRCount+TECount)</f>
        <v>94.09999999999998</v>
      </c>
      <c r="F30" t="str">
        <f ca="1">IF(H30&lt;=I30,"Starter",IF(G30&gt;=LARGE(G:G,FlexOn*LeagueInfo!$F$2),"Starter","Bench"))</f>
        <v>Starter</v>
      </c>
      <c r="G30">
        <f ca="1">IF(H30&gt;I30,D30,0)</f>
        <v>0</v>
      </c>
      <c r="H30">
        <f ca="1">INDEX(INDIRECT(""&amp;C30&amp;"!A2:A489"),MATCH(B30,INDIRECT(""&amp;C30&amp;"!B2:B489"),0))</f>
        <v>11</v>
      </c>
      <c r="I30">
        <f>IF(C30="RB",LeagueInfo!$D$4*LeagueInfo!$F$2,IF(C30="WR",LeagueInfo!$D$5*LeagueInfo!$F$2,IF(C30="TE",LeagueInfo!$D$6*LeagueInfo!$F$2)))</f>
        <v>24</v>
      </c>
    </row>
    <row r="31" spans="1:9" x14ac:dyDescent="0.25">
      <c r="A31">
        <f ca="1">RANK(E31,E$2:E$462)</f>
        <v>30</v>
      </c>
      <c r="B31" t="s">
        <v>701</v>
      </c>
      <c r="C31" t="s">
        <v>35</v>
      </c>
      <c r="D31">
        <f ca="1">INDEX(INDIRECT($C31&amp;"!P:P"),MATCH($B31,INDIRECT($C31&amp;"!B:B"),0))</f>
        <v>201.77</v>
      </c>
      <c r="E31" s="210">
        <f ca="1">D31-LARGE(D$2:D$385,RBCount+WRCount+TECount)</f>
        <v>93.780000000000015</v>
      </c>
      <c r="F31" t="str">
        <f ca="1">IF(H31&lt;=I31,"Starter",IF(G31&gt;=LARGE(G:G,FlexOn*LeagueInfo!$F$2),"Starter","Bench"))</f>
        <v>Starter</v>
      </c>
      <c r="G31">
        <f ca="1">IF(H31&gt;I31,D31,0)</f>
        <v>0</v>
      </c>
      <c r="H31">
        <f ca="1">INDEX(INDIRECT(""&amp;C31&amp;"!A2:A489"),MATCH(B31,INDIRECT(""&amp;C31&amp;"!B2:B489"),0))</f>
        <v>12</v>
      </c>
      <c r="I31">
        <f>IF(C31="RB",LeagueInfo!$D$4*LeagueInfo!$F$2,IF(C31="WR",LeagueInfo!$D$5*LeagueInfo!$F$2,IF(C31="TE",LeagueInfo!$D$6*LeagueInfo!$F$2)))</f>
        <v>24</v>
      </c>
    </row>
    <row r="32" spans="1:9" x14ac:dyDescent="0.25">
      <c r="A32">
        <f ca="1">RANK(E32,E$2:E$462)</f>
        <v>31</v>
      </c>
      <c r="B32" t="s">
        <v>129</v>
      </c>
      <c r="C32" t="s">
        <v>35</v>
      </c>
      <c r="D32">
        <f ca="1">INDEX(INDIRECT($C32&amp;"!P:P"),MATCH($B32,INDIRECT($C32&amp;"!B:B"),0))</f>
        <v>199.48000000000002</v>
      </c>
      <c r="E32" s="210">
        <f ca="1">D32-LARGE(D$2:D$385,RBCount+WRCount+TECount)</f>
        <v>91.490000000000023</v>
      </c>
      <c r="F32" t="str">
        <f ca="1">IF(H32&lt;=I32,"Starter",IF(G32&gt;=LARGE(G:G,FlexOn*LeagueInfo!$F$2),"Starter","Bench"))</f>
        <v>Starter</v>
      </c>
      <c r="G32">
        <f ca="1">IF(H32&gt;I32,D32,0)</f>
        <v>0</v>
      </c>
      <c r="H32">
        <f ca="1">INDEX(INDIRECT(""&amp;C32&amp;"!A2:A489"),MATCH(B32,INDIRECT(""&amp;C32&amp;"!B2:B489"),0))</f>
        <v>13</v>
      </c>
      <c r="I32">
        <f>IF(C32="RB",LeagueInfo!$D$4*LeagueInfo!$F$2,IF(C32="WR",LeagueInfo!$D$5*LeagueInfo!$F$2,IF(C32="TE",LeagueInfo!$D$6*LeagueInfo!$F$2)))</f>
        <v>24</v>
      </c>
    </row>
    <row r="33" spans="1:9" x14ac:dyDescent="0.25">
      <c r="A33">
        <f ca="1">RANK(E33,E$2:E$462)</f>
        <v>32</v>
      </c>
      <c r="B33" t="s">
        <v>93</v>
      </c>
      <c r="C33" t="s">
        <v>28</v>
      </c>
      <c r="D33">
        <f ca="1">INDEX(INDIRECT($C33&amp;"!P:P"),MATCH($B33,INDIRECT($C33&amp;"!B:B"),0))</f>
        <v>197.60000000000002</v>
      </c>
      <c r="E33" s="210">
        <f ca="1">D33-LARGE(D$2:D$385,RBCount+WRCount+TECount)</f>
        <v>89.610000000000028</v>
      </c>
      <c r="F33" t="str">
        <f ca="1">IF(H33&lt;=I33,"Starter",IF(G33&gt;=LARGE(G:G,FlexOn*LeagueInfo!$F$2),"Starter","Bench"))</f>
        <v>Starter</v>
      </c>
      <c r="G33">
        <f ca="1">IF(H33&gt;I33,D33,0)</f>
        <v>0</v>
      </c>
      <c r="H33">
        <f ca="1">INDEX(INDIRECT(""&amp;C33&amp;"!A2:A489"),MATCH(B33,INDIRECT(""&amp;C33&amp;"!B2:B489"),0))</f>
        <v>17</v>
      </c>
      <c r="I33">
        <f>IF(C33="RB",LeagueInfo!$D$4*LeagueInfo!$F$2,IF(C33="WR",LeagueInfo!$D$5*LeagueInfo!$F$2,IF(C33="TE",LeagueInfo!$D$6*LeagueInfo!$F$2)))</f>
        <v>24</v>
      </c>
    </row>
    <row r="34" spans="1:9" x14ac:dyDescent="0.25">
      <c r="A34">
        <f ca="1">RANK(E34,E$2:E$462)</f>
        <v>33</v>
      </c>
      <c r="B34" t="s">
        <v>113</v>
      </c>
      <c r="C34" t="s">
        <v>35</v>
      </c>
      <c r="D34">
        <f ca="1">INDEX(INDIRECT($C34&amp;"!P:P"),MATCH($B34,INDIRECT($C34&amp;"!B:B"),0))</f>
        <v>194.84</v>
      </c>
      <c r="E34" s="210">
        <f ca="1">D34-LARGE(D$2:D$385,RBCount+WRCount+TECount)</f>
        <v>86.850000000000009</v>
      </c>
      <c r="F34" t="str">
        <f ca="1">IF(H34&lt;=I34,"Starter",IF(G34&gt;=LARGE(G:G,FlexOn*LeagueInfo!$F$2),"Starter","Bench"))</f>
        <v>Starter</v>
      </c>
      <c r="G34">
        <f ca="1">IF(H34&gt;I34,D34,0)</f>
        <v>0</v>
      </c>
      <c r="H34">
        <f ca="1">INDEX(INDIRECT(""&amp;C34&amp;"!A2:A489"),MATCH(B34,INDIRECT(""&amp;C34&amp;"!B2:B489"),0))</f>
        <v>14</v>
      </c>
      <c r="I34">
        <f>IF(C34="RB",LeagueInfo!$D$4*LeagueInfo!$F$2,IF(C34="WR",LeagueInfo!$D$5*LeagueInfo!$F$2,IF(C34="TE",LeagueInfo!$D$6*LeagueInfo!$F$2)))</f>
        <v>24</v>
      </c>
    </row>
    <row r="35" spans="1:9" x14ac:dyDescent="0.25">
      <c r="A35">
        <f ca="1">RANK(E35,E$2:E$462)</f>
        <v>34</v>
      </c>
      <c r="B35" t="s">
        <v>185</v>
      </c>
      <c r="C35" t="s">
        <v>35</v>
      </c>
      <c r="D35">
        <f ca="1">INDEX(INDIRECT($C35&amp;"!P:P"),MATCH($B35,INDIRECT($C35&amp;"!B:B"),0))</f>
        <v>194.37</v>
      </c>
      <c r="E35" s="210">
        <f ca="1">D35-LARGE(D$2:D$385,RBCount+WRCount+TECount)</f>
        <v>86.38000000000001</v>
      </c>
      <c r="F35" t="str">
        <f ca="1">IF(H35&lt;=I35,"Starter",IF(G35&gt;=LARGE(G:G,FlexOn*LeagueInfo!$F$2),"Starter","Bench"))</f>
        <v>Starter</v>
      </c>
      <c r="G35">
        <f ca="1">IF(H35&gt;I35,D35,0)</f>
        <v>0</v>
      </c>
      <c r="H35">
        <f ca="1">INDEX(INDIRECT(""&amp;C35&amp;"!A2:A489"),MATCH(B35,INDIRECT(""&amp;C35&amp;"!B2:B489"),0))</f>
        <v>15</v>
      </c>
      <c r="I35">
        <f>IF(C35="RB",LeagueInfo!$D$4*LeagueInfo!$F$2,IF(C35="WR",LeagueInfo!$D$5*LeagueInfo!$F$2,IF(C35="TE",LeagueInfo!$D$6*LeagueInfo!$F$2)))</f>
        <v>24</v>
      </c>
    </row>
    <row r="36" spans="1:9" x14ac:dyDescent="0.25">
      <c r="A36">
        <f ca="1">RANK(E36,E$2:E$462)</f>
        <v>35</v>
      </c>
      <c r="B36" t="s">
        <v>2409</v>
      </c>
      <c r="C36" t="s">
        <v>35</v>
      </c>
      <c r="D36">
        <f ca="1">INDEX(INDIRECT($C36&amp;"!P:P"),MATCH($B36,INDIRECT($C36&amp;"!B:B"),0))</f>
        <v>193.79000000000002</v>
      </c>
      <c r="E36" s="210">
        <f ca="1">D36-LARGE(D$2:D$385,RBCount+WRCount+TECount)</f>
        <v>85.800000000000026</v>
      </c>
      <c r="F36" t="str">
        <f ca="1">IF(H36&lt;=I36,"Starter",IF(G36&gt;=LARGE(G:G,FlexOn*LeagueInfo!$F$2),"Starter","Bench"))</f>
        <v>Starter</v>
      </c>
      <c r="G36">
        <f ca="1">IF(H36&gt;I36,D36,0)</f>
        <v>0</v>
      </c>
      <c r="H36">
        <f ca="1">INDEX(INDIRECT(""&amp;C36&amp;"!A2:A489"),MATCH(B36,INDIRECT(""&amp;C36&amp;"!B2:B489"),0))</f>
        <v>16</v>
      </c>
      <c r="I36">
        <f>IF(C36="RB",LeagueInfo!$D$4*LeagueInfo!$F$2,IF(C36="WR",LeagueInfo!$D$5*LeagueInfo!$F$2,IF(C36="TE",LeagueInfo!$D$6*LeagueInfo!$F$2)))</f>
        <v>24</v>
      </c>
    </row>
    <row r="37" spans="1:9" x14ac:dyDescent="0.25">
      <c r="A37">
        <f ca="1">RANK(E37,E$2:E$462)</f>
        <v>36</v>
      </c>
      <c r="B37" t="s">
        <v>718</v>
      </c>
      <c r="C37" t="s">
        <v>35</v>
      </c>
      <c r="D37">
        <f ca="1">INDEX(INDIRECT($C37&amp;"!P:P"),MATCH($B37,INDIRECT($C37&amp;"!B:B"),0))</f>
        <v>191.09</v>
      </c>
      <c r="E37" s="210">
        <f ca="1">D37-LARGE(D$2:D$385,RBCount+WRCount+TECount)</f>
        <v>83.100000000000009</v>
      </c>
      <c r="F37" t="str">
        <f ca="1">IF(H37&lt;=I37,"Starter",IF(G37&gt;=LARGE(G:G,FlexOn*LeagueInfo!$F$2),"Starter","Bench"))</f>
        <v>Starter</v>
      </c>
      <c r="G37">
        <f ca="1">IF(H37&gt;I37,D37,0)</f>
        <v>0</v>
      </c>
      <c r="H37">
        <f ca="1">INDEX(INDIRECT(""&amp;C37&amp;"!A2:A489"),MATCH(B37,INDIRECT(""&amp;C37&amp;"!B2:B489"),0))</f>
        <v>17</v>
      </c>
      <c r="I37">
        <f>IF(C37="RB",LeagueInfo!$D$4*LeagueInfo!$F$2,IF(C37="WR",LeagueInfo!$D$5*LeagueInfo!$F$2,IF(C37="TE",LeagueInfo!$D$6*LeagueInfo!$F$2)))</f>
        <v>24</v>
      </c>
    </row>
    <row r="38" spans="1:9" x14ac:dyDescent="0.25">
      <c r="A38">
        <f ca="1">RANK(E38,E$2:E$462)</f>
        <v>37</v>
      </c>
      <c r="B38" t="s">
        <v>2444</v>
      </c>
      <c r="C38" t="s">
        <v>28</v>
      </c>
      <c r="D38">
        <f ca="1">INDEX(INDIRECT($C38&amp;"!P:P"),MATCH($B38,INDIRECT($C38&amp;"!B:B"),0))</f>
        <v>189.84</v>
      </c>
      <c r="E38" s="210">
        <f ca="1">D38-LARGE(D$2:D$385,RBCount+WRCount+TECount)</f>
        <v>81.850000000000009</v>
      </c>
      <c r="F38" t="str">
        <f ca="1">IF(H38&lt;=I38,"Starter",IF(G38&gt;=LARGE(G:G,FlexOn*LeagueInfo!$F$2),"Starter","Bench"))</f>
        <v>Starter</v>
      </c>
      <c r="G38">
        <f ca="1">IF(H38&gt;I38,D38,0)</f>
        <v>0</v>
      </c>
      <c r="H38">
        <f ca="1">INDEX(INDIRECT(""&amp;C38&amp;"!A2:A489"),MATCH(B38,INDIRECT(""&amp;C38&amp;"!B2:B489"),0))</f>
        <v>18</v>
      </c>
      <c r="I38">
        <f>IF(C38="RB",LeagueInfo!$D$4*LeagueInfo!$F$2,IF(C38="WR",LeagueInfo!$D$5*LeagueInfo!$F$2,IF(C38="TE",LeagueInfo!$D$6*LeagueInfo!$F$2)))</f>
        <v>24</v>
      </c>
    </row>
    <row r="39" spans="1:9" x14ac:dyDescent="0.25">
      <c r="A39">
        <f ca="1">RANK(E39,E$2:E$462)</f>
        <v>38</v>
      </c>
      <c r="B39" t="s">
        <v>882</v>
      </c>
      <c r="C39" t="s">
        <v>28</v>
      </c>
      <c r="D39">
        <f ca="1">INDEX(INDIRECT($C39&amp;"!P:P"),MATCH($B39,INDIRECT($C39&amp;"!B:B"),0))</f>
        <v>189.15</v>
      </c>
      <c r="E39" s="210">
        <f ca="1">D39-LARGE(D$2:D$385,RBCount+WRCount+TECount)</f>
        <v>81.160000000000011</v>
      </c>
      <c r="F39" t="str">
        <f ca="1">IF(H39&lt;=I39,"Starter",IF(G39&gt;=LARGE(G:G,FlexOn*LeagueInfo!$F$2),"Starter","Bench"))</f>
        <v>Starter</v>
      </c>
      <c r="G39">
        <f ca="1">IF(H39&gt;I39,D39,0)</f>
        <v>0</v>
      </c>
      <c r="H39">
        <f ca="1">INDEX(INDIRECT(""&amp;C39&amp;"!A2:A489"),MATCH(B39,INDIRECT(""&amp;C39&amp;"!B2:B489"),0))</f>
        <v>19</v>
      </c>
      <c r="I39">
        <f>IF(C39="RB",LeagueInfo!$D$4*LeagueInfo!$F$2,IF(C39="WR",LeagueInfo!$D$5*LeagueInfo!$F$2,IF(C39="TE",LeagueInfo!$D$6*LeagueInfo!$F$2)))</f>
        <v>24</v>
      </c>
    </row>
    <row r="40" spans="1:9" x14ac:dyDescent="0.25">
      <c r="A40">
        <f ca="1">RANK(E40,E$2:E$462)</f>
        <v>39</v>
      </c>
      <c r="B40" t="s">
        <v>881</v>
      </c>
      <c r="C40" t="s">
        <v>28</v>
      </c>
      <c r="D40">
        <f ca="1">INDEX(INDIRECT($C40&amp;"!P:P"),MATCH($B40,INDIRECT($C40&amp;"!B:B"),0))</f>
        <v>188.92000000000002</v>
      </c>
      <c r="E40" s="210">
        <f ca="1">D40-LARGE(D$2:D$385,RBCount+WRCount+TECount)</f>
        <v>80.930000000000021</v>
      </c>
      <c r="F40" t="str">
        <f ca="1">IF(H40&lt;=I40,"Starter",IF(G40&gt;=LARGE(G:G,FlexOn*LeagueInfo!$F$2),"Starter","Bench"))</f>
        <v>Starter</v>
      </c>
      <c r="G40">
        <f ca="1">IF(H40&gt;I40,D40,0)</f>
        <v>0</v>
      </c>
      <c r="H40">
        <f ca="1">INDEX(INDIRECT(""&amp;C40&amp;"!A2:A489"),MATCH(B40,INDIRECT(""&amp;C40&amp;"!B2:B489"),0))</f>
        <v>20</v>
      </c>
      <c r="I40">
        <f>IF(C40="RB",LeagueInfo!$D$4*LeagueInfo!$F$2,IF(C40="WR",LeagueInfo!$D$5*LeagueInfo!$F$2,IF(C40="TE",LeagueInfo!$D$6*LeagueInfo!$F$2)))</f>
        <v>24</v>
      </c>
    </row>
    <row r="41" spans="1:9" x14ac:dyDescent="0.25">
      <c r="A41">
        <f ca="1">RANK(E41,E$2:E$462)</f>
        <v>40</v>
      </c>
      <c r="B41" t="s">
        <v>660</v>
      </c>
      <c r="C41" t="s">
        <v>28</v>
      </c>
      <c r="D41">
        <f ca="1">INDEX(INDIRECT($C41&amp;"!P:P"),MATCH($B41,INDIRECT($C41&amp;"!B:B"),0))</f>
        <v>187.86</v>
      </c>
      <c r="E41" s="210">
        <f ca="1">D41-LARGE(D$2:D$385,RBCount+WRCount+TECount)</f>
        <v>79.870000000000019</v>
      </c>
      <c r="F41" t="str">
        <f ca="1">IF(H41&lt;=I41,"Starter",IF(G41&gt;=LARGE(G:G,FlexOn*LeagueInfo!$F$2),"Starter","Bench"))</f>
        <v>Starter</v>
      </c>
      <c r="G41">
        <f ca="1">IF(H41&gt;I41,D41,0)</f>
        <v>0</v>
      </c>
      <c r="H41">
        <f ca="1">INDEX(INDIRECT(""&amp;C41&amp;"!A2:A489"),MATCH(B41,INDIRECT(""&amp;C41&amp;"!B2:B489"),0))</f>
        <v>21</v>
      </c>
      <c r="I41">
        <f>IF(C41="RB",LeagueInfo!$D$4*LeagueInfo!$F$2,IF(C41="WR",LeagueInfo!$D$5*LeagueInfo!$F$2,IF(C41="TE",LeagueInfo!$D$6*LeagueInfo!$F$2)))</f>
        <v>24</v>
      </c>
    </row>
    <row r="42" spans="1:9" x14ac:dyDescent="0.25">
      <c r="A42">
        <f ca="1">RANK(E42,E$2:E$462)</f>
        <v>41</v>
      </c>
      <c r="B42" t="s">
        <v>935</v>
      </c>
      <c r="C42" t="s">
        <v>28</v>
      </c>
      <c r="D42">
        <f ca="1">INDEX(INDIRECT($C42&amp;"!P:P"),MATCH($B42,INDIRECT($C42&amp;"!B:B"),0))</f>
        <v>184.47</v>
      </c>
      <c r="E42" s="210">
        <f ca="1">D42-LARGE(D$2:D$385,RBCount+WRCount+TECount)</f>
        <v>76.48</v>
      </c>
      <c r="F42" t="str">
        <f ca="1">IF(H42&lt;=I42,"Starter",IF(G42&gt;=LARGE(G:G,FlexOn*LeagueInfo!$F$2),"Starter","Bench"))</f>
        <v>Starter</v>
      </c>
      <c r="G42">
        <f ca="1">IF(H42&gt;I42,D42,0)</f>
        <v>0</v>
      </c>
      <c r="H42">
        <f ca="1">INDEX(INDIRECT(""&amp;C42&amp;"!A2:A489"),MATCH(B42,INDIRECT(""&amp;C42&amp;"!B2:B489"),0))</f>
        <v>22</v>
      </c>
      <c r="I42">
        <f>IF(C42="RB",LeagueInfo!$D$4*LeagueInfo!$F$2,IF(C42="WR",LeagueInfo!$D$5*LeagueInfo!$F$2,IF(C42="TE",LeagueInfo!$D$6*LeagueInfo!$F$2)))</f>
        <v>24</v>
      </c>
    </row>
    <row r="43" spans="1:9" x14ac:dyDescent="0.25">
      <c r="A43">
        <f ca="1">RANK(E43,E$2:E$462)</f>
        <v>42</v>
      </c>
      <c r="B43" t="s">
        <v>2410</v>
      </c>
      <c r="C43" t="s">
        <v>35</v>
      </c>
      <c r="D43">
        <f ca="1">INDEX(INDIRECT($C43&amp;"!P:P"),MATCH($B43,INDIRECT($C43&amp;"!B:B"),0))</f>
        <v>183.73000000000002</v>
      </c>
      <c r="E43" s="210">
        <f ca="1">D43-LARGE(D$2:D$385,RBCount+WRCount+TECount)</f>
        <v>75.740000000000023</v>
      </c>
      <c r="F43" t="str">
        <f ca="1">IF(H43&lt;=I43,"Starter",IF(G43&gt;=LARGE(G:G,FlexOn*LeagueInfo!$F$2),"Starter","Bench"))</f>
        <v>Starter</v>
      </c>
      <c r="G43">
        <f ca="1">IF(H43&gt;I43,D43,0)</f>
        <v>0</v>
      </c>
      <c r="H43">
        <f ca="1">INDEX(INDIRECT(""&amp;C43&amp;"!A2:A489"),MATCH(B43,INDIRECT(""&amp;C43&amp;"!B2:B489"),0))</f>
        <v>18</v>
      </c>
      <c r="I43">
        <f>IF(C43="RB",LeagueInfo!$D$4*LeagueInfo!$F$2,IF(C43="WR",LeagueInfo!$D$5*LeagueInfo!$F$2,IF(C43="TE",LeagueInfo!$D$6*LeagueInfo!$F$2)))</f>
        <v>24</v>
      </c>
    </row>
    <row r="44" spans="1:9" x14ac:dyDescent="0.25">
      <c r="A44">
        <f ca="1">RANK(E44,E$2:E$462)</f>
        <v>43</v>
      </c>
      <c r="B44" t="s">
        <v>665</v>
      </c>
      <c r="C44" t="s">
        <v>28</v>
      </c>
      <c r="D44">
        <f ca="1">INDEX(INDIRECT($C44&amp;"!P:P"),MATCH($B44,INDIRECT($C44&amp;"!B:B"),0))</f>
        <v>182.84999999999997</v>
      </c>
      <c r="E44" s="210">
        <f ca="1">D44-LARGE(D$2:D$385,RBCount+WRCount+TECount)</f>
        <v>74.859999999999971</v>
      </c>
      <c r="F44" t="str">
        <f ca="1">IF(H44&lt;=I44,"Starter",IF(G44&gt;=LARGE(G:G,FlexOn*LeagueInfo!$F$2),"Starter","Bench"))</f>
        <v>Starter</v>
      </c>
      <c r="G44">
        <f ca="1">IF(H44&gt;I44,D44,0)</f>
        <v>0</v>
      </c>
      <c r="H44">
        <f ca="1">INDEX(INDIRECT(""&amp;C44&amp;"!A2:A489"),MATCH(B44,INDIRECT(""&amp;C44&amp;"!B2:B489"),0))</f>
        <v>23</v>
      </c>
      <c r="I44">
        <f>IF(C44="RB",LeagueInfo!$D$4*LeagueInfo!$F$2,IF(C44="WR",LeagueInfo!$D$5*LeagueInfo!$F$2,IF(C44="TE",LeagueInfo!$D$6*LeagueInfo!$F$2)))</f>
        <v>24</v>
      </c>
    </row>
    <row r="45" spans="1:9" x14ac:dyDescent="0.25">
      <c r="A45">
        <f ca="1">RANK(E45,E$2:E$462)</f>
        <v>44</v>
      </c>
      <c r="B45" t="s">
        <v>948</v>
      </c>
      <c r="C45" t="s">
        <v>35</v>
      </c>
      <c r="D45">
        <f ca="1">INDEX(INDIRECT($C45&amp;"!P:P"),MATCH($B45,INDIRECT($C45&amp;"!B:B"),0))</f>
        <v>182.84</v>
      </c>
      <c r="E45" s="210">
        <f ca="1">D45-LARGE(D$2:D$385,RBCount+WRCount+TECount)</f>
        <v>74.850000000000009</v>
      </c>
      <c r="F45" t="str">
        <f ca="1">IF(H45&lt;=I45,"Starter",IF(G45&gt;=LARGE(G:G,FlexOn*LeagueInfo!$F$2),"Starter","Bench"))</f>
        <v>Starter</v>
      </c>
      <c r="G45">
        <f ca="1">IF(H45&gt;I45,D45,0)</f>
        <v>0</v>
      </c>
      <c r="H45">
        <f ca="1">INDEX(INDIRECT(""&amp;C45&amp;"!A2:A489"),MATCH(B45,INDIRECT(""&amp;C45&amp;"!B2:B489"),0))</f>
        <v>19</v>
      </c>
      <c r="I45">
        <f>IF(C45="RB",LeagueInfo!$D$4*LeagueInfo!$F$2,IF(C45="WR",LeagueInfo!$D$5*LeagueInfo!$F$2,IF(C45="TE",LeagueInfo!$D$6*LeagueInfo!$F$2)))</f>
        <v>24</v>
      </c>
    </row>
    <row r="46" spans="1:9" x14ac:dyDescent="0.25">
      <c r="A46">
        <f ca="1">RANK(E46,E$2:E$462)</f>
        <v>45</v>
      </c>
      <c r="B46" t="s">
        <v>953</v>
      </c>
      <c r="C46" t="s">
        <v>35</v>
      </c>
      <c r="D46">
        <f ca="1">INDEX(INDIRECT($C46&amp;"!P:P"),MATCH($B46,INDIRECT($C46&amp;"!B:B"),0))</f>
        <v>181.39</v>
      </c>
      <c r="E46" s="210">
        <f ca="1">D46-LARGE(D$2:D$385,RBCount+WRCount+TECount)</f>
        <v>73.399999999999991</v>
      </c>
      <c r="F46" t="str">
        <f ca="1">IF(H46&lt;=I46,"Starter",IF(G46&gt;=LARGE(G:G,FlexOn*LeagueInfo!$F$2),"Starter","Bench"))</f>
        <v>Starter</v>
      </c>
      <c r="G46">
        <f ca="1">IF(H46&gt;I46,D46,0)</f>
        <v>0</v>
      </c>
      <c r="H46">
        <f ca="1">INDEX(INDIRECT(""&amp;C46&amp;"!A2:A489"),MATCH(B46,INDIRECT(""&amp;C46&amp;"!B2:B489"),0))</f>
        <v>20</v>
      </c>
      <c r="I46">
        <f>IF(C46="RB",LeagueInfo!$D$4*LeagueInfo!$F$2,IF(C46="WR",LeagueInfo!$D$5*LeagueInfo!$F$2,IF(C46="TE",LeagueInfo!$D$6*LeagueInfo!$F$2)))</f>
        <v>24</v>
      </c>
    </row>
    <row r="47" spans="1:9" x14ac:dyDescent="0.25">
      <c r="A47">
        <f ca="1">RANK(E47,E$2:E$462)</f>
        <v>46</v>
      </c>
      <c r="B47" t="s">
        <v>708</v>
      </c>
      <c r="C47" t="s">
        <v>35</v>
      </c>
      <c r="D47">
        <f ca="1">INDEX(INDIRECT($C47&amp;"!P:P"),MATCH($B47,INDIRECT($C47&amp;"!B:B"),0))</f>
        <v>180.60000000000002</v>
      </c>
      <c r="E47" s="210">
        <f ca="1">D47-LARGE(D$2:D$385,RBCount+WRCount+TECount)</f>
        <v>72.610000000000028</v>
      </c>
      <c r="F47" t="str">
        <f ca="1">IF(H47&lt;=I47,"Starter",IF(G47&gt;=LARGE(G:G,FlexOn*LeagueInfo!$F$2),"Starter","Bench"))</f>
        <v>Starter</v>
      </c>
      <c r="G47">
        <f ca="1">IF(H47&gt;I47,D47,0)</f>
        <v>0</v>
      </c>
      <c r="H47">
        <f ca="1">INDEX(INDIRECT(""&amp;C47&amp;"!A2:A489"),MATCH(B47,INDIRECT(""&amp;C47&amp;"!B2:B489"),0))</f>
        <v>21</v>
      </c>
      <c r="I47">
        <f>IF(C47="RB",LeagueInfo!$D$4*LeagueInfo!$F$2,IF(C47="WR",LeagueInfo!$D$5*LeagueInfo!$F$2,IF(C47="TE",LeagueInfo!$D$6*LeagueInfo!$F$2)))</f>
        <v>24</v>
      </c>
    </row>
    <row r="48" spans="1:9" x14ac:dyDescent="0.25">
      <c r="A48">
        <f ca="1">RANK(E48,E$2:E$462)</f>
        <v>47</v>
      </c>
      <c r="B48" t="s">
        <v>854</v>
      </c>
      <c r="C48" t="s">
        <v>35</v>
      </c>
      <c r="D48">
        <f ca="1">INDEX(INDIRECT($C48&amp;"!P:P"),MATCH($B48,INDIRECT($C48&amp;"!B:B"),0))</f>
        <v>180.29000000000002</v>
      </c>
      <c r="E48" s="210">
        <f ca="1">D48-LARGE(D$2:D$385,RBCount+WRCount+TECount)</f>
        <v>72.300000000000026</v>
      </c>
      <c r="F48" t="str">
        <f ca="1">IF(H48&lt;=I48,"Starter",IF(G48&gt;=LARGE(G:G,FlexOn*LeagueInfo!$F$2),"Starter","Bench"))</f>
        <v>Starter</v>
      </c>
      <c r="G48">
        <f ca="1">IF(H48&gt;I48,D48,0)</f>
        <v>0</v>
      </c>
      <c r="H48">
        <f ca="1">INDEX(INDIRECT(""&amp;C48&amp;"!A2:A489"),MATCH(B48,INDIRECT(""&amp;C48&amp;"!B2:B489"),0))</f>
        <v>22</v>
      </c>
      <c r="I48">
        <f>IF(C48="RB",LeagueInfo!$D$4*LeagueInfo!$F$2,IF(C48="WR",LeagueInfo!$D$5*LeagueInfo!$F$2,IF(C48="TE",LeagueInfo!$D$6*LeagueInfo!$F$2)))</f>
        <v>24</v>
      </c>
    </row>
    <row r="49" spans="1:9" x14ac:dyDescent="0.25">
      <c r="A49">
        <f ca="1">RANK(E49,E$2:E$462)</f>
        <v>48</v>
      </c>
      <c r="B49" t="s">
        <v>103</v>
      </c>
      <c r="C49" t="s">
        <v>35</v>
      </c>
      <c r="D49">
        <f ca="1">INDEX(INDIRECT($C49&amp;"!P:P"),MATCH($B49,INDIRECT($C49&amp;"!B:B"),0))</f>
        <v>179.28</v>
      </c>
      <c r="E49" s="210">
        <f ca="1">D49-LARGE(D$2:D$385,RBCount+WRCount+TECount)</f>
        <v>71.290000000000006</v>
      </c>
      <c r="F49" t="str">
        <f ca="1">IF(H49&lt;=I49,"Starter",IF(G49&gt;=LARGE(G:G,FlexOn*LeagueInfo!$F$2),"Starter","Bench"))</f>
        <v>Starter</v>
      </c>
      <c r="G49">
        <f ca="1">IF(H49&gt;I49,D49,0)</f>
        <v>0</v>
      </c>
      <c r="H49">
        <f ca="1">INDEX(INDIRECT(""&amp;C49&amp;"!A2:A489"),MATCH(B49,INDIRECT(""&amp;C49&amp;"!B2:B489"),0))</f>
        <v>23</v>
      </c>
      <c r="I49">
        <f>IF(C49="RB",LeagueInfo!$D$4*LeagueInfo!$F$2,IF(C49="WR",LeagueInfo!$D$5*LeagueInfo!$F$2,IF(C49="TE",LeagueInfo!$D$6*LeagueInfo!$F$2)))</f>
        <v>24</v>
      </c>
    </row>
    <row r="50" spans="1:9" x14ac:dyDescent="0.25">
      <c r="A50">
        <f ca="1">RANK(E50,E$2:E$462)</f>
        <v>49</v>
      </c>
      <c r="B50" t="s">
        <v>663</v>
      </c>
      <c r="C50" t="s">
        <v>28</v>
      </c>
      <c r="D50">
        <f ca="1">INDEX(INDIRECT($C50&amp;"!P:P"),MATCH($B50,INDIRECT($C50&amp;"!B:B"),0))</f>
        <v>177.47</v>
      </c>
      <c r="E50" s="210">
        <f ca="1">D50-LARGE(D$2:D$385,RBCount+WRCount+TECount)</f>
        <v>69.48</v>
      </c>
      <c r="F50" t="str">
        <f ca="1">IF(H50&lt;=I50,"Starter",IF(G50&gt;=LARGE(G:G,FlexOn*LeagueInfo!$F$2),"Starter","Bench"))</f>
        <v>Starter</v>
      </c>
      <c r="G50">
        <f ca="1">IF(H50&gt;I50,D50,0)</f>
        <v>0</v>
      </c>
      <c r="H50">
        <f ca="1">INDEX(INDIRECT(""&amp;C50&amp;"!A2:A489"),MATCH(B50,INDIRECT(""&amp;C50&amp;"!B2:B489"),0))</f>
        <v>24</v>
      </c>
      <c r="I50">
        <f>IF(C50="RB",LeagueInfo!$D$4*LeagueInfo!$F$2,IF(C50="WR",LeagueInfo!$D$5*LeagueInfo!$F$2,IF(C50="TE",LeagueInfo!$D$6*LeagueInfo!$F$2)))</f>
        <v>24</v>
      </c>
    </row>
    <row r="51" spans="1:9" x14ac:dyDescent="0.25">
      <c r="A51">
        <f ca="1">RANK(E51,E$2:E$462)</f>
        <v>50</v>
      </c>
      <c r="B51" t="s">
        <v>700</v>
      </c>
      <c r="C51" t="s">
        <v>35</v>
      </c>
      <c r="D51">
        <f ca="1">INDEX(INDIRECT($C51&amp;"!P:P"),MATCH($B51,INDIRECT($C51&amp;"!B:B"),0))</f>
        <v>176.09000000000003</v>
      </c>
      <c r="E51" s="210">
        <f ca="1">D51-LARGE(D$2:D$385,RBCount+WRCount+TECount)</f>
        <v>68.100000000000037</v>
      </c>
      <c r="F51" t="str">
        <f ca="1">IF(H51&lt;=I51,"Starter",IF(G51&gt;=LARGE(G:G,FlexOn*LeagueInfo!$F$2),"Starter","Bench"))</f>
        <v>Starter</v>
      </c>
      <c r="G51">
        <f ca="1">IF(H51&gt;I51,D51,0)</f>
        <v>0</v>
      </c>
      <c r="H51">
        <f ca="1">INDEX(INDIRECT(""&amp;C51&amp;"!A2:A489"),MATCH(B51,INDIRECT(""&amp;C51&amp;"!B2:B489"),0))</f>
        <v>24</v>
      </c>
      <c r="I51">
        <f>IF(C51="RB",LeagueInfo!$D$4*LeagueInfo!$F$2,IF(C51="WR",LeagueInfo!$D$5*LeagueInfo!$F$2,IF(C51="TE",LeagueInfo!$D$6*LeagueInfo!$F$2)))</f>
        <v>24</v>
      </c>
    </row>
    <row r="52" spans="1:9" x14ac:dyDescent="0.25">
      <c r="A52">
        <f ca="1">RANK(E52,E$2:E$462)</f>
        <v>51</v>
      </c>
      <c r="B52" t="s">
        <v>565</v>
      </c>
      <c r="C52" t="s">
        <v>35</v>
      </c>
      <c r="D52">
        <f ca="1">INDEX(INDIRECT($C52&amp;"!P:P"),MATCH($B52,INDIRECT($C52&amp;"!B:B"),0))</f>
        <v>175.68</v>
      </c>
      <c r="E52" s="210">
        <f ca="1">D52-LARGE(D$2:D$385,RBCount+WRCount+TECount)</f>
        <v>67.690000000000012</v>
      </c>
      <c r="F52" t="str">
        <f ca="1">IF(H52&lt;=I52,"Starter",IF(G52&gt;=LARGE(G:G,FlexOn*LeagueInfo!$F$2),"Starter","Bench"))</f>
        <v>Starter</v>
      </c>
      <c r="G52">
        <f ca="1">IF(H52&gt;I52,D52,0)</f>
        <v>175.68</v>
      </c>
      <c r="H52">
        <f ca="1">INDEX(INDIRECT(""&amp;C52&amp;"!A2:A489"),MATCH(B52,INDIRECT(""&amp;C52&amp;"!B2:B489"),0))</f>
        <v>25</v>
      </c>
      <c r="I52">
        <f>IF(C52="RB",LeagueInfo!$D$4*LeagueInfo!$F$2,IF(C52="WR",LeagueInfo!$D$5*LeagueInfo!$F$2,IF(C52="TE",LeagueInfo!$D$6*LeagueInfo!$F$2)))</f>
        <v>24</v>
      </c>
    </row>
    <row r="53" spans="1:9" x14ac:dyDescent="0.25">
      <c r="A53">
        <f ca="1">RANK(E53,E$2:E$462)</f>
        <v>52</v>
      </c>
      <c r="B53" t="s">
        <v>848</v>
      </c>
      <c r="C53" t="s">
        <v>28</v>
      </c>
      <c r="D53">
        <f ca="1">INDEX(INDIRECT($C53&amp;"!P:P"),MATCH($B53,INDIRECT($C53&amp;"!B:B"),0))</f>
        <v>174.80000000000004</v>
      </c>
      <c r="E53" s="210">
        <f ca="1">D53-LARGE(D$2:D$385,RBCount+WRCount+TECount)</f>
        <v>66.810000000000045</v>
      </c>
      <c r="F53" t="str">
        <f ca="1">IF(H53&lt;=I53,"Starter",IF(G53&gt;=LARGE(G:G,FlexOn*LeagueInfo!$F$2),"Starter","Bench"))</f>
        <v>Starter</v>
      </c>
      <c r="G53">
        <f ca="1">IF(H53&gt;I53,D53,0)</f>
        <v>174.80000000000004</v>
      </c>
      <c r="H53">
        <f ca="1">INDEX(INDIRECT(""&amp;C53&amp;"!A2:A489"),MATCH(B53,INDIRECT(""&amp;C53&amp;"!B2:B489"),0))</f>
        <v>25</v>
      </c>
      <c r="I53">
        <f>IF(C53="RB",LeagueInfo!$D$4*LeagueInfo!$F$2,IF(C53="WR",LeagueInfo!$D$5*LeagueInfo!$F$2,IF(C53="TE",LeagueInfo!$D$6*LeagueInfo!$F$2)))</f>
        <v>24</v>
      </c>
    </row>
    <row r="54" spans="1:9" x14ac:dyDescent="0.25">
      <c r="A54">
        <f ca="1">RANK(E54,E$2:E$462)</f>
        <v>53</v>
      </c>
      <c r="B54" t="s">
        <v>859</v>
      </c>
      <c r="C54" t="s">
        <v>35</v>
      </c>
      <c r="D54">
        <f ca="1">INDEX(INDIRECT($C54&amp;"!P:P"),MATCH($B54,INDIRECT($C54&amp;"!B:B"),0))</f>
        <v>174.31</v>
      </c>
      <c r="E54" s="210">
        <f ca="1">D54-LARGE(D$2:D$385,RBCount+WRCount+TECount)</f>
        <v>66.320000000000007</v>
      </c>
      <c r="F54" t="str">
        <f ca="1">IF(H54&lt;=I54,"Starter",IF(G54&gt;=LARGE(G:G,FlexOn*LeagueInfo!$F$2),"Starter","Bench"))</f>
        <v>Starter</v>
      </c>
      <c r="G54">
        <f ca="1">IF(H54&gt;I54,D54,0)</f>
        <v>174.31</v>
      </c>
      <c r="H54">
        <f ca="1">INDEX(INDIRECT(""&amp;C54&amp;"!A2:A489"),MATCH(B54,INDIRECT(""&amp;C54&amp;"!B2:B489"),0))</f>
        <v>26</v>
      </c>
      <c r="I54">
        <f>IF(C54="RB",LeagueInfo!$D$4*LeagueInfo!$F$2,IF(C54="WR",LeagueInfo!$D$5*LeagueInfo!$F$2,IF(C54="TE",LeagueInfo!$D$6*LeagueInfo!$F$2)))</f>
        <v>24</v>
      </c>
    </row>
    <row r="55" spans="1:9" x14ac:dyDescent="0.25">
      <c r="A55">
        <f ca="1">RANK(E55,E$2:E$462)</f>
        <v>54</v>
      </c>
      <c r="B55" t="s">
        <v>834</v>
      </c>
      <c r="C55" t="s">
        <v>35</v>
      </c>
      <c r="D55">
        <f ca="1">INDEX(INDIRECT($C55&amp;"!P:P"),MATCH($B55,INDIRECT($C55&amp;"!B:B"),0))</f>
        <v>174.26</v>
      </c>
      <c r="E55" s="210">
        <f ca="1">D55-LARGE(D$2:D$385,RBCount+WRCount+TECount)</f>
        <v>66.27</v>
      </c>
      <c r="F55" t="str">
        <f ca="1">IF(H55&lt;=I55,"Starter",IF(G55&gt;=LARGE(G:G,FlexOn*LeagueInfo!$F$2),"Starter","Bench"))</f>
        <v>Starter</v>
      </c>
      <c r="G55">
        <f ca="1">IF(H55&gt;I55,D55,0)</f>
        <v>174.26</v>
      </c>
      <c r="H55">
        <f ca="1">INDEX(INDIRECT(""&amp;C55&amp;"!A2:A489"),MATCH(B55,INDIRECT(""&amp;C55&amp;"!B2:B489"),0))</f>
        <v>27</v>
      </c>
      <c r="I55">
        <f>IF(C55="RB",LeagueInfo!$D$4*LeagueInfo!$F$2,IF(C55="WR",LeagueInfo!$D$5*LeagueInfo!$F$2,IF(C55="TE",LeagueInfo!$D$6*LeagueInfo!$F$2)))</f>
        <v>24</v>
      </c>
    </row>
    <row r="56" spans="1:9" x14ac:dyDescent="0.25">
      <c r="A56">
        <f ca="1">RANK(E56,E$2:E$462)</f>
        <v>55</v>
      </c>
      <c r="B56" t="s">
        <v>381</v>
      </c>
      <c r="C56" t="s">
        <v>35</v>
      </c>
      <c r="D56">
        <f ca="1">INDEX(INDIRECT($C56&amp;"!P:P"),MATCH($B56,INDIRECT($C56&amp;"!B:B"),0))</f>
        <v>173.44</v>
      </c>
      <c r="E56" s="210">
        <f ca="1">D56-LARGE(D$2:D$385,RBCount+WRCount+TECount)</f>
        <v>65.45</v>
      </c>
      <c r="F56" t="str">
        <f ca="1">IF(H56&lt;=I56,"Starter",IF(G56&gt;=LARGE(G:G,FlexOn*LeagueInfo!$F$2),"Starter","Bench"))</f>
        <v>Starter</v>
      </c>
      <c r="G56">
        <f ca="1">IF(H56&gt;I56,D56,0)</f>
        <v>173.44</v>
      </c>
      <c r="H56">
        <f ca="1">INDEX(INDIRECT(""&amp;C56&amp;"!A2:A489"),MATCH(B56,INDIRECT(""&amp;C56&amp;"!B2:B489"),0))</f>
        <v>28</v>
      </c>
      <c r="I56">
        <f>IF(C56="RB",LeagueInfo!$D$4*LeagueInfo!$F$2,IF(C56="WR",LeagueInfo!$D$5*LeagueInfo!$F$2,IF(C56="TE",LeagueInfo!$D$6*LeagueInfo!$F$2)))</f>
        <v>24</v>
      </c>
    </row>
    <row r="57" spans="1:9" x14ac:dyDescent="0.25">
      <c r="A57">
        <f ca="1">RANK(E57,E$2:E$462)</f>
        <v>56</v>
      </c>
      <c r="B57" t="s">
        <v>898</v>
      </c>
      <c r="C57" t="s">
        <v>28</v>
      </c>
      <c r="D57">
        <f ca="1">INDEX(INDIRECT($C57&amp;"!P:P"),MATCH($B57,INDIRECT($C57&amp;"!B:B"),0))</f>
        <v>170.67000000000002</v>
      </c>
      <c r="E57" s="210">
        <f ca="1">D57-LARGE(D$2:D$385,RBCount+WRCount+TECount)</f>
        <v>62.680000000000021</v>
      </c>
      <c r="F57" t="str">
        <f ca="1">IF(H57&lt;=I57,"Starter",IF(G57&gt;=LARGE(G:G,FlexOn*LeagueInfo!$F$2),"Starter","Bench"))</f>
        <v>Starter</v>
      </c>
      <c r="G57">
        <f ca="1">IF(H57&gt;I57,D57,0)</f>
        <v>170.67000000000002</v>
      </c>
      <c r="H57">
        <f ca="1">INDEX(INDIRECT(""&amp;C57&amp;"!A2:A489"),MATCH(B57,INDIRECT(""&amp;C57&amp;"!B2:B489"),0))</f>
        <v>26</v>
      </c>
      <c r="I57">
        <f>IF(C57="RB",LeagueInfo!$D$4*LeagueInfo!$F$2,IF(C57="WR",LeagueInfo!$D$5*LeagueInfo!$F$2,IF(C57="TE",LeagueInfo!$D$6*LeagueInfo!$F$2)))</f>
        <v>24</v>
      </c>
    </row>
    <row r="58" spans="1:9" x14ac:dyDescent="0.25">
      <c r="A58">
        <f ca="1">RANK(E58,E$2:E$462)</f>
        <v>57</v>
      </c>
      <c r="B58" t="s">
        <v>670</v>
      </c>
      <c r="C58" t="s">
        <v>28</v>
      </c>
      <c r="D58">
        <f ca="1">INDEX(INDIRECT($C58&amp;"!P:P"),MATCH($B58,INDIRECT($C58&amp;"!B:B"),0))</f>
        <v>169.71</v>
      </c>
      <c r="E58" s="210">
        <f ca="1">D58-LARGE(D$2:D$385,RBCount+WRCount+TECount)</f>
        <v>61.720000000000013</v>
      </c>
      <c r="F58" t="str">
        <f ca="1">IF(H58&lt;=I58,"Starter",IF(G58&gt;=LARGE(G:G,FlexOn*LeagueInfo!$F$2),"Starter","Bench"))</f>
        <v>Starter</v>
      </c>
      <c r="G58">
        <f ca="1">IF(H58&gt;I58,D58,0)</f>
        <v>169.71</v>
      </c>
      <c r="H58">
        <f ca="1">INDEX(INDIRECT(""&amp;C58&amp;"!A2:A489"),MATCH(B58,INDIRECT(""&amp;C58&amp;"!B2:B489"),0))</f>
        <v>27</v>
      </c>
      <c r="I58">
        <f>IF(C58="RB",LeagueInfo!$D$4*LeagueInfo!$F$2,IF(C58="WR",LeagueInfo!$D$5*LeagueInfo!$F$2,IF(C58="TE",LeagueInfo!$D$6*LeagueInfo!$F$2)))</f>
        <v>24</v>
      </c>
    </row>
    <row r="59" spans="1:9" x14ac:dyDescent="0.25">
      <c r="A59">
        <f ca="1">RANK(E59,E$2:E$462)</f>
        <v>58</v>
      </c>
      <c r="B59" t="s">
        <v>213</v>
      </c>
      <c r="C59" t="s">
        <v>35</v>
      </c>
      <c r="D59">
        <f ca="1">INDEX(INDIRECT($C59&amp;"!P:P"),MATCH($B59,INDIRECT($C59&amp;"!B:B"),0))</f>
        <v>169.47</v>
      </c>
      <c r="E59" s="210">
        <f ca="1">D59-LARGE(D$2:D$385,RBCount+WRCount+TECount)</f>
        <v>61.480000000000004</v>
      </c>
      <c r="F59" t="str">
        <f ca="1">IF(H59&lt;=I59,"Starter",IF(G59&gt;=LARGE(G:G,FlexOn*LeagueInfo!$F$2),"Starter","Bench"))</f>
        <v>Starter</v>
      </c>
      <c r="G59">
        <f ca="1">IF(H59&gt;I59,D59,0)</f>
        <v>169.47</v>
      </c>
      <c r="H59">
        <f ca="1">INDEX(INDIRECT(""&amp;C59&amp;"!A2:A489"),MATCH(B59,INDIRECT(""&amp;C59&amp;"!B2:B489"),0))</f>
        <v>29</v>
      </c>
      <c r="I59">
        <f>IF(C59="RB",LeagueInfo!$D$4*LeagueInfo!$F$2,IF(C59="WR",LeagueInfo!$D$5*LeagueInfo!$F$2,IF(C59="TE",LeagueInfo!$D$6*LeagueInfo!$F$2)))</f>
        <v>24</v>
      </c>
    </row>
    <row r="60" spans="1:9" x14ac:dyDescent="0.25">
      <c r="A60">
        <f ca="1">RANK(E60,E$2:E$462)</f>
        <v>59</v>
      </c>
      <c r="B60" t="s">
        <v>2447</v>
      </c>
      <c r="C60" t="s">
        <v>28</v>
      </c>
      <c r="D60">
        <f ca="1">INDEX(INDIRECT($C60&amp;"!P:P"),MATCH($B60,INDIRECT($C60&amp;"!B:B"),0))</f>
        <v>169.18000000000004</v>
      </c>
      <c r="E60" s="210">
        <f ca="1">D60-LARGE(D$2:D$385,RBCount+WRCount+TECount)</f>
        <v>61.19000000000004</v>
      </c>
      <c r="F60" t="str">
        <f ca="1">IF(H60&lt;=I60,"Starter",IF(G60&gt;=LARGE(G:G,FlexOn*LeagueInfo!$F$2),"Starter","Bench"))</f>
        <v>Starter</v>
      </c>
      <c r="G60">
        <f ca="1">IF(H60&gt;I60,D60,0)</f>
        <v>169.18000000000004</v>
      </c>
      <c r="H60">
        <f ca="1">INDEX(INDIRECT(""&amp;C60&amp;"!A2:A489"),MATCH(B60,INDIRECT(""&amp;C60&amp;"!B2:B489"),0))</f>
        <v>28</v>
      </c>
      <c r="I60">
        <f>IF(C60="RB",LeagueInfo!$D$4*LeagueInfo!$F$2,IF(C60="WR",LeagueInfo!$D$5*LeagueInfo!$F$2,IF(C60="TE",LeagueInfo!$D$6*LeagueInfo!$F$2)))</f>
        <v>24</v>
      </c>
    </row>
    <row r="61" spans="1:9" x14ac:dyDescent="0.25">
      <c r="A61">
        <f ca="1">RANK(E61,E$2:E$462)</f>
        <v>60</v>
      </c>
      <c r="B61" t="s">
        <v>950</v>
      </c>
      <c r="C61" t="s">
        <v>35</v>
      </c>
      <c r="D61">
        <f ca="1">INDEX(INDIRECT($C61&amp;"!P:P"),MATCH($B61,INDIRECT($C61&amp;"!B:B"),0))</f>
        <v>169.06</v>
      </c>
      <c r="E61" s="210">
        <f ca="1">D61-LARGE(D$2:D$385,RBCount+WRCount+TECount)</f>
        <v>61.070000000000007</v>
      </c>
      <c r="F61" t="str">
        <f ca="1">IF(H61&lt;=I61,"Starter",IF(G61&gt;=LARGE(G:G,FlexOn*LeagueInfo!$F$2),"Starter","Bench"))</f>
        <v>Starter</v>
      </c>
      <c r="G61">
        <f ca="1">IF(H61&gt;I61,D61,0)</f>
        <v>169.06</v>
      </c>
      <c r="H61">
        <f ca="1">INDEX(INDIRECT(""&amp;C61&amp;"!A2:A489"),MATCH(B61,INDIRECT(""&amp;C61&amp;"!B2:B489"),0))</f>
        <v>30</v>
      </c>
      <c r="I61">
        <f>IF(C61="RB",LeagueInfo!$D$4*LeagueInfo!$F$2,IF(C61="WR",LeagueInfo!$D$5*LeagueInfo!$F$2,IF(C61="TE",LeagueInfo!$D$6*LeagueInfo!$F$2)))</f>
        <v>24</v>
      </c>
    </row>
    <row r="62" spans="1:9" x14ac:dyDescent="0.25">
      <c r="A62">
        <f ca="1">RANK(E62,E$2:E$462)</f>
        <v>61</v>
      </c>
      <c r="B62" t="s">
        <v>878</v>
      </c>
      <c r="C62" t="s">
        <v>28</v>
      </c>
      <c r="D62">
        <f ca="1">INDEX(INDIRECT($C62&amp;"!P:P"),MATCH($B62,INDIRECT($C62&amp;"!B:B"),0))</f>
        <v>168.38</v>
      </c>
      <c r="E62" s="210">
        <f ca="1">D62-LARGE(D$2:D$385,RBCount+WRCount+TECount)</f>
        <v>60.39</v>
      </c>
      <c r="F62" t="str">
        <f ca="1">IF(H62&lt;=I62,"Starter",IF(G62&gt;=LARGE(G:G,FlexOn*LeagueInfo!$F$2),"Starter","Bench"))</f>
        <v>Starter</v>
      </c>
      <c r="G62">
        <f ca="1">IF(H62&gt;I62,D62,0)</f>
        <v>168.38</v>
      </c>
      <c r="H62">
        <f ca="1">INDEX(INDIRECT(""&amp;C62&amp;"!A2:A489"),MATCH(B62,INDIRECT(""&amp;C62&amp;"!B2:B489"),0))</f>
        <v>29</v>
      </c>
      <c r="I62">
        <f>IF(C62="RB",LeagueInfo!$D$4*LeagueInfo!$F$2,IF(C62="WR",LeagueInfo!$D$5*LeagueInfo!$F$2,IF(C62="TE",LeagueInfo!$D$6*LeagueInfo!$F$2)))</f>
        <v>24</v>
      </c>
    </row>
    <row r="63" spans="1:9" x14ac:dyDescent="0.25">
      <c r="A63">
        <f ca="1">RANK(E63,E$2:E$462)</f>
        <v>62</v>
      </c>
      <c r="B63" t="s">
        <v>709</v>
      </c>
      <c r="C63" t="s">
        <v>35</v>
      </c>
      <c r="D63">
        <f ca="1">INDEX(INDIRECT($C63&amp;"!P:P"),MATCH($B63,INDIRECT($C63&amp;"!B:B"),0))</f>
        <v>168.32999999999998</v>
      </c>
      <c r="E63" s="210">
        <f ca="1">D63-LARGE(D$2:D$385,RBCount+WRCount+TECount)</f>
        <v>60.339999999999989</v>
      </c>
      <c r="F63" t="str">
        <f ca="1">IF(H63&lt;=I63,"Starter",IF(G63&gt;=LARGE(G:G,FlexOn*LeagueInfo!$F$2),"Starter","Bench"))</f>
        <v>Starter</v>
      </c>
      <c r="G63">
        <f ca="1">IF(H63&gt;I63,D63,0)</f>
        <v>168.32999999999998</v>
      </c>
      <c r="H63">
        <f ca="1">INDEX(INDIRECT(""&amp;C63&amp;"!A2:A489"),MATCH(B63,INDIRECT(""&amp;C63&amp;"!B2:B489"),0))</f>
        <v>31</v>
      </c>
      <c r="I63">
        <f>IF(C63="RB",LeagueInfo!$D$4*LeagueInfo!$F$2,IF(C63="WR",LeagueInfo!$D$5*LeagueInfo!$F$2,IF(C63="TE",LeagueInfo!$D$6*LeagueInfo!$F$2)))</f>
        <v>24</v>
      </c>
    </row>
    <row r="64" spans="1:9" x14ac:dyDescent="0.25">
      <c r="A64">
        <f ca="1">RANK(E64,E$2:E$462)</f>
        <v>63</v>
      </c>
      <c r="B64" t="s">
        <v>2443</v>
      </c>
      <c r="C64" t="s">
        <v>28</v>
      </c>
      <c r="D64">
        <f ca="1">INDEX(INDIRECT($C64&amp;"!P:P"),MATCH($B64,INDIRECT($C64&amp;"!B:B"),0))</f>
        <v>167.59</v>
      </c>
      <c r="E64" s="210">
        <f ca="1">D64-LARGE(D$2:D$385,RBCount+WRCount+TECount)</f>
        <v>59.600000000000009</v>
      </c>
      <c r="F64" t="str">
        <f ca="1">IF(H64&lt;=I64,"Starter",IF(G64&gt;=LARGE(G:G,FlexOn*LeagueInfo!$F$2),"Starter","Bench"))</f>
        <v>Bench</v>
      </c>
      <c r="G64">
        <f ca="1">IF(H64&gt;I64,D64,0)</f>
        <v>167.59</v>
      </c>
      <c r="H64">
        <f ca="1">INDEX(INDIRECT(""&amp;C64&amp;"!A2:A489"),MATCH(B64,INDIRECT(""&amp;C64&amp;"!B2:B489"),0))</f>
        <v>30</v>
      </c>
      <c r="I64">
        <f>IF(C64="RB",LeagueInfo!$D$4*LeagueInfo!$F$2,IF(C64="WR",LeagueInfo!$D$5*LeagueInfo!$F$2,IF(C64="TE",LeagueInfo!$D$6*LeagueInfo!$F$2)))</f>
        <v>24</v>
      </c>
    </row>
    <row r="65" spans="1:9" x14ac:dyDescent="0.25">
      <c r="A65">
        <f ca="1">RANK(E65,E$2:E$462)</f>
        <v>64</v>
      </c>
      <c r="B65" t="s">
        <v>384</v>
      </c>
      <c r="C65" t="s">
        <v>35</v>
      </c>
      <c r="D65">
        <f ca="1">INDEX(INDIRECT($C65&amp;"!P:P"),MATCH($B65,INDIRECT($C65&amp;"!B:B"),0))</f>
        <v>166.78</v>
      </c>
      <c r="E65" s="210">
        <f ca="1">D65-LARGE(D$2:D$385,RBCount+WRCount+TECount)</f>
        <v>58.790000000000006</v>
      </c>
      <c r="F65" t="str">
        <f ca="1">IF(H65&lt;=I65,"Starter",IF(G65&gt;=LARGE(G:G,FlexOn*LeagueInfo!$F$2),"Starter","Bench"))</f>
        <v>Bench</v>
      </c>
      <c r="G65">
        <f ca="1">IF(H65&gt;I65,D65,0)</f>
        <v>166.78</v>
      </c>
      <c r="H65">
        <f ca="1">INDEX(INDIRECT(""&amp;C65&amp;"!A2:A489"),MATCH(B65,INDIRECT(""&amp;C65&amp;"!B2:B489"),0))</f>
        <v>32</v>
      </c>
      <c r="I65">
        <f>IF(C65="RB",LeagueInfo!$D$4*LeagueInfo!$F$2,IF(C65="WR",LeagueInfo!$D$5*LeagueInfo!$F$2,IF(C65="TE",LeagueInfo!$D$6*LeagueInfo!$F$2)))</f>
        <v>24</v>
      </c>
    </row>
    <row r="66" spans="1:9" x14ac:dyDescent="0.25">
      <c r="A66">
        <f ca="1">RANK(E66,E$2:E$462)</f>
        <v>65</v>
      </c>
      <c r="B66" t="s">
        <v>944</v>
      </c>
      <c r="C66" t="s">
        <v>35</v>
      </c>
      <c r="D66">
        <f ca="1">INDEX(INDIRECT($C66&amp;"!P:P"),MATCH($B66,INDIRECT($C66&amp;"!B:B"),0))</f>
        <v>165.92000000000002</v>
      </c>
      <c r="E66" s="210">
        <f ca="1">D66-LARGE(D$2:D$385,RBCount+WRCount+TECount)</f>
        <v>57.930000000000021</v>
      </c>
      <c r="F66" t="str">
        <f ca="1">IF(H66&lt;=I66,"Starter",IF(G66&gt;=LARGE(G:G,FlexOn*LeagueInfo!$F$2),"Starter","Bench"))</f>
        <v>Bench</v>
      </c>
      <c r="G66">
        <f ca="1">IF(H66&gt;I66,D66,0)</f>
        <v>165.92000000000002</v>
      </c>
      <c r="H66">
        <f ca="1">INDEX(INDIRECT(""&amp;C66&amp;"!A2:A489"),MATCH(B66,INDIRECT(""&amp;C66&amp;"!B2:B489"),0))</f>
        <v>33</v>
      </c>
      <c r="I66">
        <f>IF(C66="RB",LeagueInfo!$D$4*LeagueInfo!$F$2,IF(C66="WR",LeagueInfo!$D$5*LeagueInfo!$F$2,IF(C66="TE",LeagueInfo!$D$6*LeagueInfo!$F$2)))</f>
        <v>24</v>
      </c>
    </row>
    <row r="67" spans="1:9" x14ac:dyDescent="0.25">
      <c r="A67">
        <f ca="1">RANK(E67,E$2:E$462)</f>
        <v>66</v>
      </c>
      <c r="B67" t="s">
        <v>210</v>
      </c>
      <c r="C67" t="s">
        <v>35</v>
      </c>
      <c r="D67">
        <f ca="1">INDEX(INDIRECT($C67&amp;"!P:P"),MATCH($B67,INDIRECT($C67&amp;"!B:B"),0))</f>
        <v>165.88</v>
      </c>
      <c r="E67" s="210">
        <f ca="1">D67-LARGE(D$2:D$385,RBCount+WRCount+TECount)</f>
        <v>57.89</v>
      </c>
      <c r="F67" t="str">
        <f ca="1">IF(H67&lt;=I67,"Starter",IF(G67&gt;=LARGE(G:G,FlexOn*LeagueInfo!$F$2),"Starter","Bench"))</f>
        <v>Bench</v>
      </c>
      <c r="G67">
        <f ca="1">IF(H67&gt;I67,D67,0)</f>
        <v>165.88</v>
      </c>
      <c r="H67">
        <f ca="1">INDEX(INDIRECT(""&amp;C67&amp;"!A2:A489"),MATCH(B67,INDIRECT(""&amp;C67&amp;"!B2:B489"),0))</f>
        <v>34</v>
      </c>
      <c r="I67">
        <f>IF(C67="RB",LeagueInfo!$D$4*LeagueInfo!$F$2,IF(C67="WR",LeagueInfo!$D$5*LeagueInfo!$F$2,IF(C67="TE",LeagueInfo!$D$6*LeagueInfo!$F$2)))</f>
        <v>24</v>
      </c>
    </row>
    <row r="68" spans="1:9" x14ac:dyDescent="0.25">
      <c r="A68">
        <f ca="1">RANK(E68,E$2:E$462)</f>
        <v>67</v>
      </c>
      <c r="B68" t="s">
        <v>105</v>
      </c>
      <c r="C68" t="s">
        <v>35</v>
      </c>
      <c r="D68">
        <f ca="1">INDEX(INDIRECT($C68&amp;"!P:P"),MATCH($B68,INDIRECT($C68&amp;"!B:B"),0))</f>
        <v>165.2</v>
      </c>
      <c r="E68" s="210">
        <f ca="1">D68-LARGE(D$2:D$385,RBCount+WRCount+TECount)</f>
        <v>57.209999999999994</v>
      </c>
      <c r="F68" t="str">
        <f ca="1">IF(H68&lt;=I68,"Starter",IF(G68&gt;=LARGE(G:G,FlexOn*LeagueInfo!$F$2),"Starter","Bench"))</f>
        <v>Bench</v>
      </c>
      <c r="G68">
        <f ca="1">IF(H68&gt;I68,D68,0)</f>
        <v>165.2</v>
      </c>
      <c r="H68">
        <f ca="1">INDEX(INDIRECT(""&amp;C68&amp;"!A2:A489"),MATCH(B68,INDIRECT(""&amp;C68&amp;"!B2:B489"),0))</f>
        <v>35</v>
      </c>
      <c r="I68">
        <f>IF(C68="RB",LeagueInfo!$D$4*LeagueInfo!$F$2,IF(C68="WR",LeagueInfo!$D$5*LeagueInfo!$F$2,IF(C68="TE",LeagueInfo!$D$6*LeagueInfo!$F$2)))</f>
        <v>24</v>
      </c>
    </row>
    <row r="69" spans="1:9" x14ac:dyDescent="0.25">
      <c r="A69">
        <f ca="1">RANK(E69,E$2:E$462)</f>
        <v>68</v>
      </c>
      <c r="B69" t="s">
        <v>668</v>
      </c>
      <c r="C69" t="s">
        <v>28</v>
      </c>
      <c r="D69">
        <f ca="1">INDEX(INDIRECT($C69&amp;"!P:P"),MATCH($B69,INDIRECT($C69&amp;"!B:B"),0))</f>
        <v>164.72000000000003</v>
      </c>
      <c r="E69" s="210">
        <f ca="1">D69-LARGE(D$2:D$385,RBCount+WRCount+TECount)</f>
        <v>56.730000000000032</v>
      </c>
      <c r="F69" t="str">
        <f ca="1">IF(H69&lt;=I69,"Starter",IF(G69&gt;=LARGE(G:G,FlexOn*LeagueInfo!$F$2),"Starter","Bench"))</f>
        <v>Bench</v>
      </c>
      <c r="G69">
        <f ca="1">IF(H69&gt;I69,D69,0)</f>
        <v>164.72000000000003</v>
      </c>
      <c r="H69">
        <f ca="1">INDEX(INDIRECT(""&amp;C69&amp;"!A2:A489"),MATCH(B69,INDIRECT(""&amp;C69&amp;"!B2:B489"),0))</f>
        <v>31</v>
      </c>
      <c r="I69">
        <f>IF(C69="RB",LeagueInfo!$D$4*LeagueInfo!$F$2,IF(C69="WR",LeagueInfo!$D$5*LeagueInfo!$F$2,IF(C69="TE",LeagueInfo!$D$6*LeagueInfo!$F$2)))</f>
        <v>24</v>
      </c>
    </row>
    <row r="70" spans="1:9" x14ac:dyDescent="0.25">
      <c r="A70">
        <f ca="1">RANK(E70,E$2:E$462)</f>
        <v>69</v>
      </c>
      <c r="B70" t="s">
        <v>364</v>
      </c>
      <c r="C70" t="s">
        <v>35</v>
      </c>
      <c r="D70">
        <f ca="1">INDEX(INDIRECT($C70&amp;"!P:P"),MATCH($B70,INDIRECT($C70&amp;"!B:B"),0))</f>
        <v>163.59000000000003</v>
      </c>
      <c r="E70" s="210">
        <f ca="1">D70-LARGE(D$2:D$385,RBCount+WRCount+TECount)</f>
        <v>55.600000000000037</v>
      </c>
      <c r="F70" t="str">
        <f ca="1">IF(H70&lt;=I70,"Starter",IF(G70&gt;=LARGE(G:G,FlexOn*LeagueInfo!$F$2),"Starter","Bench"))</f>
        <v>Bench</v>
      </c>
      <c r="G70">
        <f ca="1">IF(H70&gt;I70,D70,0)</f>
        <v>163.59000000000003</v>
      </c>
      <c r="H70">
        <f ca="1">INDEX(INDIRECT(""&amp;C70&amp;"!A2:A489"),MATCH(B70,INDIRECT(""&amp;C70&amp;"!B2:B489"),0))</f>
        <v>36</v>
      </c>
      <c r="I70">
        <f>IF(C70="RB",LeagueInfo!$D$4*LeagueInfo!$F$2,IF(C70="WR",LeagueInfo!$D$5*LeagueInfo!$F$2,IF(C70="TE",LeagueInfo!$D$6*LeagueInfo!$F$2)))</f>
        <v>24</v>
      </c>
    </row>
    <row r="71" spans="1:9" x14ac:dyDescent="0.25">
      <c r="A71">
        <f ca="1">RANK(E71,E$2:E$462)</f>
        <v>70</v>
      </c>
      <c r="B71" t="s">
        <v>391</v>
      </c>
      <c r="C71" t="s">
        <v>28</v>
      </c>
      <c r="D71">
        <f ca="1">INDEX(INDIRECT($C71&amp;"!P:P"),MATCH($B71,INDIRECT($C71&amp;"!B:B"),0))</f>
        <v>163.56</v>
      </c>
      <c r="E71" s="210">
        <f ca="1">D71-LARGE(D$2:D$385,RBCount+WRCount+TECount)</f>
        <v>55.570000000000007</v>
      </c>
      <c r="F71" t="str">
        <f ca="1">IF(H71&lt;=I71,"Starter",IF(G71&gt;=LARGE(G:G,FlexOn*LeagueInfo!$F$2),"Starter","Bench"))</f>
        <v>Bench</v>
      </c>
      <c r="G71">
        <f ca="1">IF(H71&gt;I71,D71,0)</f>
        <v>163.56</v>
      </c>
      <c r="H71">
        <f ca="1">INDEX(INDIRECT(""&amp;C71&amp;"!A2:A489"),MATCH(B71,INDIRECT(""&amp;C71&amp;"!B2:B489"),0))</f>
        <v>32</v>
      </c>
      <c r="I71">
        <f>IF(C71="RB",LeagueInfo!$D$4*LeagueInfo!$F$2,IF(C71="WR",LeagueInfo!$D$5*LeagueInfo!$F$2,IF(C71="TE",LeagueInfo!$D$6*LeagueInfo!$F$2)))</f>
        <v>24</v>
      </c>
    </row>
    <row r="72" spans="1:9" x14ac:dyDescent="0.25">
      <c r="A72">
        <f ca="1">RANK(E72,E$2:E$462)</f>
        <v>71</v>
      </c>
      <c r="B72" t="s">
        <v>973</v>
      </c>
      <c r="C72" t="s">
        <v>43</v>
      </c>
      <c r="D72">
        <f ca="1">INDEX(INDIRECT($C72&amp;"!P:P"),MATCH($B72,INDIRECT($C72&amp;"!B:B"),0))</f>
        <v>163.48000000000002</v>
      </c>
      <c r="E72" s="210">
        <f ca="1">D72-LARGE(D$2:D$385,RBCount+WRCount+TECount)</f>
        <v>55.490000000000023</v>
      </c>
      <c r="F72" t="str">
        <f ca="1">IF(H72&lt;=I72,"Starter",IF(G72&gt;=LARGE(G:G,FlexOn*LeagueInfo!$F$2),"Starter","Bench"))</f>
        <v>Starter</v>
      </c>
      <c r="G72">
        <f ca="1">IF(H72&gt;I72,D72,0)</f>
        <v>0</v>
      </c>
      <c r="H72">
        <f ca="1">INDEX(INDIRECT(""&amp;C72&amp;"!A2:A489"),MATCH(B72,INDIRECT(""&amp;C72&amp;"!B2:B489"),0))</f>
        <v>3</v>
      </c>
      <c r="I72">
        <f>IF(C72="RB",LeagueInfo!$D$4*LeagueInfo!$F$2,IF(C72="WR",LeagueInfo!$D$5*LeagueInfo!$F$2,IF(C72="TE",LeagueInfo!$D$6*LeagueInfo!$F$2)))</f>
        <v>12</v>
      </c>
    </row>
    <row r="73" spans="1:9" x14ac:dyDescent="0.25">
      <c r="A73">
        <f ca="1">RANK(E73,E$2:E$462)</f>
        <v>72</v>
      </c>
      <c r="B73" t="s">
        <v>552</v>
      </c>
      <c r="C73" t="s">
        <v>28</v>
      </c>
      <c r="D73">
        <f ca="1">INDEX(INDIRECT($C73&amp;"!P:P"),MATCH($B73,INDIRECT($C73&amp;"!B:B"),0))</f>
        <v>163.14999999999998</v>
      </c>
      <c r="E73" s="210">
        <f ca="1">D73-LARGE(D$2:D$385,RBCount+WRCount+TECount)</f>
        <v>55.159999999999982</v>
      </c>
      <c r="F73" t="str">
        <f ca="1">IF(H73&lt;=I73,"Starter",IF(G73&gt;=LARGE(G:G,FlexOn*LeagueInfo!$F$2),"Starter","Bench"))</f>
        <v>Bench</v>
      </c>
      <c r="G73">
        <f ca="1">IF(H73&gt;I73,D73,0)</f>
        <v>163.14999999999998</v>
      </c>
      <c r="H73">
        <f ca="1">INDEX(INDIRECT(""&amp;C73&amp;"!A2:A489"),MATCH(B73,INDIRECT(""&amp;C73&amp;"!B2:B489"),0))</f>
        <v>33</v>
      </c>
      <c r="I73">
        <f>IF(C73="RB",LeagueInfo!$D$4*LeagueInfo!$F$2,IF(C73="WR",LeagueInfo!$D$5*LeagueInfo!$F$2,IF(C73="TE",LeagueInfo!$D$6*LeagueInfo!$F$2)))</f>
        <v>24</v>
      </c>
    </row>
    <row r="74" spans="1:9" x14ac:dyDescent="0.25">
      <c r="A74">
        <f ca="1">RANK(E74,E$2:E$462)</f>
        <v>73</v>
      </c>
      <c r="B74" t="s">
        <v>949</v>
      </c>
      <c r="C74" t="s">
        <v>35</v>
      </c>
      <c r="D74">
        <f ca="1">INDEX(INDIRECT($C74&amp;"!P:P"),MATCH($B74,INDIRECT($C74&amp;"!B:B"),0))</f>
        <v>161.59000000000003</v>
      </c>
      <c r="E74" s="210">
        <f ca="1">D74-LARGE(D$2:D$385,RBCount+WRCount+TECount)</f>
        <v>53.600000000000037</v>
      </c>
      <c r="F74" t="str">
        <f ca="1">IF(H74&lt;=I74,"Starter",IF(G74&gt;=LARGE(G:G,FlexOn*LeagueInfo!$F$2),"Starter","Bench"))</f>
        <v>Bench</v>
      </c>
      <c r="G74">
        <f ca="1">IF(H74&gt;I74,D74,0)</f>
        <v>161.59000000000003</v>
      </c>
      <c r="H74">
        <f ca="1">INDEX(INDIRECT(""&amp;C74&amp;"!A2:A489"),MATCH(B74,INDIRECT(""&amp;C74&amp;"!B2:B489"),0))</f>
        <v>37</v>
      </c>
      <c r="I74">
        <f>IF(C74="RB",LeagueInfo!$D$4*LeagueInfo!$F$2,IF(C74="WR",LeagueInfo!$D$5*LeagueInfo!$F$2,IF(C74="TE",LeagueInfo!$D$6*LeagueInfo!$F$2)))</f>
        <v>24</v>
      </c>
    </row>
    <row r="75" spans="1:9" x14ac:dyDescent="0.25">
      <c r="A75">
        <f ca="1">RANK(E75,E$2:E$462)</f>
        <v>74</v>
      </c>
      <c r="B75" t="s">
        <v>743</v>
      </c>
      <c r="C75" t="s">
        <v>43</v>
      </c>
      <c r="D75">
        <f ca="1">INDEX(INDIRECT($C75&amp;"!P:P"),MATCH($B75,INDIRECT($C75&amp;"!B:B"),0))</f>
        <v>161.47999999999999</v>
      </c>
      <c r="E75" s="210">
        <f ca="1">D75-LARGE(D$2:D$385,RBCount+WRCount+TECount)</f>
        <v>53.489999999999995</v>
      </c>
      <c r="F75" t="str">
        <f ca="1">IF(H75&lt;=I75,"Starter",IF(G75&gt;=LARGE(G:G,FlexOn*LeagueInfo!$F$2),"Starter","Bench"))</f>
        <v>Starter</v>
      </c>
      <c r="G75">
        <f ca="1">IF(H75&gt;I75,D75,0)</f>
        <v>0</v>
      </c>
      <c r="H75">
        <f ca="1">INDEX(INDIRECT(""&amp;C75&amp;"!A2:A489"),MATCH(B75,INDIRECT(""&amp;C75&amp;"!B2:B489"),0))</f>
        <v>4</v>
      </c>
      <c r="I75">
        <f>IF(C75="RB",LeagueInfo!$D$4*LeagueInfo!$F$2,IF(C75="WR",LeagueInfo!$D$5*LeagueInfo!$F$2,IF(C75="TE",LeagueInfo!$D$6*LeagueInfo!$F$2)))</f>
        <v>12</v>
      </c>
    </row>
    <row r="76" spans="1:9" x14ac:dyDescent="0.25">
      <c r="A76">
        <f ca="1">RANK(E76,E$2:E$462)</f>
        <v>75</v>
      </c>
      <c r="B76" t="s">
        <v>543</v>
      </c>
      <c r="C76" t="s">
        <v>28</v>
      </c>
      <c r="D76">
        <f ca="1">INDEX(INDIRECT($C76&amp;"!P:P"),MATCH($B76,INDIRECT($C76&amp;"!B:B"),0))</f>
        <v>160.67999999999998</v>
      </c>
      <c r="E76" s="210">
        <f ca="1">D76-LARGE(D$2:D$385,RBCount+WRCount+TECount)</f>
        <v>52.689999999999984</v>
      </c>
      <c r="F76" t="str">
        <f ca="1">IF(H76&lt;=I76,"Starter",IF(G76&gt;=LARGE(G:G,FlexOn*LeagueInfo!$F$2),"Starter","Bench"))</f>
        <v>Bench</v>
      </c>
      <c r="G76">
        <f ca="1">IF(H76&gt;I76,D76,0)</f>
        <v>160.67999999999998</v>
      </c>
      <c r="H76">
        <f ca="1">INDEX(INDIRECT(""&amp;C76&amp;"!A2:A489"),MATCH(B76,INDIRECT(""&amp;C76&amp;"!B2:B489"),0))</f>
        <v>34</v>
      </c>
      <c r="I76">
        <f>IF(C76="RB",LeagueInfo!$D$4*LeagueInfo!$F$2,IF(C76="WR",LeagueInfo!$D$5*LeagueInfo!$F$2,IF(C76="TE",LeagueInfo!$D$6*LeagueInfo!$F$2)))</f>
        <v>24</v>
      </c>
    </row>
    <row r="77" spans="1:9" x14ac:dyDescent="0.25">
      <c r="A77">
        <f ca="1">RANK(E77,E$2:E$462)</f>
        <v>76</v>
      </c>
      <c r="B77" t="s">
        <v>933</v>
      </c>
      <c r="C77" t="s">
        <v>28</v>
      </c>
      <c r="D77">
        <f ca="1">INDEX(INDIRECT($C77&amp;"!P:P"),MATCH($B77,INDIRECT($C77&amp;"!B:B"),0))</f>
        <v>158.54999999999998</v>
      </c>
      <c r="E77" s="210">
        <f ca="1">D77-LARGE(D$2:D$385,RBCount+WRCount+TECount)</f>
        <v>50.559999999999988</v>
      </c>
      <c r="F77" t="str">
        <f ca="1">IF(H77&lt;=I77,"Starter",IF(G77&gt;=LARGE(G:G,FlexOn*LeagueInfo!$F$2),"Starter","Bench"))</f>
        <v>Bench</v>
      </c>
      <c r="G77">
        <f ca="1">IF(H77&gt;I77,D77,0)</f>
        <v>158.54999999999998</v>
      </c>
      <c r="H77">
        <f ca="1">INDEX(INDIRECT(""&amp;C77&amp;"!A2:A489"),MATCH(B77,INDIRECT(""&amp;C77&amp;"!B2:B489"),0))</f>
        <v>35</v>
      </c>
      <c r="I77">
        <f>IF(C77="RB",LeagueInfo!$D$4*LeagueInfo!$F$2,IF(C77="WR",LeagueInfo!$D$5*LeagueInfo!$F$2,IF(C77="TE",LeagueInfo!$D$6*LeagueInfo!$F$2)))</f>
        <v>24</v>
      </c>
    </row>
    <row r="78" spans="1:9" x14ac:dyDescent="0.25">
      <c r="A78">
        <f ca="1">RANK(E78,E$2:E$462)</f>
        <v>77</v>
      </c>
      <c r="B78" t="s">
        <v>570</v>
      </c>
      <c r="C78" t="s">
        <v>35</v>
      </c>
      <c r="D78">
        <f ca="1">INDEX(INDIRECT($C78&amp;"!P:P"),MATCH($B78,INDIRECT($C78&amp;"!B:B"),0))</f>
        <v>156.94</v>
      </c>
      <c r="E78" s="210">
        <f ca="1">D78-LARGE(D$2:D$385,RBCount+WRCount+TECount)</f>
        <v>48.95</v>
      </c>
      <c r="F78" t="str">
        <f ca="1">IF(H78&lt;=I78,"Starter",IF(G78&gt;=LARGE(G:G,FlexOn*LeagueInfo!$F$2),"Starter","Bench"))</f>
        <v>Bench</v>
      </c>
      <c r="G78">
        <f ca="1">IF(H78&gt;I78,D78,0)</f>
        <v>156.94</v>
      </c>
      <c r="H78">
        <f ca="1">INDEX(INDIRECT(""&amp;C78&amp;"!A2:A489"),MATCH(B78,INDIRECT(""&amp;C78&amp;"!B2:B489"),0))</f>
        <v>38</v>
      </c>
      <c r="I78">
        <f>IF(C78="RB",LeagueInfo!$D$4*LeagueInfo!$F$2,IF(C78="WR",LeagueInfo!$D$5*LeagueInfo!$F$2,IF(C78="TE",LeagueInfo!$D$6*LeagueInfo!$F$2)))</f>
        <v>24</v>
      </c>
    </row>
    <row r="79" spans="1:9" x14ac:dyDescent="0.25">
      <c r="A79">
        <f ca="1">RANK(E79,E$2:E$462)</f>
        <v>78</v>
      </c>
      <c r="B79" t="s">
        <v>597</v>
      </c>
      <c r="C79" t="s">
        <v>43</v>
      </c>
      <c r="D79">
        <f ca="1">INDEX(INDIRECT($C79&amp;"!P:P"),MATCH($B79,INDIRECT($C79&amp;"!B:B"),0))</f>
        <v>155.12</v>
      </c>
      <c r="E79" s="210">
        <f ca="1">D79-LARGE(D$2:D$385,RBCount+WRCount+TECount)</f>
        <v>47.13000000000001</v>
      </c>
      <c r="F79" t="str">
        <f ca="1">IF(H79&lt;=I79,"Starter",IF(G79&gt;=LARGE(G:G,FlexOn*LeagueInfo!$F$2),"Starter","Bench"))</f>
        <v>Starter</v>
      </c>
      <c r="G79">
        <f ca="1">IF(H79&gt;I79,D79,0)</f>
        <v>0</v>
      </c>
      <c r="H79">
        <f ca="1">INDEX(INDIRECT(""&amp;C79&amp;"!A2:A489"),MATCH(B79,INDIRECT(""&amp;C79&amp;"!B2:B489"),0))</f>
        <v>5</v>
      </c>
      <c r="I79">
        <f>IF(C79="RB",LeagueInfo!$D$4*LeagueInfo!$F$2,IF(C79="WR",LeagueInfo!$D$5*LeagueInfo!$F$2,IF(C79="TE",LeagueInfo!$D$6*LeagueInfo!$F$2)))</f>
        <v>12</v>
      </c>
    </row>
    <row r="80" spans="1:9" x14ac:dyDescent="0.25">
      <c r="A80">
        <f ca="1">RANK(E80,E$2:E$462)</f>
        <v>79</v>
      </c>
      <c r="B80" t="s">
        <v>420</v>
      </c>
      <c r="C80" t="s">
        <v>43</v>
      </c>
      <c r="D80">
        <f ca="1">INDEX(INDIRECT($C80&amp;"!P:P"),MATCH($B80,INDIRECT($C80&amp;"!B:B"),0))</f>
        <v>154.33000000000001</v>
      </c>
      <c r="E80" s="210">
        <f ca="1">D80-LARGE(D$2:D$385,RBCount+WRCount+TECount)</f>
        <v>46.340000000000018</v>
      </c>
      <c r="F80" t="str">
        <f ca="1">IF(H80&lt;=I80,"Starter",IF(G80&gt;=LARGE(G:G,FlexOn*LeagueInfo!$F$2),"Starter","Bench"))</f>
        <v>Starter</v>
      </c>
      <c r="G80">
        <f ca="1">IF(H80&gt;I80,D80,0)</f>
        <v>0</v>
      </c>
      <c r="H80">
        <f ca="1">INDEX(INDIRECT(""&amp;C80&amp;"!A2:A489"),MATCH(B80,INDIRECT(""&amp;C80&amp;"!B2:B489"),0))</f>
        <v>6</v>
      </c>
      <c r="I80">
        <f>IF(C80="RB",LeagueInfo!$D$4*LeagueInfo!$F$2,IF(C80="WR",LeagueInfo!$D$5*LeagueInfo!$F$2,IF(C80="TE",LeagueInfo!$D$6*LeagueInfo!$F$2)))</f>
        <v>12</v>
      </c>
    </row>
    <row r="81" spans="1:9" x14ac:dyDescent="0.25">
      <c r="A81">
        <f ca="1">RANK(E81,E$2:E$462)</f>
        <v>80</v>
      </c>
      <c r="B81" t="s">
        <v>946</v>
      </c>
      <c r="C81" t="s">
        <v>35</v>
      </c>
      <c r="D81">
        <f ca="1">INDEX(INDIRECT($C81&amp;"!P:P"),MATCH($B81,INDIRECT($C81&amp;"!B:B"),0))</f>
        <v>152.03</v>
      </c>
      <c r="E81" s="210">
        <f ca="1">D81-LARGE(D$2:D$385,RBCount+WRCount+TECount)</f>
        <v>44.040000000000006</v>
      </c>
      <c r="F81" t="str">
        <f ca="1">IF(H81&lt;=I81,"Starter",IF(G81&gt;=LARGE(G:G,FlexOn*LeagueInfo!$F$2),"Starter","Bench"))</f>
        <v>Bench</v>
      </c>
      <c r="G81">
        <f ca="1">IF(H81&gt;I81,D81,0)</f>
        <v>152.03</v>
      </c>
      <c r="H81">
        <f ca="1">INDEX(INDIRECT(""&amp;C81&amp;"!A2:A489"),MATCH(B81,INDIRECT(""&amp;C81&amp;"!B2:B489"),0))</f>
        <v>39</v>
      </c>
      <c r="I81">
        <f>IF(C81="RB",LeagueInfo!$D$4*LeagueInfo!$F$2,IF(C81="WR",LeagueInfo!$D$5*LeagueInfo!$F$2,IF(C81="TE",LeagueInfo!$D$6*LeagueInfo!$F$2)))</f>
        <v>24</v>
      </c>
    </row>
    <row r="82" spans="1:9" x14ac:dyDescent="0.25">
      <c r="A82">
        <f ca="1">RANK(E82,E$2:E$462)</f>
        <v>81</v>
      </c>
      <c r="B82" t="s">
        <v>840</v>
      </c>
      <c r="C82" t="s">
        <v>35</v>
      </c>
      <c r="D82">
        <f ca="1">INDEX(INDIRECT($C82&amp;"!P:P"),MATCH($B82,INDIRECT($C82&amp;"!B:B"),0))</f>
        <v>150.4</v>
      </c>
      <c r="E82" s="210">
        <f ca="1">D82-LARGE(D$2:D$385,RBCount+WRCount+TECount)</f>
        <v>42.410000000000011</v>
      </c>
      <c r="F82" t="str">
        <f ca="1">IF(H82&lt;=I82,"Starter",IF(G82&gt;=LARGE(G:G,FlexOn*LeagueInfo!$F$2),"Starter","Bench"))</f>
        <v>Bench</v>
      </c>
      <c r="G82">
        <f ca="1">IF(H82&gt;I82,D82,0)</f>
        <v>150.4</v>
      </c>
      <c r="H82">
        <f ca="1">INDEX(INDIRECT(""&amp;C82&amp;"!A2:A489"),MATCH(B82,INDIRECT(""&amp;C82&amp;"!B2:B489"),0))</f>
        <v>40</v>
      </c>
      <c r="I82">
        <f>IF(C82="RB",LeagueInfo!$D$4*LeagueInfo!$F$2,IF(C82="WR",LeagueInfo!$D$5*LeagueInfo!$F$2,IF(C82="TE",LeagueInfo!$D$6*LeagueInfo!$F$2)))</f>
        <v>24</v>
      </c>
    </row>
    <row r="83" spans="1:9" x14ac:dyDescent="0.25">
      <c r="A83">
        <f ca="1">RANK(E83,E$2:E$462)</f>
        <v>82</v>
      </c>
      <c r="B83" t="s">
        <v>837</v>
      </c>
      <c r="C83" t="s">
        <v>35</v>
      </c>
      <c r="D83">
        <f ca="1">INDEX(INDIRECT($C83&amp;"!P:P"),MATCH($B83,INDIRECT($C83&amp;"!B:B"),0))</f>
        <v>148.93</v>
      </c>
      <c r="E83" s="210">
        <f ca="1">D83-LARGE(D$2:D$385,RBCount+WRCount+TECount)</f>
        <v>40.940000000000012</v>
      </c>
      <c r="F83" t="str">
        <f ca="1">IF(H83&lt;=I83,"Starter",IF(G83&gt;=LARGE(G:G,FlexOn*LeagueInfo!$F$2),"Starter","Bench"))</f>
        <v>Bench</v>
      </c>
      <c r="G83">
        <f ca="1">IF(H83&gt;I83,D83,0)</f>
        <v>148.93</v>
      </c>
      <c r="H83">
        <f ca="1">INDEX(INDIRECT(""&amp;C83&amp;"!A2:A489"),MATCH(B83,INDIRECT(""&amp;C83&amp;"!B2:B489"),0))</f>
        <v>41</v>
      </c>
      <c r="I83">
        <f>IF(C83="RB",LeagueInfo!$D$4*LeagueInfo!$F$2,IF(C83="WR",LeagueInfo!$D$5*LeagueInfo!$F$2,IF(C83="TE",LeagueInfo!$D$6*LeagueInfo!$F$2)))</f>
        <v>24</v>
      </c>
    </row>
    <row r="84" spans="1:9" x14ac:dyDescent="0.25">
      <c r="A84">
        <f ca="1">RANK(E84,E$2:E$462)</f>
        <v>83</v>
      </c>
      <c r="B84" t="s">
        <v>2412</v>
      </c>
      <c r="C84" t="s">
        <v>35</v>
      </c>
      <c r="D84">
        <f ca="1">INDEX(INDIRECT($C84&amp;"!P:P"),MATCH($B84,INDIRECT($C84&amp;"!B:B"),0))</f>
        <v>147.61000000000001</v>
      </c>
      <c r="E84" s="210">
        <f ca="1">D84-LARGE(D$2:D$385,RBCount+WRCount+TECount)</f>
        <v>39.620000000000019</v>
      </c>
      <c r="F84" t="str">
        <f ca="1">IF(H84&lt;=I84,"Starter",IF(G84&gt;=LARGE(G:G,FlexOn*LeagueInfo!$F$2),"Starter","Bench"))</f>
        <v>Bench</v>
      </c>
      <c r="G84">
        <f ca="1">IF(H84&gt;I84,D84,0)</f>
        <v>147.61000000000001</v>
      </c>
      <c r="H84">
        <f ca="1">INDEX(INDIRECT(""&amp;C84&amp;"!A2:A489"),MATCH(B84,INDIRECT(""&amp;C84&amp;"!B2:B489"),0))</f>
        <v>42</v>
      </c>
      <c r="I84">
        <f>IF(C84="RB",LeagueInfo!$D$4*LeagueInfo!$F$2,IF(C84="WR",LeagueInfo!$D$5*LeagueInfo!$F$2,IF(C84="TE",LeagueInfo!$D$6*LeagueInfo!$F$2)))</f>
        <v>24</v>
      </c>
    </row>
    <row r="85" spans="1:9" x14ac:dyDescent="0.25">
      <c r="A85">
        <f ca="1">RANK(E85,E$2:E$462)</f>
        <v>84</v>
      </c>
      <c r="B85" t="s">
        <v>161</v>
      </c>
      <c r="C85" t="s">
        <v>28</v>
      </c>
      <c r="D85">
        <f ca="1">INDEX(INDIRECT($C85&amp;"!P:P"),MATCH($B85,INDIRECT($C85&amp;"!B:B"),0))</f>
        <v>147.34</v>
      </c>
      <c r="E85" s="210">
        <f ca="1">D85-LARGE(D$2:D$385,RBCount+WRCount+TECount)</f>
        <v>39.350000000000009</v>
      </c>
      <c r="F85" t="str">
        <f ca="1">IF(H85&lt;=I85,"Starter",IF(G85&gt;=LARGE(G:G,FlexOn*LeagueInfo!$F$2),"Starter","Bench"))</f>
        <v>Bench</v>
      </c>
      <c r="G85">
        <f ca="1">IF(H85&gt;I85,D85,0)</f>
        <v>147.34</v>
      </c>
      <c r="H85">
        <f ca="1">INDEX(INDIRECT(""&amp;C85&amp;"!A2:A489"),MATCH(B85,INDIRECT(""&amp;C85&amp;"!B2:B489"),0))</f>
        <v>36</v>
      </c>
      <c r="I85">
        <f>IF(C85="RB",LeagueInfo!$D$4*LeagueInfo!$F$2,IF(C85="WR",LeagueInfo!$D$5*LeagueInfo!$F$2,IF(C85="TE",LeagueInfo!$D$6*LeagueInfo!$F$2)))</f>
        <v>24</v>
      </c>
    </row>
    <row r="86" spans="1:9" x14ac:dyDescent="0.25">
      <c r="A86">
        <f ca="1">RANK(E86,E$2:E$462)</f>
        <v>85</v>
      </c>
      <c r="B86" t="s">
        <v>730</v>
      </c>
      <c r="C86" t="s">
        <v>35</v>
      </c>
      <c r="D86">
        <f ca="1">INDEX(INDIRECT($C86&amp;"!P:P"),MATCH($B86,INDIRECT($C86&amp;"!B:B"),0))</f>
        <v>147.13</v>
      </c>
      <c r="E86" s="210">
        <f ca="1">D86-LARGE(D$2:D$385,RBCount+WRCount+TECount)</f>
        <v>39.14</v>
      </c>
      <c r="F86" t="str">
        <f ca="1">IF(H86&lt;=I86,"Starter",IF(G86&gt;=LARGE(G:G,FlexOn*LeagueInfo!$F$2),"Starter","Bench"))</f>
        <v>Bench</v>
      </c>
      <c r="G86">
        <f ca="1">IF(H86&gt;I86,D86,0)</f>
        <v>147.13</v>
      </c>
      <c r="H86">
        <f ca="1">INDEX(INDIRECT(""&amp;C86&amp;"!A2:A489"),MATCH(B86,INDIRECT(""&amp;C86&amp;"!B2:B489"),0))</f>
        <v>43</v>
      </c>
      <c r="I86">
        <f>IF(C86="RB",LeagueInfo!$D$4*LeagueInfo!$F$2,IF(C86="WR",LeagueInfo!$D$5*LeagueInfo!$F$2,IF(C86="TE",LeagueInfo!$D$6*LeagueInfo!$F$2)))</f>
        <v>24</v>
      </c>
    </row>
    <row r="87" spans="1:9" x14ac:dyDescent="0.25">
      <c r="A87">
        <f ca="1">RANK(E87,E$2:E$462)</f>
        <v>86</v>
      </c>
      <c r="B87" t="s">
        <v>796</v>
      </c>
      <c r="C87" t="s">
        <v>35</v>
      </c>
      <c r="D87">
        <f ca="1">INDEX(INDIRECT($C87&amp;"!P:P"),MATCH($B87,INDIRECT($C87&amp;"!B:B"),0))</f>
        <v>141.97000000000003</v>
      </c>
      <c r="E87" s="210">
        <f ca="1">D87-LARGE(D$2:D$385,RBCount+WRCount+TECount)</f>
        <v>33.980000000000032</v>
      </c>
      <c r="F87" t="str">
        <f ca="1">IF(H87&lt;=I87,"Starter",IF(G87&gt;=LARGE(G:G,FlexOn*LeagueInfo!$F$2),"Starter","Bench"))</f>
        <v>Bench</v>
      </c>
      <c r="G87">
        <f ca="1">IF(H87&gt;I87,D87,0)</f>
        <v>141.97000000000003</v>
      </c>
      <c r="H87">
        <f ca="1">INDEX(INDIRECT(""&amp;C87&amp;"!A2:A489"),MATCH(B87,INDIRECT(""&amp;C87&amp;"!B2:B489"),0))</f>
        <v>44</v>
      </c>
      <c r="I87">
        <f>IF(C87="RB",LeagueInfo!$D$4*LeagueInfo!$F$2,IF(C87="WR",LeagueInfo!$D$5*LeagueInfo!$F$2,IF(C87="TE",LeagueInfo!$D$6*LeagueInfo!$F$2)))</f>
        <v>24</v>
      </c>
    </row>
    <row r="88" spans="1:9" x14ac:dyDescent="0.25">
      <c r="A88">
        <f ca="1">RANK(E88,E$2:E$462)</f>
        <v>87</v>
      </c>
      <c r="B88" t="s">
        <v>929</v>
      </c>
      <c r="C88" t="s">
        <v>28</v>
      </c>
      <c r="D88">
        <f ca="1">INDEX(INDIRECT($C88&amp;"!P:P"),MATCH($B88,INDIRECT($C88&amp;"!B:B"),0))</f>
        <v>141.91999999999999</v>
      </c>
      <c r="E88" s="210">
        <f ca="1">D88-LARGE(D$2:D$385,RBCount+WRCount+TECount)</f>
        <v>33.929999999999993</v>
      </c>
      <c r="F88" t="str">
        <f ca="1">IF(H88&lt;=I88,"Starter",IF(G88&gt;=LARGE(G:G,FlexOn*LeagueInfo!$F$2),"Starter","Bench"))</f>
        <v>Bench</v>
      </c>
      <c r="G88">
        <f ca="1">IF(H88&gt;I88,D88,0)</f>
        <v>141.91999999999999</v>
      </c>
      <c r="H88">
        <f ca="1">INDEX(INDIRECT(""&amp;C88&amp;"!A2:A489"),MATCH(B88,INDIRECT(""&amp;C88&amp;"!B2:B489"),0))</f>
        <v>37</v>
      </c>
      <c r="I88">
        <f>IF(C88="RB",LeagueInfo!$D$4*LeagueInfo!$F$2,IF(C88="WR",LeagueInfo!$D$5*LeagueInfo!$F$2,IF(C88="TE",LeagueInfo!$D$6*LeagueInfo!$F$2)))</f>
        <v>24</v>
      </c>
    </row>
    <row r="89" spans="1:9" x14ac:dyDescent="0.25">
      <c r="A89">
        <f ca="1">RANK(E89,E$2:E$462)</f>
        <v>88</v>
      </c>
      <c r="B89" t="s">
        <v>2411</v>
      </c>
      <c r="C89" t="s">
        <v>35</v>
      </c>
      <c r="D89">
        <f ca="1">INDEX(INDIRECT($C89&amp;"!P:P"),MATCH($B89,INDIRECT($C89&amp;"!B:B"),0))</f>
        <v>141.42000000000002</v>
      </c>
      <c r="E89" s="210">
        <f ca="1">D89-LARGE(D$2:D$385,RBCount+WRCount+TECount)</f>
        <v>33.430000000000021</v>
      </c>
      <c r="F89" t="str">
        <f ca="1">IF(H89&lt;=I89,"Starter",IF(G89&gt;=LARGE(G:G,FlexOn*LeagueInfo!$F$2),"Starter","Bench"))</f>
        <v>Bench</v>
      </c>
      <c r="G89">
        <f ca="1">IF(H89&gt;I89,D89,0)</f>
        <v>141.42000000000002</v>
      </c>
      <c r="H89">
        <f ca="1">INDEX(INDIRECT(""&amp;C89&amp;"!A2:A489"),MATCH(B89,INDIRECT(""&amp;C89&amp;"!B2:B489"),0))</f>
        <v>45</v>
      </c>
      <c r="I89">
        <f>IF(C89="RB",LeagueInfo!$D$4*LeagueInfo!$F$2,IF(C89="WR",LeagueInfo!$D$5*LeagueInfo!$F$2,IF(C89="TE",LeagueInfo!$D$6*LeagueInfo!$F$2)))</f>
        <v>24</v>
      </c>
    </row>
    <row r="90" spans="1:9" x14ac:dyDescent="0.25">
      <c r="A90">
        <f ca="1">RANK(E90,E$2:E$462)</f>
        <v>89</v>
      </c>
      <c r="B90" t="s">
        <v>109</v>
      </c>
      <c r="C90" t="s">
        <v>35</v>
      </c>
      <c r="D90">
        <f ca="1">INDEX(INDIRECT($C90&amp;"!P:P"),MATCH($B90,INDIRECT($C90&amp;"!B:B"),0))</f>
        <v>141.21</v>
      </c>
      <c r="E90" s="210">
        <f ca="1">D90-LARGE(D$2:D$385,RBCount+WRCount+TECount)</f>
        <v>33.220000000000013</v>
      </c>
      <c r="F90" t="str">
        <f ca="1">IF(H90&lt;=I90,"Starter",IF(G90&gt;=LARGE(G:G,FlexOn*LeagueInfo!$F$2),"Starter","Bench"))</f>
        <v>Bench</v>
      </c>
      <c r="G90">
        <f ca="1">IF(H90&gt;I90,D90,0)</f>
        <v>141.21</v>
      </c>
      <c r="H90">
        <f ca="1">INDEX(INDIRECT(""&amp;C90&amp;"!A2:A489"),MATCH(B90,INDIRECT(""&amp;C90&amp;"!B2:B489"),0))</f>
        <v>46</v>
      </c>
      <c r="I90">
        <f>IF(C90="RB",LeagueInfo!$D$4*LeagueInfo!$F$2,IF(C90="WR",LeagueInfo!$D$5*LeagueInfo!$F$2,IF(C90="TE",LeagueInfo!$D$6*LeagueInfo!$F$2)))</f>
        <v>24</v>
      </c>
    </row>
    <row r="91" spans="1:9" x14ac:dyDescent="0.25">
      <c r="A91">
        <f ca="1">RANK(E91,E$2:E$462)</f>
        <v>90</v>
      </c>
      <c r="B91" t="s">
        <v>928</v>
      </c>
      <c r="C91" t="s">
        <v>28</v>
      </c>
      <c r="D91">
        <f ca="1">INDEX(INDIRECT($C91&amp;"!P:P"),MATCH($B91,INDIRECT($C91&amp;"!B:B"),0))</f>
        <v>141.07000000000002</v>
      </c>
      <c r="E91" s="210">
        <f ca="1">D91-LARGE(D$2:D$385,RBCount+WRCount+TECount)</f>
        <v>33.080000000000027</v>
      </c>
      <c r="F91" t="str">
        <f ca="1">IF(H91&lt;=I91,"Starter",IF(G91&gt;=LARGE(G:G,FlexOn*LeagueInfo!$F$2),"Starter","Bench"))</f>
        <v>Bench</v>
      </c>
      <c r="G91">
        <f ca="1">IF(H91&gt;I91,D91,0)</f>
        <v>141.07000000000002</v>
      </c>
      <c r="H91">
        <f ca="1">INDEX(INDIRECT(""&amp;C91&amp;"!A2:A489"),MATCH(B91,INDIRECT(""&amp;C91&amp;"!B2:B489"),0))</f>
        <v>38</v>
      </c>
      <c r="I91">
        <f>IF(C91="RB",LeagueInfo!$D$4*LeagueInfo!$F$2,IF(C91="WR",LeagueInfo!$D$5*LeagueInfo!$F$2,IF(C91="TE",LeagueInfo!$D$6*LeagueInfo!$F$2)))</f>
        <v>24</v>
      </c>
    </row>
    <row r="92" spans="1:9" x14ac:dyDescent="0.25">
      <c r="A92">
        <f ca="1">RANK(E92,E$2:E$462)</f>
        <v>91</v>
      </c>
      <c r="B92" t="s">
        <v>590</v>
      </c>
      <c r="C92" t="s">
        <v>43</v>
      </c>
      <c r="D92">
        <f ca="1">INDEX(INDIRECT($C92&amp;"!P:P"),MATCH($B92,INDIRECT($C92&amp;"!B:B"),0))</f>
        <v>140.07999999999998</v>
      </c>
      <c r="E92" s="210">
        <f ca="1">D92-LARGE(D$2:D$385,RBCount+WRCount+TECount)</f>
        <v>32.089999999999989</v>
      </c>
      <c r="F92" t="str">
        <f ca="1">IF(H92&lt;=I92,"Starter",IF(G92&gt;=LARGE(G:G,FlexOn*LeagueInfo!$F$2),"Starter","Bench"))</f>
        <v>Starter</v>
      </c>
      <c r="G92">
        <f ca="1">IF(H92&gt;I92,D92,0)</f>
        <v>0</v>
      </c>
      <c r="H92">
        <f ca="1">INDEX(INDIRECT(""&amp;C92&amp;"!A2:A489"),MATCH(B92,INDIRECT(""&amp;C92&amp;"!B2:B489"),0))</f>
        <v>7</v>
      </c>
      <c r="I92">
        <f>IF(C92="RB",LeagueInfo!$D$4*LeagueInfo!$F$2,IF(C92="WR",LeagueInfo!$D$5*LeagueInfo!$F$2,IF(C92="TE",LeagueInfo!$D$6*LeagueInfo!$F$2)))</f>
        <v>12</v>
      </c>
    </row>
    <row r="93" spans="1:9" x14ac:dyDescent="0.25">
      <c r="A93">
        <f ca="1">RANK(E93,E$2:E$462)</f>
        <v>92</v>
      </c>
      <c r="B93" t="s">
        <v>954</v>
      </c>
      <c r="C93" t="s">
        <v>35</v>
      </c>
      <c r="D93">
        <f ca="1">INDEX(INDIRECT($C93&amp;"!P:P"),MATCH($B93,INDIRECT($C93&amp;"!B:B"),0))</f>
        <v>139.66</v>
      </c>
      <c r="E93" s="210">
        <f ca="1">D93-LARGE(D$2:D$385,RBCount+WRCount+TECount)</f>
        <v>31.67</v>
      </c>
      <c r="F93" t="str">
        <f ca="1">IF(H93&lt;=I93,"Starter",IF(G93&gt;=LARGE(G:G,FlexOn*LeagueInfo!$F$2),"Starter","Bench"))</f>
        <v>Bench</v>
      </c>
      <c r="G93">
        <f ca="1">IF(H93&gt;I93,D93,0)</f>
        <v>139.66</v>
      </c>
      <c r="H93">
        <f ca="1">INDEX(INDIRECT(""&amp;C93&amp;"!A2:A489"),MATCH(B93,INDIRECT(""&amp;C93&amp;"!B2:B489"),0))</f>
        <v>47</v>
      </c>
      <c r="I93">
        <f>IF(C93="RB",LeagueInfo!$D$4*LeagueInfo!$F$2,IF(C93="WR",LeagueInfo!$D$5*LeagueInfo!$F$2,IF(C93="TE",LeagueInfo!$D$6*LeagueInfo!$F$2)))</f>
        <v>24</v>
      </c>
    </row>
    <row r="94" spans="1:9" x14ac:dyDescent="0.25">
      <c r="A94">
        <f ca="1">RANK(E94,E$2:E$462)</f>
        <v>93</v>
      </c>
      <c r="B94" t="s">
        <v>583</v>
      </c>
      <c r="C94" t="s">
        <v>35</v>
      </c>
      <c r="D94">
        <f ca="1">INDEX(INDIRECT($C94&amp;"!P:P"),MATCH($B94,INDIRECT($C94&amp;"!B:B"),0))</f>
        <v>136.86999999999998</v>
      </c>
      <c r="E94" s="210">
        <f ca="1">D94-LARGE(D$2:D$385,RBCount+WRCount+TECount)</f>
        <v>28.879999999999981</v>
      </c>
      <c r="F94" t="str">
        <f ca="1">IF(H94&lt;=I94,"Starter",IF(G94&gt;=LARGE(G:G,FlexOn*LeagueInfo!$F$2),"Starter","Bench"))</f>
        <v>Bench</v>
      </c>
      <c r="G94">
        <f ca="1">IF(H94&gt;I94,D94,0)</f>
        <v>136.86999999999998</v>
      </c>
      <c r="H94">
        <f ca="1">INDEX(INDIRECT(""&amp;C94&amp;"!A2:A489"),MATCH(B94,INDIRECT(""&amp;C94&amp;"!B2:B489"),0))</f>
        <v>48</v>
      </c>
      <c r="I94">
        <f>IF(C94="RB",LeagueInfo!$D$4*LeagueInfo!$F$2,IF(C94="WR",LeagueInfo!$D$5*LeagueInfo!$F$2,IF(C94="TE",LeagueInfo!$D$6*LeagueInfo!$F$2)))</f>
        <v>24</v>
      </c>
    </row>
    <row r="95" spans="1:9" x14ac:dyDescent="0.25">
      <c r="A95">
        <f ca="1">RANK(E95,E$2:E$462)</f>
        <v>94</v>
      </c>
      <c r="B95" t="s">
        <v>705</v>
      </c>
      <c r="C95" t="s">
        <v>35</v>
      </c>
      <c r="D95">
        <f ca="1">INDEX(INDIRECT($C95&amp;"!P:P"),MATCH($B95,INDIRECT($C95&amp;"!B:B"),0))</f>
        <v>135.34</v>
      </c>
      <c r="E95" s="210">
        <f ca="1">D95-LARGE(D$2:D$385,RBCount+WRCount+TECount)</f>
        <v>27.350000000000009</v>
      </c>
      <c r="F95" t="str">
        <f ca="1">IF(H95&lt;=I95,"Starter",IF(G95&gt;=LARGE(G:G,FlexOn*LeagueInfo!$F$2),"Starter","Bench"))</f>
        <v>Bench</v>
      </c>
      <c r="G95">
        <f ca="1">IF(H95&gt;I95,D95,0)</f>
        <v>135.34</v>
      </c>
      <c r="H95">
        <f ca="1">INDEX(INDIRECT(""&amp;C95&amp;"!A2:A489"),MATCH(B95,INDIRECT(""&amp;C95&amp;"!B2:B489"),0))</f>
        <v>49</v>
      </c>
      <c r="I95">
        <f>IF(C95="RB",LeagueInfo!$D$4*LeagueInfo!$F$2,IF(C95="WR",LeagueInfo!$D$5*LeagueInfo!$F$2,IF(C95="TE",LeagueInfo!$D$6*LeagueInfo!$F$2)))</f>
        <v>24</v>
      </c>
    </row>
    <row r="96" spans="1:9" x14ac:dyDescent="0.25">
      <c r="A96">
        <f ca="1">RANK(E96,E$2:E$462)</f>
        <v>95</v>
      </c>
      <c r="B96" t="s">
        <v>741</v>
      </c>
      <c r="C96" t="s">
        <v>43</v>
      </c>
      <c r="D96">
        <f ca="1">INDEX(INDIRECT($C96&amp;"!P:P"),MATCH($B96,INDIRECT($C96&amp;"!B:B"),0))</f>
        <v>134.04999999999998</v>
      </c>
      <c r="E96" s="210">
        <f ca="1">D96-LARGE(D$2:D$385,RBCount+WRCount+TECount)</f>
        <v>26.059999999999988</v>
      </c>
      <c r="F96" t="str">
        <f ca="1">IF(H96&lt;=I96,"Starter",IF(G96&gt;=LARGE(G:G,FlexOn*LeagueInfo!$F$2),"Starter","Bench"))</f>
        <v>Starter</v>
      </c>
      <c r="G96">
        <f ca="1">IF(H96&gt;I96,D96,0)</f>
        <v>0</v>
      </c>
      <c r="H96">
        <f ca="1">INDEX(INDIRECT(""&amp;C96&amp;"!A2:A489"),MATCH(B96,INDIRECT(""&amp;C96&amp;"!B2:B489"),0))</f>
        <v>8</v>
      </c>
      <c r="I96">
        <f>IF(C96="RB",LeagueInfo!$D$4*LeagueInfo!$F$2,IF(C96="WR",LeagueInfo!$D$5*LeagueInfo!$F$2,IF(C96="TE",LeagueInfo!$D$6*LeagueInfo!$F$2)))</f>
        <v>12</v>
      </c>
    </row>
    <row r="97" spans="1:9" x14ac:dyDescent="0.25">
      <c r="A97">
        <f ca="1">RANK(E97,E$2:E$462)</f>
        <v>96</v>
      </c>
      <c r="B97" t="s">
        <v>770</v>
      </c>
      <c r="C97" t="s">
        <v>35</v>
      </c>
      <c r="D97">
        <f ca="1">INDEX(INDIRECT($C97&amp;"!P:P"),MATCH($B97,INDIRECT($C97&amp;"!B:B"),0))</f>
        <v>133.27999999999997</v>
      </c>
      <c r="E97" s="210">
        <f ca="1">D97-LARGE(D$2:D$385,RBCount+WRCount+TECount)</f>
        <v>25.289999999999978</v>
      </c>
      <c r="F97" t="str">
        <f ca="1">IF(H97&lt;=I97,"Starter",IF(G97&gt;=LARGE(G:G,FlexOn*LeagueInfo!$F$2),"Starter","Bench"))</f>
        <v>Bench</v>
      </c>
      <c r="G97">
        <f ca="1">IF(H97&gt;I97,D97,0)</f>
        <v>133.27999999999997</v>
      </c>
      <c r="H97">
        <f ca="1">INDEX(INDIRECT(""&amp;C97&amp;"!A2:A489"),MATCH(B97,INDIRECT(""&amp;C97&amp;"!B2:B489"),0))</f>
        <v>50</v>
      </c>
      <c r="I97">
        <f>IF(C97="RB",LeagueInfo!$D$4*LeagueInfo!$F$2,IF(C97="WR",LeagueInfo!$D$5*LeagueInfo!$F$2,IF(C97="TE",LeagueInfo!$D$6*LeagueInfo!$F$2)))</f>
        <v>24</v>
      </c>
    </row>
    <row r="98" spans="1:9" x14ac:dyDescent="0.25">
      <c r="A98">
        <f ca="1">RANK(E98,E$2:E$462)</f>
        <v>97</v>
      </c>
      <c r="B98" t="s">
        <v>579</v>
      </c>
      <c r="C98" t="s">
        <v>35</v>
      </c>
      <c r="D98">
        <f ca="1">INDEX(INDIRECT($C98&amp;"!P:P"),MATCH($B98,INDIRECT($C98&amp;"!B:B"),0))</f>
        <v>131.96</v>
      </c>
      <c r="E98" s="210">
        <f ca="1">D98-LARGE(D$2:D$385,RBCount+WRCount+TECount)</f>
        <v>23.970000000000013</v>
      </c>
      <c r="F98" t="str">
        <f ca="1">IF(H98&lt;=I98,"Starter",IF(G98&gt;=LARGE(G:G,FlexOn*LeagueInfo!$F$2),"Starter","Bench"))</f>
        <v>Bench</v>
      </c>
      <c r="G98">
        <f ca="1">IF(H98&gt;I98,D98,0)</f>
        <v>131.96</v>
      </c>
      <c r="H98">
        <f ca="1">INDEX(INDIRECT(""&amp;C98&amp;"!A2:A489"),MATCH(B98,INDIRECT(""&amp;C98&amp;"!B2:B489"),0))</f>
        <v>51</v>
      </c>
      <c r="I98">
        <f>IF(C98="RB",LeagueInfo!$D$4*LeagueInfo!$F$2,IF(C98="WR",LeagueInfo!$D$5*LeagueInfo!$F$2,IF(C98="TE",LeagueInfo!$D$6*LeagueInfo!$F$2)))</f>
        <v>24</v>
      </c>
    </row>
    <row r="99" spans="1:9" x14ac:dyDescent="0.25">
      <c r="A99">
        <f ca="1">RANK(E99,E$2:E$462)</f>
        <v>98</v>
      </c>
      <c r="B99" t="s">
        <v>372</v>
      </c>
      <c r="C99" t="s">
        <v>35</v>
      </c>
      <c r="D99">
        <f ca="1">INDEX(INDIRECT($C99&amp;"!P:P"),MATCH($B99,INDIRECT($C99&amp;"!B:B"),0))</f>
        <v>131.04000000000002</v>
      </c>
      <c r="E99" s="210">
        <f ca="1">D99-LARGE(D$2:D$385,RBCount+WRCount+TECount)</f>
        <v>23.050000000000026</v>
      </c>
      <c r="F99" t="str">
        <f ca="1">IF(H99&lt;=I99,"Starter",IF(G99&gt;=LARGE(G:G,FlexOn*LeagueInfo!$F$2),"Starter","Bench"))</f>
        <v>Bench</v>
      </c>
      <c r="G99">
        <f ca="1">IF(H99&gt;I99,D99,0)</f>
        <v>131.04000000000002</v>
      </c>
      <c r="H99">
        <f ca="1">INDEX(INDIRECT(""&amp;C99&amp;"!A2:A489"),MATCH(B99,INDIRECT(""&amp;C99&amp;"!B2:B489"),0))</f>
        <v>52</v>
      </c>
      <c r="I99">
        <f>IF(C99="RB",LeagueInfo!$D$4*LeagueInfo!$F$2,IF(C99="WR",LeagueInfo!$D$5*LeagueInfo!$F$2,IF(C99="TE",LeagueInfo!$D$6*LeagueInfo!$F$2)))</f>
        <v>24</v>
      </c>
    </row>
    <row r="100" spans="1:9" x14ac:dyDescent="0.25">
      <c r="A100">
        <f ca="1">RANK(E100,E$2:E$462)</f>
        <v>99</v>
      </c>
      <c r="B100" t="s">
        <v>370</v>
      </c>
      <c r="C100" t="s">
        <v>35</v>
      </c>
      <c r="D100">
        <f ca="1">INDEX(INDIRECT($C100&amp;"!P:P"),MATCH($B100,INDIRECT($C100&amp;"!B:B"),0))</f>
        <v>128.63999999999999</v>
      </c>
      <c r="E100" s="210">
        <f ca="1">D100-LARGE(D$2:D$385,RBCount+WRCount+TECount)</f>
        <v>20.649999999999991</v>
      </c>
      <c r="F100" t="str">
        <f ca="1">IF(H100&lt;=I100,"Starter",IF(G100&gt;=LARGE(G:G,FlexOn*LeagueInfo!$F$2),"Starter","Bench"))</f>
        <v>Bench</v>
      </c>
      <c r="G100">
        <f ca="1">IF(H100&gt;I100,D100,0)</f>
        <v>128.63999999999999</v>
      </c>
      <c r="H100">
        <f ca="1">INDEX(INDIRECT(""&amp;C100&amp;"!A2:A489"),MATCH(B100,INDIRECT(""&amp;C100&amp;"!B2:B489"),0))</f>
        <v>53</v>
      </c>
      <c r="I100">
        <f>IF(C100="RB",LeagueInfo!$D$4*LeagueInfo!$F$2,IF(C100="WR",LeagueInfo!$D$5*LeagueInfo!$F$2,IF(C100="TE",LeagueInfo!$D$6*LeagueInfo!$F$2)))</f>
        <v>24</v>
      </c>
    </row>
    <row r="101" spans="1:9" x14ac:dyDescent="0.25">
      <c r="A101">
        <f ca="1">RANK(E101,E$2:E$462)</f>
        <v>100</v>
      </c>
      <c r="B101" t="s">
        <v>947</v>
      </c>
      <c r="C101" t="s">
        <v>35</v>
      </c>
      <c r="D101">
        <f ca="1">INDEX(INDIRECT($C101&amp;"!P:P"),MATCH($B101,INDIRECT($C101&amp;"!B:B"),0))</f>
        <v>128.1</v>
      </c>
      <c r="E101" s="210">
        <f ca="1">D101-LARGE(D$2:D$385,RBCount+WRCount+TECount)</f>
        <v>20.11</v>
      </c>
      <c r="F101" t="str">
        <f ca="1">IF(H101&lt;=I101,"Starter",IF(G101&gt;=LARGE(G:G,FlexOn*LeagueInfo!$F$2),"Starter","Bench"))</f>
        <v>Bench</v>
      </c>
      <c r="G101">
        <f ca="1">IF(H101&gt;I101,D101,0)</f>
        <v>128.1</v>
      </c>
      <c r="H101">
        <f ca="1">INDEX(INDIRECT(""&amp;C101&amp;"!A2:A489"),MATCH(B101,INDIRECT(""&amp;C101&amp;"!B2:B489"),0))</f>
        <v>54</v>
      </c>
      <c r="I101">
        <f>IF(C101="RB",LeagueInfo!$D$4*LeagueInfo!$F$2,IF(C101="WR",LeagueInfo!$D$5*LeagueInfo!$F$2,IF(C101="TE",LeagueInfo!$D$6*LeagueInfo!$F$2)))</f>
        <v>24</v>
      </c>
    </row>
    <row r="102" spans="1:9" x14ac:dyDescent="0.25">
      <c r="A102">
        <f ca="1">RANK(E102,E$2:E$462)</f>
        <v>101</v>
      </c>
      <c r="B102" t="s">
        <v>567</v>
      </c>
      <c r="C102" t="s">
        <v>35</v>
      </c>
      <c r="D102">
        <f ca="1">INDEX(INDIRECT($C102&amp;"!P:P"),MATCH($B102,INDIRECT($C102&amp;"!B:B"),0))</f>
        <v>127.57000000000001</v>
      </c>
      <c r="E102" s="210">
        <f ca="1">D102-LARGE(D$2:D$385,RBCount+WRCount+TECount)</f>
        <v>19.580000000000013</v>
      </c>
      <c r="F102" t="str">
        <f ca="1">IF(H102&lt;=I102,"Starter",IF(G102&gt;=LARGE(G:G,FlexOn*LeagueInfo!$F$2),"Starter","Bench"))</f>
        <v>Bench</v>
      </c>
      <c r="G102">
        <f ca="1">IF(H102&gt;I102,D102,0)</f>
        <v>127.57000000000001</v>
      </c>
      <c r="H102">
        <f ca="1">INDEX(INDIRECT(""&amp;C102&amp;"!A2:A489"),MATCH(B102,INDIRECT(""&amp;C102&amp;"!B2:B489"),0))</f>
        <v>55</v>
      </c>
      <c r="I102">
        <f>IF(C102="RB",LeagueInfo!$D$4*LeagueInfo!$F$2,IF(C102="WR",LeagueInfo!$D$5*LeagueInfo!$F$2,IF(C102="TE",LeagueInfo!$D$6*LeagueInfo!$F$2)))</f>
        <v>24</v>
      </c>
    </row>
    <row r="103" spans="1:9" x14ac:dyDescent="0.25">
      <c r="A103">
        <f ca="1">RANK(E103,E$2:E$462)</f>
        <v>102</v>
      </c>
      <c r="B103" t="s">
        <v>186</v>
      </c>
      <c r="C103" t="s">
        <v>43</v>
      </c>
      <c r="D103">
        <f ca="1">INDEX(INDIRECT($C103&amp;"!P:P"),MATCH($B103,INDIRECT($C103&amp;"!B:B"),0))</f>
        <v>126.37</v>
      </c>
      <c r="E103" s="210">
        <f ca="1">D103-LARGE(D$2:D$385,RBCount+WRCount+TECount)</f>
        <v>18.38000000000001</v>
      </c>
      <c r="F103" t="str">
        <f ca="1">IF(H103&lt;=I103,"Starter",IF(G103&gt;=LARGE(G:G,FlexOn*LeagueInfo!$F$2),"Starter","Bench"))</f>
        <v>Starter</v>
      </c>
      <c r="G103">
        <f ca="1">IF(H103&gt;I103,D103,0)</f>
        <v>0</v>
      </c>
      <c r="H103">
        <f ca="1">INDEX(INDIRECT(""&amp;C103&amp;"!A2:A489"),MATCH(B103,INDIRECT(""&amp;C103&amp;"!B2:B489"),0))</f>
        <v>9</v>
      </c>
      <c r="I103">
        <f>IF(C103="RB",LeagueInfo!$D$4*LeagueInfo!$F$2,IF(C103="WR",LeagueInfo!$D$5*LeagueInfo!$F$2,IF(C103="TE",LeagueInfo!$D$6*LeagueInfo!$F$2)))</f>
        <v>12</v>
      </c>
    </row>
    <row r="104" spans="1:9" x14ac:dyDescent="0.25">
      <c r="A104">
        <f ca="1">RANK(E104,E$2:E$462)</f>
        <v>103</v>
      </c>
      <c r="B104" t="s">
        <v>135</v>
      </c>
      <c r="C104" t="s">
        <v>35</v>
      </c>
      <c r="D104">
        <f ca="1">INDEX(INDIRECT($C104&amp;"!P:P"),MATCH($B104,INDIRECT($C104&amp;"!B:B"),0))</f>
        <v>125.80000000000001</v>
      </c>
      <c r="E104" s="210">
        <f ca="1">D104-LARGE(D$2:D$385,RBCount+WRCount+TECount)</f>
        <v>17.810000000000016</v>
      </c>
      <c r="F104" t="str">
        <f ca="1">IF(H104&lt;=I104,"Starter",IF(G104&gt;=LARGE(G:G,FlexOn*LeagueInfo!$F$2),"Starter","Bench"))</f>
        <v>Bench</v>
      </c>
      <c r="G104">
        <f ca="1">IF(H104&gt;I104,D104,0)</f>
        <v>125.80000000000001</v>
      </c>
      <c r="H104">
        <f ca="1">INDEX(INDIRECT(""&amp;C104&amp;"!A2:A489"),MATCH(B104,INDIRECT(""&amp;C104&amp;"!B2:B489"),0))</f>
        <v>56</v>
      </c>
      <c r="I104">
        <f>IF(C104="RB",LeagueInfo!$D$4*LeagueInfo!$F$2,IF(C104="WR",LeagueInfo!$D$5*LeagueInfo!$F$2,IF(C104="TE",LeagueInfo!$D$6*LeagueInfo!$F$2)))</f>
        <v>24</v>
      </c>
    </row>
    <row r="105" spans="1:9" x14ac:dyDescent="0.25">
      <c r="A105">
        <f ca="1">RANK(E105,E$2:E$462)</f>
        <v>104</v>
      </c>
      <c r="B105" t="s">
        <v>2413</v>
      </c>
      <c r="C105" t="s">
        <v>35</v>
      </c>
      <c r="D105">
        <f ca="1">INDEX(INDIRECT($C105&amp;"!P:P"),MATCH($B105,INDIRECT($C105&amp;"!B:B"),0))</f>
        <v>124.75</v>
      </c>
      <c r="E105" s="210">
        <f ca="1">D105-LARGE(D$2:D$385,RBCount+WRCount+TECount)</f>
        <v>16.760000000000005</v>
      </c>
      <c r="F105" t="str">
        <f ca="1">IF(H105&lt;=I105,"Starter",IF(G105&gt;=LARGE(G:G,FlexOn*LeagueInfo!$F$2),"Starter","Bench"))</f>
        <v>Bench</v>
      </c>
      <c r="G105">
        <f ca="1">IF(H105&gt;I105,D105,0)</f>
        <v>124.75</v>
      </c>
      <c r="H105">
        <f ca="1">INDEX(INDIRECT(""&amp;C105&amp;"!A2:A489"),MATCH(B105,INDIRECT(""&amp;C105&amp;"!B2:B489"),0))</f>
        <v>57</v>
      </c>
      <c r="I105">
        <f>IF(C105="RB",LeagueInfo!$D$4*LeagueInfo!$F$2,IF(C105="WR",LeagueInfo!$D$5*LeagueInfo!$F$2,IF(C105="TE",LeagueInfo!$D$6*LeagueInfo!$F$2)))</f>
        <v>24</v>
      </c>
    </row>
    <row r="106" spans="1:9" x14ac:dyDescent="0.25">
      <c r="A106">
        <f ca="1">RANK(E106,E$2:E$462)</f>
        <v>105</v>
      </c>
      <c r="B106" t="s">
        <v>739</v>
      </c>
      <c r="C106" t="s">
        <v>43</v>
      </c>
      <c r="D106">
        <f ca="1">INDEX(INDIRECT($C106&amp;"!P:P"),MATCH($B106,INDIRECT($C106&amp;"!B:B"),0))</f>
        <v>124.61</v>
      </c>
      <c r="E106" s="210">
        <f ca="1">D106-LARGE(D$2:D$385,RBCount+WRCount+TECount)</f>
        <v>16.620000000000005</v>
      </c>
      <c r="F106" t="str">
        <f ca="1">IF(H106&lt;=I106,"Starter",IF(G106&gt;=LARGE(G:G,FlexOn*LeagueInfo!$F$2),"Starter","Bench"))</f>
        <v>Starter</v>
      </c>
      <c r="G106">
        <f ca="1">IF(H106&gt;I106,D106,0)</f>
        <v>0</v>
      </c>
      <c r="H106">
        <f ca="1">INDEX(INDIRECT(""&amp;C106&amp;"!A2:A489"),MATCH(B106,INDIRECT(""&amp;C106&amp;"!B2:B489"),0))</f>
        <v>10</v>
      </c>
      <c r="I106">
        <f>IF(C106="RB",LeagueInfo!$D$4*LeagueInfo!$F$2,IF(C106="WR",LeagueInfo!$D$5*LeagueInfo!$F$2,IF(C106="TE",LeagueInfo!$D$6*LeagueInfo!$F$2)))</f>
        <v>12</v>
      </c>
    </row>
    <row r="107" spans="1:9" x14ac:dyDescent="0.25">
      <c r="A107">
        <f ca="1">RANK(E107,E$2:E$462)</f>
        <v>106</v>
      </c>
      <c r="B107" t="s">
        <v>2414</v>
      </c>
      <c r="C107" t="s">
        <v>35</v>
      </c>
      <c r="D107">
        <f ca="1">INDEX(INDIRECT($C107&amp;"!P:P"),MATCH($B107,INDIRECT($C107&amp;"!B:B"),0))</f>
        <v>123.60999999999999</v>
      </c>
      <c r="E107" s="210">
        <f ca="1">D107-LARGE(D$2:D$385,RBCount+WRCount+TECount)</f>
        <v>15.61999999999999</v>
      </c>
      <c r="F107" t="str">
        <f ca="1">IF(H107&lt;=I107,"Starter",IF(G107&gt;=LARGE(G:G,FlexOn*LeagueInfo!$F$2),"Starter","Bench"))</f>
        <v>Bench</v>
      </c>
      <c r="G107">
        <f ca="1">IF(H107&gt;I107,D107,0)</f>
        <v>123.60999999999999</v>
      </c>
      <c r="H107">
        <f ca="1">INDEX(INDIRECT(""&amp;C107&amp;"!A2:A489"),MATCH(B107,INDIRECT(""&amp;C107&amp;"!B2:B489"),0))</f>
        <v>58</v>
      </c>
      <c r="I107">
        <f>IF(C107="RB",LeagueInfo!$D$4*LeagueInfo!$F$2,IF(C107="WR",LeagueInfo!$D$5*LeagueInfo!$F$2,IF(C107="TE",LeagueInfo!$D$6*LeagueInfo!$F$2)))</f>
        <v>24</v>
      </c>
    </row>
    <row r="108" spans="1:9" x14ac:dyDescent="0.25">
      <c r="A108">
        <f ca="1">RANK(E108,E$2:E$462)</f>
        <v>107</v>
      </c>
      <c r="B108" t="s">
        <v>749</v>
      </c>
      <c r="C108" t="s">
        <v>43</v>
      </c>
      <c r="D108">
        <f ca="1">INDEX(INDIRECT($C108&amp;"!P:P"),MATCH($B108,INDIRECT($C108&amp;"!B:B"),0))</f>
        <v>123.57</v>
      </c>
      <c r="E108" s="210">
        <f ca="1">D108-LARGE(D$2:D$385,RBCount+WRCount+TECount)</f>
        <v>15.579999999999998</v>
      </c>
      <c r="F108" t="str">
        <f ca="1">IF(H108&lt;=I108,"Starter",IF(G108&gt;=LARGE(G:G,FlexOn*LeagueInfo!$F$2),"Starter","Bench"))</f>
        <v>Starter</v>
      </c>
      <c r="G108">
        <f ca="1">IF(H108&gt;I108,D108,0)</f>
        <v>0</v>
      </c>
      <c r="H108">
        <f ca="1">INDEX(INDIRECT(""&amp;C108&amp;"!A2:A489"),MATCH(B108,INDIRECT(""&amp;C108&amp;"!B2:B489"),0))</f>
        <v>11</v>
      </c>
      <c r="I108">
        <f>IF(C108="RB",LeagueInfo!$D$4*LeagueInfo!$F$2,IF(C108="WR",LeagueInfo!$D$5*LeagueInfo!$F$2,IF(C108="TE",LeagueInfo!$D$6*LeagueInfo!$F$2)))</f>
        <v>12</v>
      </c>
    </row>
    <row r="109" spans="1:9" x14ac:dyDescent="0.25">
      <c r="A109">
        <f ca="1">RANK(E109,E$2:E$462)</f>
        <v>108</v>
      </c>
      <c r="B109" t="s">
        <v>893</v>
      </c>
      <c r="C109" t="s">
        <v>28</v>
      </c>
      <c r="D109">
        <f ca="1">INDEX(INDIRECT($C109&amp;"!P:P"),MATCH($B109,INDIRECT($C109&amp;"!B:B"),0))</f>
        <v>121.68</v>
      </c>
      <c r="E109" s="210">
        <f ca="1">D109-LARGE(D$2:D$385,RBCount+WRCount+TECount)</f>
        <v>13.690000000000012</v>
      </c>
      <c r="F109" t="str">
        <f ca="1">IF(H109&lt;=I109,"Starter",IF(G109&gt;=LARGE(G:G,FlexOn*LeagueInfo!$F$2),"Starter","Bench"))</f>
        <v>Bench</v>
      </c>
      <c r="G109">
        <f ca="1">IF(H109&gt;I109,D109,0)</f>
        <v>121.68</v>
      </c>
      <c r="H109">
        <f ca="1">INDEX(INDIRECT(""&amp;C109&amp;"!A2:A489"),MATCH(B109,INDIRECT(""&amp;C109&amp;"!B2:B489"),0))</f>
        <v>39</v>
      </c>
      <c r="I109">
        <f>IF(C109="RB",LeagueInfo!$D$4*LeagueInfo!$F$2,IF(C109="WR",LeagueInfo!$D$5*LeagueInfo!$F$2,IF(C109="TE",LeagueInfo!$D$6*LeagueInfo!$F$2)))</f>
        <v>24</v>
      </c>
    </row>
    <row r="110" spans="1:9" x14ac:dyDescent="0.25">
      <c r="A110">
        <f ca="1">RANK(E110,E$2:E$462)</f>
        <v>109</v>
      </c>
      <c r="B110" t="s">
        <v>2415</v>
      </c>
      <c r="C110" t="s">
        <v>35</v>
      </c>
      <c r="D110">
        <f ca="1">INDEX(INDIRECT($C110&amp;"!P:P"),MATCH($B110,INDIRECT($C110&amp;"!B:B"),0))</f>
        <v>121.46000000000001</v>
      </c>
      <c r="E110" s="210">
        <f ca="1">D110-LARGE(D$2:D$385,RBCount+WRCount+TECount)</f>
        <v>13.470000000000013</v>
      </c>
      <c r="F110" t="str">
        <f ca="1">IF(H110&lt;=I110,"Starter",IF(G110&gt;=LARGE(G:G,FlexOn*LeagueInfo!$F$2),"Starter","Bench"))</f>
        <v>Bench</v>
      </c>
      <c r="G110">
        <f ca="1">IF(H110&gt;I110,D110,0)</f>
        <v>121.46000000000001</v>
      </c>
      <c r="H110">
        <f ca="1">INDEX(INDIRECT(""&amp;C110&amp;"!A2:A489"),MATCH(B110,INDIRECT(""&amp;C110&amp;"!B2:B489"),0))</f>
        <v>59</v>
      </c>
      <c r="I110">
        <f>IF(C110="RB",LeagueInfo!$D$4*LeagueInfo!$F$2,IF(C110="WR",LeagueInfo!$D$5*LeagueInfo!$F$2,IF(C110="TE",LeagueInfo!$D$6*LeagueInfo!$F$2)))</f>
        <v>24</v>
      </c>
    </row>
    <row r="111" spans="1:9" x14ac:dyDescent="0.25">
      <c r="A111">
        <f ca="1">RANK(E111,E$2:E$462)</f>
        <v>110</v>
      </c>
      <c r="B111" t="s">
        <v>2416</v>
      </c>
      <c r="C111" t="s">
        <v>35</v>
      </c>
      <c r="D111">
        <f ca="1">INDEX(INDIRECT($C111&amp;"!P:P"),MATCH($B111,INDIRECT($C111&amp;"!B:B"),0))</f>
        <v>119.14</v>
      </c>
      <c r="E111" s="210">
        <f ca="1">D111-LARGE(D$2:D$385,RBCount+WRCount+TECount)</f>
        <v>11.150000000000006</v>
      </c>
      <c r="F111" t="str">
        <f ca="1">IF(H111&lt;=I111,"Starter",IF(G111&gt;=LARGE(G:G,FlexOn*LeagueInfo!$F$2),"Starter","Bench"))</f>
        <v>Bench</v>
      </c>
      <c r="G111">
        <f ca="1">IF(H111&gt;I111,D111,0)</f>
        <v>119.14</v>
      </c>
      <c r="H111">
        <f ca="1">INDEX(INDIRECT(""&amp;C111&amp;"!A2:A489"),MATCH(B111,INDIRECT(""&amp;C111&amp;"!B2:B489"),0))</f>
        <v>60</v>
      </c>
      <c r="I111">
        <f>IF(C111="RB",LeagueInfo!$D$4*LeagueInfo!$F$2,IF(C111="WR",LeagueInfo!$D$5*LeagueInfo!$F$2,IF(C111="TE",LeagueInfo!$D$6*LeagueInfo!$F$2)))</f>
        <v>24</v>
      </c>
    </row>
    <row r="112" spans="1:9" x14ac:dyDescent="0.25">
      <c r="A112">
        <f ca="1">RANK(E112,E$2:E$462)</f>
        <v>111</v>
      </c>
      <c r="B112" t="s">
        <v>587</v>
      </c>
      <c r="C112" t="s">
        <v>43</v>
      </c>
      <c r="D112">
        <f ca="1">INDEX(INDIRECT($C112&amp;"!P:P"),MATCH($B112,INDIRECT($C112&amp;"!B:B"),0))</f>
        <v>118.98</v>
      </c>
      <c r="E112" s="210">
        <f ca="1">D112-LARGE(D$2:D$385,RBCount+WRCount+TECount)</f>
        <v>10.990000000000009</v>
      </c>
      <c r="F112" t="str">
        <f ca="1">IF(H112&lt;=I112,"Starter",IF(G112&gt;=LARGE(G:G,FlexOn*LeagueInfo!$F$2),"Starter","Bench"))</f>
        <v>Starter</v>
      </c>
      <c r="G112">
        <f ca="1">IF(H112&gt;I112,D112,0)</f>
        <v>0</v>
      </c>
      <c r="H112">
        <f ca="1">INDEX(INDIRECT(""&amp;C112&amp;"!A2:A489"),MATCH(B112,INDIRECT(""&amp;C112&amp;"!B2:B489"),0))</f>
        <v>12</v>
      </c>
      <c r="I112">
        <f>IF(C112="RB",LeagueInfo!$D$4*LeagueInfo!$F$2,IF(C112="WR",LeagueInfo!$D$5*LeagueInfo!$F$2,IF(C112="TE",LeagueInfo!$D$6*LeagueInfo!$F$2)))</f>
        <v>12</v>
      </c>
    </row>
    <row r="113" spans="1:9" x14ac:dyDescent="0.25">
      <c r="A113">
        <f ca="1">RANK(E113,E$2:E$462)</f>
        <v>112</v>
      </c>
      <c r="B113" t="s">
        <v>955</v>
      </c>
      <c r="C113" t="s">
        <v>35</v>
      </c>
      <c r="D113">
        <f ca="1">INDEX(INDIRECT($C113&amp;"!P:P"),MATCH($B113,INDIRECT($C113&amp;"!B:B"),0))</f>
        <v>118.26</v>
      </c>
      <c r="E113" s="210">
        <f ca="1">D113-LARGE(D$2:D$385,RBCount+WRCount+TECount)</f>
        <v>10.27000000000001</v>
      </c>
      <c r="F113" t="str">
        <f ca="1">IF(H113&lt;=I113,"Starter",IF(G113&gt;=LARGE(G:G,FlexOn*LeagueInfo!$F$2),"Starter","Bench"))</f>
        <v>Bench</v>
      </c>
      <c r="G113">
        <f ca="1">IF(H113&gt;I113,D113,0)</f>
        <v>118.26</v>
      </c>
      <c r="H113">
        <f ca="1">INDEX(INDIRECT(""&amp;C113&amp;"!A2:A489"),MATCH(B113,INDIRECT(""&amp;C113&amp;"!B2:B489"),0))</f>
        <v>61</v>
      </c>
      <c r="I113">
        <f>IF(C113="RB",LeagueInfo!$D$4*LeagueInfo!$F$2,IF(C113="WR",LeagueInfo!$D$5*LeagueInfo!$F$2,IF(C113="TE",LeagueInfo!$D$6*LeagueInfo!$F$2)))</f>
        <v>24</v>
      </c>
    </row>
    <row r="114" spans="1:9" x14ac:dyDescent="0.25">
      <c r="A114">
        <f ca="1">RANK(E114,E$2:E$462)</f>
        <v>113</v>
      </c>
      <c r="B114" t="s">
        <v>2422</v>
      </c>
      <c r="C114" t="s">
        <v>35</v>
      </c>
      <c r="D114">
        <f ca="1">INDEX(INDIRECT($C114&amp;"!P:P"),MATCH($B114,INDIRECT($C114&amp;"!B:B"),0))</f>
        <v>117.79</v>
      </c>
      <c r="E114" s="210">
        <f ca="1">D114-LARGE(D$2:D$385,RBCount+WRCount+TECount)</f>
        <v>9.8000000000000114</v>
      </c>
      <c r="F114" t="str">
        <f ca="1">IF(H114&lt;=I114,"Starter",IF(G114&gt;=LARGE(G:G,FlexOn*LeagueInfo!$F$2),"Starter","Bench"))</f>
        <v>Bench</v>
      </c>
      <c r="G114">
        <f ca="1">IF(H114&gt;I114,D114,0)</f>
        <v>117.79</v>
      </c>
      <c r="H114">
        <f ca="1">INDEX(INDIRECT(""&amp;C114&amp;"!A2:A489"),MATCH(B114,INDIRECT(""&amp;C114&amp;"!B2:B489"),0))</f>
        <v>62</v>
      </c>
      <c r="I114">
        <f>IF(C114="RB",LeagueInfo!$D$4*LeagueInfo!$F$2,IF(C114="WR",LeagueInfo!$D$5*LeagueInfo!$F$2,IF(C114="TE",LeagueInfo!$D$6*LeagueInfo!$F$2)))</f>
        <v>24</v>
      </c>
    </row>
    <row r="115" spans="1:9" x14ac:dyDescent="0.25">
      <c r="A115">
        <f ca="1">RANK(E115,E$2:E$462)</f>
        <v>114</v>
      </c>
      <c r="B115" t="s">
        <v>170</v>
      </c>
      <c r="C115" t="s">
        <v>35</v>
      </c>
      <c r="D115">
        <f ca="1">INDEX(INDIRECT($C115&amp;"!P:P"),MATCH($B115,INDIRECT($C115&amp;"!B:B"),0))</f>
        <v>117.17999999999999</v>
      </c>
      <c r="E115" s="210">
        <f ca="1">D115-LARGE(D$2:D$385,RBCount+WRCount+TECount)</f>
        <v>9.1899999999999977</v>
      </c>
      <c r="F115" t="str">
        <f ca="1">IF(H115&lt;=I115,"Starter",IF(G115&gt;=LARGE(G:G,FlexOn*LeagueInfo!$F$2),"Starter","Bench"))</f>
        <v>Bench</v>
      </c>
      <c r="G115">
        <f ca="1">IF(H115&gt;I115,D115,0)</f>
        <v>117.17999999999999</v>
      </c>
      <c r="H115">
        <f ca="1">INDEX(INDIRECT(""&amp;C115&amp;"!A2:A489"),MATCH(B115,INDIRECT(""&amp;C115&amp;"!B2:B489"),0))</f>
        <v>63</v>
      </c>
      <c r="I115">
        <f>IF(C115="RB",LeagueInfo!$D$4*LeagueInfo!$F$2,IF(C115="WR",LeagueInfo!$D$5*LeagueInfo!$F$2,IF(C115="TE",LeagueInfo!$D$6*LeagueInfo!$F$2)))</f>
        <v>24</v>
      </c>
    </row>
    <row r="116" spans="1:9" x14ac:dyDescent="0.25">
      <c r="A116">
        <f ca="1">RANK(E116,E$2:E$462)</f>
        <v>115</v>
      </c>
      <c r="B116" t="s">
        <v>416</v>
      </c>
      <c r="C116" t="s">
        <v>43</v>
      </c>
      <c r="D116">
        <f ca="1">INDEX(INDIRECT($C116&amp;"!P:P"),MATCH($B116,INDIRECT($C116&amp;"!B:B"),0))</f>
        <v>116.51000000000002</v>
      </c>
      <c r="E116" s="210">
        <f ca="1">D116-LARGE(D$2:D$385,RBCount+WRCount+TECount)</f>
        <v>8.5200000000000244</v>
      </c>
      <c r="F116" t="str">
        <f ca="1">IF(H116&lt;=I116,"Starter",IF(G116&gt;=LARGE(G:G,FlexOn*LeagueInfo!$F$2),"Starter","Bench"))</f>
        <v>Bench</v>
      </c>
      <c r="G116">
        <f ca="1">IF(H116&gt;I116,D116,0)</f>
        <v>116.51000000000002</v>
      </c>
      <c r="H116">
        <f ca="1">INDEX(INDIRECT(""&amp;C116&amp;"!A2:A489"),MATCH(B116,INDIRECT(""&amp;C116&amp;"!B2:B489"),0))</f>
        <v>13</v>
      </c>
      <c r="I116">
        <f>IF(C116="RB",LeagueInfo!$D$4*LeagueInfo!$F$2,IF(C116="WR",LeagueInfo!$D$5*LeagueInfo!$F$2,IF(C116="TE",LeagueInfo!$D$6*LeagueInfo!$F$2)))</f>
        <v>12</v>
      </c>
    </row>
    <row r="117" spans="1:9" x14ac:dyDescent="0.25">
      <c r="A117">
        <f ca="1">RANK(E117,E$2:E$462)</f>
        <v>116</v>
      </c>
      <c r="B117" t="s">
        <v>975</v>
      </c>
      <c r="C117" t="s">
        <v>43</v>
      </c>
      <c r="D117">
        <f ca="1">INDEX(INDIRECT($C117&amp;"!P:P"),MATCH($B117,INDIRECT($C117&amp;"!B:B"),0))</f>
        <v>116.51</v>
      </c>
      <c r="E117" s="210">
        <f ca="1">D117-LARGE(D$2:D$385,RBCount+WRCount+TECount)</f>
        <v>8.5200000000000102</v>
      </c>
      <c r="F117" t="str">
        <f ca="1">IF(H117&lt;=I117,"Starter",IF(G117&gt;=LARGE(G:G,FlexOn*LeagueInfo!$F$2),"Starter","Bench"))</f>
        <v>Bench</v>
      </c>
      <c r="G117">
        <f ca="1">IF(H117&gt;I117,D117,0)</f>
        <v>116.51</v>
      </c>
      <c r="H117">
        <f ca="1">INDEX(INDIRECT(""&amp;C117&amp;"!A2:A489"),MATCH(B117,INDIRECT(""&amp;C117&amp;"!B2:B489"),0))</f>
        <v>14</v>
      </c>
      <c r="I117">
        <f>IF(C117="RB",LeagueInfo!$D$4*LeagueInfo!$F$2,IF(C117="WR",LeagueInfo!$D$5*LeagueInfo!$F$2,IF(C117="TE",LeagueInfo!$D$6*LeagueInfo!$F$2)))</f>
        <v>12</v>
      </c>
    </row>
    <row r="118" spans="1:9" x14ac:dyDescent="0.25">
      <c r="A118">
        <f ca="1">RANK(E118,E$2:E$462)</f>
        <v>117</v>
      </c>
      <c r="B118" t="s">
        <v>2419</v>
      </c>
      <c r="C118" t="s">
        <v>35</v>
      </c>
      <c r="D118">
        <f ca="1">INDEX(INDIRECT($C118&amp;"!P:P"),MATCH($B118,INDIRECT($C118&amp;"!B:B"),0))</f>
        <v>116.41000000000001</v>
      </c>
      <c r="E118" s="210">
        <f ca="1">D118-LARGE(D$2:D$385,RBCount+WRCount+TECount)</f>
        <v>8.4200000000000159</v>
      </c>
      <c r="F118" t="str">
        <f ca="1">IF(H118&lt;=I118,"Starter",IF(G118&gt;=LARGE(G:G,FlexOn*LeagueInfo!$F$2),"Starter","Bench"))</f>
        <v>Bench</v>
      </c>
      <c r="G118">
        <f ca="1">IF(H118&gt;I118,D118,0)</f>
        <v>116.41000000000001</v>
      </c>
      <c r="H118">
        <f ca="1">INDEX(INDIRECT(""&amp;C118&amp;"!A2:A489"),MATCH(B118,INDIRECT(""&amp;C118&amp;"!B2:B489"),0))</f>
        <v>64</v>
      </c>
      <c r="I118">
        <f>IF(C118="RB",LeagueInfo!$D$4*LeagueInfo!$F$2,IF(C118="WR",LeagueInfo!$D$5*LeagueInfo!$F$2,IF(C118="TE",LeagueInfo!$D$6*LeagueInfo!$F$2)))</f>
        <v>24</v>
      </c>
    </row>
    <row r="119" spans="1:9" x14ac:dyDescent="0.25">
      <c r="A119">
        <f ca="1">RANK(E119,E$2:E$462)</f>
        <v>118</v>
      </c>
      <c r="B119" t="s">
        <v>817</v>
      </c>
      <c r="C119" t="s">
        <v>43</v>
      </c>
      <c r="D119">
        <f ca="1">INDEX(INDIRECT($C119&amp;"!P:P"),MATCH($B119,INDIRECT($C119&amp;"!B:B"),0))</f>
        <v>115.75</v>
      </c>
      <c r="E119" s="210">
        <f ca="1">D119-LARGE(D$2:D$385,RBCount+WRCount+TECount)</f>
        <v>7.7600000000000051</v>
      </c>
      <c r="F119" t="str">
        <f ca="1">IF(H119&lt;=I119,"Starter",IF(G119&gt;=LARGE(G:G,FlexOn*LeagueInfo!$F$2),"Starter","Bench"))</f>
        <v>Bench</v>
      </c>
      <c r="G119">
        <f ca="1">IF(H119&gt;I119,D119,0)</f>
        <v>115.75</v>
      </c>
      <c r="H119">
        <f ca="1">INDEX(INDIRECT(""&amp;C119&amp;"!A2:A489"),MATCH(B119,INDIRECT(""&amp;C119&amp;"!B2:B489"),0))</f>
        <v>15</v>
      </c>
      <c r="I119">
        <f>IF(C119="RB",LeagueInfo!$D$4*LeagueInfo!$F$2,IF(C119="WR",LeagueInfo!$D$5*LeagueInfo!$F$2,IF(C119="TE",LeagueInfo!$D$6*LeagueInfo!$F$2)))</f>
        <v>12</v>
      </c>
    </row>
    <row r="120" spans="1:9" x14ac:dyDescent="0.25">
      <c r="A120">
        <f ca="1">RANK(E120,E$2:E$462)</f>
        <v>119</v>
      </c>
      <c r="B120" t="s">
        <v>740</v>
      </c>
      <c r="C120" t="s">
        <v>43</v>
      </c>
      <c r="D120">
        <f ca="1">INDEX(INDIRECT($C120&amp;"!P:P"),MATCH($B120,INDIRECT($C120&amp;"!B:B"),0))</f>
        <v>115.04</v>
      </c>
      <c r="E120" s="210">
        <f ca="1">D120-LARGE(D$2:D$385,RBCount+WRCount+TECount)</f>
        <v>7.0500000000000114</v>
      </c>
      <c r="F120" t="str">
        <f ca="1">IF(H120&lt;=I120,"Starter",IF(G120&gt;=LARGE(G:G,FlexOn*LeagueInfo!$F$2),"Starter","Bench"))</f>
        <v>Bench</v>
      </c>
      <c r="G120">
        <f ca="1">IF(H120&gt;I120,D120,0)</f>
        <v>115.04</v>
      </c>
      <c r="H120">
        <f ca="1">INDEX(INDIRECT(""&amp;C120&amp;"!A2:A489"),MATCH(B120,INDIRECT(""&amp;C120&amp;"!B2:B489"),0))</f>
        <v>16</v>
      </c>
      <c r="I120">
        <f>IF(C120="RB",LeagueInfo!$D$4*LeagueInfo!$F$2,IF(C120="WR",LeagueInfo!$D$5*LeagueInfo!$F$2,IF(C120="TE",LeagueInfo!$D$6*LeagueInfo!$F$2)))</f>
        <v>12</v>
      </c>
    </row>
    <row r="121" spans="1:9" x14ac:dyDescent="0.25">
      <c r="A121">
        <f ca="1">RANK(E121,E$2:E$462)</f>
        <v>120</v>
      </c>
      <c r="B121" t="s">
        <v>2446</v>
      </c>
      <c r="C121" t="s">
        <v>28</v>
      </c>
      <c r="D121">
        <f ca="1">INDEX(INDIRECT($C121&amp;"!P:P"),MATCH($B121,INDIRECT($C121&amp;"!B:B"),0))</f>
        <v>114.74</v>
      </c>
      <c r="E121" s="210">
        <f ca="1">D121-LARGE(D$2:D$385,RBCount+WRCount+TECount)</f>
        <v>6.75</v>
      </c>
      <c r="F121" t="str">
        <f ca="1">IF(H121&lt;=I121,"Starter",IF(G121&gt;=LARGE(G:G,FlexOn*LeagueInfo!$F$2),"Starter","Bench"))</f>
        <v>Bench</v>
      </c>
      <c r="G121">
        <f ca="1">IF(H121&gt;I121,D121,0)</f>
        <v>114.74</v>
      </c>
      <c r="H121">
        <f ca="1">INDEX(INDIRECT(""&amp;C121&amp;"!A2:A489"),MATCH(B121,INDIRECT(""&amp;C121&amp;"!B2:B489"),0))</f>
        <v>40</v>
      </c>
      <c r="I121">
        <f>IF(C121="RB",LeagueInfo!$D$4*LeagueInfo!$F$2,IF(C121="WR",LeagueInfo!$D$5*LeagueInfo!$F$2,IF(C121="TE",LeagueInfo!$D$6*LeagueInfo!$F$2)))</f>
        <v>24</v>
      </c>
    </row>
    <row r="122" spans="1:9" x14ac:dyDescent="0.25">
      <c r="A122">
        <f ca="1">RANK(E122,E$2:E$462)</f>
        <v>121</v>
      </c>
      <c r="B122" t="s">
        <v>353</v>
      </c>
      <c r="C122" t="s">
        <v>28</v>
      </c>
      <c r="D122">
        <f ca="1">INDEX(INDIRECT($C122&amp;"!P:P"),MATCH($B122,INDIRECT($C122&amp;"!B:B"),0))</f>
        <v>114.43000000000002</v>
      </c>
      <c r="E122" s="210">
        <f ca="1">D122-LARGE(D$2:D$385,RBCount+WRCount+TECount)</f>
        <v>6.4400000000000261</v>
      </c>
      <c r="F122" t="str">
        <f ca="1">IF(H122&lt;=I122,"Starter",IF(G122&gt;=LARGE(G:G,FlexOn*LeagueInfo!$F$2),"Starter","Bench"))</f>
        <v>Bench</v>
      </c>
      <c r="G122">
        <f ca="1">IF(H122&gt;I122,D122,0)</f>
        <v>114.43000000000002</v>
      </c>
      <c r="H122">
        <f ca="1">INDEX(INDIRECT(""&amp;C122&amp;"!A2:A489"),MATCH(B122,INDIRECT(""&amp;C122&amp;"!B2:B489"),0))</f>
        <v>41</v>
      </c>
      <c r="I122">
        <f>IF(C122="RB",LeagueInfo!$D$4*LeagueInfo!$F$2,IF(C122="WR",LeagueInfo!$D$5*LeagueInfo!$F$2,IF(C122="TE",LeagueInfo!$D$6*LeagueInfo!$F$2)))</f>
        <v>24</v>
      </c>
    </row>
    <row r="123" spans="1:9" x14ac:dyDescent="0.25">
      <c r="A123">
        <f ca="1">RANK(E123,E$2:E$462)</f>
        <v>122</v>
      </c>
      <c r="B123" t="s">
        <v>798</v>
      </c>
      <c r="C123" t="s">
        <v>28</v>
      </c>
      <c r="D123">
        <f ca="1">INDEX(INDIRECT($C123&amp;"!P:P"),MATCH($B123,INDIRECT($C123&amp;"!B:B"),0))</f>
        <v>113.50999999999999</v>
      </c>
      <c r="E123" s="210">
        <f ca="1">D123-LARGE(D$2:D$385,RBCount+WRCount+TECount)</f>
        <v>5.519999999999996</v>
      </c>
      <c r="F123" t="str">
        <f ca="1">IF(H123&lt;=I123,"Starter",IF(G123&gt;=LARGE(G:G,FlexOn*LeagueInfo!$F$2),"Starter","Bench"))</f>
        <v>Bench</v>
      </c>
      <c r="G123">
        <f ca="1">IF(H123&gt;I123,D123,0)</f>
        <v>113.50999999999999</v>
      </c>
      <c r="H123">
        <f ca="1">INDEX(INDIRECT(""&amp;C123&amp;"!A2:A489"),MATCH(B123,INDIRECT(""&amp;C123&amp;"!B2:B489"),0))</f>
        <v>42</v>
      </c>
      <c r="I123">
        <f>IF(C123="RB",LeagueInfo!$D$4*LeagueInfo!$F$2,IF(C123="WR",LeagueInfo!$D$5*LeagueInfo!$F$2,IF(C123="TE",LeagueInfo!$D$6*LeagueInfo!$F$2)))</f>
        <v>24</v>
      </c>
    </row>
    <row r="124" spans="1:9" x14ac:dyDescent="0.25">
      <c r="A124">
        <f ca="1">RANK(E124,E$2:E$462)</f>
        <v>123</v>
      </c>
      <c r="B124" t="s">
        <v>2417</v>
      </c>
      <c r="C124" t="s">
        <v>35</v>
      </c>
      <c r="D124">
        <f ca="1">INDEX(INDIRECT($C124&amp;"!P:P"),MATCH($B124,INDIRECT($C124&amp;"!B:B"),0))</f>
        <v>111.31</v>
      </c>
      <c r="E124" s="210">
        <f ca="1">D124-LARGE(D$2:D$385,RBCount+WRCount+TECount)</f>
        <v>3.3200000000000074</v>
      </c>
      <c r="F124" t="str">
        <f ca="1">IF(H124&lt;=I124,"Starter",IF(G124&gt;=LARGE(G:G,FlexOn*LeagueInfo!$F$2),"Starter","Bench"))</f>
        <v>Bench</v>
      </c>
      <c r="G124">
        <f ca="1">IF(H124&gt;I124,D124,0)</f>
        <v>111.31</v>
      </c>
      <c r="H124">
        <f ca="1">INDEX(INDIRECT(""&amp;C124&amp;"!A2:A489"),MATCH(B124,INDIRECT(""&amp;C124&amp;"!B2:B489"),0))</f>
        <v>65</v>
      </c>
      <c r="I124">
        <f>IF(C124="RB",LeagueInfo!$D$4*LeagueInfo!$F$2,IF(C124="WR",LeagueInfo!$D$5*LeagueInfo!$F$2,IF(C124="TE",LeagueInfo!$D$6*LeagueInfo!$F$2)))</f>
        <v>24</v>
      </c>
    </row>
    <row r="125" spans="1:9" x14ac:dyDescent="0.25">
      <c r="A125">
        <f ca="1">RANK(E125,E$2:E$462)</f>
        <v>124</v>
      </c>
      <c r="B125" t="s">
        <v>951</v>
      </c>
      <c r="C125" t="s">
        <v>35</v>
      </c>
      <c r="D125">
        <f ca="1">INDEX(INDIRECT($C125&amp;"!P:P"),MATCH($B125,INDIRECT($C125&amp;"!B:B"),0))</f>
        <v>111.2</v>
      </c>
      <c r="E125" s="210">
        <f ca="1">D125-LARGE(D$2:D$385,RBCount+WRCount+TECount)</f>
        <v>3.210000000000008</v>
      </c>
      <c r="F125" t="str">
        <f ca="1">IF(H125&lt;=I125,"Starter",IF(G125&gt;=LARGE(G:G,FlexOn*LeagueInfo!$F$2),"Starter","Bench"))</f>
        <v>Bench</v>
      </c>
      <c r="G125">
        <f ca="1">IF(H125&gt;I125,D125,0)</f>
        <v>111.2</v>
      </c>
      <c r="H125">
        <f ca="1">INDEX(INDIRECT(""&amp;C125&amp;"!A2:A489"),MATCH(B125,INDIRECT(""&amp;C125&amp;"!B2:B489"),0))</f>
        <v>66</v>
      </c>
      <c r="I125">
        <f>IF(C125="RB",LeagueInfo!$D$4*LeagueInfo!$F$2,IF(C125="WR",LeagueInfo!$D$5*LeagueInfo!$F$2,IF(C125="TE",LeagueInfo!$D$6*LeagueInfo!$F$2)))</f>
        <v>24</v>
      </c>
    </row>
    <row r="126" spans="1:9" x14ac:dyDescent="0.25">
      <c r="A126">
        <f ca="1">RANK(E126,E$2:E$462)</f>
        <v>125</v>
      </c>
      <c r="B126" t="s">
        <v>2445</v>
      </c>
      <c r="C126" t="s">
        <v>28</v>
      </c>
      <c r="D126">
        <f ca="1">INDEX(INDIRECT($C126&amp;"!P:P"),MATCH($B126,INDIRECT($C126&amp;"!B:B"),0))</f>
        <v>110.81000000000002</v>
      </c>
      <c r="E126" s="210">
        <f ca="1">D126-LARGE(D$2:D$385,RBCount+WRCount+TECount)</f>
        <v>2.8200000000000216</v>
      </c>
      <c r="F126" t="str">
        <f ca="1">IF(H126&lt;=I126,"Starter",IF(G126&gt;=LARGE(G:G,FlexOn*LeagueInfo!$F$2),"Starter","Bench"))</f>
        <v>Bench</v>
      </c>
      <c r="G126">
        <f ca="1">IF(H126&gt;I126,D126,0)</f>
        <v>110.81000000000002</v>
      </c>
      <c r="H126">
        <f ca="1">INDEX(INDIRECT(""&amp;C126&amp;"!A2:A489"),MATCH(B126,INDIRECT(""&amp;C126&amp;"!B2:B489"),0))</f>
        <v>43</v>
      </c>
      <c r="I126">
        <f>IF(C126="RB",LeagueInfo!$D$4*LeagueInfo!$F$2,IF(C126="WR",LeagueInfo!$D$5*LeagueInfo!$F$2,IF(C126="TE",LeagueInfo!$D$6*LeagueInfo!$F$2)))</f>
        <v>24</v>
      </c>
    </row>
    <row r="127" spans="1:9" x14ac:dyDescent="0.25">
      <c r="A127">
        <f ca="1">RANK(E127,E$2:E$462)</f>
        <v>126</v>
      </c>
      <c r="B127" t="s">
        <v>217</v>
      </c>
      <c r="C127" t="s">
        <v>43</v>
      </c>
      <c r="D127">
        <f ca="1">INDEX(INDIRECT($C127&amp;"!P:P"),MATCH($B127,INDIRECT($C127&amp;"!B:B"),0))</f>
        <v>110.52000000000001</v>
      </c>
      <c r="E127" s="210">
        <f ca="1">D127-LARGE(D$2:D$385,RBCount+WRCount+TECount)</f>
        <v>2.5300000000000153</v>
      </c>
      <c r="F127" t="str">
        <f ca="1">IF(H127&lt;=I127,"Starter",IF(G127&gt;=LARGE(G:G,FlexOn*LeagueInfo!$F$2),"Starter","Bench"))</f>
        <v>Bench</v>
      </c>
      <c r="G127">
        <f ca="1">IF(H127&gt;I127,D127,0)</f>
        <v>110.52000000000001</v>
      </c>
      <c r="H127">
        <f ca="1">INDEX(INDIRECT(""&amp;C127&amp;"!A2:A489"),MATCH(B127,INDIRECT(""&amp;C127&amp;"!B2:B489"),0))</f>
        <v>17</v>
      </c>
      <c r="I127">
        <f>IF(C127="RB",LeagueInfo!$D$4*LeagueInfo!$F$2,IF(C127="WR",LeagueInfo!$D$5*LeagueInfo!$F$2,IF(C127="TE",LeagueInfo!$D$6*LeagueInfo!$F$2)))</f>
        <v>12</v>
      </c>
    </row>
    <row r="128" spans="1:9" x14ac:dyDescent="0.25">
      <c r="A128">
        <f ca="1">RANK(E128,E$2:E$462)</f>
        <v>127</v>
      </c>
      <c r="B128" t="s">
        <v>844</v>
      </c>
      <c r="C128" t="s">
        <v>35</v>
      </c>
      <c r="D128">
        <f ca="1">INDEX(INDIRECT($C128&amp;"!P:P"),MATCH($B128,INDIRECT($C128&amp;"!B:B"),0))</f>
        <v>110.28999999999999</v>
      </c>
      <c r="E128" s="210">
        <f ca="1">D128-LARGE(D$2:D$385,RBCount+WRCount+TECount)</f>
        <v>2.2999999999999972</v>
      </c>
      <c r="F128" t="str">
        <f ca="1">IF(H128&lt;=I128,"Starter",IF(G128&gt;=LARGE(G:G,FlexOn*LeagueInfo!$F$2),"Starter","Bench"))</f>
        <v>Bench</v>
      </c>
      <c r="G128">
        <f ca="1">IF(H128&gt;I128,D128,0)</f>
        <v>110.28999999999999</v>
      </c>
      <c r="H128">
        <f ca="1">INDEX(INDIRECT(""&amp;C128&amp;"!A2:A489"),MATCH(B128,INDIRECT(""&amp;C128&amp;"!B2:B489"),0))</f>
        <v>67</v>
      </c>
      <c r="I128">
        <f>IF(C128="RB",LeagueInfo!$D$4*LeagueInfo!$F$2,IF(C128="WR",LeagueInfo!$D$5*LeagueInfo!$F$2,IF(C128="TE",LeagueInfo!$D$6*LeagueInfo!$F$2)))</f>
        <v>24</v>
      </c>
    </row>
    <row r="129" spans="1:9" x14ac:dyDescent="0.25">
      <c r="A129">
        <f ca="1">RANK(E129,E$2:E$462)</f>
        <v>128</v>
      </c>
      <c r="B129" t="s">
        <v>550</v>
      </c>
      <c r="C129" t="s">
        <v>28</v>
      </c>
      <c r="D129">
        <f ca="1">INDEX(INDIRECT($C129&amp;"!P:P"),MATCH($B129,INDIRECT($C129&amp;"!B:B"),0))</f>
        <v>109.38000000000001</v>
      </c>
      <c r="E129" s="210">
        <f ca="1">D129-LARGE(D$2:D$385,RBCount+WRCount+TECount)</f>
        <v>1.3900000000000148</v>
      </c>
      <c r="F129" t="str">
        <f ca="1">IF(H129&lt;=I129,"Starter",IF(G129&gt;=LARGE(G:G,FlexOn*LeagueInfo!$F$2),"Starter","Bench"))</f>
        <v>Bench</v>
      </c>
      <c r="G129">
        <f ca="1">IF(H129&gt;I129,D129,0)</f>
        <v>109.38000000000001</v>
      </c>
      <c r="H129">
        <f ca="1">INDEX(INDIRECT(""&amp;C129&amp;"!A2:A489"),MATCH(B129,INDIRECT(""&amp;C129&amp;"!B2:B489"),0))</f>
        <v>44</v>
      </c>
      <c r="I129">
        <f>IF(C129="RB",LeagueInfo!$D$4*LeagueInfo!$F$2,IF(C129="WR",LeagueInfo!$D$5*LeagueInfo!$F$2,IF(C129="TE",LeagueInfo!$D$6*LeagueInfo!$F$2)))</f>
        <v>24</v>
      </c>
    </row>
    <row r="130" spans="1:9" x14ac:dyDescent="0.25">
      <c r="A130">
        <f ca="1">RANK(E130,E$2:E$462)</f>
        <v>129</v>
      </c>
      <c r="B130" t="s">
        <v>419</v>
      </c>
      <c r="C130" t="s">
        <v>43</v>
      </c>
      <c r="D130">
        <f ca="1">INDEX(INDIRECT($C130&amp;"!P:P"),MATCH($B130,INDIRECT($C130&amp;"!B:B"),0))</f>
        <v>108.9</v>
      </c>
      <c r="E130" s="210">
        <f ca="1">D130-LARGE(D$2:D$385,RBCount+WRCount+TECount)</f>
        <v>0.9100000000000108</v>
      </c>
      <c r="F130" t="str">
        <f ca="1">IF(H130&lt;=I130,"Starter",IF(G130&gt;=LARGE(G:G,FlexOn*LeagueInfo!$F$2),"Starter","Bench"))</f>
        <v>Bench</v>
      </c>
      <c r="G130">
        <f ca="1">IF(H130&gt;I130,D130,0)</f>
        <v>108.9</v>
      </c>
      <c r="H130">
        <f ca="1">INDEX(INDIRECT(""&amp;C130&amp;"!A2:A489"),MATCH(B130,INDIRECT(""&amp;C130&amp;"!B2:B489"),0))</f>
        <v>18</v>
      </c>
      <c r="I130">
        <f>IF(C130="RB",LeagueInfo!$D$4*LeagueInfo!$F$2,IF(C130="WR",LeagueInfo!$D$5*LeagueInfo!$F$2,IF(C130="TE",LeagueInfo!$D$6*LeagueInfo!$F$2)))</f>
        <v>12</v>
      </c>
    </row>
    <row r="131" spans="1:9" x14ac:dyDescent="0.25">
      <c r="A131">
        <f ca="1">RANK(E131,E$2:E$462)</f>
        <v>130</v>
      </c>
      <c r="B131" t="s">
        <v>857</v>
      </c>
      <c r="C131" t="s">
        <v>35</v>
      </c>
      <c r="D131">
        <f ca="1">INDEX(INDIRECT($C131&amp;"!P:P"),MATCH($B131,INDIRECT($C131&amp;"!B:B"),0))</f>
        <v>108.7</v>
      </c>
      <c r="E131" s="210">
        <f ca="1">D131-LARGE(D$2:D$385,RBCount+WRCount+TECount)</f>
        <v>0.71000000000000796</v>
      </c>
      <c r="F131" t="str">
        <f ca="1">IF(H131&lt;=I131,"Starter",IF(G131&gt;=LARGE(G:G,FlexOn*LeagueInfo!$F$2),"Starter","Bench"))</f>
        <v>Bench</v>
      </c>
      <c r="G131">
        <f ca="1">IF(H131&gt;I131,D131,0)</f>
        <v>108.7</v>
      </c>
      <c r="H131">
        <f ca="1">INDEX(INDIRECT(""&amp;C131&amp;"!A2:A489"),MATCH(B131,INDIRECT(""&amp;C131&amp;"!B2:B489"),0))</f>
        <v>68</v>
      </c>
      <c r="I131">
        <f>IF(C131="RB",LeagueInfo!$D$4*LeagueInfo!$F$2,IF(C131="WR",LeagueInfo!$D$5*LeagueInfo!$F$2,IF(C131="TE",LeagueInfo!$D$6*LeagueInfo!$F$2)))</f>
        <v>24</v>
      </c>
    </row>
    <row r="132" spans="1:9" x14ac:dyDescent="0.25">
      <c r="A132">
        <f ca="1">RANK(E132,E$2:E$462)</f>
        <v>131</v>
      </c>
      <c r="B132" t="s">
        <v>215</v>
      </c>
      <c r="C132" t="s">
        <v>35</v>
      </c>
      <c r="D132">
        <f ca="1">INDEX(INDIRECT($C132&amp;"!P:P"),MATCH($B132,INDIRECT($C132&amp;"!B:B"),0))</f>
        <v>108.55000000000001</v>
      </c>
      <c r="E132" s="210">
        <f ca="1">D132-LARGE(D$2:D$385,RBCount+WRCount+TECount)</f>
        <v>0.56000000000001648</v>
      </c>
      <c r="F132" t="str">
        <f ca="1">IF(H132&lt;=I132,"Starter",IF(G132&gt;=LARGE(G:G,FlexOn*LeagueInfo!$F$2),"Starter","Bench"))</f>
        <v>Bench</v>
      </c>
      <c r="G132">
        <f ca="1">IF(H132&gt;I132,D132,0)</f>
        <v>108.55000000000001</v>
      </c>
      <c r="H132">
        <f ca="1">INDEX(INDIRECT(""&amp;C132&amp;"!A2:A489"),MATCH(B132,INDIRECT(""&amp;C132&amp;"!B2:B489"),0))</f>
        <v>69</v>
      </c>
      <c r="I132">
        <f>IF(C132="RB",LeagueInfo!$D$4*LeagueInfo!$F$2,IF(C132="WR",LeagueInfo!$D$5*LeagueInfo!$F$2,IF(C132="TE",LeagueInfo!$D$6*LeagueInfo!$F$2)))</f>
        <v>24</v>
      </c>
    </row>
    <row r="133" spans="1:9" x14ac:dyDescent="0.25">
      <c r="A133">
        <f ca="1">RANK(E133,E$2:E$462)</f>
        <v>132</v>
      </c>
      <c r="B133" t="s">
        <v>184</v>
      </c>
      <c r="C133" t="s">
        <v>28</v>
      </c>
      <c r="D133">
        <f ca="1">INDEX(INDIRECT($C133&amp;"!P:P"),MATCH($B133,INDIRECT($C133&amp;"!B:B"),0))</f>
        <v>108.55</v>
      </c>
      <c r="E133" s="210">
        <f ca="1">D133-LARGE(D$2:D$385,RBCount+WRCount+TECount)</f>
        <v>0.56000000000000227</v>
      </c>
      <c r="F133" t="str">
        <f ca="1">IF(H133&lt;=I133,"Starter",IF(G133&gt;=LARGE(G:G,FlexOn*LeagueInfo!$F$2),"Starter","Bench"))</f>
        <v>Bench</v>
      </c>
      <c r="G133">
        <f ca="1">IF(H133&gt;I133,D133,0)</f>
        <v>108.55</v>
      </c>
      <c r="H133">
        <f ca="1">INDEX(INDIRECT(""&amp;C133&amp;"!A2:A489"),MATCH(B133,INDIRECT(""&amp;C133&amp;"!B2:B489"),0))</f>
        <v>45</v>
      </c>
      <c r="I133">
        <f>IF(C133="RB",LeagueInfo!$D$4*LeagueInfo!$F$2,IF(C133="WR",LeagueInfo!$D$5*LeagueInfo!$F$2,IF(C133="TE",LeagueInfo!$D$6*LeagueInfo!$F$2)))</f>
        <v>24</v>
      </c>
    </row>
    <row r="134" spans="1:9" x14ac:dyDescent="0.25">
      <c r="A134">
        <f ca="1">RANK(E134,E$2:E$462)</f>
        <v>133</v>
      </c>
      <c r="B134" t="s">
        <v>96</v>
      </c>
      <c r="C134" t="s">
        <v>35</v>
      </c>
      <c r="D134">
        <f ca="1">INDEX(INDIRECT($C134&amp;"!P:P"),MATCH($B134,INDIRECT($C134&amp;"!B:B"),0))</f>
        <v>108.21000000000001</v>
      </c>
      <c r="E134" s="210">
        <f ca="1">D134-LARGE(D$2:D$385,RBCount+WRCount+TECount)</f>
        <v>0.22000000000001307</v>
      </c>
      <c r="F134" t="str">
        <f ca="1">IF(H134&lt;=I134,"Starter",IF(G134&gt;=LARGE(G:G,FlexOn*LeagueInfo!$F$2),"Starter","Bench"))</f>
        <v>Bench</v>
      </c>
      <c r="G134">
        <f ca="1">IF(H134&gt;I134,D134,0)</f>
        <v>108.21000000000001</v>
      </c>
      <c r="H134">
        <f ca="1">INDEX(INDIRECT(""&amp;C134&amp;"!A2:A489"),MATCH(B134,INDIRECT(""&amp;C134&amp;"!B2:B489"),0))</f>
        <v>70</v>
      </c>
      <c r="I134">
        <f>IF(C134="RB",LeagueInfo!$D$4*LeagueInfo!$F$2,IF(C134="WR",LeagueInfo!$D$5*LeagueInfo!$F$2,IF(C134="TE",LeagueInfo!$D$6*LeagueInfo!$F$2)))</f>
        <v>24</v>
      </c>
    </row>
    <row r="135" spans="1:9" x14ac:dyDescent="0.25">
      <c r="A135">
        <f ca="1">RANK(E135,E$2:E$462)</f>
        <v>134</v>
      </c>
      <c r="B135" t="s">
        <v>930</v>
      </c>
      <c r="C135" t="s">
        <v>28</v>
      </c>
      <c r="D135">
        <f ca="1">INDEX(INDIRECT($C135&amp;"!P:P"),MATCH($B135,INDIRECT($C135&amp;"!B:B"),0))</f>
        <v>107.99</v>
      </c>
      <c r="E135" s="210">
        <f ca="1">D135-LARGE(D$2:D$385,RBCount+WRCount+TECount)</f>
        <v>0</v>
      </c>
      <c r="F135" t="str">
        <f ca="1">IF(H135&lt;=I135,"Starter",IF(G135&gt;=LARGE(G:G,FlexOn*LeagueInfo!$F$2),"Starter","Bench"))</f>
        <v>Bench</v>
      </c>
      <c r="G135">
        <f ca="1">IF(H135&gt;I135,D135,0)</f>
        <v>107.99</v>
      </c>
      <c r="H135">
        <f ca="1">INDEX(INDIRECT(""&amp;C135&amp;"!A2:A489"),MATCH(B135,INDIRECT(""&amp;C135&amp;"!B2:B489"),0))</f>
        <v>46</v>
      </c>
      <c r="I135">
        <f>IF(C135="RB",LeagueInfo!$D$4*LeagueInfo!$F$2,IF(C135="WR",LeagueInfo!$D$5*LeagueInfo!$F$2,IF(C135="TE",LeagueInfo!$D$6*LeagueInfo!$F$2)))</f>
        <v>24</v>
      </c>
    </row>
    <row r="136" spans="1:9" x14ac:dyDescent="0.25">
      <c r="A136">
        <f ca="1">RANK(E136,E$2:E$462)</f>
        <v>135</v>
      </c>
      <c r="B136" t="s">
        <v>747</v>
      </c>
      <c r="C136" t="s">
        <v>43</v>
      </c>
      <c r="D136">
        <f ca="1">INDEX(INDIRECT($C136&amp;"!P:P"),MATCH($B136,INDIRECT($C136&amp;"!B:B"),0))</f>
        <v>107.76</v>
      </c>
      <c r="E136" s="210">
        <f ca="1">D136-LARGE(D$2:D$385,RBCount+WRCount+TECount)</f>
        <v>-0.22999999999998977</v>
      </c>
      <c r="F136" t="str">
        <f ca="1">IF(H136&lt;=I136,"Starter",IF(G136&gt;=LARGE(G:G,FlexOn*LeagueInfo!$F$2),"Starter","Bench"))</f>
        <v>Bench</v>
      </c>
      <c r="G136">
        <f ca="1">IF(H136&gt;I136,D136,0)</f>
        <v>107.76</v>
      </c>
      <c r="H136">
        <f ca="1">INDEX(INDIRECT(""&amp;C136&amp;"!A2:A489"),MATCH(B136,INDIRECT(""&amp;C136&amp;"!B2:B489"),0))</f>
        <v>19</v>
      </c>
      <c r="I136">
        <f>IF(C136="RB",LeagueInfo!$D$4*LeagueInfo!$F$2,IF(C136="WR",LeagueInfo!$D$5*LeagueInfo!$F$2,IF(C136="TE",LeagueInfo!$D$6*LeagueInfo!$F$2)))</f>
        <v>12</v>
      </c>
    </row>
    <row r="137" spans="1:9" x14ac:dyDescent="0.25">
      <c r="A137">
        <f ca="1">RANK(E137,E$2:E$462)</f>
        <v>136</v>
      </c>
      <c r="B137" t="s">
        <v>699</v>
      </c>
      <c r="C137" t="s">
        <v>35</v>
      </c>
      <c r="D137">
        <f ca="1">INDEX(INDIRECT($C137&amp;"!P:P"),MATCH($B137,INDIRECT($C137&amp;"!B:B"),0))</f>
        <v>106.69</v>
      </c>
      <c r="E137" s="210">
        <f ca="1">D137-LARGE(D$2:D$385,RBCount+WRCount+TECount)</f>
        <v>-1.2999999999999972</v>
      </c>
      <c r="F137" t="str">
        <f ca="1">IF(H137&lt;=I137,"Starter",IF(G137&gt;=LARGE(G:G,FlexOn*LeagueInfo!$F$2),"Starter","Bench"))</f>
        <v>Bench</v>
      </c>
      <c r="G137">
        <f ca="1">IF(H137&gt;I137,D137,0)</f>
        <v>106.69</v>
      </c>
      <c r="H137">
        <f ca="1">INDEX(INDIRECT(""&amp;C137&amp;"!A2:A489"),MATCH(B137,INDIRECT(""&amp;C137&amp;"!B2:B489"),0))</f>
        <v>71</v>
      </c>
      <c r="I137">
        <f>IF(C137="RB",LeagueInfo!$D$4*LeagueInfo!$F$2,IF(C137="WR",LeagueInfo!$D$5*LeagueInfo!$F$2,IF(C137="TE",LeagueInfo!$D$6*LeagueInfo!$F$2)))</f>
        <v>24</v>
      </c>
    </row>
    <row r="138" spans="1:9" x14ac:dyDescent="0.25">
      <c r="A138">
        <f ca="1">RANK(E138,E$2:E$462)</f>
        <v>137</v>
      </c>
      <c r="B138" t="s">
        <v>2418</v>
      </c>
      <c r="C138" t="s">
        <v>35</v>
      </c>
      <c r="D138">
        <f ca="1">INDEX(INDIRECT($C138&amp;"!P:P"),MATCH($B138,INDIRECT($C138&amp;"!B:B"),0))</f>
        <v>106.19000000000001</v>
      </c>
      <c r="E138" s="210">
        <f ca="1">D138-LARGE(D$2:D$385,RBCount+WRCount+TECount)</f>
        <v>-1.7999999999999829</v>
      </c>
      <c r="F138" t="str">
        <f ca="1">IF(H138&lt;=I138,"Starter",IF(G138&gt;=LARGE(G:G,FlexOn*LeagueInfo!$F$2),"Starter","Bench"))</f>
        <v>Bench</v>
      </c>
      <c r="G138">
        <f ca="1">IF(H138&gt;I138,D138,0)</f>
        <v>106.19000000000001</v>
      </c>
      <c r="H138">
        <f ca="1">INDEX(INDIRECT(""&amp;C138&amp;"!A2:A489"),MATCH(B138,INDIRECT(""&amp;C138&amp;"!B2:B489"),0))</f>
        <v>72</v>
      </c>
      <c r="I138">
        <f>IF(C138="RB",LeagueInfo!$D$4*LeagueInfo!$F$2,IF(C138="WR",LeagueInfo!$D$5*LeagueInfo!$F$2,IF(C138="TE",LeagueInfo!$D$6*LeagueInfo!$F$2)))</f>
        <v>24</v>
      </c>
    </row>
    <row r="139" spans="1:9" x14ac:dyDescent="0.25">
      <c r="A139">
        <f ca="1">RANK(E139,E$2:E$462)</f>
        <v>138</v>
      </c>
      <c r="B139" t="s">
        <v>368</v>
      </c>
      <c r="C139" t="s">
        <v>35</v>
      </c>
      <c r="D139">
        <f ca="1">INDEX(INDIRECT($C139&amp;"!P:P"),MATCH($B139,INDIRECT($C139&amp;"!B:B"),0))</f>
        <v>105.55000000000001</v>
      </c>
      <c r="E139" s="210">
        <f ca="1">D139-LARGE(D$2:D$385,RBCount+WRCount+TECount)</f>
        <v>-2.4399999999999835</v>
      </c>
      <c r="F139" t="str">
        <f ca="1">IF(H139&lt;=I139,"Starter",IF(G139&gt;=LARGE(G:G,FlexOn*LeagueInfo!$F$2),"Starter","Bench"))</f>
        <v>Bench</v>
      </c>
      <c r="G139">
        <f ca="1">IF(H139&gt;I139,D139,0)</f>
        <v>105.55000000000001</v>
      </c>
      <c r="H139">
        <f ca="1">INDEX(INDIRECT(""&amp;C139&amp;"!A2:A489"),MATCH(B139,INDIRECT(""&amp;C139&amp;"!B2:B489"),0))</f>
        <v>73</v>
      </c>
      <c r="I139">
        <f>IF(C139="RB",LeagueInfo!$D$4*LeagueInfo!$F$2,IF(C139="WR",LeagueInfo!$D$5*LeagueInfo!$F$2,IF(C139="TE",LeagueInfo!$D$6*LeagueInfo!$F$2)))</f>
        <v>24</v>
      </c>
    </row>
    <row r="140" spans="1:9" x14ac:dyDescent="0.25">
      <c r="A140">
        <f ca="1">RANK(E140,E$2:E$462)</f>
        <v>139</v>
      </c>
      <c r="B140" t="s">
        <v>2451</v>
      </c>
      <c r="C140" t="s">
        <v>28</v>
      </c>
      <c r="D140">
        <f ca="1">INDEX(INDIRECT($C140&amp;"!P:P"),MATCH($B140,INDIRECT($C140&amp;"!B:B"),0))</f>
        <v>105.03</v>
      </c>
      <c r="E140" s="210">
        <f ca="1">D140-LARGE(D$2:D$385,RBCount+WRCount+TECount)</f>
        <v>-2.9599999999999937</v>
      </c>
      <c r="F140" t="str">
        <f ca="1">IF(H140&lt;=I140,"Starter",IF(G140&gt;=LARGE(G:G,FlexOn*LeagueInfo!$F$2),"Starter","Bench"))</f>
        <v>Bench</v>
      </c>
      <c r="G140">
        <f ca="1">IF(H140&gt;I140,D140,0)</f>
        <v>105.03</v>
      </c>
      <c r="H140">
        <f ca="1">INDEX(INDIRECT(""&amp;C140&amp;"!A2:A489"),MATCH(B140,INDIRECT(""&amp;C140&amp;"!B2:B489"),0))</f>
        <v>47</v>
      </c>
      <c r="I140">
        <f>IF(C140="RB",LeagueInfo!$D$4*LeagueInfo!$F$2,IF(C140="WR",LeagueInfo!$D$5*LeagueInfo!$F$2,IF(C140="TE",LeagueInfo!$D$6*LeagueInfo!$F$2)))</f>
        <v>24</v>
      </c>
    </row>
    <row r="141" spans="1:9" x14ac:dyDescent="0.25">
      <c r="A141">
        <f ca="1">RANK(E141,E$2:E$462)</f>
        <v>140</v>
      </c>
      <c r="B141" t="s">
        <v>558</v>
      </c>
      <c r="C141" t="s">
        <v>28</v>
      </c>
      <c r="D141">
        <f ca="1">INDEX(INDIRECT($C141&amp;"!P:P"),MATCH($B141,INDIRECT($C141&amp;"!B:B"),0))</f>
        <v>104.14000000000001</v>
      </c>
      <c r="E141" s="210">
        <f ca="1">D141-LARGE(D$2:D$385,RBCount+WRCount+TECount)</f>
        <v>-3.8499999999999801</v>
      </c>
      <c r="F141" t="str">
        <f ca="1">IF(H141&lt;=I141,"Starter",IF(G141&gt;=LARGE(G:G,FlexOn*LeagueInfo!$F$2),"Starter","Bench"))</f>
        <v>Bench</v>
      </c>
      <c r="G141">
        <f ca="1">IF(H141&gt;I141,D141,0)</f>
        <v>104.14000000000001</v>
      </c>
      <c r="H141">
        <f ca="1">INDEX(INDIRECT(""&amp;C141&amp;"!A2:A489"),MATCH(B141,INDIRECT(""&amp;C141&amp;"!B2:B489"),0))</f>
        <v>48</v>
      </c>
      <c r="I141">
        <f>IF(C141="RB",LeagueInfo!$D$4*LeagueInfo!$F$2,IF(C141="WR",LeagueInfo!$D$5*LeagueInfo!$F$2,IF(C141="TE",LeagueInfo!$D$6*LeagueInfo!$F$2)))</f>
        <v>24</v>
      </c>
    </row>
    <row r="142" spans="1:9" x14ac:dyDescent="0.25">
      <c r="A142">
        <f ca="1">RANK(E142,E$2:E$462)</f>
        <v>141</v>
      </c>
      <c r="B142" t="s">
        <v>992</v>
      </c>
      <c r="C142" t="s">
        <v>35</v>
      </c>
      <c r="D142">
        <f ca="1">INDEX(INDIRECT($C142&amp;"!P:P"),MATCH($B142,INDIRECT($C142&amp;"!B:B"),0))</f>
        <v>103.92</v>
      </c>
      <c r="E142" s="210">
        <f ca="1">D142-LARGE(D$2:D$385,RBCount+WRCount+TECount)</f>
        <v>-4.0699999999999932</v>
      </c>
      <c r="F142" t="str">
        <f ca="1">IF(H142&lt;=I142,"Starter",IF(G142&gt;=LARGE(G:G,FlexOn*LeagueInfo!$F$2),"Starter","Bench"))</f>
        <v>Bench</v>
      </c>
      <c r="G142">
        <f ca="1">IF(H142&gt;I142,D142,0)</f>
        <v>103.92</v>
      </c>
      <c r="H142">
        <f ca="1">INDEX(INDIRECT(""&amp;C142&amp;"!A2:A489"),MATCH(B142,INDIRECT(""&amp;C142&amp;"!B2:B489"),0))</f>
        <v>74</v>
      </c>
      <c r="I142">
        <f>IF(C142="RB",LeagueInfo!$D$4*LeagueInfo!$F$2,IF(C142="WR",LeagueInfo!$D$5*LeagueInfo!$F$2,IF(C142="TE",LeagueInfo!$D$6*LeagueInfo!$F$2)))</f>
        <v>24</v>
      </c>
    </row>
    <row r="143" spans="1:9" x14ac:dyDescent="0.25">
      <c r="A143">
        <f ca="1">RANK(E143,E$2:E$462)</f>
        <v>142</v>
      </c>
      <c r="B143" t="s">
        <v>860</v>
      </c>
      <c r="C143" t="s">
        <v>35</v>
      </c>
      <c r="D143">
        <f ca="1">INDEX(INDIRECT($C143&amp;"!P:P"),MATCH($B143,INDIRECT($C143&amp;"!B:B"),0))</f>
        <v>103.26000000000002</v>
      </c>
      <c r="E143" s="210">
        <f ca="1">D143-LARGE(D$2:D$385,RBCount+WRCount+TECount)</f>
        <v>-4.7299999999999756</v>
      </c>
      <c r="F143" t="str">
        <f ca="1">IF(H143&lt;=I143,"Starter",IF(G143&gt;=LARGE(G:G,FlexOn*LeagueInfo!$F$2),"Starter","Bench"))</f>
        <v>Bench</v>
      </c>
      <c r="G143">
        <f ca="1">IF(H143&gt;I143,D143,0)</f>
        <v>103.26000000000002</v>
      </c>
      <c r="H143">
        <f ca="1">INDEX(INDIRECT(""&amp;C143&amp;"!A2:A489"),MATCH(B143,INDIRECT(""&amp;C143&amp;"!B2:B489"),0))</f>
        <v>75</v>
      </c>
      <c r="I143">
        <f>IF(C143="RB",LeagueInfo!$D$4*LeagueInfo!$F$2,IF(C143="WR",LeagueInfo!$D$5*LeagueInfo!$F$2,IF(C143="TE",LeagueInfo!$D$6*LeagueInfo!$F$2)))</f>
        <v>24</v>
      </c>
    </row>
    <row r="144" spans="1:9" x14ac:dyDescent="0.25">
      <c r="A144">
        <f ca="1">RANK(E144,E$2:E$462)</f>
        <v>143</v>
      </c>
      <c r="B144" t="s">
        <v>437</v>
      </c>
      <c r="C144" t="s">
        <v>43</v>
      </c>
      <c r="D144">
        <f ca="1">INDEX(INDIRECT($C144&amp;"!P:P"),MATCH($B144,INDIRECT($C144&amp;"!B:B"),0))</f>
        <v>103.04</v>
      </c>
      <c r="E144" s="210">
        <f ca="1">D144-LARGE(D$2:D$385,RBCount+WRCount+TECount)</f>
        <v>-4.9499999999999886</v>
      </c>
      <c r="F144" t="str">
        <f ca="1">IF(H144&lt;=I144,"Starter",IF(G144&gt;=LARGE(G:G,FlexOn*LeagueInfo!$F$2),"Starter","Bench"))</f>
        <v>Bench</v>
      </c>
      <c r="G144">
        <f ca="1">IF(H144&gt;I144,D144,0)</f>
        <v>103.04</v>
      </c>
      <c r="H144">
        <f ca="1">INDEX(INDIRECT(""&amp;C144&amp;"!A2:A489"),MATCH(B144,INDIRECT(""&amp;C144&amp;"!B2:B489"),0))</f>
        <v>20</v>
      </c>
      <c r="I144">
        <f>IF(C144="RB",LeagueInfo!$D$4*LeagueInfo!$F$2,IF(C144="WR",LeagueInfo!$D$5*LeagueInfo!$F$2,IF(C144="TE",LeagueInfo!$D$6*LeagueInfo!$F$2)))</f>
        <v>12</v>
      </c>
    </row>
    <row r="145" spans="1:9" x14ac:dyDescent="0.25">
      <c r="A145">
        <f ca="1">RANK(E145,E$2:E$462)</f>
        <v>144</v>
      </c>
      <c r="B145" t="s">
        <v>826</v>
      </c>
      <c r="C145" t="s">
        <v>43</v>
      </c>
      <c r="D145">
        <f ca="1">INDEX(INDIRECT($C145&amp;"!P:P"),MATCH($B145,INDIRECT($C145&amp;"!B:B"),0))</f>
        <v>102.99000000000001</v>
      </c>
      <c r="E145" s="210">
        <f ca="1">D145-LARGE(D$2:D$385,RBCount+WRCount+TECount)</f>
        <v>-4.9999999999999858</v>
      </c>
      <c r="F145" t="str">
        <f ca="1">IF(H145&lt;=I145,"Starter",IF(G145&gt;=LARGE(G:G,FlexOn*LeagueInfo!$F$2),"Starter","Bench"))</f>
        <v>Bench</v>
      </c>
      <c r="G145">
        <f ca="1">IF(H145&gt;I145,D145,0)</f>
        <v>102.99000000000001</v>
      </c>
      <c r="H145">
        <f ca="1">INDEX(INDIRECT(""&amp;C145&amp;"!A2:A489"),MATCH(B145,INDIRECT(""&amp;C145&amp;"!B2:B489"),0))</f>
        <v>21</v>
      </c>
      <c r="I145">
        <f>IF(C145="RB",LeagueInfo!$D$4*LeagueInfo!$F$2,IF(C145="WR",LeagueInfo!$D$5*LeagueInfo!$F$2,IF(C145="TE",LeagueInfo!$D$6*LeagueInfo!$F$2)))</f>
        <v>12</v>
      </c>
    </row>
    <row r="146" spans="1:9" x14ac:dyDescent="0.25">
      <c r="A146">
        <f ca="1">RANK(E146,E$2:E$462)</f>
        <v>145</v>
      </c>
      <c r="B146" t="s">
        <v>757</v>
      </c>
      <c r="C146" t="s">
        <v>43</v>
      </c>
      <c r="D146">
        <f ca="1">INDEX(INDIRECT($C146&amp;"!P:P"),MATCH($B146,INDIRECT($C146&amp;"!B:B"),0))</f>
        <v>102.71</v>
      </c>
      <c r="E146" s="210">
        <f ca="1">D146-LARGE(D$2:D$385,RBCount+WRCount+TECount)</f>
        <v>-5.2800000000000011</v>
      </c>
      <c r="F146" t="str">
        <f ca="1">IF(H146&lt;=I146,"Starter",IF(G146&gt;=LARGE(G:G,FlexOn*LeagueInfo!$F$2),"Starter","Bench"))</f>
        <v>Bench</v>
      </c>
      <c r="G146">
        <f ca="1">IF(H146&gt;I146,D146,0)</f>
        <v>102.71</v>
      </c>
      <c r="H146">
        <f ca="1">INDEX(INDIRECT(""&amp;C146&amp;"!A2:A489"),MATCH(B146,INDIRECT(""&amp;C146&amp;"!B2:B489"),0))</f>
        <v>22</v>
      </c>
      <c r="I146">
        <f>IF(C146="RB",LeagueInfo!$D$4*LeagueInfo!$F$2,IF(C146="WR",LeagueInfo!$D$5*LeagueInfo!$F$2,IF(C146="TE",LeagueInfo!$D$6*LeagueInfo!$F$2)))</f>
        <v>12</v>
      </c>
    </row>
    <row r="147" spans="1:9" x14ac:dyDescent="0.25">
      <c r="A147">
        <f ca="1">RANK(E147,E$2:E$462)</f>
        <v>146</v>
      </c>
      <c r="B147" t="s">
        <v>223</v>
      </c>
      <c r="C147" t="s">
        <v>43</v>
      </c>
      <c r="D147">
        <f ca="1">INDEX(INDIRECT($C147&amp;"!P:P"),MATCH($B147,INDIRECT($C147&amp;"!B:B"),0))</f>
        <v>102.66000000000001</v>
      </c>
      <c r="E147" s="210">
        <f ca="1">D147-LARGE(D$2:D$385,RBCount+WRCount+TECount)</f>
        <v>-5.3299999999999841</v>
      </c>
      <c r="F147" t="str">
        <f ca="1">IF(H147&lt;=I147,"Starter",IF(G147&gt;=LARGE(G:G,FlexOn*LeagueInfo!$F$2),"Starter","Bench"))</f>
        <v>Bench</v>
      </c>
      <c r="G147">
        <f ca="1">IF(H147&gt;I147,D147,0)</f>
        <v>102.66000000000001</v>
      </c>
      <c r="H147">
        <f ca="1">INDEX(INDIRECT(""&amp;C147&amp;"!A2:A489"),MATCH(B147,INDIRECT(""&amp;C147&amp;"!B2:B489"),0))</f>
        <v>23</v>
      </c>
      <c r="I147">
        <f>IF(C147="RB",LeagueInfo!$D$4*LeagueInfo!$F$2,IF(C147="WR",LeagueInfo!$D$5*LeagueInfo!$F$2,IF(C147="TE",LeagueInfo!$D$6*LeagueInfo!$F$2)))</f>
        <v>12</v>
      </c>
    </row>
    <row r="148" spans="1:9" x14ac:dyDescent="0.25">
      <c r="A148">
        <f ca="1">RANK(E148,E$2:E$462)</f>
        <v>147</v>
      </c>
      <c r="B148" t="s">
        <v>841</v>
      </c>
      <c r="C148" t="s">
        <v>35</v>
      </c>
      <c r="D148">
        <f ca="1">INDEX(INDIRECT($C148&amp;"!P:P"),MATCH($B148,INDIRECT($C148&amp;"!B:B"),0))</f>
        <v>99.74</v>
      </c>
      <c r="E148" s="210">
        <f ca="1">D148-LARGE(D$2:D$385,RBCount+WRCount+TECount)</f>
        <v>-8.25</v>
      </c>
      <c r="F148" t="str">
        <f ca="1">IF(H148&lt;=I148,"Starter",IF(G148&gt;=LARGE(G:G,FlexOn*LeagueInfo!$F$2),"Starter","Bench"))</f>
        <v>Bench</v>
      </c>
      <c r="G148">
        <f ca="1">IF(H148&gt;I148,D148,0)</f>
        <v>99.74</v>
      </c>
      <c r="H148">
        <f ca="1">INDEX(INDIRECT(""&amp;C148&amp;"!A2:A489"),MATCH(B148,INDIRECT(""&amp;C148&amp;"!B2:B489"),0))</f>
        <v>76</v>
      </c>
      <c r="I148">
        <f>IF(C148="RB",LeagueInfo!$D$4*LeagueInfo!$F$2,IF(C148="WR",LeagueInfo!$D$5*LeagueInfo!$F$2,IF(C148="TE",LeagueInfo!$D$6*LeagueInfo!$F$2)))</f>
        <v>24</v>
      </c>
    </row>
    <row r="149" spans="1:9" x14ac:dyDescent="0.25">
      <c r="A149">
        <f ca="1">RANK(E149,E$2:E$462)</f>
        <v>148</v>
      </c>
      <c r="B149" t="s">
        <v>228</v>
      </c>
      <c r="C149" t="s">
        <v>43</v>
      </c>
      <c r="D149">
        <f ca="1">INDEX(INDIRECT($C149&amp;"!P:P"),MATCH($B149,INDIRECT($C149&amp;"!B:B"),0))</f>
        <v>99.03</v>
      </c>
      <c r="E149" s="210">
        <f ca="1">D149-LARGE(D$2:D$385,RBCount+WRCount+TECount)</f>
        <v>-8.9599999999999937</v>
      </c>
      <c r="F149" t="str">
        <f ca="1">IF(H149&lt;=I149,"Starter",IF(G149&gt;=LARGE(G:G,FlexOn*LeagueInfo!$F$2),"Starter","Bench"))</f>
        <v>Bench</v>
      </c>
      <c r="G149">
        <f ca="1">IF(H149&gt;I149,D149,0)</f>
        <v>99.03</v>
      </c>
      <c r="H149">
        <f ca="1">INDEX(INDIRECT(""&amp;C149&amp;"!A2:A489"),MATCH(B149,INDIRECT(""&amp;C149&amp;"!B2:B489"),0))</f>
        <v>24</v>
      </c>
      <c r="I149">
        <f>IF(C149="RB",LeagueInfo!$D$4*LeagueInfo!$F$2,IF(C149="WR",LeagueInfo!$D$5*LeagueInfo!$F$2,IF(C149="TE",LeagueInfo!$D$6*LeagueInfo!$F$2)))</f>
        <v>12</v>
      </c>
    </row>
    <row r="150" spans="1:9" x14ac:dyDescent="0.25">
      <c r="A150">
        <f ca="1">RANK(E150,E$2:E$462)</f>
        <v>149</v>
      </c>
      <c r="B150" t="s">
        <v>2423</v>
      </c>
      <c r="C150" t="s">
        <v>35</v>
      </c>
      <c r="D150">
        <f ca="1">INDEX(INDIRECT($C150&amp;"!P:P"),MATCH($B150,INDIRECT($C150&amp;"!B:B"),0))</f>
        <v>98.350000000000009</v>
      </c>
      <c r="E150" s="210">
        <f ca="1">D150-LARGE(D$2:D$385,RBCount+WRCount+TECount)</f>
        <v>-9.6399999999999864</v>
      </c>
      <c r="F150" t="str">
        <f ca="1">IF(H150&lt;=I150,"Starter",IF(G150&gt;=LARGE(G:G,FlexOn*LeagueInfo!$F$2),"Starter","Bench"))</f>
        <v>Bench</v>
      </c>
      <c r="G150">
        <f ca="1">IF(H150&gt;I150,D150,0)</f>
        <v>98.350000000000009</v>
      </c>
      <c r="H150">
        <f ca="1">INDEX(INDIRECT(""&amp;C150&amp;"!A2:A489"),MATCH(B150,INDIRECT(""&amp;C150&amp;"!B2:B489"),0))</f>
        <v>77</v>
      </c>
      <c r="I150">
        <f>IF(C150="RB",LeagueInfo!$D$4*LeagueInfo!$F$2,IF(C150="WR",LeagueInfo!$D$5*LeagueInfo!$F$2,IF(C150="TE",LeagueInfo!$D$6*LeagueInfo!$F$2)))</f>
        <v>24</v>
      </c>
    </row>
    <row r="151" spans="1:9" x14ac:dyDescent="0.25">
      <c r="A151">
        <f ca="1">RANK(E151,E$2:E$462)</f>
        <v>150</v>
      </c>
      <c r="B151" t="s">
        <v>188</v>
      </c>
      <c r="C151" t="s">
        <v>35</v>
      </c>
      <c r="D151">
        <f ca="1">INDEX(INDIRECT($C151&amp;"!P:P"),MATCH($B151,INDIRECT($C151&amp;"!B:B"),0))</f>
        <v>97.91</v>
      </c>
      <c r="E151" s="210">
        <f ca="1">D151-LARGE(D$2:D$385,RBCount+WRCount+TECount)</f>
        <v>-10.079999999999998</v>
      </c>
      <c r="F151" t="str">
        <f ca="1">IF(H151&lt;=I151,"Starter",IF(G151&gt;=LARGE(G:G,FlexOn*LeagueInfo!$F$2),"Starter","Bench"))</f>
        <v>Bench</v>
      </c>
      <c r="G151">
        <f ca="1">IF(H151&gt;I151,D151,0)</f>
        <v>97.91</v>
      </c>
      <c r="H151">
        <f ca="1">INDEX(INDIRECT(""&amp;C151&amp;"!A2:A489"),MATCH(B151,INDIRECT(""&amp;C151&amp;"!B2:B489"),0))</f>
        <v>78</v>
      </c>
      <c r="I151">
        <f>IF(C151="RB",LeagueInfo!$D$4*LeagueInfo!$F$2,IF(C151="WR",LeagueInfo!$D$5*LeagueInfo!$F$2,IF(C151="TE",LeagueInfo!$D$6*LeagueInfo!$F$2)))</f>
        <v>24</v>
      </c>
    </row>
    <row r="152" spans="1:9" x14ac:dyDescent="0.25">
      <c r="A152">
        <f ca="1">RANK(E152,E$2:E$462)</f>
        <v>151</v>
      </c>
      <c r="B152" t="s">
        <v>666</v>
      </c>
      <c r="C152" t="s">
        <v>28</v>
      </c>
      <c r="D152">
        <f ca="1">INDEX(INDIRECT($C152&amp;"!P:P"),MATCH($B152,INDIRECT($C152&amp;"!B:B"),0))</f>
        <v>97.86</v>
      </c>
      <c r="E152" s="210">
        <f ca="1">D152-LARGE(D$2:D$385,RBCount+WRCount+TECount)</f>
        <v>-10.129999999999995</v>
      </c>
      <c r="F152" t="str">
        <f ca="1">IF(H152&lt;=I152,"Starter",IF(G152&gt;=LARGE(G:G,FlexOn*LeagueInfo!$F$2),"Starter","Bench"))</f>
        <v>Bench</v>
      </c>
      <c r="G152">
        <f ca="1">IF(H152&gt;I152,D152,0)</f>
        <v>97.86</v>
      </c>
      <c r="H152">
        <f ca="1">INDEX(INDIRECT(""&amp;C152&amp;"!A2:A489"),MATCH(B152,INDIRECT(""&amp;C152&amp;"!B2:B489"),0))</f>
        <v>49</v>
      </c>
      <c r="I152">
        <f>IF(C152="RB",LeagueInfo!$D$4*LeagueInfo!$F$2,IF(C152="WR",LeagueInfo!$D$5*LeagueInfo!$F$2,IF(C152="TE",LeagueInfo!$D$6*LeagueInfo!$F$2)))</f>
        <v>24</v>
      </c>
    </row>
    <row r="153" spans="1:9" x14ac:dyDescent="0.25">
      <c r="A153">
        <f ca="1">RANK(E153,E$2:E$462)</f>
        <v>152</v>
      </c>
      <c r="B153" t="s">
        <v>578</v>
      </c>
      <c r="C153" t="s">
        <v>35</v>
      </c>
      <c r="D153">
        <f ca="1">INDEX(INDIRECT($C153&amp;"!P:P"),MATCH($B153,INDIRECT($C153&amp;"!B:B"),0))</f>
        <v>97.4</v>
      </c>
      <c r="E153" s="210">
        <f ca="1">D153-LARGE(D$2:D$385,RBCount+WRCount+TECount)</f>
        <v>-10.589999999999989</v>
      </c>
      <c r="F153" t="str">
        <f ca="1">IF(H153&lt;=I153,"Starter",IF(G153&gt;=LARGE(G:G,FlexOn*LeagueInfo!$F$2),"Starter","Bench"))</f>
        <v>Bench</v>
      </c>
      <c r="G153">
        <f ca="1">IF(H153&gt;I153,D153,0)</f>
        <v>97.4</v>
      </c>
      <c r="H153">
        <f ca="1">INDEX(INDIRECT(""&amp;C153&amp;"!A2:A489"),MATCH(B153,INDIRECT(""&amp;C153&amp;"!B2:B489"),0))</f>
        <v>79</v>
      </c>
      <c r="I153">
        <f>IF(C153="RB",LeagueInfo!$D$4*LeagueInfo!$F$2,IF(C153="WR",LeagueInfo!$D$5*LeagueInfo!$F$2,IF(C153="TE",LeagueInfo!$D$6*LeagueInfo!$F$2)))</f>
        <v>24</v>
      </c>
    </row>
    <row r="154" spans="1:9" x14ac:dyDescent="0.25">
      <c r="A154">
        <f ca="1">RANK(E154,E$2:E$462)</f>
        <v>153</v>
      </c>
      <c r="B154" t="s">
        <v>797</v>
      </c>
      <c r="C154" t="s">
        <v>28</v>
      </c>
      <c r="D154">
        <f ca="1">INDEX(INDIRECT($C154&amp;"!P:P"),MATCH($B154,INDIRECT($C154&amp;"!B:B"),0))</f>
        <v>94.68</v>
      </c>
      <c r="E154" s="210">
        <f ca="1">D154-LARGE(D$2:D$385,RBCount+WRCount+TECount)</f>
        <v>-13.309999999999988</v>
      </c>
      <c r="F154" t="str">
        <f ca="1">IF(H154&lt;=I154,"Starter",IF(G154&gt;=LARGE(G:G,FlexOn*LeagueInfo!$F$2),"Starter","Bench"))</f>
        <v>Bench</v>
      </c>
      <c r="G154">
        <f ca="1">IF(H154&gt;I154,D154,0)</f>
        <v>94.68</v>
      </c>
      <c r="H154">
        <f ca="1">INDEX(INDIRECT(""&amp;C154&amp;"!A2:A489"),MATCH(B154,INDIRECT(""&amp;C154&amp;"!B2:B489"),0))</f>
        <v>50</v>
      </c>
      <c r="I154">
        <f>IF(C154="RB",LeagueInfo!$D$4*LeagueInfo!$F$2,IF(C154="WR",LeagueInfo!$D$5*LeagueInfo!$F$2,IF(C154="TE",LeagueInfo!$D$6*LeagueInfo!$F$2)))</f>
        <v>24</v>
      </c>
    </row>
    <row r="155" spans="1:9" x14ac:dyDescent="0.25">
      <c r="A155">
        <f ca="1">RANK(E155,E$2:E$462)</f>
        <v>154</v>
      </c>
      <c r="B155" t="s">
        <v>2450</v>
      </c>
      <c r="C155" t="s">
        <v>28</v>
      </c>
      <c r="D155">
        <f ca="1">INDEX(INDIRECT($C155&amp;"!P:P"),MATCH($B155,INDIRECT($C155&amp;"!B:B"),0))</f>
        <v>92.02</v>
      </c>
      <c r="E155" s="210">
        <f ca="1">D155-LARGE(D$2:D$385,RBCount+WRCount+TECount)</f>
        <v>-15.969999999999999</v>
      </c>
      <c r="F155" t="str">
        <f ca="1">IF(H155&lt;=I155,"Starter",IF(G155&gt;=LARGE(G:G,FlexOn*LeagueInfo!$F$2),"Starter","Bench"))</f>
        <v>Bench</v>
      </c>
      <c r="G155">
        <f ca="1">IF(H155&gt;I155,D155,0)</f>
        <v>92.02</v>
      </c>
      <c r="H155">
        <f ca="1">INDEX(INDIRECT(""&amp;C155&amp;"!A2:A489"),MATCH(B155,INDIRECT(""&amp;C155&amp;"!B2:B489"),0))</f>
        <v>51</v>
      </c>
      <c r="I155">
        <f>IF(C155="RB",LeagueInfo!$D$4*LeagueInfo!$F$2,IF(C155="WR",LeagueInfo!$D$5*LeagueInfo!$F$2,IF(C155="TE",LeagueInfo!$D$6*LeagueInfo!$F$2)))</f>
        <v>24</v>
      </c>
    </row>
    <row r="156" spans="1:9" x14ac:dyDescent="0.25">
      <c r="A156">
        <f ca="1">RANK(E156,E$2:E$462)</f>
        <v>155</v>
      </c>
      <c r="B156" t="s">
        <v>218</v>
      </c>
      <c r="C156" t="s">
        <v>35</v>
      </c>
      <c r="D156">
        <f ca="1">INDEX(INDIRECT($C156&amp;"!P:P"),MATCH($B156,INDIRECT($C156&amp;"!B:B"),0))</f>
        <v>91.160000000000011</v>
      </c>
      <c r="E156" s="210">
        <f ca="1">D156-LARGE(D$2:D$385,RBCount+WRCount+TECount)</f>
        <v>-16.829999999999984</v>
      </c>
      <c r="F156" t="str">
        <f ca="1">IF(H156&lt;=I156,"Starter",IF(G156&gt;=LARGE(G:G,FlexOn*LeagueInfo!$F$2),"Starter","Bench"))</f>
        <v>Bench</v>
      </c>
      <c r="G156">
        <f ca="1">IF(H156&gt;I156,D156,0)</f>
        <v>91.160000000000011</v>
      </c>
      <c r="H156">
        <f ca="1">INDEX(INDIRECT(""&amp;C156&amp;"!A2:A489"),MATCH(B156,INDIRECT(""&amp;C156&amp;"!B2:B489"),0))</f>
        <v>80</v>
      </c>
      <c r="I156">
        <f>IF(C156="RB",LeagueInfo!$D$4*LeagueInfo!$F$2,IF(C156="WR",LeagueInfo!$D$5*LeagueInfo!$F$2,IF(C156="TE",LeagueInfo!$D$6*LeagueInfo!$F$2)))</f>
        <v>24</v>
      </c>
    </row>
    <row r="157" spans="1:9" x14ac:dyDescent="0.25">
      <c r="A157">
        <f ca="1">RANK(E157,E$2:E$462)</f>
        <v>156</v>
      </c>
      <c r="B157" t="s">
        <v>329</v>
      </c>
      <c r="C157" t="s">
        <v>28</v>
      </c>
      <c r="D157">
        <f ca="1">INDEX(INDIRECT($C157&amp;"!P:P"),MATCH($B157,INDIRECT($C157&amp;"!B:B"),0))</f>
        <v>90.89</v>
      </c>
      <c r="E157" s="210">
        <f ca="1">D157-LARGE(D$2:D$385,RBCount+WRCount+TECount)</f>
        <v>-17.099999999999994</v>
      </c>
      <c r="F157" t="str">
        <f ca="1">IF(H157&lt;=I157,"Starter",IF(G157&gt;=LARGE(G:G,FlexOn*LeagueInfo!$F$2),"Starter","Bench"))</f>
        <v>Bench</v>
      </c>
      <c r="G157">
        <f ca="1">IF(H157&gt;I157,D157,0)</f>
        <v>90.89</v>
      </c>
      <c r="H157">
        <f ca="1">INDEX(INDIRECT(""&amp;C157&amp;"!A2:A489"),MATCH(B157,INDIRECT(""&amp;C157&amp;"!B2:B489"),0))</f>
        <v>52</v>
      </c>
      <c r="I157">
        <f>IF(C157="RB",LeagueInfo!$D$4*LeagueInfo!$F$2,IF(C157="WR",LeagueInfo!$D$5*LeagueInfo!$F$2,IF(C157="TE",LeagueInfo!$D$6*LeagueInfo!$F$2)))</f>
        <v>24</v>
      </c>
    </row>
    <row r="158" spans="1:9" x14ac:dyDescent="0.25">
      <c r="A158">
        <f ca="1">RANK(E158,E$2:E$462)</f>
        <v>157</v>
      </c>
      <c r="B158" t="s">
        <v>2424</v>
      </c>
      <c r="C158" t="s">
        <v>35</v>
      </c>
      <c r="D158">
        <f ca="1">INDEX(INDIRECT($C158&amp;"!P:P"),MATCH($B158,INDIRECT($C158&amp;"!B:B"),0))</f>
        <v>90.699999999999989</v>
      </c>
      <c r="E158" s="210">
        <f ca="1">D158-LARGE(D$2:D$385,RBCount+WRCount+TECount)</f>
        <v>-17.290000000000006</v>
      </c>
      <c r="F158" t="str">
        <f ca="1">IF(H158&lt;=I158,"Starter",IF(G158&gt;=LARGE(G:G,FlexOn*LeagueInfo!$F$2),"Starter","Bench"))</f>
        <v>Bench</v>
      </c>
      <c r="G158">
        <f ca="1">IF(H158&gt;I158,D158,0)</f>
        <v>90.699999999999989</v>
      </c>
      <c r="H158">
        <f ca="1">INDEX(INDIRECT(""&amp;C158&amp;"!A2:A489"),MATCH(B158,INDIRECT(""&amp;C158&amp;"!B2:B489"),0))</f>
        <v>81</v>
      </c>
      <c r="I158">
        <f>IF(C158="RB",LeagueInfo!$D$4*LeagueInfo!$F$2,IF(C158="WR",LeagueInfo!$D$5*LeagueInfo!$F$2,IF(C158="TE",LeagueInfo!$D$6*LeagueInfo!$F$2)))</f>
        <v>24</v>
      </c>
    </row>
    <row r="159" spans="1:9" x14ac:dyDescent="0.25">
      <c r="A159">
        <f ca="1">RANK(E159,E$2:E$462)</f>
        <v>158</v>
      </c>
      <c r="B159" t="s">
        <v>2448</v>
      </c>
      <c r="C159" t="s">
        <v>28</v>
      </c>
      <c r="D159">
        <f ca="1">INDEX(INDIRECT($C159&amp;"!P:P"),MATCH($B159,INDIRECT($C159&amp;"!B:B"),0))</f>
        <v>89.070000000000007</v>
      </c>
      <c r="E159" s="210">
        <f ca="1">D159-LARGE(D$2:D$385,RBCount+WRCount+TECount)</f>
        <v>-18.919999999999987</v>
      </c>
      <c r="F159" t="str">
        <f ca="1">IF(H159&lt;=I159,"Starter",IF(G159&gt;=LARGE(G:G,FlexOn*LeagueInfo!$F$2),"Starter","Bench"))</f>
        <v>Bench</v>
      </c>
      <c r="G159">
        <f ca="1">IF(H159&gt;I159,D159,0)</f>
        <v>89.070000000000007</v>
      </c>
      <c r="H159">
        <f ca="1">INDEX(INDIRECT(""&amp;C159&amp;"!A2:A489"),MATCH(B159,INDIRECT(""&amp;C159&amp;"!B2:B489"),0))</f>
        <v>53</v>
      </c>
      <c r="I159">
        <f>IF(C159="RB",LeagueInfo!$D$4*LeagueInfo!$F$2,IF(C159="WR",LeagueInfo!$D$5*LeagueInfo!$F$2,IF(C159="TE",LeagueInfo!$D$6*LeagueInfo!$F$2)))</f>
        <v>24</v>
      </c>
    </row>
    <row r="160" spans="1:9" x14ac:dyDescent="0.25">
      <c r="A160">
        <f ca="1">RANK(E160,E$2:E$462)</f>
        <v>159</v>
      </c>
      <c r="B160" t="s">
        <v>964</v>
      </c>
      <c r="C160" t="s">
        <v>35</v>
      </c>
      <c r="D160">
        <f ca="1">INDEX(INDIRECT($C160&amp;"!P:P"),MATCH($B160,INDIRECT($C160&amp;"!B:B"),0))</f>
        <v>89.04</v>
      </c>
      <c r="E160" s="210">
        <f ca="1">D160-LARGE(D$2:D$385,RBCount+WRCount+TECount)</f>
        <v>-18.949999999999989</v>
      </c>
      <c r="F160" t="str">
        <f ca="1">IF(H160&lt;=I160,"Starter",IF(G160&gt;=LARGE(G:G,FlexOn*LeagueInfo!$F$2),"Starter","Bench"))</f>
        <v>Bench</v>
      </c>
      <c r="G160">
        <f ca="1">IF(H160&gt;I160,D160,0)</f>
        <v>89.04</v>
      </c>
      <c r="H160">
        <f ca="1">INDEX(INDIRECT(""&amp;C160&amp;"!A2:A489"),MATCH(B160,INDIRECT(""&amp;C160&amp;"!B2:B489"),0))</f>
        <v>82</v>
      </c>
      <c r="I160">
        <f>IF(C160="RB",LeagueInfo!$D$4*LeagueInfo!$F$2,IF(C160="WR",LeagueInfo!$D$5*LeagueInfo!$F$2,IF(C160="TE",LeagueInfo!$D$6*LeagueInfo!$F$2)))</f>
        <v>24</v>
      </c>
    </row>
    <row r="161" spans="1:9" x14ac:dyDescent="0.25">
      <c r="A161">
        <f ca="1">RANK(E161,E$2:E$462)</f>
        <v>160</v>
      </c>
      <c r="B161" t="s">
        <v>588</v>
      </c>
      <c r="C161" t="s">
        <v>43</v>
      </c>
      <c r="D161">
        <f ca="1">INDEX(INDIRECT($C161&amp;"!P:P"),MATCH($B161,INDIRECT($C161&amp;"!B:B"),0))</f>
        <v>88.01</v>
      </c>
      <c r="E161" s="210">
        <f ca="1">D161-LARGE(D$2:D$385,RBCount+WRCount+TECount)</f>
        <v>-19.97999999999999</v>
      </c>
      <c r="F161" t="str">
        <f ca="1">IF(H161&lt;=I161,"Starter",IF(G161&gt;=LARGE(G:G,FlexOn*LeagueInfo!$F$2),"Starter","Bench"))</f>
        <v>Bench</v>
      </c>
      <c r="G161">
        <f ca="1">IF(H161&gt;I161,D161,0)</f>
        <v>88.01</v>
      </c>
      <c r="H161">
        <f ca="1">INDEX(INDIRECT(""&amp;C161&amp;"!A2:A489"),MATCH(B161,INDIRECT(""&amp;C161&amp;"!B2:B489"),0))</f>
        <v>25</v>
      </c>
      <c r="I161">
        <f>IF(C161="RB",LeagueInfo!$D$4*LeagueInfo!$F$2,IF(C161="WR",LeagueInfo!$D$5*LeagueInfo!$F$2,IF(C161="TE",LeagueInfo!$D$6*LeagueInfo!$F$2)))</f>
        <v>12</v>
      </c>
    </row>
    <row r="162" spans="1:9" x14ac:dyDescent="0.25">
      <c r="A162">
        <f ca="1">RANK(E162,E$2:E$462)</f>
        <v>161</v>
      </c>
      <c r="B162" t="s">
        <v>101</v>
      </c>
      <c r="C162" t="s">
        <v>35</v>
      </c>
      <c r="D162">
        <f ca="1">INDEX(INDIRECT($C162&amp;"!P:P"),MATCH($B162,INDIRECT($C162&amp;"!B:B"),0))</f>
        <v>87.28</v>
      </c>
      <c r="E162" s="210">
        <f ca="1">D162-LARGE(D$2:D$385,RBCount+WRCount+TECount)</f>
        <v>-20.709999999999994</v>
      </c>
      <c r="F162" t="str">
        <f ca="1">IF(H162&lt;=I162,"Starter",IF(G162&gt;=LARGE(G:G,FlexOn*LeagueInfo!$F$2),"Starter","Bench"))</f>
        <v>Bench</v>
      </c>
      <c r="G162">
        <f ca="1">IF(H162&gt;I162,D162,0)</f>
        <v>87.28</v>
      </c>
      <c r="H162">
        <f ca="1">INDEX(INDIRECT(""&amp;C162&amp;"!A2:A489"),MATCH(B162,INDIRECT(""&amp;C162&amp;"!B2:B489"),0))</f>
        <v>83</v>
      </c>
      <c r="I162">
        <f>IF(C162="RB",LeagueInfo!$D$4*LeagueInfo!$F$2,IF(C162="WR",LeagueInfo!$D$5*LeagueInfo!$F$2,IF(C162="TE",LeagueInfo!$D$6*LeagueInfo!$F$2)))</f>
        <v>24</v>
      </c>
    </row>
    <row r="163" spans="1:9" x14ac:dyDescent="0.25">
      <c r="A163">
        <f ca="1">RANK(E163,E$2:E$462)</f>
        <v>162</v>
      </c>
      <c r="B163" t="s">
        <v>849</v>
      </c>
      <c r="C163" t="s">
        <v>35</v>
      </c>
      <c r="D163">
        <f ca="1">INDEX(INDIRECT($C163&amp;"!P:P"),MATCH($B163,INDIRECT($C163&amp;"!B:B"),0))</f>
        <v>86.27</v>
      </c>
      <c r="E163" s="210">
        <f ca="1">D163-LARGE(D$2:D$385,RBCount+WRCount+TECount)</f>
        <v>-21.72</v>
      </c>
      <c r="F163" t="str">
        <f ca="1">IF(H163&lt;=I163,"Starter",IF(G163&gt;=LARGE(G:G,FlexOn*LeagueInfo!$F$2),"Starter","Bench"))</f>
        <v>Bench</v>
      </c>
      <c r="G163">
        <f ca="1">IF(H163&gt;I163,D163,0)</f>
        <v>86.27</v>
      </c>
      <c r="H163">
        <f ca="1">INDEX(INDIRECT(""&amp;C163&amp;"!A2:A489"),MATCH(B163,INDIRECT(""&amp;C163&amp;"!B2:B489"),0))</f>
        <v>84</v>
      </c>
      <c r="I163">
        <f>IF(C163="RB",LeagueInfo!$D$4*LeagueInfo!$F$2,IF(C163="WR",LeagueInfo!$D$5*LeagueInfo!$F$2,IF(C163="TE",LeagueInfo!$D$6*LeagueInfo!$F$2)))</f>
        <v>24</v>
      </c>
    </row>
    <row r="164" spans="1:9" x14ac:dyDescent="0.25">
      <c r="A164">
        <f ca="1">RANK(E164,E$2:E$462)</f>
        <v>163</v>
      </c>
      <c r="B164" t="s">
        <v>408</v>
      </c>
      <c r="C164" t="s">
        <v>35</v>
      </c>
      <c r="D164">
        <f ca="1">INDEX(INDIRECT($C164&amp;"!P:P"),MATCH($B164,INDIRECT($C164&amp;"!B:B"),0))</f>
        <v>85.710000000000008</v>
      </c>
      <c r="E164" s="210">
        <f ca="1">D164-LARGE(D$2:D$385,RBCount+WRCount+TECount)</f>
        <v>-22.279999999999987</v>
      </c>
      <c r="F164" t="str">
        <f ca="1">IF(H164&lt;=I164,"Starter",IF(G164&gt;=LARGE(G:G,FlexOn*LeagueInfo!$F$2),"Starter","Bench"))</f>
        <v>Bench</v>
      </c>
      <c r="G164">
        <f ca="1">IF(H164&gt;I164,D164,0)</f>
        <v>85.710000000000008</v>
      </c>
      <c r="H164">
        <f ca="1">INDEX(INDIRECT(""&amp;C164&amp;"!A2:A489"),MATCH(B164,INDIRECT(""&amp;C164&amp;"!B2:B489"),0))</f>
        <v>85</v>
      </c>
      <c r="I164">
        <f>IF(C164="RB",LeagueInfo!$D$4*LeagueInfo!$F$2,IF(C164="WR",LeagueInfo!$D$5*LeagueInfo!$F$2,IF(C164="TE",LeagueInfo!$D$6*LeagueInfo!$F$2)))</f>
        <v>24</v>
      </c>
    </row>
    <row r="165" spans="1:9" x14ac:dyDescent="0.25">
      <c r="A165">
        <f ca="1">RANK(E165,E$2:E$462)</f>
        <v>164</v>
      </c>
      <c r="B165" t="s">
        <v>2427</v>
      </c>
      <c r="C165" t="s">
        <v>35</v>
      </c>
      <c r="D165">
        <f ca="1">INDEX(INDIRECT($C165&amp;"!P:P"),MATCH($B165,INDIRECT($C165&amp;"!B:B"),0))</f>
        <v>84.82</v>
      </c>
      <c r="E165" s="210">
        <f ca="1">D165-LARGE(D$2:D$385,RBCount+WRCount+TECount)</f>
        <v>-23.17</v>
      </c>
      <c r="F165" t="str">
        <f ca="1">IF(H165&lt;=I165,"Starter",IF(G165&gt;=LARGE(G:G,FlexOn*LeagueInfo!$F$2),"Starter","Bench"))</f>
        <v>Bench</v>
      </c>
      <c r="G165">
        <f ca="1">IF(H165&gt;I165,D165,0)</f>
        <v>84.82</v>
      </c>
      <c r="H165">
        <f ca="1">INDEX(INDIRECT(""&amp;C165&amp;"!A2:A489"),MATCH(B165,INDIRECT(""&amp;C165&amp;"!B2:B489"),0))</f>
        <v>86</v>
      </c>
      <c r="I165">
        <f>IF(C165="RB",LeagueInfo!$D$4*LeagueInfo!$F$2,IF(C165="WR",LeagueInfo!$D$5*LeagueInfo!$F$2,IF(C165="TE",LeagueInfo!$D$6*LeagueInfo!$F$2)))</f>
        <v>24</v>
      </c>
    </row>
    <row r="166" spans="1:9" x14ac:dyDescent="0.25">
      <c r="A166">
        <f ca="1">RANK(E166,E$2:E$462)</f>
        <v>165</v>
      </c>
      <c r="B166" t="s">
        <v>748</v>
      </c>
      <c r="C166" t="s">
        <v>43</v>
      </c>
      <c r="D166">
        <f ca="1">INDEX(INDIRECT($C166&amp;"!P:P"),MATCH($B166,INDIRECT($C166&amp;"!B:B"),0))</f>
        <v>82.99</v>
      </c>
      <c r="E166" s="210">
        <f ca="1">D166-LARGE(D$2:D$385,RBCount+WRCount+TECount)</f>
        <v>-25</v>
      </c>
      <c r="F166" t="str">
        <f ca="1">IF(H166&lt;=I166,"Starter",IF(G166&gt;=LARGE(G:G,FlexOn*LeagueInfo!$F$2),"Starter","Bench"))</f>
        <v>Bench</v>
      </c>
      <c r="G166">
        <f ca="1">IF(H166&gt;I166,D166,0)</f>
        <v>82.99</v>
      </c>
      <c r="H166">
        <f ca="1">INDEX(INDIRECT(""&amp;C166&amp;"!A2:A489"),MATCH(B166,INDIRECT(""&amp;C166&amp;"!B2:B489"),0))</f>
        <v>26</v>
      </c>
      <c r="I166">
        <f>IF(C166="RB",LeagueInfo!$D$4*LeagueInfo!$F$2,IF(C166="WR",LeagueInfo!$D$5*LeagueInfo!$F$2,IF(C166="TE",LeagueInfo!$D$6*LeagueInfo!$F$2)))</f>
        <v>12</v>
      </c>
    </row>
    <row r="167" spans="1:9" x14ac:dyDescent="0.25">
      <c r="A167">
        <f ca="1">RANK(E167,E$2:E$462)</f>
        <v>166</v>
      </c>
      <c r="B167" t="s">
        <v>2429</v>
      </c>
      <c r="C167" t="s">
        <v>35</v>
      </c>
      <c r="D167">
        <f ca="1">INDEX(INDIRECT($C167&amp;"!P:P"),MATCH($B167,INDIRECT($C167&amp;"!B:B"),0))</f>
        <v>82.64</v>
      </c>
      <c r="E167" s="210">
        <f ca="1">D167-LARGE(D$2:D$385,RBCount+WRCount+TECount)</f>
        <v>-25.349999999999994</v>
      </c>
      <c r="F167" t="str">
        <f ca="1">IF(H167&lt;=I167,"Starter",IF(G167&gt;=LARGE(G:G,FlexOn*LeagueInfo!$F$2),"Starter","Bench"))</f>
        <v>Bench</v>
      </c>
      <c r="G167">
        <f ca="1">IF(H167&gt;I167,D167,0)</f>
        <v>82.64</v>
      </c>
      <c r="H167">
        <f ca="1">INDEX(INDIRECT(""&amp;C167&amp;"!A2:A489"),MATCH(B167,INDIRECT(""&amp;C167&amp;"!B2:B489"),0))</f>
        <v>87</v>
      </c>
      <c r="I167">
        <f>IF(C167="RB",LeagueInfo!$D$4*LeagueInfo!$F$2,IF(C167="WR",LeagueInfo!$D$5*LeagueInfo!$F$2,IF(C167="TE",LeagueInfo!$D$6*LeagueInfo!$F$2)))</f>
        <v>24</v>
      </c>
    </row>
    <row r="168" spans="1:9" x14ac:dyDescent="0.25">
      <c r="A168">
        <f ca="1">RANK(E168,E$2:E$462)</f>
        <v>167</v>
      </c>
      <c r="B168" t="s">
        <v>843</v>
      </c>
      <c r="C168" t="s">
        <v>35</v>
      </c>
      <c r="D168">
        <f ca="1">INDEX(INDIRECT($C168&amp;"!P:P"),MATCH($B168,INDIRECT($C168&amp;"!B:B"),0))</f>
        <v>82.28</v>
      </c>
      <c r="E168" s="210">
        <f ca="1">D168-LARGE(D$2:D$385,RBCount+WRCount+TECount)</f>
        <v>-25.709999999999994</v>
      </c>
      <c r="F168" t="str">
        <f ca="1">IF(H168&lt;=I168,"Starter",IF(G168&gt;=LARGE(G:G,FlexOn*LeagueInfo!$F$2),"Starter","Bench"))</f>
        <v>Bench</v>
      </c>
      <c r="G168">
        <f ca="1">IF(H168&gt;I168,D168,0)</f>
        <v>82.28</v>
      </c>
      <c r="H168">
        <f ca="1">INDEX(INDIRECT(""&amp;C168&amp;"!A2:A489"),MATCH(B168,INDIRECT(""&amp;C168&amp;"!B2:B489"),0))</f>
        <v>88</v>
      </c>
      <c r="I168">
        <f>IF(C168="RB",LeagueInfo!$D$4*LeagueInfo!$F$2,IF(C168="WR",LeagueInfo!$D$5*LeagueInfo!$F$2,IF(C168="TE",LeagueInfo!$D$6*LeagueInfo!$F$2)))</f>
        <v>24</v>
      </c>
    </row>
    <row r="169" spans="1:9" x14ac:dyDescent="0.25">
      <c r="A169">
        <f ca="1">RANK(E169,E$2:E$462)</f>
        <v>168</v>
      </c>
      <c r="B169" t="s">
        <v>940</v>
      </c>
      <c r="C169" t="s">
        <v>28</v>
      </c>
      <c r="D169">
        <f ca="1">INDEX(INDIRECT($C169&amp;"!P:P"),MATCH($B169,INDIRECT($C169&amp;"!B:B"),0))</f>
        <v>82.190000000000012</v>
      </c>
      <c r="E169" s="210">
        <f ca="1">D169-LARGE(D$2:D$385,RBCount+WRCount+TECount)</f>
        <v>-25.799999999999983</v>
      </c>
      <c r="F169" t="str">
        <f ca="1">IF(H169&lt;=I169,"Starter",IF(G169&gt;=LARGE(G:G,FlexOn*LeagueInfo!$F$2),"Starter","Bench"))</f>
        <v>Bench</v>
      </c>
      <c r="G169">
        <f ca="1">IF(H169&gt;I169,D169,0)</f>
        <v>82.190000000000012</v>
      </c>
      <c r="H169">
        <f ca="1">INDEX(INDIRECT(""&amp;C169&amp;"!A2:A489"),MATCH(B169,INDIRECT(""&amp;C169&amp;"!B2:B489"),0))</f>
        <v>54</v>
      </c>
      <c r="I169">
        <f>IF(C169="RB",LeagueInfo!$D$4*LeagueInfo!$F$2,IF(C169="WR",LeagueInfo!$D$5*LeagueInfo!$F$2,IF(C169="TE",LeagueInfo!$D$6*LeagueInfo!$F$2)))</f>
        <v>24</v>
      </c>
    </row>
    <row r="170" spans="1:9" x14ac:dyDescent="0.25">
      <c r="A170">
        <f ca="1">RANK(E170,E$2:E$462)</f>
        <v>169</v>
      </c>
      <c r="B170" t="s">
        <v>979</v>
      </c>
      <c r="C170" t="s">
        <v>43</v>
      </c>
      <c r="D170">
        <f ca="1">INDEX(INDIRECT($C170&amp;"!P:P"),MATCH($B170,INDIRECT($C170&amp;"!B:B"),0))</f>
        <v>80.36</v>
      </c>
      <c r="E170" s="210">
        <f ca="1">D170-LARGE(D$2:D$385,RBCount+WRCount+TECount)</f>
        <v>-27.629999999999995</v>
      </c>
      <c r="F170" t="str">
        <f ca="1">IF(H170&lt;=I170,"Starter",IF(G170&gt;=LARGE(G:G,FlexOn*LeagueInfo!$F$2),"Starter","Bench"))</f>
        <v>Bench</v>
      </c>
      <c r="G170">
        <f ca="1">IF(H170&gt;I170,D170,0)</f>
        <v>80.36</v>
      </c>
      <c r="H170">
        <f ca="1">INDEX(INDIRECT(""&amp;C170&amp;"!A2:A489"),MATCH(B170,INDIRECT(""&amp;C170&amp;"!B2:B489"),0))</f>
        <v>27</v>
      </c>
      <c r="I170">
        <f>IF(C170="RB",LeagueInfo!$D$4*LeagueInfo!$F$2,IF(C170="WR",LeagueInfo!$D$5*LeagueInfo!$F$2,IF(C170="TE",LeagueInfo!$D$6*LeagueInfo!$F$2)))</f>
        <v>12</v>
      </c>
    </row>
    <row r="171" spans="1:9" x14ac:dyDescent="0.25">
      <c r="A171">
        <f ca="1">RANK(E171,E$2:E$462)</f>
        <v>170</v>
      </c>
      <c r="B171" t="s">
        <v>842</v>
      </c>
      <c r="C171" t="s">
        <v>35</v>
      </c>
      <c r="D171">
        <f ca="1">INDEX(INDIRECT($C171&amp;"!P:P"),MATCH($B171,INDIRECT($C171&amp;"!B:B"),0))</f>
        <v>80.2</v>
      </c>
      <c r="E171" s="210">
        <f ca="1">D171-LARGE(D$2:D$385,RBCount+WRCount+TECount)</f>
        <v>-27.789999999999992</v>
      </c>
      <c r="F171" t="str">
        <f ca="1">IF(H171&lt;=I171,"Starter",IF(G171&gt;=LARGE(G:G,FlexOn*LeagueInfo!$F$2),"Starter","Bench"))</f>
        <v>Bench</v>
      </c>
      <c r="G171">
        <f ca="1">IF(H171&gt;I171,D171,0)</f>
        <v>80.2</v>
      </c>
      <c r="H171">
        <f ca="1">INDEX(INDIRECT(""&amp;C171&amp;"!A2:A489"),MATCH(B171,INDIRECT(""&amp;C171&amp;"!B2:B489"),0))</f>
        <v>89</v>
      </c>
      <c r="I171">
        <f>IF(C171="RB",LeagueInfo!$D$4*LeagueInfo!$F$2,IF(C171="WR",LeagueInfo!$D$5*LeagueInfo!$F$2,IF(C171="TE",LeagueInfo!$D$6*LeagueInfo!$F$2)))</f>
        <v>24</v>
      </c>
    </row>
    <row r="172" spans="1:9" x14ac:dyDescent="0.25">
      <c r="A172">
        <f ca="1">RANK(E172,E$2:E$462)</f>
        <v>171</v>
      </c>
      <c r="B172" t="s">
        <v>2420</v>
      </c>
      <c r="C172" t="s">
        <v>35</v>
      </c>
      <c r="D172">
        <f ca="1">INDEX(INDIRECT($C172&amp;"!P:P"),MATCH($B172,INDIRECT($C172&amp;"!B:B"),0))</f>
        <v>79.42</v>
      </c>
      <c r="E172" s="210">
        <f ca="1">D172-LARGE(D$2:D$385,RBCount+WRCount+TECount)</f>
        <v>-28.569999999999993</v>
      </c>
      <c r="F172" t="str">
        <f ca="1">IF(H172&lt;=I172,"Starter",IF(G172&gt;=LARGE(G:G,FlexOn*LeagueInfo!$F$2),"Starter","Bench"))</f>
        <v>Bench</v>
      </c>
      <c r="G172">
        <f ca="1">IF(H172&gt;I172,D172,0)</f>
        <v>79.42</v>
      </c>
      <c r="H172">
        <f ca="1">INDEX(INDIRECT(""&amp;C172&amp;"!A2:A489"),MATCH(B172,INDIRECT(""&amp;C172&amp;"!B2:B489"),0))</f>
        <v>90</v>
      </c>
      <c r="I172">
        <f>IF(C172="RB",LeagueInfo!$D$4*LeagueInfo!$F$2,IF(C172="WR",LeagueInfo!$D$5*LeagueInfo!$F$2,IF(C172="TE",LeagueInfo!$D$6*LeagueInfo!$F$2)))</f>
        <v>24</v>
      </c>
    </row>
    <row r="173" spans="1:9" x14ac:dyDescent="0.25">
      <c r="A173">
        <f ca="1">RANK(E173,E$2:E$462)</f>
        <v>172</v>
      </c>
      <c r="B173" t="s">
        <v>2421</v>
      </c>
      <c r="C173" t="s">
        <v>35</v>
      </c>
      <c r="D173">
        <f ca="1">INDEX(INDIRECT($C173&amp;"!P:P"),MATCH($B173,INDIRECT($C173&amp;"!B:B"),0))</f>
        <v>79.240000000000009</v>
      </c>
      <c r="E173" s="210">
        <f ca="1">D173-LARGE(D$2:D$385,RBCount+WRCount+TECount)</f>
        <v>-28.749999999999986</v>
      </c>
      <c r="F173" t="str">
        <f ca="1">IF(H173&lt;=I173,"Starter",IF(G173&gt;=LARGE(G:G,FlexOn*LeagueInfo!$F$2),"Starter","Bench"))</f>
        <v>Bench</v>
      </c>
      <c r="G173">
        <f ca="1">IF(H173&gt;I173,D173,0)</f>
        <v>79.240000000000009</v>
      </c>
      <c r="H173">
        <f ca="1">INDEX(INDIRECT(""&amp;C173&amp;"!A2:A489"),MATCH(B173,INDIRECT(""&amp;C173&amp;"!B2:B489"),0))</f>
        <v>91</v>
      </c>
      <c r="I173">
        <f>IF(C173="RB",LeagueInfo!$D$4*LeagueInfo!$F$2,IF(C173="WR",LeagueInfo!$D$5*LeagueInfo!$F$2,IF(C173="TE",LeagueInfo!$D$6*LeagueInfo!$F$2)))</f>
        <v>24</v>
      </c>
    </row>
    <row r="174" spans="1:9" x14ac:dyDescent="0.25">
      <c r="A174">
        <f ca="1">RANK(E174,E$2:E$462)</f>
        <v>173</v>
      </c>
      <c r="B174" t="s">
        <v>120</v>
      </c>
      <c r="C174" t="s">
        <v>35</v>
      </c>
      <c r="D174">
        <f ca="1">INDEX(INDIRECT($C174&amp;"!P:P"),MATCH($B174,INDIRECT($C174&amp;"!B:B"),0))</f>
        <v>78.600000000000009</v>
      </c>
      <c r="E174" s="210">
        <f ca="1">D174-LARGE(D$2:D$385,RBCount+WRCount+TECount)</f>
        <v>-29.389999999999986</v>
      </c>
      <c r="F174" t="str">
        <f ca="1">IF(H174&lt;=I174,"Starter",IF(G174&gt;=LARGE(G:G,FlexOn*LeagueInfo!$F$2),"Starter","Bench"))</f>
        <v>Bench</v>
      </c>
      <c r="G174">
        <f ca="1">IF(H174&gt;I174,D174,0)</f>
        <v>78.600000000000009</v>
      </c>
      <c r="H174">
        <f ca="1">INDEX(INDIRECT(""&amp;C174&amp;"!A2:A489"),MATCH(B174,INDIRECT(""&amp;C174&amp;"!B2:B489"),0))</f>
        <v>92</v>
      </c>
      <c r="I174">
        <f>IF(C174="RB",LeagueInfo!$D$4*LeagueInfo!$F$2,IF(C174="WR",LeagueInfo!$D$5*LeagueInfo!$F$2,IF(C174="TE",LeagueInfo!$D$6*LeagueInfo!$F$2)))</f>
        <v>24</v>
      </c>
    </row>
    <row r="175" spans="1:9" x14ac:dyDescent="0.25">
      <c r="A175">
        <f ca="1">RANK(E175,E$2:E$462)</f>
        <v>174</v>
      </c>
      <c r="B175" t="s">
        <v>150</v>
      </c>
      <c r="C175" t="s">
        <v>35</v>
      </c>
      <c r="D175">
        <f ca="1">INDEX(INDIRECT($C175&amp;"!P:P"),MATCH($B175,INDIRECT($C175&amp;"!B:B"),0))</f>
        <v>77.470000000000013</v>
      </c>
      <c r="E175" s="210">
        <f ca="1">D175-LARGE(D$2:D$385,RBCount+WRCount+TECount)</f>
        <v>-30.519999999999982</v>
      </c>
      <c r="F175" t="str">
        <f ca="1">IF(H175&lt;=I175,"Starter",IF(G175&gt;=LARGE(G:G,FlexOn*LeagueInfo!$F$2),"Starter","Bench"))</f>
        <v>Bench</v>
      </c>
      <c r="G175">
        <f ca="1">IF(H175&gt;I175,D175,0)</f>
        <v>77.470000000000013</v>
      </c>
      <c r="H175">
        <f ca="1">INDEX(INDIRECT(""&amp;C175&amp;"!A2:A489"),MATCH(B175,INDIRECT(""&amp;C175&amp;"!B2:B489"),0))</f>
        <v>93</v>
      </c>
      <c r="I175">
        <f>IF(C175="RB",LeagueInfo!$D$4*LeagueInfo!$F$2,IF(C175="WR",LeagueInfo!$D$5*LeagueInfo!$F$2,IF(C175="TE",LeagueInfo!$D$6*LeagueInfo!$F$2)))</f>
        <v>24</v>
      </c>
    </row>
    <row r="176" spans="1:9" x14ac:dyDescent="0.25">
      <c r="A176">
        <f ca="1">RANK(E176,E$2:E$462)</f>
        <v>175</v>
      </c>
      <c r="B176" t="s">
        <v>726</v>
      </c>
      <c r="C176" t="s">
        <v>35</v>
      </c>
      <c r="D176">
        <f ca="1">INDEX(INDIRECT($C176&amp;"!P:P"),MATCH($B176,INDIRECT($C176&amp;"!B:B"),0))</f>
        <v>76.680000000000007</v>
      </c>
      <c r="E176" s="210">
        <f ca="1">D176-LARGE(D$2:D$385,RBCount+WRCount+TECount)</f>
        <v>-31.309999999999988</v>
      </c>
      <c r="F176" t="str">
        <f ca="1">IF(H176&lt;=I176,"Starter",IF(G176&gt;=LARGE(G:G,FlexOn*LeagueInfo!$F$2),"Starter","Bench"))</f>
        <v>Bench</v>
      </c>
      <c r="G176">
        <f ca="1">IF(H176&gt;I176,D176,0)</f>
        <v>76.680000000000007</v>
      </c>
      <c r="H176">
        <f ca="1">INDEX(INDIRECT(""&amp;C176&amp;"!A2:A489"),MATCH(B176,INDIRECT(""&amp;C176&amp;"!B2:B489"),0))</f>
        <v>94</v>
      </c>
      <c r="I176">
        <f>IF(C176="RB",LeagueInfo!$D$4*LeagueInfo!$F$2,IF(C176="WR",LeagueInfo!$D$5*LeagueInfo!$F$2,IF(C176="TE",LeagueInfo!$D$6*LeagueInfo!$F$2)))</f>
        <v>24</v>
      </c>
    </row>
    <row r="177" spans="1:9" x14ac:dyDescent="0.25">
      <c r="A177">
        <f ca="1">RANK(E177,E$2:E$462)</f>
        <v>176</v>
      </c>
      <c r="B177" t="s">
        <v>569</v>
      </c>
      <c r="C177" t="s">
        <v>35</v>
      </c>
      <c r="D177">
        <f ca="1">INDEX(INDIRECT($C177&amp;"!P:P"),MATCH($B177,INDIRECT($C177&amp;"!B:B"),0))</f>
        <v>76.400000000000006</v>
      </c>
      <c r="E177" s="210">
        <f ca="1">D177-LARGE(D$2:D$385,RBCount+WRCount+TECount)</f>
        <v>-31.589999999999989</v>
      </c>
      <c r="F177" t="str">
        <f ca="1">IF(H177&lt;=I177,"Starter",IF(G177&gt;=LARGE(G:G,FlexOn*LeagueInfo!$F$2),"Starter","Bench"))</f>
        <v>Bench</v>
      </c>
      <c r="G177">
        <f ca="1">IF(H177&gt;I177,D177,0)</f>
        <v>76.400000000000006</v>
      </c>
      <c r="H177">
        <f ca="1">INDEX(INDIRECT(""&amp;C177&amp;"!A2:A489"),MATCH(B177,INDIRECT(""&amp;C177&amp;"!B2:B489"),0))</f>
        <v>95</v>
      </c>
      <c r="I177">
        <f>IF(C177="RB",LeagueInfo!$D$4*LeagueInfo!$F$2,IF(C177="WR",LeagueInfo!$D$5*LeagueInfo!$F$2,IF(C177="TE",LeagueInfo!$D$6*LeagueInfo!$F$2)))</f>
        <v>24</v>
      </c>
    </row>
    <row r="178" spans="1:9" x14ac:dyDescent="0.25">
      <c r="A178">
        <f ca="1">RANK(E178,E$2:E$462)</f>
        <v>177</v>
      </c>
      <c r="B178" t="s">
        <v>333</v>
      </c>
      <c r="C178" t="s">
        <v>28</v>
      </c>
      <c r="D178">
        <f ca="1">INDEX(INDIRECT($C178&amp;"!P:P"),MATCH($B178,INDIRECT($C178&amp;"!B:B"),0))</f>
        <v>75.62</v>
      </c>
      <c r="E178" s="210">
        <f ca="1">D178-LARGE(D$2:D$385,RBCount+WRCount+TECount)</f>
        <v>-32.36999999999999</v>
      </c>
      <c r="F178" t="str">
        <f ca="1">IF(H178&lt;=I178,"Starter",IF(G178&gt;=LARGE(G:G,FlexOn*LeagueInfo!$F$2),"Starter","Bench"))</f>
        <v>Bench</v>
      </c>
      <c r="G178">
        <f ca="1">IF(H178&gt;I178,D178,0)</f>
        <v>75.62</v>
      </c>
      <c r="H178">
        <f ca="1">INDEX(INDIRECT(""&amp;C178&amp;"!A2:A489"),MATCH(B178,INDIRECT(""&amp;C178&amp;"!B2:B489"),0))</f>
        <v>55</v>
      </c>
      <c r="I178">
        <f>IF(C178="RB",LeagueInfo!$D$4*LeagueInfo!$F$2,IF(C178="WR",LeagueInfo!$D$5*LeagueInfo!$F$2,IF(C178="TE",LeagueInfo!$D$6*LeagueInfo!$F$2)))</f>
        <v>24</v>
      </c>
    </row>
    <row r="179" spans="1:9" x14ac:dyDescent="0.25">
      <c r="A179">
        <f ca="1">RANK(E179,E$2:E$462)</f>
        <v>178</v>
      </c>
      <c r="B179" t="s">
        <v>388</v>
      </c>
      <c r="C179" t="s">
        <v>35</v>
      </c>
      <c r="D179">
        <f ca="1">INDEX(INDIRECT($C179&amp;"!P:P"),MATCH($B179,INDIRECT($C179&amp;"!B:B"),0))</f>
        <v>73.400000000000006</v>
      </c>
      <c r="E179" s="210">
        <f ca="1">D179-LARGE(D$2:D$385,RBCount+WRCount+TECount)</f>
        <v>-34.589999999999989</v>
      </c>
      <c r="F179" t="str">
        <f ca="1">IF(H179&lt;=I179,"Starter",IF(G179&gt;=LARGE(G:G,FlexOn*LeagueInfo!$F$2),"Starter","Bench"))</f>
        <v>Bench</v>
      </c>
      <c r="G179">
        <f ca="1">IF(H179&gt;I179,D179,0)</f>
        <v>73.400000000000006</v>
      </c>
      <c r="H179">
        <f ca="1">INDEX(INDIRECT(""&amp;C179&amp;"!A2:A489"),MATCH(B179,INDIRECT(""&amp;C179&amp;"!B2:B489"),0))</f>
        <v>96</v>
      </c>
      <c r="I179">
        <f>IF(C179="RB",LeagueInfo!$D$4*LeagueInfo!$F$2,IF(C179="WR",LeagueInfo!$D$5*LeagueInfo!$F$2,IF(C179="TE",LeagueInfo!$D$6*LeagueInfo!$F$2)))</f>
        <v>24</v>
      </c>
    </row>
    <row r="180" spans="1:9" x14ac:dyDescent="0.25">
      <c r="A180">
        <f ca="1">RANK(E180,E$2:E$462)</f>
        <v>179</v>
      </c>
      <c r="B180" t="s">
        <v>2452</v>
      </c>
      <c r="C180" t="s">
        <v>28</v>
      </c>
      <c r="D180">
        <f ca="1">INDEX(INDIRECT($C180&amp;"!P:P"),MATCH($B180,INDIRECT($C180&amp;"!B:B"),0))</f>
        <v>72.62</v>
      </c>
      <c r="E180" s="210">
        <f ca="1">D180-LARGE(D$2:D$385,RBCount+WRCount+TECount)</f>
        <v>-35.36999999999999</v>
      </c>
      <c r="F180" t="str">
        <f ca="1">IF(H180&lt;=I180,"Starter",IF(G180&gt;=LARGE(G:G,FlexOn*LeagueInfo!$F$2),"Starter","Bench"))</f>
        <v>Bench</v>
      </c>
      <c r="G180">
        <f ca="1">IF(H180&gt;I180,D180,0)</f>
        <v>72.62</v>
      </c>
      <c r="H180">
        <f ca="1">INDEX(INDIRECT(""&amp;C180&amp;"!A2:A489"),MATCH(B180,INDIRECT(""&amp;C180&amp;"!B2:B489"),0))</f>
        <v>56</v>
      </c>
      <c r="I180">
        <f>IF(C180="RB",LeagueInfo!$D$4*LeagueInfo!$F$2,IF(C180="WR",LeagueInfo!$D$5*LeagueInfo!$F$2,IF(C180="TE",LeagueInfo!$D$6*LeagueInfo!$F$2)))</f>
        <v>24</v>
      </c>
    </row>
    <row r="181" spans="1:9" x14ac:dyDescent="0.25">
      <c r="A181">
        <f ca="1">RANK(E181,E$2:E$462)</f>
        <v>180</v>
      </c>
      <c r="B181" t="s">
        <v>637</v>
      </c>
      <c r="C181" t="s">
        <v>28</v>
      </c>
      <c r="D181">
        <f ca="1">INDEX(INDIRECT($C181&amp;"!P:P"),MATCH($B181,INDIRECT($C181&amp;"!B:B"),0))</f>
        <v>72.570000000000007</v>
      </c>
      <c r="E181" s="210">
        <f ca="1">D181-LARGE(D$2:D$385,RBCount+WRCount+TECount)</f>
        <v>-35.419999999999987</v>
      </c>
      <c r="F181" t="str">
        <f ca="1">IF(H181&lt;=I181,"Starter",IF(G181&gt;=LARGE(G:G,FlexOn*LeagueInfo!$F$2),"Starter","Bench"))</f>
        <v>Bench</v>
      </c>
      <c r="G181">
        <f ca="1">IF(H181&gt;I181,D181,0)</f>
        <v>72.570000000000007</v>
      </c>
      <c r="H181">
        <f ca="1">INDEX(INDIRECT(""&amp;C181&amp;"!A2:A489"),MATCH(B181,INDIRECT(""&amp;C181&amp;"!B2:B489"),0))</f>
        <v>57</v>
      </c>
      <c r="I181">
        <f>IF(C181="RB",LeagueInfo!$D$4*LeagueInfo!$F$2,IF(C181="WR",LeagueInfo!$D$5*LeagueInfo!$F$2,IF(C181="TE",LeagueInfo!$D$6*LeagueInfo!$F$2)))</f>
        <v>24</v>
      </c>
    </row>
    <row r="182" spans="1:9" x14ac:dyDescent="0.25">
      <c r="A182">
        <f ca="1">RANK(E182,E$2:E$462)</f>
        <v>181</v>
      </c>
      <c r="B182" t="s">
        <v>725</v>
      </c>
      <c r="C182" t="s">
        <v>35</v>
      </c>
      <c r="D182">
        <f ca="1">INDEX(INDIRECT($C182&amp;"!P:P"),MATCH($B182,INDIRECT($C182&amp;"!B:B"),0))</f>
        <v>72.140000000000015</v>
      </c>
      <c r="E182" s="210">
        <f ca="1">D182-LARGE(D$2:D$385,RBCount+WRCount+TECount)</f>
        <v>-35.84999999999998</v>
      </c>
      <c r="F182" t="str">
        <f ca="1">IF(H182&lt;=I182,"Starter",IF(G182&gt;=LARGE(G:G,FlexOn*LeagueInfo!$F$2),"Starter","Bench"))</f>
        <v>Bench</v>
      </c>
      <c r="G182">
        <f ca="1">IF(H182&gt;I182,D182,0)</f>
        <v>72.140000000000015</v>
      </c>
      <c r="H182">
        <f ca="1">INDEX(INDIRECT(""&amp;C182&amp;"!A2:A489"),MATCH(B182,INDIRECT(""&amp;C182&amp;"!B2:B489"),0))</f>
        <v>97</v>
      </c>
      <c r="I182">
        <f>IF(C182="RB",LeagueInfo!$D$4*LeagueInfo!$F$2,IF(C182="WR",LeagueInfo!$D$5*LeagueInfo!$F$2,IF(C182="TE",LeagueInfo!$D$6*LeagueInfo!$F$2)))</f>
        <v>24</v>
      </c>
    </row>
    <row r="183" spans="1:9" x14ac:dyDescent="0.25">
      <c r="A183">
        <f ca="1">RANK(E183,E$2:E$462)</f>
        <v>182</v>
      </c>
      <c r="B183" t="s">
        <v>2425</v>
      </c>
      <c r="C183" t="s">
        <v>35</v>
      </c>
      <c r="D183">
        <f ca="1">INDEX(INDIRECT($C183&amp;"!P:P"),MATCH($B183,INDIRECT($C183&amp;"!B:B"),0))</f>
        <v>71.790000000000006</v>
      </c>
      <c r="E183" s="210">
        <f ca="1">D183-LARGE(D$2:D$385,RBCount+WRCount+TECount)</f>
        <v>-36.199999999999989</v>
      </c>
      <c r="F183" t="str">
        <f ca="1">IF(H183&lt;=I183,"Starter",IF(G183&gt;=LARGE(G:G,FlexOn*LeagueInfo!$F$2),"Starter","Bench"))</f>
        <v>Bench</v>
      </c>
      <c r="G183">
        <f ca="1">IF(H183&gt;I183,D183,0)</f>
        <v>71.790000000000006</v>
      </c>
      <c r="H183">
        <f ca="1">INDEX(INDIRECT(""&amp;C183&amp;"!A2:A489"),MATCH(B183,INDIRECT(""&amp;C183&amp;"!B2:B489"),0))</f>
        <v>98</v>
      </c>
      <c r="I183">
        <f>IF(C183="RB",LeagueInfo!$D$4*LeagueInfo!$F$2,IF(C183="WR",LeagueInfo!$D$5*LeagueInfo!$F$2,IF(C183="TE",LeagueInfo!$D$6*LeagueInfo!$F$2)))</f>
        <v>24</v>
      </c>
    </row>
    <row r="184" spans="1:9" x14ac:dyDescent="0.25">
      <c r="A184">
        <f ca="1">RANK(E184,E$2:E$462)</f>
        <v>183</v>
      </c>
      <c r="B184" t="s">
        <v>159</v>
      </c>
      <c r="C184" t="s">
        <v>28</v>
      </c>
      <c r="D184">
        <f ca="1">INDEX(INDIRECT($C184&amp;"!P:P"),MATCH($B184,INDIRECT($C184&amp;"!B:B"),0))</f>
        <v>71.2</v>
      </c>
      <c r="E184" s="210">
        <f ca="1">D184-LARGE(D$2:D$385,RBCount+WRCount+TECount)</f>
        <v>-36.789999999999992</v>
      </c>
      <c r="F184" t="str">
        <f ca="1">IF(H184&lt;=I184,"Starter",IF(G184&gt;=LARGE(G:G,FlexOn*LeagueInfo!$F$2),"Starter","Bench"))</f>
        <v>Bench</v>
      </c>
      <c r="G184">
        <f ca="1">IF(H184&gt;I184,D184,0)</f>
        <v>71.2</v>
      </c>
      <c r="H184">
        <f ca="1">INDEX(INDIRECT(""&amp;C184&amp;"!A2:A489"),MATCH(B184,INDIRECT(""&amp;C184&amp;"!B2:B489"),0))</f>
        <v>58</v>
      </c>
      <c r="I184">
        <f>IF(C184="RB",LeagueInfo!$D$4*LeagueInfo!$F$2,IF(C184="WR",LeagueInfo!$D$5*LeagueInfo!$F$2,IF(C184="TE",LeagueInfo!$D$6*LeagueInfo!$F$2)))</f>
        <v>24</v>
      </c>
    </row>
    <row r="185" spans="1:9" x14ac:dyDescent="0.25">
      <c r="A185">
        <f ca="1">RANK(E185,E$2:E$462)</f>
        <v>184</v>
      </c>
      <c r="B185" t="s">
        <v>434</v>
      </c>
      <c r="C185" t="s">
        <v>43</v>
      </c>
      <c r="D185">
        <f ca="1">INDEX(INDIRECT($C185&amp;"!P:P"),MATCH($B185,INDIRECT($C185&amp;"!B:B"),0))</f>
        <v>69.5</v>
      </c>
      <c r="E185" s="210">
        <f ca="1">D185-LARGE(D$2:D$385,RBCount+WRCount+TECount)</f>
        <v>-38.489999999999995</v>
      </c>
      <c r="F185" t="str">
        <f ca="1">IF(H185&lt;=I185,"Starter",IF(G185&gt;=LARGE(G:G,FlexOn*LeagueInfo!$F$2),"Starter","Bench"))</f>
        <v>Bench</v>
      </c>
      <c r="G185">
        <f ca="1">IF(H185&gt;I185,D185,0)</f>
        <v>69.5</v>
      </c>
      <c r="H185">
        <f ca="1">INDEX(INDIRECT(""&amp;C185&amp;"!A2:A489"),MATCH(B185,INDIRECT(""&amp;C185&amp;"!B2:B489"),0))</f>
        <v>28</v>
      </c>
      <c r="I185">
        <f>IF(C185="RB",LeagueInfo!$D$4*LeagueInfo!$F$2,IF(C185="WR",LeagueInfo!$D$5*LeagueInfo!$F$2,IF(C185="TE",LeagueInfo!$D$6*LeagueInfo!$F$2)))</f>
        <v>12</v>
      </c>
    </row>
    <row r="186" spans="1:9" x14ac:dyDescent="0.25">
      <c r="A186">
        <f ca="1">RANK(E186,E$2:E$462)</f>
        <v>185</v>
      </c>
      <c r="B186" t="s">
        <v>337</v>
      </c>
      <c r="C186" t="s">
        <v>28</v>
      </c>
      <c r="D186">
        <f ca="1">INDEX(INDIRECT($C186&amp;"!P:P"),MATCH($B186,INDIRECT($C186&amp;"!B:B"),0))</f>
        <v>69.33</v>
      </c>
      <c r="E186" s="210">
        <f ca="1">D186-LARGE(D$2:D$385,RBCount+WRCount+TECount)</f>
        <v>-38.659999999999997</v>
      </c>
      <c r="F186" t="str">
        <f ca="1">IF(H186&lt;=I186,"Starter",IF(G186&gt;=LARGE(G:G,FlexOn*LeagueInfo!$F$2),"Starter","Bench"))</f>
        <v>Bench</v>
      </c>
      <c r="G186">
        <f ca="1">IF(H186&gt;I186,D186,0)</f>
        <v>69.33</v>
      </c>
      <c r="H186">
        <f ca="1">INDEX(INDIRECT(""&amp;C186&amp;"!A2:A489"),MATCH(B186,INDIRECT(""&amp;C186&amp;"!B2:B489"),0))</f>
        <v>59</v>
      </c>
      <c r="I186">
        <f>IF(C186="RB",LeagueInfo!$D$4*LeagueInfo!$F$2,IF(C186="WR",LeagueInfo!$D$5*LeagueInfo!$F$2,IF(C186="TE",LeagueInfo!$D$6*LeagueInfo!$F$2)))</f>
        <v>24</v>
      </c>
    </row>
    <row r="187" spans="1:9" x14ac:dyDescent="0.25">
      <c r="A187">
        <f ca="1">RANK(E187,E$2:E$462)</f>
        <v>186</v>
      </c>
      <c r="B187" t="s">
        <v>172</v>
      </c>
      <c r="C187" t="s">
        <v>43</v>
      </c>
      <c r="D187">
        <f ca="1">INDEX(INDIRECT($C187&amp;"!P:P"),MATCH($B187,INDIRECT($C187&amp;"!B:B"),0))</f>
        <v>68.739999999999995</v>
      </c>
      <c r="E187" s="210">
        <f ca="1">D187-LARGE(D$2:D$385,RBCount+WRCount+TECount)</f>
        <v>-39.25</v>
      </c>
      <c r="F187" t="str">
        <f ca="1">IF(H187&lt;=I187,"Starter",IF(G187&gt;=LARGE(G:G,FlexOn*LeagueInfo!$F$2),"Starter","Bench"))</f>
        <v>Bench</v>
      </c>
      <c r="G187">
        <f ca="1">IF(H187&gt;I187,D187,0)</f>
        <v>68.739999999999995</v>
      </c>
      <c r="H187">
        <f ca="1">INDEX(INDIRECT(""&amp;C187&amp;"!A2:A489"),MATCH(B187,INDIRECT(""&amp;C187&amp;"!B2:B489"),0))</f>
        <v>29</v>
      </c>
      <c r="I187">
        <f>IF(C187="RB",LeagueInfo!$D$4*LeagueInfo!$F$2,IF(C187="WR",LeagueInfo!$D$5*LeagueInfo!$F$2,IF(C187="TE",LeagueInfo!$D$6*LeagueInfo!$F$2)))</f>
        <v>12</v>
      </c>
    </row>
    <row r="188" spans="1:9" x14ac:dyDescent="0.25">
      <c r="A188">
        <f ca="1">RANK(E188,E$2:E$462)</f>
        <v>187</v>
      </c>
      <c r="B188" t="s">
        <v>2486</v>
      </c>
      <c r="C188" t="s">
        <v>43</v>
      </c>
      <c r="D188">
        <f ca="1">INDEX(INDIRECT($C188&amp;"!P:P"),MATCH($B188,INDIRECT($C188&amp;"!B:B"),0))</f>
        <v>68.139999999999986</v>
      </c>
      <c r="E188" s="210">
        <f ca="1">D188-LARGE(D$2:D$385,RBCount+WRCount+TECount)</f>
        <v>-39.850000000000009</v>
      </c>
      <c r="F188" t="str">
        <f ca="1">IF(H188&lt;=I188,"Starter",IF(G188&gt;=LARGE(G:G,FlexOn*LeagueInfo!$F$2),"Starter","Bench"))</f>
        <v>Bench</v>
      </c>
      <c r="G188">
        <f ca="1">IF(H188&gt;I188,D188,0)</f>
        <v>68.139999999999986</v>
      </c>
      <c r="H188">
        <f ca="1">INDEX(INDIRECT(""&amp;C188&amp;"!A2:A489"),MATCH(B188,INDIRECT(""&amp;C188&amp;"!B2:B489"),0))</f>
        <v>30</v>
      </c>
      <c r="I188">
        <f>IF(C188="RB",LeagueInfo!$D$4*LeagueInfo!$F$2,IF(C188="WR",LeagueInfo!$D$5*LeagueInfo!$F$2,IF(C188="TE",LeagueInfo!$D$6*LeagueInfo!$F$2)))</f>
        <v>12</v>
      </c>
    </row>
    <row r="189" spans="1:9" x14ac:dyDescent="0.25">
      <c r="A189">
        <f ca="1">RANK(E189,E$2:E$462)</f>
        <v>188</v>
      </c>
      <c r="B189" t="s">
        <v>851</v>
      </c>
      <c r="C189" t="s">
        <v>35</v>
      </c>
      <c r="D189">
        <f ca="1">INDEX(INDIRECT($C189&amp;"!P:P"),MATCH($B189,INDIRECT($C189&amp;"!B:B"),0))</f>
        <v>67.72</v>
      </c>
      <c r="E189" s="210">
        <f ca="1">D189-LARGE(D$2:D$385,RBCount+WRCount+TECount)</f>
        <v>-40.269999999999996</v>
      </c>
      <c r="F189" t="str">
        <f ca="1">IF(H189&lt;=I189,"Starter",IF(G189&gt;=LARGE(G:G,FlexOn*LeagueInfo!$F$2),"Starter","Bench"))</f>
        <v>Bench</v>
      </c>
      <c r="G189">
        <f ca="1">IF(H189&gt;I189,D189,0)</f>
        <v>67.72</v>
      </c>
      <c r="H189">
        <f ca="1">INDEX(INDIRECT(""&amp;C189&amp;"!A2:A489"),MATCH(B189,INDIRECT(""&amp;C189&amp;"!B2:B489"),0))</f>
        <v>99</v>
      </c>
      <c r="I189">
        <f>IF(C189="RB",LeagueInfo!$D$4*LeagueInfo!$F$2,IF(C189="WR",LeagueInfo!$D$5*LeagueInfo!$F$2,IF(C189="TE",LeagueInfo!$D$6*LeagueInfo!$F$2)))</f>
        <v>24</v>
      </c>
    </row>
    <row r="190" spans="1:9" x14ac:dyDescent="0.25">
      <c r="A190">
        <f ca="1">RANK(E190,E$2:E$462)</f>
        <v>189</v>
      </c>
      <c r="B190" t="s">
        <v>227</v>
      </c>
      <c r="C190" t="s">
        <v>43</v>
      </c>
      <c r="D190">
        <f ca="1">INDEX(INDIRECT($C190&amp;"!P:P"),MATCH($B190,INDIRECT($C190&amp;"!B:B"),0))</f>
        <v>67.28</v>
      </c>
      <c r="E190" s="210">
        <f ca="1">D190-LARGE(D$2:D$385,RBCount+WRCount+TECount)</f>
        <v>-40.709999999999994</v>
      </c>
      <c r="F190" t="str">
        <f ca="1">IF(H190&lt;=I190,"Starter",IF(G190&gt;=LARGE(G:G,FlexOn*LeagueInfo!$F$2),"Starter","Bench"))</f>
        <v>Bench</v>
      </c>
      <c r="G190">
        <f ca="1">IF(H190&gt;I190,D190,0)</f>
        <v>67.28</v>
      </c>
      <c r="H190">
        <f ca="1">INDEX(INDIRECT(""&amp;C190&amp;"!A2:A489"),MATCH(B190,INDIRECT(""&amp;C190&amp;"!B2:B489"),0))</f>
        <v>31</v>
      </c>
      <c r="I190">
        <f>IF(C190="RB",LeagueInfo!$D$4*LeagueInfo!$F$2,IF(C190="WR",LeagueInfo!$D$5*LeagueInfo!$F$2,IF(C190="TE",LeagueInfo!$D$6*LeagueInfo!$F$2)))</f>
        <v>12</v>
      </c>
    </row>
    <row r="191" spans="1:9" x14ac:dyDescent="0.25">
      <c r="A191">
        <f ca="1">RANK(E191,E$2:E$462)</f>
        <v>190</v>
      </c>
      <c r="B191" t="s">
        <v>2426</v>
      </c>
      <c r="C191" t="s">
        <v>35</v>
      </c>
      <c r="D191">
        <f ca="1">INDEX(INDIRECT($C191&amp;"!P:P"),MATCH($B191,INDIRECT($C191&amp;"!B:B"),0))</f>
        <v>66.91</v>
      </c>
      <c r="E191" s="210">
        <f ca="1">D191-LARGE(D$2:D$385,RBCount+WRCount+TECount)</f>
        <v>-41.08</v>
      </c>
      <c r="F191" t="str">
        <f ca="1">IF(H191&lt;=I191,"Starter",IF(G191&gt;=LARGE(G:G,FlexOn*LeagueInfo!$F$2),"Starter","Bench"))</f>
        <v>Bench</v>
      </c>
      <c r="G191">
        <f ca="1">IF(H191&gt;I191,D191,0)</f>
        <v>66.91</v>
      </c>
      <c r="H191">
        <f ca="1">INDEX(INDIRECT(""&amp;C191&amp;"!A2:A489"),MATCH(B191,INDIRECT(""&amp;C191&amp;"!B2:B489"),0))</f>
        <v>100</v>
      </c>
      <c r="I191">
        <f>IF(C191="RB",LeagueInfo!$D$4*LeagueInfo!$F$2,IF(C191="WR",LeagueInfo!$D$5*LeagueInfo!$F$2,IF(C191="TE",LeagueInfo!$D$6*LeagueInfo!$F$2)))</f>
        <v>24</v>
      </c>
    </row>
    <row r="192" spans="1:9" x14ac:dyDescent="0.25">
      <c r="A192">
        <f ca="1">RANK(E192,E$2:E$462)</f>
        <v>191</v>
      </c>
      <c r="B192" t="s">
        <v>2739</v>
      </c>
      <c r="C192" t="s">
        <v>35</v>
      </c>
      <c r="D192">
        <f ca="1">INDEX(INDIRECT($C192&amp;"!P:P"),MATCH($B192,INDIRECT($C192&amp;"!B:B"),0))</f>
        <v>66.58</v>
      </c>
      <c r="E192" s="210">
        <f ca="1">D192-LARGE(D$2:D$385,RBCount+WRCount+TECount)</f>
        <v>-41.41</v>
      </c>
      <c r="F192" t="str">
        <f ca="1">IF(H192&lt;=I192,"Starter",IF(G192&gt;=LARGE(G:G,FlexOn*LeagueInfo!$F$2),"Starter","Bench"))</f>
        <v>Bench</v>
      </c>
      <c r="G192">
        <f ca="1">IF(H192&gt;I192,D192,0)</f>
        <v>66.58</v>
      </c>
      <c r="H192">
        <f ca="1">INDEX(INDIRECT(""&amp;C192&amp;"!A2:A489"),MATCH(B192,INDIRECT(""&amp;C192&amp;"!B2:B489"),0))</f>
        <v>101</v>
      </c>
      <c r="I192">
        <f>IF(C192="RB",LeagueInfo!$D$4*LeagueInfo!$F$2,IF(C192="WR",LeagueInfo!$D$5*LeagueInfo!$F$2,IF(C192="TE",LeagueInfo!$D$6*LeagueInfo!$F$2)))</f>
        <v>24</v>
      </c>
    </row>
    <row r="193" spans="1:9" x14ac:dyDescent="0.25">
      <c r="A193">
        <f ca="1">RANK(E193,E$2:E$462)</f>
        <v>192</v>
      </c>
      <c r="B193" t="s">
        <v>862</v>
      </c>
      <c r="C193" t="s">
        <v>35</v>
      </c>
      <c r="D193">
        <f ca="1">INDEX(INDIRECT($C193&amp;"!P:P"),MATCH($B193,INDIRECT($C193&amp;"!B:B"),0))</f>
        <v>65.750000000000014</v>
      </c>
      <c r="E193" s="210">
        <f ca="1">D193-LARGE(D$2:D$385,RBCount+WRCount+TECount)</f>
        <v>-42.239999999999981</v>
      </c>
      <c r="F193" t="str">
        <f ca="1">IF(H193&lt;=I193,"Starter",IF(G193&gt;=LARGE(G:G,FlexOn*LeagueInfo!$F$2),"Starter","Bench"))</f>
        <v>Bench</v>
      </c>
      <c r="G193">
        <f ca="1">IF(H193&gt;I193,D193,0)</f>
        <v>65.750000000000014</v>
      </c>
      <c r="H193">
        <f ca="1">INDEX(INDIRECT(""&amp;C193&amp;"!A2:A489"),MATCH(B193,INDIRECT(""&amp;C193&amp;"!B2:B489"),0))</f>
        <v>102</v>
      </c>
      <c r="I193">
        <f>IF(C193="RB",LeagueInfo!$D$4*LeagueInfo!$F$2,IF(C193="WR",LeagueInfo!$D$5*LeagueInfo!$F$2,IF(C193="TE",LeagueInfo!$D$6*LeagueInfo!$F$2)))</f>
        <v>24</v>
      </c>
    </row>
    <row r="194" spans="1:9" x14ac:dyDescent="0.25">
      <c r="A194">
        <f ca="1">RANK(E194,E$2:E$462)</f>
        <v>193</v>
      </c>
      <c r="B194" t="s">
        <v>823</v>
      </c>
      <c r="C194" t="s">
        <v>43</v>
      </c>
      <c r="D194">
        <f ca="1">INDEX(INDIRECT($C194&amp;"!P:P"),MATCH($B194,INDIRECT($C194&amp;"!B:B"),0))</f>
        <v>65.62</v>
      </c>
      <c r="E194" s="210">
        <f ca="1">D194-LARGE(D$2:D$385,RBCount+WRCount+TECount)</f>
        <v>-42.36999999999999</v>
      </c>
      <c r="F194" t="str">
        <f ca="1">IF(H194&lt;=I194,"Starter",IF(G194&gt;=LARGE(G:G,FlexOn*LeagueInfo!$F$2),"Starter","Bench"))</f>
        <v>Bench</v>
      </c>
      <c r="G194">
        <f ca="1">IF(H194&gt;I194,D194,0)</f>
        <v>65.62</v>
      </c>
      <c r="H194">
        <f ca="1">INDEX(INDIRECT(""&amp;C194&amp;"!A2:A489"),MATCH(B194,INDIRECT(""&amp;C194&amp;"!B2:B489"),0))</f>
        <v>32</v>
      </c>
      <c r="I194">
        <f>IF(C194="RB",LeagueInfo!$D$4*LeagueInfo!$F$2,IF(C194="WR",LeagueInfo!$D$5*LeagueInfo!$F$2,IF(C194="TE",LeagueInfo!$D$6*LeagueInfo!$F$2)))</f>
        <v>12</v>
      </c>
    </row>
    <row r="195" spans="1:9" x14ac:dyDescent="0.25">
      <c r="A195">
        <f ca="1">RANK(E195,E$2:E$462)</f>
        <v>194</v>
      </c>
      <c r="B195" t="s">
        <v>688</v>
      </c>
      <c r="C195" t="s">
        <v>28</v>
      </c>
      <c r="D195">
        <f ca="1">INDEX(INDIRECT($C195&amp;"!P:P"),MATCH($B195,INDIRECT($C195&amp;"!B:B"),0))</f>
        <v>65.22</v>
      </c>
      <c r="E195" s="210">
        <f ca="1">D195-LARGE(D$2:D$385,RBCount+WRCount+TECount)</f>
        <v>-42.769999999999996</v>
      </c>
      <c r="F195" t="str">
        <f ca="1">IF(H195&lt;=I195,"Starter",IF(G195&gt;=LARGE(G:G,FlexOn*LeagueInfo!$F$2),"Starter","Bench"))</f>
        <v>Bench</v>
      </c>
      <c r="G195">
        <f ca="1">IF(H195&gt;I195,D195,0)</f>
        <v>65.22</v>
      </c>
      <c r="H195">
        <f ca="1">INDEX(INDIRECT(""&amp;C195&amp;"!A2:A489"),MATCH(B195,INDIRECT(""&amp;C195&amp;"!B2:B489"),0))</f>
        <v>60</v>
      </c>
      <c r="I195">
        <f>IF(C195="RB",LeagueInfo!$D$4*LeagueInfo!$F$2,IF(C195="WR",LeagueInfo!$D$5*LeagueInfo!$F$2,IF(C195="TE",LeagueInfo!$D$6*LeagueInfo!$F$2)))</f>
        <v>24</v>
      </c>
    </row>
    <row r="196" spans="1:9" x14ac:dyDescent="0.25">
      <c r="A196">
        <f ca="1">RANK(E196,E$2:E$462)</f>
        <v>195</v>
      </c>
      <c r="B196" t="s">
        <v>334</v>
      </c>
      <c r="C196" t="s">
        <v>28</v>
      </c>
      <c r="D196">
        <f ca="1">INDEX(INDIRECT($C196&amp;"!P:P"),MATCH($B196,INDIRECT($C196&amp;"!B:B"),0))</f>
        <v>64.280000000000015</v>
      </c>
      <c r="E196" s="210">
        <f ca="1">D196-LARGE(D$2:D$385,RBCount+WRCount+TECount)</f>
        <v>-43.70999999999998</v>
      </c>
      <c r="F196" t="str">
        <f ca="1">IF(H196&lt;=I196,"Starter",IF(G196&gt;=LARGE(G:G,FlexOn*LeagueInfo!$F$2),"Starter","Bench"))</f>
        <v>Bench</v>
      </c>
      <c r="G196">
        <f ca="1">IF(H196&gt;I196,D196,0)</f>
        <v>64.280000000000015</v>
      </c>
      <c r="H196">
        <f ca="1">INDEX(INDIRECT(""&amp;C196&amp;"!A2:A489"),MATCH(B196,INDIRECT(""&amp;C196&amp;"!B2:B489"),0))</f>
        <v>61</v>
      </c>
      <c r="I196">
        <f>IF(C196="RB",LeagueInfo!$D$4*LeagueInfo!$F$2,IF(C196="WR",LeagueInfo!$D$5*LeagueInfo!$F$2,IF(C196="TE",LeagueInfo!$D$6*LeagueInfo!$F$2)))</f>
        <v>24</v>
      </c>
    </row>
    <row r="197" spans="1:9" x14ac:dyDescent="0.25">
      <c r="A197">
        <f ca="1">RANK(E197,E$2:E$462)</f>
        <v>196</v>
      </c>
      <c r="B197" t="s">
        <v>427</v>
      </c>
      <c r="C197" t="s">
        <v>43</v>
      </c>
      <c r="D197">
        <f ca="1">INDEX(INDIRECT($C197&amp;"!P:P"),MATCH($B197,INDIRECT($C197&amp;"!B:B"),0))</f>
        <v>63.769999999999996</v>
      </c>
      <c r="E197" s="210">
        <f ca="1">D197-LARGE(D$2:D$385,RBCount+WRCount+TECount)</f>
        <v>-44.22</v>
      </c>
      <c r="F197" t="str">
        <f ca="1">IF(H197&lt;=I197,"Starter",IF(G197&gt;=LARGE(G:G,FlexOn*LeagueInfo!$F$2),"Starter","Bench"))</f>
        <v>Bench</v>
      </c>
      <c r="G197">
        <f ca="1">IF(H197&gt;I197,D197,0)</f>
        <v>63.769999999999996</v>
      </c>
      <c r="H197">
        <f ca="1">INDEX(INDIRECT(""&amp;C197&amp;"!A2:A489"),MATCH(B197,INDIRECT(""&amp;C197&amp;"!B2:B489"),0))</f>
        <v>33</v>
      </c>
      <c r="I197">
        <f>IF(C197="RB",LeagueInfo!$D$4*LeagueInfo!$F$2,IF(C197="WR",LeagueInfo!$D$5*LeagueInfo!$F$2,IF(C197="TE",LeagueInfo!$D$6*LeagueInfo!$F$2)))</f>
        <v>12</v>
      </c>
    </row>
    <row r="198" spans="1:9" x14ac:dyDescent="0.25">
      <c r="A198">
        <f ca="1">RANK(E198,E$2:E$462)</f>
        <v>197</v>
      </c>
      <c r="B198" t="s">
        <v>866</v>
      </c>
      <c r="C198" t="s">
        <v>35</v>
      </c>
      <c r="D198">
        <f ca="1">INDEX(INDIRECT($C198&amp;"!P:P"),MATCH($B198,INDIRECT($C198&amp;"!B:B"),0))</f>
        <v>63.45</v>
      </c>
      <c r="E198" s="210">
        <f ca="1">D198-LARGE(D$2:D$385,RBCount+WRCount+TECount)</f>
        <v>-44.539999999999992</v>
      </c>
      <c r="F198" t="str">
        <f ca="1">IF(H198&lt;=I198,"Starter",IF(G198&gt;=LARGE(G:G,FlexOn*LeagueInfo!$F$2),"Starter","Bench"))</f>
        <v>Bench</v>
      </c>
      <c r="G198">
        <f ca="1">IF(H198&gt;I198,D198,0)</f>
        <v>63.45</v>
      </c>
      <c r="H198">
        <f ca="1">INDEX(INDIRECT(""&amp;C198&amp;"!A2:A489"),MATCH(B198,INDIRECT(""&amp;C198&amp;"!B2:B489"),0))</f>
        <v>103</v>
      </c>
      <c r="I198">
        <f>IF(C198="RB",LeagueInfo!$D$4*LeagueInfo!$F$2,IF(C198="WR",LeagueInfo!$D$5*LeagueInfo!$F$2,IF(C198="TE",LeagueInfo!$D$6*LeagueInfo!$F$2)))</f>
        <v>24</v>
      </c>
    </row>
    <row r="199" spans="1:9" x14ac:dyDescent="0.25">
      <c r="A199">
        <f ca="1">RANK(E199,E$2:E$462)</f>
        <v>198</v>
      </c>
      <c r="B199" t="s">
        <v>2449</v>
      </c>
      <c r="C199" t="s">
        <v>28</v>
      </c>
      <c r="D199">
        <f ca="1">INDEX(INDIRECT($C199&amp;"!P:P"),MATCH($B199,INDIRECT($C199&amp;"!B:B"),0))</f>
        <v>63.27</v>
      </c>
      <c r="E199" s="210">
        <f ca="1">D199-LARGE(D$2:D$385,RBCount+WRCount+TECount)</f>
        <v>-44.719999999999992</v>
      </c>
      <c r="F199" t="str">
        <f ca="1">IF(H199&lt;=I199,"Starter",IF(G199&gt;=LARGE(G:G,FlexOn*LeagueInfo!$F$2),"Starter","Bench"))</f>
        <v>Bench</v>
      </c>
      <c r="G199">
        <f ca="1">IF(H199&gt;I199,D199,0)</f>
        <v>63.27</v>
      </c>
      <c r="H199">
        <f ca="1">INDEX(INDIRECT(""&amp;C199&amp;"!A2:A489"),MATCH(B199,INDIRECT(""&amp;C199&amp;"!B2:B489"),0))</f>
        <v>62</v>
      </c>
      <c r="I199">
        <f>IF(C199="RB",LeagueInfo!$D$4*LeagueInfo!$F$2,IF(C199="WR",LeagueInfo!$D$5*LeagueInfo!$F$2,IF(C199="TE",LeagueInfo!$D$6*LeagueInfo!$F$2)))</f>
        <v>24</v>
      </c>
    </row>
    <row r="200" spans="1:9" x14ac:dyDescent="0.25">
      <c r="A200">
        <f ca="1">RANK(E200,E$2:E$462)</f>
        <v>199</v>
      </c>
      <c r="B200" t="s">
        <v>679</v>
      </c>
      <c r="C200" t="s">
        <v>28</v>
      </c>
      <c r="D200">
        <f ca="1">INDEX(INDIRECT($C200&amp;"!P:P"),MATCH($B200,INDIRECT($C200&amp;"!B:B"),0))</f>
        <v>63.160000000000004</v>
      </c>
      <c r="E200" s="210">
        <f ca="1">D200-LARGE(D$2:D$385,RBCount+WRCount+TECount)</f>
        <v>-44.829999999999991</v>
      </c>
      <c r="F200" t="str">
        <f ca="1">IF(H200&lt;=I200,"Starter",IF(G200&gt;=LARGE(G:G,FlexOn*LeagueInfo!$F$2),"Starter","Bench"))</f>
        <v>Bench</v>
      </c>
      <c r="G200">
        <f ca="1">IF(H200&gt;I200,D200,0)</f>
        <v>63.160000000000004</v>
      </c>
      <c r="H200">
        <f ca="1">INDEX(INDIRECT(""&amp;C200&amp;"!A2:A489"),MATCH(B200,INDIRECT(""&amp;C200&amp;"!B2:B489"),0))</f>
        <v>63</v>
      </c>
      <c r="I200">
        <f>IF(C200="RB",LeagueInfo!$D$4*LeagueInfo!$F$2,IF(C200="WR",LeagueInfo!$D$5*LeagueInfo!$F$2,IF(C200="TE",LeagueInfo!$D$6*LeagueInfo!$F$2)))</f>
        <v>24</v>
      </c>
    </row>
    <row r="201" spans="1:9" x14ac:dyDescent="0.25">
      <c r="A201">
        <f ca="1">RANK(E201,E$2:E$462)</f>
        <v>200</v>
      </c>
      <c r="B201" t="s">
        <v>598</v>
      </c>
      <c r="C201" t="s">
        <v>43</v>
      </c>
      <c r="D201">
        <f ca="1">INDEX(INDIRECT($C201&amp;"!P:P"),MATCH($B201,INDIRECT($C201&amp;"!B:B"),0))</f>
        <v>62.230000000000004</v>
      </c>
      <c r="E201" s="210">
        <f ca="1">D201-LARGE(D$2:D$385,RBCount+WRCount+TECount)</f>
        <v>-45.759999999999991</v>
      </c>
      <c r="F201" t="str">
        <f ca="1">IF(H201&lt;=I201,"Starter",IF(G201&gt;=LARGE(G:G,FlexOn*LeagueInfo!$F$2),"Starter","Bench"))</f>
        <v>Bench</v>
      </c>
      <c r="G201">
        <f ca="1">IF(H201&gt;I201,D201,0)</f>
        <v>62.230000000000004</v>
      </c>
      <c r="H201">
        <f ca="1">INDEX(INDIRECT(""&amp;C201&amp;"!A2:A489"),MATCH(B201,INDIRECT(""&amp;C201&amp;"!B2:B489"),0))</f>
        <v>34</v>
      </c>
      <c r="I201">
        <f>IF(C201="RB",LeagueInfo!$D$4*LeagueInfo!$F$2,IF(C201="WR",LeagueInfo!$D$5*LeagueInfo!$F$2,IF(C201="TE",LeagueInfo!$D$6*LeagueInfo!$F$2)))</f>
        <v>12</v>
      </c>
    </row>
    <row r="202" spans="1:9" x14ac:dyDescent="0.25">
      <c r="A202">
        <f ca="1">RANK(E202,E$2:E$462)</f>
        <v>201</v>
      </c>
      <c r="B202" t="s">
        <v>2472</v>
      </c>
      <c r="C202" t="s">
        <v>43</v>
      </c>
      <c r="D202">
        <f ca="1">INDEX(INDIRECT($C202&amp;"!P:P"),MATCH($B202,INDIRECT($C202&amp;"!B:B"),0))</f>
        <v>61.9</v>
      </c>
      <c r="E202" s="210">
        <f ca="1">D202-LARGE(D$2:D$385,RBCount+WRCount+TECount)</f>
        <v>-46.089999999999996</v>
      </c>
      <c r="F202" t="str">
        <f ca="1">IF(H202&lt;=I202,"Starter",IF(G202&gt;=LARGE(G:G,FlexOn*LeagueInfo!$F$2),"Starter","Bench"))</f>
        <v>Bench</v>
      </c>
      <c r="G202">
        <f ca="1">IF(H202&gt;I202,D202,0)</f>
        <v>61.9</v>
      </c>
      <c r="H202">
        <f ca="1">INDEX(INDIRECT(""&amp;C202&amp;"!A2:A489"),MATCH(B202,INDIRECT(""&amp;C202&amp;"!B2:B489"),0))</f>
        <v>35</v>
      </c>
      <c r="I202">
        <f>IF(C202="RB",LeagueInfo!$D$4*LeagueInfo!$F$2,IF(C202="WR",LeagueInfo!$D$5*LeagueInfo!$F$2,IF(C202="TE",LeagueInfo!$D$6*LeagueInfo!$F$2)))</f>
        <v>12</v>
      </c>
    </row>
    <row r="203" spans="1:9" x14ac:dyDescent="0.25">
      <c r="A203">
        <f ca="1">RANK(E203,E$2:E$462)</f>
        <v>202</v>
      </c>
      <c r="B203" t="s">
        <v>2428</v>
      </c>
      <c r="C203" t="s">
        <v>35</v>
      </c>
      <c r="D203">
        <f ca="1">INDEX(INDIRECT($C203&amp;"!P:P"),MATCH($B203,INDIRECT($C203&amp;"!B:B"),0))</f>
        <v>61.650000000000006</v>
      </c>
      <c r="E203" s="210">
        <f ca="1">D203-LARGE(D$2:D$385,RBCount+WRCount+TECount)</f>
        <v>-46.339999999999989</v>
      </c>
      <c r="F203" t="str">
        <f ca="1">IF(H203&lt;=I203,"Starter",IF(G203&gt;=LARGE(G:G,FlexOn*LeagueInfo!$F$2),"Starter","Bench"))</f>
        <v>Bench</v>
      </c>
      <c r="G203">
        <f ca="1">IF(H203&gt;I203,D203,0)</f>
        <v>61.650000000000006</v>
      </c>
      <c r="H203">
        <f ca="1">INDEX(INDIRECT(""&amp;C203&amp;"!A2:A489"),MATCH(B203,INDIRECT(""&amp;C203&amp;"!B2:B489"),0))</f>
        <v>104</v>
      </c>
      <c r="I203">
        <f>IF(C203="RB",LeagueInfo!$D$4*LeagueInfo!$F$2,IF(C203="WR",LeagueInfo!$D$5*LeagueInfo!$F$2,IF(C203="TE",LeagueInfo!$D$6*LeagueInfo!$F$2)))</f>
        <v>24</v>
      </c>
    </row>
    <row r="204" spans="1:9" x14ac:dyDescent="0.25">
      <c r="A204">
        <f ca="1">RANK(E204,E$2:E$462)</f>
        <v>203</v>
      </c>
      <c r="B204" t="s">
        <v>818</v>
      </c>
      <c r="C204" t="s">
        <v>43</v>
      </c>
      <c r="D204">
        <f ca="1">INDEX(INDIRECT($C204&amp;"!P:P"),MATCH($B204,INDIRECT($C204&amp;"!B:B"),0))</f>
        <v>60.88</v>
      </c>
      <c r="E204" s="210">
        <f ca="1">D204-LARGE(D$2:D$385,RBCount+WRCount+TECount)</f>
        <v>-47.109999999999992</v>
      </c>
      <c r="F204" t="str">
        <f ca="1">IF(H204&lt;=I204,"Starter",IF(G204&gt;=LARGE(G:G,FlexOn*LeagueInfo!$F$2),"Starter","Bench"))</f>
        <v>Bench</v>
      </c>
      <c r="G204">
        <f ca="1">IF(H204&gt;I204,D204,0)</f>
        <v>60.88</v>
      </c>
      <c r="H204">
        <f ca="1">INDEX(INDIRECT(""&amp;C204&amp;"!A2:A489"),MATCH(B204,INDIRECT(""&amp;C204&amp;"!B2:B489"),0))</f>
        <v>36</v>
      </c>
      <c r="I204">
        <f>IF(C204="RB",LeagueInfo!$D$4*LeagueInfo!$F$2,IF(C204="WR",LeagueInfo!$D$5*LeagueInfo!$F$2,IF(C204="TE",LeagueInfo!$D$6*LeagueInfo!$F$2)))</f>
        <v>12</v>
      </c>
    </row>
    <row r="205" spans="1:9" x14ac:dyDescent="0.25">
      <c r="A205">
        <f ca="1">RANK(E205,E$2:E$462)</f>
        <v>204</v>
      </c>
      <c r="B205" t="s">
        <v>2465</v>
      </c>
      <c r="C205" t="s">
        <v>28</v>
      </c>
      <c r="D205">
        <f ca="1">INDEX(INDIRECT($C205&amp;"!P:P"),MATCH($B205,INDIRECT($C205&amp;"!B:B"),0))</f>
        <v>59.04</v>
      </c>
      <c r="E205" s="210">
        <f ca="1">D205-LARGE(D$2:D$385,RBCount+WRCount+TECount)</f>
        <v>-48.949999999999996</v>
      </c>
      <c r="F205" t="str">
        <f ca="1">IF(H205&lt;=I205,"Starter",IF(G205&gt;=LARGE(G:G,FlexOn*LeagueInfo!$F$2),"Starter","Bench"))</f>
        <v>Bench</v>
      </c>
      <c r="G205">
        <f ca="1">IF(H205&gt;I205,D205,0)</f>
        <v>59.04</v>
      </c>
      <c r="H205">
        <f ca="1">INDEX(INDIRECT(""&amp;C205&amp;"!A2:A489"),MATCH(B205,INDIRECT(""&amp;C205&amp;"!B2:B489"),0))</f>
        <v>64</v>
      </c>
      <c r="I205">
        <f>IF(C205="RB",LeagueInfo!$D$4*LeagueInfo!$F$2,IF(C205="WR",LeagueInfo!$D$5*LeagueInfo!$F$2,IF(C205="TE",LeagueInfo!$D$6*LeagueInfo!$F$2)))</f>
        <v>24</v>
      </c>
    </row>
    <row r="206" spans="1:9" x14ac:dyDescent="0.25">
      <c r="A206">
        <f ca="1">RANK(E206,E$2:E$462)</f>
        <v>205</v>
      </c>
      <c r="B206" t="s">
        <v>165</v>
      </c>
      <c r="C206" t="s">
        <v>28</v>
      </c>
      <c r="D206">
        <f ca="1">INDEX(INDIRECT($C206&amp;"!P:P"),MATCH($B206,INDIRECT($C206&amp;"!B:B"),0))</f>
        <v>58.67</v>
      </c>
      <c r="E206" s="210">
        <f ca="1">D206-LARGE(D$2:D$385,RBCount+WRCount+TECount)</f>
        <v>-49.319999999999993</v>
      </c>
      <c r="F206" t="str">
        <f ca="1">IF(H206&lt;=I206,"Starter",IF(G206&gt;=LARGE(G:G,FlexOn*LeagueInfo!$F$2),"Starter","Bench"))</f>
        <v>Bench</v>
      </c>
      <c r="G206">
        <f ca="1">IF(H206&gt;I206,D206,0)</f>
        <v>58.67</v>
      </c>
      <c r="H206">
        <f ca="1">INDEX(INDIRECT(""&amp;C206&amp;"!A2:A489"),MATCH(B206,INDIRECT(""&amp;C206&amp;"!B2:B489"),0))</f>
        <v>65</v>
      </c>
      <c r="I206">
        <f>IF(C206="RB",LeagueInfo!$D$4*LeagueInfo!$F$2,IF(C206="WR",LeagueInfo!$D$5*LeagueInfo!$F$2,IF(C206="TE",LeagueInfo!$D$6*LeagueInfo!$F$2)))</f>
        <v>24</v>
      </c>
    </row>
    <row r="207" spans="1:9" x14ac:dyDescent="0.25">
      <c r="A207">
        <f ca="1">RANK(E207,E$2:E$462)</f>
        <v>206</v>
      </c>
      <c r="B207" t="s">
        <v>820</v>
      </c>
      <c r="C207" t="s">
        <v>43</v>
      </c>
      <c r="D207">
        <f ca="1">INDEX(INDIRECT($C207&amp;"!P:P"),MATCH($B207,INDIRECT($C207&amp;"!B:B"),0))</f>
        <v>58.610000000000007</v>
      </c>
      <c r="E207" s="210">
        <f ca="1">D207-LARGE(D$2:D$385,RBCount+WRCount+TECount)</f>
        <v>-49.379999999999988</v>
      </c>
      <c r="F207" t="str">
        <f ca="1">IF(H207&lt;=I207,"Starter",IF(G207&gt;=LARGE(G:G,FlexOn*LeagueInfo!$F$2),"Starter","Bench"))</f>
        <v>Bench</v>
      </c>
      <c r="G207">
        <f ca="1">IF(H207&gt;I207,D207,0)</f>
        <v>58.610000000000007</v>
      </c>
      <c r="H207">
        <f ca="1">INDEX(INDIRECT(""&amp;C207&amp;"!A2:A489"),MATCH(B207,INDIRECT(""&amp;C207&amp;"!B2:B489"),0))</f>
        <v>37</v>
      </c>
      <c r="I207">
        <f>IF(C207="RB",LeagueInfo!$D$4*LeagueInfo!$F$2,IF(C207="WR",LeagueInfo!$D$5*LeagueInfo!$F$2,IF(C207="TE",LeagueInfo!$D$6*LeagueInfo!$F$2)))</f>
        <v>12</v>
      </c>
    </row>
    <row r="208" spans="1:9" x14ac:dyDescent="0.25">
      <c r="A208">
        <f ca="1">RANK(E208,E$2:E$462)</f>
        <v>207</v>
      </c>
      <c r="B208" t="s">
        <v>546</v>
      </c>
      <c r="C208" t="s">
        <v>28</v>
      </c>
      <c r="D208">
        <f ca="1">INDEX(INDIRECT($C208&amp;"!P:P"),MATCH($B208,INDIRECT($C208&amp;"!B:B"),0))</f>
        <v>58.25</v>
      </c>
      <c r="E208" s="210">
        <f ca="1">D208-LARGE(D$2:D$385,RBCount+WRCount+TECount)</f>
        <v>-49.739999999999995</v>
      </c>
      <c r="F208" t="str">
        <f ca="1">IF(H208&lt;=I208,"Starter",IF(G208&gt;=LARGE(G:G,FlexOn*LeagueInfo!$F$2),"Starter","Bench"))</f>
        <v>Bench</v>
      </c>
      <c r="G208">
        <f ca="1">IF(H208&gt;I208,D208,0)</f>
        <v>58.25</v>
      </c>
      <c r="H208">
        <f ca="1">INDEX(INDIRECT(""&amp;C208&amp;"!A2:A489"),MATCH(B208,INDIRECT(""&amp;C208&amp;"!B2:B489"),0))</f>
        <v>66</v>
      </c>
      <c r="I208">
        <f>IF(C208="RB",LeagueInfo!$D$4*LeagueInfo!$F$2,IF(C208="WR",LeagueInfo!$D$5*LeagueInfo!$F$2,IF(C208="TE",LeagueInfo!$D$6*LeagueInfo!$F$2)))</f>
        <v>24</v>
      </c>
    </row>
    <row r="209" spans="1:9" x14ac:dyDescent="0.25">
      <c r="A209">
        <f ca="1">RANK(E209,E$2:E$462)</f>
        <v>208</v>
      </c>
      <c r="B209" t="s">
        <v>864</v>
      </c>
      <c r="C209" t="s">
        <v>35</v>
      </c>
      <c r="D209">
        <f ca="1">INDEX(INDIRECT($C209&amp;"!P:P"),MATCH($B209,INDIRECT($C209&amp;"!B:B"),0))</f>
        <v>56.97</v>
      </c>
      <c r="E209" s="210">
        <f ca="1">D209-LARGE(D$2:D$385,RBCount+WRCount+TECount)</f>
        <v>-51.019999999999996</v>
      </c>
      <c r="F209" t="str">
        <f ca="1">IF(H209&lt;=I209,"Starter",IF(G209&gt;=LARGE(G:G,FlexOn*LeagueInfo!$F$2),"Starter","Bench"))</f>
        <v>Bench</v>
      </c>
      <c r="G209">
        <f ca="1">IF(H209&gt;I209,D209,0)</f>
        <v>56.97</v>
      </c>
      <c r="H209">
        <f ca="1">INDEX(INDIRECT(""&amp;C209&amp;"!A2:A489"),MATCH(B209,INDIRECT(""&amp;C209&amp;"!B2:B489"),0))</f>
        <v>105</v>
      </c>
      <c r="I209">
        <f>IF(C209="RB",LeagueInfo!$D$4*LeagueInfo!$F$2,IF(C209="WR",LeagueInfo!$D$5*LeagueInfo!$F$2,IF(C209="TE",LeagueInfo!$D$6*LeagueInfo!$F$2)))</f>
        <v>24</v>
      </c>
    </row>
    <row r="210" spans="1:9" x14ac:dyDescent="0.25">
      <c r="A210">
        <f ca="1">RANK(E210,E$2:E$462)</f>
        <v>209</v>
      </c>
      <c r="B210" t="s">
        <v>529</v>
      </c>
      <c r="C210" t="s">
        <v>28</v>
      </c>
      <c r="D210">
        <f ca="1">INDEX(INDIRECT($C210&amp;"!P:P"),MATCH($B210,INDIRECT($C210&amp;"!B:B"),0))</f>
        <v>55.81</v>
      </c>
      <c r="E210" s="210">
        <f ca="1">D210-LARGE(D$2:D$385,RBCount+WRCount+TECount)</f>
        <v>-52.179999999999993</v>
      </c>
      <c r="F210" t="str">
        <f ca="1">IF(H210&lt;=I210,"Starter",IF(G210&gt;=LARGE(G:G,FlexOn*LeagueInfo!$F$2),"Starter","Bench"))</f>
        <v>Bench</v>
      </c>
      <c r="G210">
        <f ca="1">IF(H210&gt;I210,D210,0)</f>
        <v>55.81</v>
      </c>
      <c r="H210">
        <f ca="1">INDEX(INDIRECT(""&amp;C210&amp;"!A2:A489"),MATCH(B210,INDIRECT(""&amp;C210&amp;"!B2:B489"),0))</f>
        <v>67</v>
      </c>
      <c r="I210">
        <f>IF(C210="RB",LeagueInfo!$D$4*LeagueInfo!$F$2,IF(C210="WR",LeagueInfo!$D$5*LeagueInfo!$F$2,IF(C210="TE",LeagueInfo!$D$6*LeagueInfo!$F$2)))</f>
        <v>24</v>
      </c>
    </row>
    <row r="211" spans="1:9" x14ac:dyDescent="0.25">
      <c r="A211">
        <f ca="1">RANK(E211,E$2:E$462)</f>
        <v>210</v>
      </c>
      <c r="B211" t="s">
        <v>753</v>
      </c>
      <c r="C211" t="s">
        <v>43</v>
      </c>
      <c r="D211">
        <f ca="1">INDEX(INDIRECT($C211&amp;"!P:P"),MATCH($B211,INDIRECT($C211&amp;"!B:B"),0))</f>
        <v>55.04</v>
      </c>
      <c r="E211" s="210">
        <f ca="1">D211-LARGE(D$2:D$385,RBCount+WRCount+TECount)</f>
        <v>-52.949999999999996</v>
      </c>
      <c r="F211" t="str">
        <f ca="1">IF(H211&lt;=I211,"Starter",IF(G211&gt;=LARGE(G:G,FlexOn*LeagueInfo!$F$2),"Starter","Bench"))</f>
        <v>Bench</v>
      </c>
      <c r="G211">
        <f ca="1">IF(H211&gt;I211,D211,0)</f>
        <v>55.04</v>
      </c>
      <c r="H211">
        <f ca="1">INDEX(INDIRECT(""&amp;C211&amp;"!A2:A489"),MATCH(B211,INDIRECT(""&amp;C211&amp;"!B2:B489"),0))</f>
        <v>38</v>
      </c>
      <c r="I211">
        <f>IF(C211="RB",LeagueInfo!$D$4*LeagueInfo!$F$2,IF(C211="WR",LeagueInfo!$D$5*LeagueInfo!$F$2,IF(C211="TE",LeagueInfo!$D$6*LeagueInfo!$F$2)))</f>
        <v>12</v>
      </c>
    </row>
    <row r="212" spans="1:9" x14ac:dyDescent="0.25">
      <c r="A212">
        <f ca="1">RANK(E212,E$2:E$462)</f>
        <v>211</v>
      </c>
      <c r="B212" t="s">
        <v>559</v>
      </c>
      <c r="C212" t="s">
        <v>28</v>
      </c>
      <c r="D212">
        <f ca="1">INDEX(INDIRECT($C212&amp;"!P:P"),MATCH($B212,INDIRECT($C212&amp;"!B:B"),0))</f>
        <v>54.919999999999995</v>
      </c>
      <c r="E212" s="210">
        <f ca="1">D212-LARGE(D$2:D$385,RBCount+WRCount+TECount)</f>
        <v>-53.07</v>
      </c>
      <c r="F212" t="str">
        <f ca="1">IF(H212&lt;=I212,"Starter",IF(G212&gt;=LARGE(G:G,FlexOn*LeagueInfo!$F$2),"Starter","Bench"))</f>
        <v>Bench</v>
      </c>
      <c r="G212">
        <f ca="1">IF(H212&gt;I212,D212,0)</f>
        <v>54.919999999999995</v>
      </c>
      <c r="H212">
        <f ca="1">INDEX(INDIRECT(""&amp;C212&amp;"!A2:A489"),MATCH(B212,INDIRECT(""&amp;C212&amp;"!B2:B489"),0))</f>
        <v>68</v>
      </c>
      <c r="I212">
        <f>IF(C212="RB",LeagueInfo!$D$4*LeagueInfo!$F$2,IF(C212="WR",LeagueInfo!$D$5*LeagueInfo!$F$2,IF(C212="TE",LeagueInfo!$D$6*LeagueInfo!$F$2)))</f>
        <v>24</v>
      </c>
    </row>
    <row r="213" spans="1:9" x14ac:dyDescent="0.25">
      <c r="A213">
        <f ca="1">RANK(E213,E$2:E$462)</f>
        <v>212</v>
      </c>
      <c r="B213" t="s">
        <v>982</v>
      </c>
      <c r="C213" t="s">
        <v>43</v>
      </c>
      <c r="D213">
        <f ca="1">INDEX(INDIRECT($C213&amp;"!P:P"),MATCH($B213,INDIRECT($C213&amp;"!B:B"),0))</f>
        <v>54.46</v>
      </c>
      <c r="E213" s="210">
        <f ca="1">D213-LARGE(D$2:D$385,RBCount+WRCount+TECount)</f>
        <v>-53.529999999999994</v>
      </c>
      <c r="F213" t="str">
        <f ca="1">IF(H213&lt;=I213,"Starter",IF(G213&gt;=LARGE(G:G,FlexOn*LeagueInfo!$F$2),"Starter","Bench"))</f>
        <v>Bench</v>
      </c>
      <c r="G213">
        <f ca="1">IF(H213&gt;I213,D213,0)</f>
        <v>54.46</v>
      </c>
      <c r="H213">
        <f ca="1">INDEX(INDIRECT(""&amp;C213&amp;"!A2:A489"),MATCH(B213,INDIRECT(""&amp;C213&amp;"!B2:B489"),0))</f>
        <v>39</v>
      </c>
      <c r="I213">
        <f>IF(C213="RB",LeagueInfo!$D$4*LeagueInfo!$F$2,IF(C213="WR",LeagueInfo!$D$5*LeagueInfo!$F$2,IF(C213="TE",LeagueInfo!$D$6*LeagueInfo!$F$2)))</f>
        <v>12</v>
      </c>
    </row>
    <row r="214" spans="1:9" x14ac:dyDescent="0.25">
      <c r="A214">
        <f ca="1">RANK(E214,E$2:E$462)</f>
        <v>213</v>
      </c>
      <c r="B214" t="s">
        <v>2455</v>
      </c>
      <c r="C214" t="s">
        <v>28</v>
      </c>
      <c r="D214">
        <f ca="1">INDEX(INDIRECT($C214&amp;"!P:P"),MATCH($B214,INDIRECT($C214&amp;"!B:B"),0))</f>
        <v>54.150000000000006</v>
      </c>
      <c r="E214" s="210">
        <f ca="1">D214-LARGE(D$2:D$385,RBCount+WRCount+TECount)</f>
        <v>-53.839999999999989</v>
      </c>
      <c r="F214" t="str">
        <f ca="1">IF(H214&lt;=I214,"Starter",IF(G214&gt;=LARGE(G:G,FlexOn*LeagueInfo!$F$2),"Starter","Bench"))</f>
        <v>Bench</v>
      </c>
      <c r="G214">
        <f ca="1">IF(H214&gt;I214,D214,0)</f>
        <v>54.150000000000006</v>
      </c>
      <c r="H214">
        <f ca="1">INDEX(INDIRECT(""&amp;C214&amp;"!A2:A489"),MATCH(B214,INDIRECT(""&amp;C214&amp;"!B2:B489"),0))</f>
        <v>69</v>
      </c>
      <c r="I214">
        <f>IF(C214="RB",LeagueInfo!$D$4*LeagueInfo!$F$2,IF(C214="WR",LeagueInfo!$D$5*LeagueInfo!$F$2,IF(C214="TE",LeagueInfo!$D$6*LeagueInfo!$F$2)))</f>
        <v>24</v>
      </c>
    </row>
    <row r="215" spans="1:9" x14ac:dyDescent="0.25">
      <c r="A215">
        <f ca="1">RANK(E215,E$2:E$462)</f>
        <v>214</v>
      </c>
      <c r="B215" t="s">
        <v>366</v>
      </c>
      <c r="C215" t="s">
        <v>35</v>
      </c>
      <c r="D215">
        <f ca="1">INDEX(INDIRECT($C215&amp;"!P:P"),MATCH($B215,INDIRECT($C215&amp;"!B:B"),0))</f>
        <v>53.97</v>
      </c>
      <c r="E215" s="210">
        <f ca="1">D215-LARGE(D$2:D$385,RBCount+WRCount+TECount)</f>
        <v>-54.019999999999996</v>
      </c>
      <c r="F215" t="str">
        <f ca="1">IF(H215&lt;=I215,"Starter",IF(G215&gt;=LARGE(G:G,FlexOn*LeagueInfo!$F$2),"Starter","Bench"))</f>
        <v>Bench</v>
      </c>
      <c r="G215">
        <f ca="1">IF(H215&gt;I215,D215,0)</f>
        <v>53.97</v>
      </c>
      <c r="H215">
        <f ca="1">INDEX(INDIRECT(""&amp;C215&amp;"!A2:A489"),MATCH(B215,INDIRECT(""&amp;C215&amp;"!B2:B489"),0))</f>
        <v>106</v>
      </c>
      <c r="I215">
        <f>IF(C215="RB",LeagueInfo!$D$4*LeagueInfo!$F$2,IF(C215="WR",LeagueInfo!$D$5*LeagueInfo!$F$2,IF(C215="TE",LeagueInfo!$D$6*LeagueInfo!$F$2)))</f>
        <v>24</v>
      </c>
    </row>
    <row r="216" spans="1:9" x14ac:dyDescent="0.25">
      <c r="A216">
        <f ca="1">RANK(E216,E$2:E$462)</f>
        <v>215</v>
      </c>
      <c r="B216" t="s">
        <v>643</v>
      </c>
      <c r="C216" t="s">
        <v>43</v>
      </c>
      <c r="D216">
        <f ca="1">INDEX(INDIRECT($C216&amp;"!P:P"),MATCH($B216,INDIRECT($C216&amp;"!B:B"),0))</f>
        <v>53.92</v>
      </c>
      <c r="E216" s="210">
        <f ca="1">D216-LARGE(D$2:D$385,RBCount+WRCount+TECount)</f>
        <v>-54.069999999999993</v>
      </c>
      <c r="F216" t="str">
        <f ca="1">IF(H216&lt;=I216,"Starter",IF(G216&gt;=LARGE(G:G,FlexOn*LeagueInfo!$F$2),"Starter","Bench"))</f>
        <v>Bench</v>
      </c>
      <c r="G216">
        <f ca="1">IF(H216&gt;I216,D216,0)</f>
        <v>53.92</v>
      </c>
      <c r="H216">
        <f ca="1">INDEX(INDIRECT(""&amp;C216&amp;"!A2:A489"),MATCH(B216,INDIRECT(""&amp;C216&amp;"!B2:B489"),0))</f>
        <v>40</v>
      </c>
      <c r="I216">
        <f>IF(C216="RB",LeagueInfo!$D$4*LeagueInfo!$F$2,IF(C216="WR",LeagueInfo!$D$5*LeagueInfo!$F$2,IF(C216="TE",LeagueInfo!$D$6*LeagueInfo!$F$2)))</f>
        <v>12</v>
      </c>
    </row>
    <row r="217" spans="1:9" x14ac:dyDescent="0.25">
      <c r="A217">
        <f ca="1">RANK(E217,E$2:E$462)</f>
        <v>216</v>
      </c>
      <c r="B217" t="s">
        <v>389</v>
      </c>
      <c r="C217" t="s">
        <v>35</v>
      </c>
      <c r="D217">
        <f ca="1">INDEX(INDIRECT($C217&amp;"!P:P"),MATCH($B217,INDIRECT($C217&amp;"!B:B"),0))</f>
        <v>52.37</v>
      </c>
      <c r="E217" s="210">
        <f ca="1">D217-LARGE(D$2:D$385,RBCount+WRCount+TECount)</f>
        <v>-55.62</v>
      </c>
      <c r="F217" t="str">
        <f ca="1">IF(H217&lt;=I217,"Starter",IF(G217&gt;=LARGE(G:G,FlexOn*LeagueInfo!$F$2),"Starter","Bench"))</f>
        <v>Bench</v>
      </c>
      <c r="G217">
        <f ca="1">IF(H217&gt;I217,D217,0)</f>
        <v>52.37</v>
      </c>
      <c r="H217">
        <f ca="1">INDEX(INDIRECT(""&amp;C217&amp;"!A2:A489"),MATCH(B217,INDIRECT(""&amp;C217&amp;"!B2:B489"),0))</f>
        <v>107</v>
      </c>
      <c r="I217">
        <f>IF(C217="RB",LeagueInfo!$D$4*LeagueInfo!$F$2,IF(C217="WR",LeagueInfo!$D$5*LeagueInfo!$F$2,IF(C217="TE",LeagueInfo!$D$6*LeagueInfo!$F$2)))</f>
        <v>24</v>
      </c>
    </row>
    <row r="218" spans="1:9" x14ac:dyDescent="0.25">
      <c r="A218">
        <f ca="1">RANK(E218,E$2:E$462)</f>
        <v>217</v>
      </c>
      <c r="B218" t="s">
        <v>544</v>
      </c>
      <c r="C218" t="s">
        <v>28</v>
      </c>
      <c r="D218">
        <f ca="1">INDEX(INDIRECT($C218&amp;"!P:P"),MATCH($B218,INDIRECT($C218&amp;"!B:B"),0))</f>
        <v>52.33</v>
      </c>
      <c r="E218" s="210">
        <f ca="1">D218-LARGE(D$2:D$385,RBCount+WRCount+TECount)</f>
        <v>-55.66</v>
      </c>
      <c r="F218" t="str">
        <f ca="1">IF(H218&lt;=I218,"Starter",IF(G218&gt;=LARGE(G:G,FlexOn*LeagueInfo!$F$2),"Starter","Bench"))</f>
        <v>Bench</v>
      </c>
      <c r="G218">
        <f ca="1">IF(H218&gt;I218,D218,0)</f>
        <v>52.33</v>
      </c>
      <c r="H218">
        <f ca="1">INDEX(INDIRECT(""&amp;C218&amp;"!A2:A489"),MATCH(B218,INDIRECT(""&amp;C218&amp;"!B2:B489"),0))</f>
        <v>70</v>
      </c>
      <c r="I218">
        <f>IF(C218="RB",LeagueInfo!$D$4*LeagueInfo!$F$2,IF(C218="WR",LeagueInfo!$D$5*LeagueInfo!$F$2,IF(C218="TE",LeagueInfo!$D$6*LeagueInfo!$F$2)))</f>
        <v>24</v>
      </c>
    </row>
    <row r="219" spans="1:9" x14ac:dyDescent="0.25">
      <c r="A219">
        <f ca="1">RANK(E219,E$2:E$462)</f>
        <v>218</v>
      </c>
      <c r="B219" t="s">
        <v>340</v>
      </c>
      <c r="C219" t="s">
        <v>28</v>
      </c>
      <c r="D219">
        <f ca="1">INDEX(INDIRECT($C219&amp;"!P:P"),MATCH($B219,INDIRECT($C219&amp;"!B:B"),0))</f>
        <v>52.100000000000009</v>
      </c>
      <c r="E219" s="210">
        <f ca="1">D219-LARGE(D$2:D$385,RBCount+WRCount+TECount)</f>
        <v>-55.889999999999986</v>
      </c>
      <c r="F219" t="str">
        <f ca="1">IF(H219&lt;=I219,"Starter",IF(G219&gt;=LARGE(G:G,FlexOn*LeagueInfo!$F$2),"Starter","Bench"))</f>
        <v>Bench</v>
      </c>
      <c r="G219">
        <f ca="1">IF(H219&gt;I219,D219,0)</f>
        <v>52.100000000000009</v>
      </c>
      <c r="H219">
        <f ca="1">INDEX(INDIRECT(""&amp;C219&amp;"!A2:A489"),MATCH(B219,INDIRECT(""&amp;C219&amp;"!B2:B489"),0))</f>
        <v>71</v>
      </c>
      <c r="I219">
        <f>IF(C219="RB",LeagueInfo!$D$4*LeagueInfo!$F$2,IF(C219="WR",LeagueInfo!$D$5*LeagueInfo!$F$2,IF(C219="TE",LeagueInfo!$D$6*LeagueInfo!$F$2)))</f>
        <v>24</v>
      </c>
    </row>
    <row r="220" spans="1:9" x14ac:dyDescent="0.25">
      <c r="A220">
        <f ca="1">RANK(E220,E$2:E$462)</f>
        <v>219</v>
      </c>
      <c r="B220" t="s">
        <v>889</v>
      </c>
      <c r="C220" t="s">
        <v>28</v>
      </c>
      <c r="D220">
        <f ca="1">INDEX(INDIRECT($C220&amp;"!P:P"),MATCH($B220,INDIRECT($C220&amp;"!B:B"),0))</f>
        <v>51.69</v>
      </c>
      <c r="E220" s="210">
        <f ca="1">D220-LARGE(D$2:D$385,RBCount+WRCount+TECount)</f>
        <v>-56.3</v>
      </c>
      <c r="F220" t="str">
        <f ca="1">IF(H220&lt;=I220,"Starter",IF(G220&gt;=LARGE(G:G,FlexOn*LeagueInfo!$F$2),"Starter","Bench"))</f>
        <v>Bench</v>
      </c>
      <c r="G220">
        <f ca="1">IF(H220&gt;I220,D220,0)</f>
        <v>51.69</v>
      </c>
      <c r="H220">
        <f ca="1">INDEX(INDIRECT(""&amp;C220&amp;"!A2:A489"),MATCH(B220,INDIRECT(""&amp;C220&amp;"!B2:B489"),0))</f>
        <v>72</v>
      </c>
      <c r="I220">
        <f>IF(C220="RB",LeagueInfo!$D$4*LeagueInfo!$F$2,IF(C220="WR",LeagueInfo!$D$5*LeagueInfo!$F$2,IF(C220="TE",LeagueInfo!$D$6*LeagueInfo!$F$2)))</f>
        <v>24</v>
      </c>
    </row>
    <row r="221" spans="1:9" x14ac:dyDescent="0.25">
      <c r="A221">
        <f ca="1">RANK(E221,E$2:E$462)</f>
        <v>220</v>
      </c>
      <c r="B221" t="s">
        <v>134</v>
      </c>
      <c r="C221" t="s">
        <v>35</v>
      </c>
      <c r="D221">
        <f ca="1">INDEX(INDIRECT($C221&amp;"!P:P"),MATCH($B221,INDIRECT($C221&amp;"!B:B"),0))</f>
        <v>50.960000000000008</v>
      </c>
      <c r="E221" s="210">
        <f ca="1">D221-LARGE(D$2:D$385,RBCount+WRCount+TECount)</f>
        <v>-57.029999999999987</v>
      </c>
      <c r="F221" t="str">
        <f ca="1">IF(H221&lt;=I221,"Starter",IF(G221&gt;=LARGE(G:G,FlexOn*LeagueInfo!$F$2),"Starter","Bench"))</f>
        <v>Bench</v>
      </c>
      <c r="G221">
        <f ca="1">IF(H221&gt;I221,D221,0)</f>
        <v>50.960000000000008</v>
      </c>
      <c r="H221">
        <f ca="1">INDEX(INDIRECT(""&amp;C221&amp;"!A2:A489"),MATCH(B221,INDIRECT(""&amp;C221&amp;"!B2:B489"),0))</f>
        <v>108</v>
      </c>
      <c r="I221">
        <f>IF(C221="RB",LeagueInfo!$D$4*LeagueInfo!$F$2,IF(C221="WR",LeagueInfo!$D$5*LeagueInfo!$F$2,IF(C221="TE",LeagueInfo!$D$6*LeagueInfo!$F$2)))</f>
        <v>24</v>
      </c>
    </row>
    <row r="222" spans="1:9" x14ac:dyDescent="0.25">
      <c r="A222">
        <f ca="1">RANK(E222,E$2:E$462)</f>
        <v>221</v>
      </c>
      <c r="B222" t="s">
        <v>431</v>
      </c>
      <c r="C222" t="s">
        <v>43</v>
      </c>
      <c r="D222">
        <f ca="1">INDEX(INDIRECT($C222&amp;"!P:P"),MATCH($B222,INDIRECT($C222&amp;"!B:B"),0))</f>
        <v>50.79</v>
      </c>
      <c r="E222" s="210">
        <f ca="1">D222-LARGE(D$2:D$385,RBCount+WRCount+TECount)</f>
        <v>-57.199999999999996</v>
      </c>
      <c r="F222" t="str">
        <f ca="1">IF(H222&lt;=I222,"Starter",IF(G222&gt;=LARGE(G:G,FlexOn*LeagueInfo!$F$2),"Starter","Bench"))</f>
        <v>Bench</v>
      </c>
      <c r="G222">
        <f ca="1">IF(H222&gt;I222,D222,0)</f>
        <v>50.79</v>
      </c>
      <c r="H222">
        <f ca="1">INDEX(INDIRECT(""&amp;C222&amp;"!A2:A489"),MATCH(B222,INDIRECT(""&amp;C222&amp;"!B2:B489"),0))</f>
        <v>41</v>
      </c>
      <c r="I222">
        <f>IF(C222="RB",LeagueInfo!$D$4*LeagueInfo!$F$2,IF(C222="WR",LeagueInfo!$D$5*LeagueInfo!$F$2,IF(C222="TE",LeagueInfo!$D$6*LeagueInfo!$F$2)))</f>
        <v>12</v>
      </c>
    </row>
    <row r="223" spans="1:9" x14ac:dyDescent="0.25">
      <c r="A223">
        <f ca="1">RANK(E223,E$2:E$462)</f>
        <v>222</v>
      </c>
      <c r="B223" t="s">
        <v>377</v>
      </c>
      <c r="C223" t="s">
        <v>35</v>
      </c>
      <c r="D223">
        <f ca="1">INDEX(INDIRECT($C223&amp;"!P:P"),MATCH($B223,INDIRECT($C223&amp;"!B:B"),0))</f>
        <v>50.660000000000011</v>
      </c>
      <c r="E223" s="210">
        <f ca="1">D223-LARGE(D$2:D$385,RBCount+WRCount+TECount)</f>
        <v>-57.329999999999984</v>
      </c>
      <c r="F223" t="str">
        <f ca="1">IF(H223&lt;=I223,"Starter",IF(G223&gt;=LARGE(G:G,FlexOn*LeagueInfo!$F$2),"Starter","Bench"))</f>
        <v>Bench</v>
      </c>
      <c r="G223">
        <f ca="1">IF(H223&gt;I223,D223,0)</f>
        <v>50.660000000000011</v>
      </c>
      <c r="H223">
        <f ca="1">INDEX(INDIRECT(""&amp;C223&amp;"!A2:A489"),MATCH(B223,INDIRECT(""&amp;C223&amp;"!B2:B489"),0))</f>
        <v>109</v>
      </c>
      <c r="I223">
        <f>IF(C223="RB",LeagueInfo!$D$4*LeagueInfo!$F$2,IF(C223="WR",LeagueInfo!$D$5*LeagueInfo!$F$2,IF(C223="TE",LeagueInfo!$D$6*LeagueInfo!$F$2)))</f>
        <v>24</v>
      </c>
    </row>
    <row r="224" spans="1:9" x14ac:dyDescent="0.25">
      <c r="A224">
        <f ca="1">RANK(E224,E$2:E$462)</f>
        <v>223</v>
      </c>
      <c r="B224" t="s">
        <v>996</v>
      </c>
      <c r="C224" t="s">
        <v>35</v>
      </c>
      <c r="D224">
        <f ca="1">INDEX(INDIRECT($C224&amp;"!P:P"),MATCH($B224,INDIRECT($C224&amp;"!B:B"),0))</f>
        <v>49.510000000000005</v>
      </c>
      <c r="E224" s="210">
        <f ca="1">D224-LARGE(D$2:D$385,RBCount+WRCount+TECount)</f>
        <v>-58.47999999999999</v>
      </c>
      <c r="F224" t="str">
        <f ca="1">IF(H224&lt;=I224,"Starter",IF(G224&gt;=LARGE(G:G,FlexOn*LeagueInfo!$F$2),"Starter","Bench"))</f>
        <v>Bench</v>
      </c>
      <c r="G224">
        <f ca="1">IF(H224&gt;I224,D224,0)</f>
        <v>49.510000000000005</v>
      </c>
      <c r="H224">
        <f ca="1">INDEX(INDIRECT(""&amp;C224&amp;"!A2:A489"),MATCH(B224,INDIRECT(""&amp;C224&amp;"!B2:B489"),0))</f>
        <v>110</v>
      </c>
      <c r="I224">
        <f>IF(C224="RB",LeagueInfo!$D$4*LeagueInfo!$F$2,IF(C224="WR",LeagueInfo!$D$5*LeagueInfo!$F$2,IF(C224="TE",LeagueInfo!$D$6*LeagueInfo!$F$2)))</f>
        <v>24</v>
      </c>
    </row>
    <row r="225" spans="1:9" x14ac:dyDescent="0.25">
      <c r="A225">
        <f ca="1">RANK(E225,E$2:E$462)</f>
        <v>224</v>
      </c>
      <c r="B225" t="s">
        <v>2478</v>
      </c>
      <c r="C225" t="s">
        <v>43</v>
      </c>
      <c r="D225">
        <f ca="1">INDEX(INDIRECT($C225&amp;"!P:P"),MATCH($B225,INDIRECT($C225&amp;"!B:B"),0))</f>
        <v>49.440000000000005</v>
      </c>
      <c r="E225" s="210">
        <f ca="1">D225-LARGE(D$2:D$385,RBCount+WRCount+TECount)</f>
        <v>-58.54999999999999</v>
      </c>
      <c r="F225" t="str">
        <f ca="1">IF(H225&lt;=I225,"Starter",IF(G225&gt;=LARGE(G:G,FlexOn*LeagueInfo!$F$2),"Starter","Bench"))</f>
        <v>Bench</v>
      </c>
      <c r="G225">
        <f ca="1">IF(H225&gt;I225,D225,0)</f>
        <v>49.440000000000005</v>
      </c>
      <c r="H225">
        <f ca="1">INDEX(INDIRECT(""&amp;C225&amp;"!A2:A489"),MATCH(B225,INDIRECT(""&amp;C225&amp;"!B2:B489"),0))</f>
        <v>42</v>
      </c>
      <c r="I225">
        <f>IF(C225="RB",LeagueInfo!$D$4*LeagueInfo!$F$2,IF(C225="WR",LeagueInfo!$D$5*LeagueInfo!$F$2,IF(C225="TE",LeagueInfo!$D$6*LeagueInfo!$F$2)))</f>
        <v>12</v>
      </c>
    </row>
    <row r="226" spans="1:9" x14ac:dyDescent="0.25">
      <c r="A226">
        <f ca="1">RANK(E226,E$2:E$462)</f>
        <v>225</v>
      </c>
      <c r="B226" t="s">
        <v>2453</v>
      </c>
      <c r="C226" t="s">
        <v>28</v>
      </c>
      <c r="D226">
        <f ca="1">INDEX(INDIRECT($C226&amp;"!P:P"),MATCH($B226,INDIRECT($C226&amp;"!B:B"),0))</f>
        <v>49.38</v>
      </c>
      <c r="E226" s="210">
        <f ca="1">D226-LARGE(D$2:D$385,RBCount+WRCount+TECount)</f>
        <v>-58.609999999999992</v>
      </c>
      <c r="F226" t="str">
        <f ca="1">IF(H226&lt;=I226,"Starter",IF(G226&gt;=LARGE(G:G,FlexOn*LeagueInfo!$F$2),"Starter","Bench"))</f>
        <v>Bench</v>
      </c>
      <c r="G226">
        <f ca="1">IF(H226&gt;I226,D226,0)</f>
        <v>49.38</v>
      </c>
      <c r="H226">
        <f ca="1">INDEX(INDIRECT(""&amp;C226&amp;"!A2:A489"),MATCH(B226,INDIRECT(""&amp;C226&amp;"!B2:B489"),0))</f>
        <v>73</v>
      </c>
      <c r="I226">
        <f>IF(C226="RB",LeagueInfo!$D$4*LeagueInfo!$F$2,IF(C226="WR",LeagueInfo!$D$5*LeagueInfo!$F$2,IF(C226="TE",LeagueInfo!$D$6*LeagueInfo!$F$2)))</f>
        <v>24</v>
      </c>
    </row>
    <row r="227" spans="1:9" x14ac:dyDescent="0.25">
      <c r="A227">
        <f ca="1">RANK(E227,E$2:E$462)</f>
        <v>226</v>
      </c>
      <c r="B227" t="s">
        <v>932</v>
      </c>
      <c r="C227" t="s">
        <v>28</v>
      </c>
      <c r="D227">
        <f ca="1">INDEX(INDIRECT($C227&amp;"!P:P"),MATCH($B227,INDIRECT($C227&amp;"!B:B"),0))</f>
        <v>48.78</v>
      </c>
      <c r="E227" s="210">
        <f ca="1">D227-LARGE(D$2:D$385,RBCount+WRCount+TECount)</f>
        <v>-59.209999999999994</v>
      </c>
      <c r="F227" t="str">
        <f ca="1">IF(H227&lt;=I227,"Starter",IF(G227&gt;=LARGE(G:G,FlexOn*LeagueInfo!$F$2),"Starter","Bench"))</f>
        <v>Bench</v>
      </c>
      <c r="G227">
        <f ca="1">IF(H227&gt;I227,D227,0)</f>
        <v>48.78</v>
      </c>
      <c r="H227">
        <f ca="1">INDEX(INDIRECT(""&amp;C227&amp;"!A2:A489"),MATCH(B227,INDIRECT(""&amp;C227&amp;"!B2:B489"),0))</f>
        <v>74</v>
      </c>
      <c r="I227">
        <f>IF(C227="RB",LeagueInfo!$D$4*LeagueInfo!$F$2,IF(C227="WR",LeagueInfo!$D$5*LeagueInfo!$F$2,IF(C227="TE",LeagueInfo!$D$6*LeagueInfo!$F$2)))</f>
        <v>24</v>
      </c>
    </row>
    <row r="228" spans="1:9" x14ac:dyDescent="0.25">
      <c r="A228">
        <f ca="1">RANK(E228,E$2:E$462)</f>
        <v>227</v>
      </c>
      <c r="B228" t="s">
        <v>901</v>
      </c>
      <c r="C228" t="s">
        <v>35</v>
      </c>
      <c r="D228">
        <f ca="1">INDEX(INDIRECT($C228&amp;"!P:P"),MATCH($B228,INDIRECT($C228&amp;"!B:B"),0))</f>
        <v>48.68</v>
      </c>
      <c r="E228" s="210">
        <f ca="1">D228-LARGE(D$2:D$385,RBCount+WRCount+TECount)</f>
        <v>-59.309999999999995</v>
      </c>
      <c r="F228" t="str">
        <f ca="1">IF(H228&lt;=I228,"Starter",IF(G228&gt;=LARGE(G:G,FlexOn*LeagueInfo!$F$2),"Starter","Bench"))</f>
        <v>Bench</v>
      </c>
      <c r="G228">
        <f ca="1">IF(H228&gt;I228,D228,0)</f>
        <v>48.68</v>
      </c>
      <c r="H228">
        <f ca="1">INDEX(INDIRECT(""&amp;C228&amp;"!A2:A489"),MATCH(B228,INDIRECT(""&amp;C228&amp;"!B2:B489"),0))</f>
        <v>111</v>
      </c>
      <c r="I228">
        <f>IF(C228="RB",LeagueInfo!$D$4*LeagueInfo!$F$2,IF(C228="WR",LeagueInfo!$D$5*LeagueInfo!$F$2,IF(C228="TE",LeagueInfo!$D$6*LeagueInfo!$F$2)))</f>
        <v>24</v>
      </c>
    </row>
    <row r="229" spans="1:9" x14ac:dyDescent="0.25">
      <c r="A229">
        <f ca="1">RANK(E229,E$2:E$462)</f>
        <v>228</v>
      </c>
      <c r="B229" t="s">
        <v>959</v>
      </c>
      <c r="C229" t="s">
        <v>35</v>
      </c>
      <c r="D229">
        <f ca="1">INDEX(INDIRECT($C229&amp;"!P:P"),MATCH($B229,INDIRECT($C229&amp;"!B:B"),0))</f>
        <v>48.400000000000006</v>
      </c>
      <c r="E229" s="210">
        <f ca="1">D229-LARGE(D$2:D$385,RBCount+WRCount+TECount)</f>
        <v>-59.589999999999989</v>
      </c>
      <c r="F229" t="str">
        <f ca="1">IF(H229&lt;=I229,"Starter",IF(G229&gt;=LARGE(G:G,FlexOn*LeagueInfo!$F$2),"Starter","Bench"))</f>
        <v>Bench</v>
      </c>
      <c r="G229">
        <f ca="1">IF(H229&gt;I229,D229,0)</f>
        <v>48.400000000000006</v>
      </c>
      <c r="H229">
        <f ca="1">INDEX(INDIRECT(""&amp;C229&amp;"!A2:A489"),MATCH(B229,INDIRECT(""&amp;C229&amp;"!B2:B489"),0))</f>
        <v>112</v>
      </c>
      <c r="I229">
        <f>IF(C229="RB",LeagueInfo!$D$4*LeagueInfo!$F$2,IF(C229="WR",LeagueInfo!$D$5*LeagueInfo!$F$2,IF(C229="TE",LeagueInfo!$D$6*LeagueInfo!$F$2)))</f>
        <v>24</v>
      </c>
    </row>
    <row r="230" spans="1:9" x14ac:dyDescent="0.25">
      <c r="A230">
        <f ca="1">RANK(E230,E$2:E$462)</f>
        <v>229</v>
      </c>
      <c r="B230" t="s">
        <v>409</v>
      </c>
      <c r="C230" t="s">
        <v>35</v>
      </c>
      <c r="D230">
        <f ca="1">INDEX(INDIRECT($C230&amp;"!P:P"),MATCH($B230,INDIRECT($C230&amp;"!B:B"),0))</f>
        <v>47.5</v>
      </c>
      <c r="E230" s="210">
        <f ca="1">D230-LARGE(D$2:D$385,RBCount+WRCount+TECount)</f>
        <v>-60.489999999999995</v>
      </c>
      <c r="F230" t="str">
        <f ca="1">IF(H230&lt;=I230,"Starter",IF(G230&gt;=LARGE(G:G,FlexOn*LeagueInfo!$F$2),"Starter","Bench"))</f>
        <v>Bench</v>
      </c>
      <c r="G230">
        <f ca="1">IF(H230&gt;I230,D230,0)</f>
        <v>47.5</v>
      </c>
      <c r="H230">
        <f ca="1">INDEX(INDIRECT(""&amp;C230&amp;"!A2:A489"),MATCH(B230,INDIRECT(""&amp;C230&amp;"!B2:B489"),0))</f>
        <v>113</v>
      </c>
      <c r="I230">
        <f>IF(C230="RB",LeagueInfo!$D$4*LeagueInfo!$F$2,IF(C230="WR",LeagueInfo!$D$5*LeagueInfo!$F$2,IF(C230="TE",LeagueInfo!$D$6*LeagueInfo!$F$2)))</f>
        <v>24</v>
      </c>
    </row>
    <row r="231" spans="1:9" x14ac:dyDescent="0.25">
      <c r="A231">
        <f ca="1">RANK(E231,E$2:E$462)</f>
        <v>230</v>
      </c>
      <c r="B231" t="s">
        <v>593</v>
      </c>
      <c r="C231" t="s">
        <v>43</v>
      </c>
      <c r="D231">
        <f ca="1">INDEX(INDIRECT($C231&amp;"!P:P"),MATCH($B231,INDIRECT($C231&amp;"!B:B"),0))</f>
        <v>47.320000000000007</v>
      </c>
      <c r="E231" s="210">
        <f ca="1">D231-LARGE(D$2:D$385,RBCount+WRCount+TECount)</f>
        <v>-60.669999999999987</v>
      </c>
      <c r="F231" t="str">
        <f ca="1">IF(H231&lt;=I231,"Starter",IF(G231&gt;=LARGE(G:G,FlexOn*LeagueInfo!$F$2),"Starter","Bench"))</f>
        <v>Bench</v>
      </c>
      <c r="G231">
        <f ca="1">IF(H231&gt;I231,D231,0)</f>
        <v>47.320000000000007</v>
      </c>
      <c r="H231">
        <f ca="1">INDEX(INDIRECT(""&amp;C231&amp;"!A2:A489"),MATCH(B231,INDIRECT(""&amp;C231&amp;"!B2:B489"),0))</f>
        <v>43</v>
      </c>
      <c r="I231">
        <f>IF(C231="RB",LeagueInfo!$D$4*LeagueInfo!$F$2,IF(C231="WR",LeagueInfo!$D$5*LeagueInfo!$F$2,IF(C231="TE",LeagueInfo!$D$6*LeagueInfo!$F$2)))</f>
        <v>12</v>
      </c>
    </row>
    <row r="232" spans="1:9" x14ac:dyDescent="0.25">
      <c r="A232">
        <f ca="1">RANK(E232,E$2:E$462)</f>
        <v>231</v>
      </c>
      <c r="B232" t="s">
        <v>830</v>
      </c>
      <c r="C232" t="s">
        <v>43</v>
      </c>
      <c r="D232">
        <f ca="1">INDEX(INDIRECT($C232&amp;"!P:P"),MATCH($B232,INDIRECT($C232&amp;"!B:B"),0))</f>
        <v>46.85</v>
      </c>
      <c r="E232" s="210">
        <f ca="1">D232-LARGE(D$2:D$385,RBCount+WRCount+TECount)</f>
        <v>-61.139999999999993</v>
      </c>
      <c r="F232" t="str">
        <f ca="1">IF(H232&lt;=I232,"Starter",IF(G232&gt;=LARGE(G:G,FlexOn*LeagueInfo!$F$2),"Starter","Bench"))</f>
        <v>Bench</v>
      </c>
      <c r="G232">
        <f ca="1">IF(H232&gt;I232,D232,0)</f>
        <v>46.85</v>
      </c>
      <c r="H232">
        <f ca="1">INDEX(INDIRECT(""&amp;C232&amp;"!A2:A489"),MATCH(B232,INDIRECT(""&amp;C232&amp;"!B2:B489"),0))</f>
        <v>44</v>
      </c>
      <c r="I232">
        <f>IF(C232="RB",LeagueInfo!$D$4*LeagueInfo!$F$2,IF(C232="WR",LeagueInfo!$D$5*LeagueInfo!$F$2,IF(C232="TE",LeagueInfo!$D$6*LeagueInfo!$F$2)))</f>
        <v>12</v>
      </c>
    </row>
    <row r="233" spans="1:9" x14ac:dyDescent="0.25">
      <c r="A233">
        <f ca="1">RANK(E233,E$2:E$462)</f>
        <v>232</v>
      </c>
      <c r="B233" t="s">
        <v>952</v>
      </c>
      <c r="C233" t="s">
        <v>35</v>
      </c>
      <c r="D233">
        <f ca="1">INDEX(INDIRECT($C233&amp;"!P:P"),MATCH($B233,INDIRECT($C233&amp;"!B:B"),0))</f>
        <v>46.81</v>
      </c>
      <c r="E233" s="210">
        <f ca="1">D233-LARGE(D$2:D$385,RBCount+WRCount+TECount)</f>
        <v>-61.179999999999993</v>
      </c>
      <c r="F233" t="str">
        <f ca="1">IF(H233&lt;=I233,"Starter",IF(G233&gt;=LARGE(G:G,FlexOn*LeagueInfo!$F$2),"Starter","Bench"))</f>
        <v>Bench</v>
      </c>
      <c r="G233">
        <f ca="1">IF(H233&gt;I233,D233,0)</f>
        <v>46.81</v>
      </c>
      <c r="H233">
        <f ca="1">INDEX(INDIRECT(""&amp;C233&amp;"!A2:A489"),MATCH(B233,INDIRECT(""&amp;C233&amp;"!B2:B489"),0))</f>
        <v>114</v>
      </c>
      <c r="I233">
        <f>IF(C233="RB",LeagueInfo!$D$4*LeagueInfo!$F$2,IF(C233="WR",LeagueInfo!$D$5*LeagueInfo!$F$2,IF(C233="TE",LeagueInfo!$D$6*LeagueInfo!$F$2)))</f>
        <v>24</v>
      </c>
    </row>
    <row r="234" spans="1:9" x14ac:dyDescent="0.25">
      <c r="A234">
        <f ca="1">RANK(E234,E$2:E$462)</f>
        <v>233</v>
      </c>
      <c r="B234" t="s">
        <v>2473</v>
      </c>
      <c r="C234" t="s">
        <v>43</v>
      </c>
      <c r="D234">
        <f ca="1">INDEX(INDIRECT($C234&amp;"!P:P"),MATCH($B234,INDIRECT($C234&amp;"!B:B"),0))</f>
        <v>46.19</v>
      </c>
      <c r="E234" s="210">
        <f ca="1">D234-LARGE(D$2:D$385,RBCount+WRCount+TECount)</f>
        <v>-61.8</v>
      </c>
      <c r="F234" t="str">
        <f ca="1">IF(H234&lt;=I234,"Starter",IF(G234&gt;=LARGE(G:G,FlexOn*LeagueInfo!$F$2),"Starter","Bench"))</f>
        <v>Bench</v>
      </c>
      <c r="G234">
        <f ca="1">IF(H234&gt;I234,D234,0)</f>
        <v>46.19</v>
      </c>
      <c r="H234">
        <f ca="1">INDEX(INDIRECT(""&amp;C234&amp;"!A2:A489"),MATCH(B234,INDIRECT(""&amp;C234&amp;"!B2:B489"),0))</f>
        <v>45</v>
      </c>
      <c r="I234">
        <f>IF(C234="RB",LeagueInfo!$D$4*LeagueInfo!$F$2,IF(C234="WR",LeagueInfo!$D$5*LeagueInfo!$F$2,IF(C234="TE",LeagueInfo!$D$6*LeagueInfo!$F$2)))</f>
        <v>12</v>
      </c>
    </row>
    <row r="235" spans="1:9" x14ac:dyDescent="0.25">
      <c r="A235">
        <f ca="1">RANK(E235,E$2:E$462)</f>
        <v>234</v>
      </c>
      <c r="B235" t="s">
        <v>343</v>
      </c>
      <c r="C235" t="s">
        <v>28</v>
      </c>
      <c r="D235">
        <f ca="1">INDEX(INDIRECT($C235&amp;"!P:P"),MATCH($B235,INDIRECT($C235&amp;"!B:B"),0))</f>
        <v>46.179999999999993</v>
      </c>
      <c r="E235" s="210">
        <f ca="1">D235-LARGE(D$2:D$385,RBCount+WRCount+TECount)</f>
        <v>-61.81</v>
      </c>
      <c r="F235" t="str">
        <f ca="1">IF(H235&lt;=I235,"Starter",IF(G235&gt;=LARGE(G:G,FlexOn*LeagueInfo!$F$2),"Starter","Bench"))</f>
        <v>Bench</v>
      </c>
      <c r="G235">
        <f ca="1">IF(H235&gt;I235,D235,0)</f>
        <v>46.179999999999993</v>
      </c>
      <c r="H235">
        <f ca="1">INDEX(INDIRECT(""&amp;C235&amp;"!A2:A489"),MATCH(B235,INDIRECT(""&amp;C235&amp;"!B2:B489"),0))</f>
        <v>75</v>
      </c>
      <c r="I235">
        <f>IF(C235="RB",LeagueInfo!$D$4*LeagueInfo!$F$2,IF(C235="WR",LeagueInfo!$D$5*LeagueInfo!$F$2,IF(C235="TE",LeagueInfo!$D$6*LeagueInfo!$F$2)))</f>
        <v>24</v>
      </c>
    </row>
    <row r="236" spans="1:9" x14ac:dyDescent="0.25">
      <c r="A236">
        <f ca="1">RANK(E236,E$2:E$462)</f>
        <v>235</v>
      </c>
      <c r="B236" t="s">
        <v>974</v>
      </c>
      <c r="C236" t="s">
        <v>43</v>
      </c>
      <c r="D236">
        <f ca="1">INDEX(INDIRECT($C236&amp;"!P:P"),MATCH($B236,INDIRECT($C236&amp;"!B:B"),0))</f>
        <v>45.650000000000006</v>
      </c>
      <c r="E236" s="210">
        <f ca="1">D236-LARGE(D$2:D$385,RBCount+WRCount+TECount)</f>
        <v>-62.339999999999989</v>
      </c>
      <c r="F236" t="str">
        <f ca="1">IF(H236&lt;=I236,"Starter",IF(G236&gt;=LARGE(G:G,FlexOn*LeagueInfo!$F$2),"Starter","Bench"))</f>
        <v>Bench</v>
      </c>
      <c r="G236">
        <f ca="1">IF(H236&gt;I236,D236,0)</f>
        <v>45.650000000000006</v>
      </c>
      <c r="H236">
        <f ca="1">INDEX(INDIRECT(""&amp;C236&amp;"!A2:A489"),MATCH(B236,INDIRECT(""&amp;C236&amp;"!B2:B489"),0))</f>
        <v>46</v>
      </c>
      <c r="I236">
        <f>IF(C236="RB",LeagueInfo!$D$4*LeagueInfo!$F$2,IF(C236="WR",LeagueInfo!$D$5*LeagueInfo!$F$2,IF(C236="TE",LeagueInfo!$D$6*LeagueInfo!$F$2)))</f>
        <v>12</v>
      </c>
    </row>
    <row r="237" spans="1:9" x14ac:dyDescent="0.25">
      <c r="A237">
        <f ca="1">RANK(E237,E$2:E$462)</f>
        <v>236</v>
      </c>
      <c r="B237" t="s">
        <v>2454</v>
      </c>
      <c r="C237" t="s">
        <v>28</v>
      </c>
      <c r="D237">
        <f ca="1">INDEX(INDIRECT($C237&amp;"!P:P"),MATCH($B237,INDIRECT($C237&amp;"!B:B"),0))</f>
        <v>45.339999999999996</v>
      </c>
      <c r="E237" s="210">
        <f ca="1">D237-LARGE(D$2:D$385,RBCount+WRCount+TECount)</f>
        <v>-62.65</v>
      </c>
      <c r="F237" t="str">
        <f ca="1">IF(H237&lt;=I237,"Starter",IF(G237&gt;=LARGE(G:G,FlexOn*LeagueInfo!$F$2),"Starter","Bench"))</f>
        <v>Bench</v>
      </c>
      <c r="G237">
        <f ca="1">IF(H237&gt;I237,D237,0)</f>
        <v>45.339999999999996</v>
      </c>
      <c r="H237">
        <f ca="1">INDEX(INDIRECT(""&amp;C237&amp;"!A2:A489"),MATCH(B237,INDIRECT(""&amp;C237&amp;"!B2:B489"),0))</f>
        <v>76</v>
      </c>
      <c r="I237">
        <f>IF(C237="RB",LeagueInfo!$D$4*LeagueInfo!$F$2,IF(C237="WR",LeagueInfo!$D$5*LeagueInfo!$F$2,IF(C237="TE",LeagueInfo!$D$6*LeagueInfo!$F$2)))</f>
        <v>24</v>
      </c>
    </row>
    <row r="238" spans="1:9" x14ac:dyDescent="0.25">
      <c r="A238">
        <f ca="1">RANK(E238,E$2:E$462)</f>
        <v>237</v>
      </c>
      <c r="B238" t="s">
        <v>752</v>
      </c>
      <c r="C238" t="s">
        <v>43</v>
      </c>
      <c r="D238">
        <f ca="1">INDEX(INDIRECT($C238&amp;"!P:P"),MATCH($B238,INDIRECT($C238&amp;"!B:B"),0))</f>
        <v>45.01</v>
      </c>
      <c r="E238" s="210">
        <f ca="1">D238-LARGE(D$2:D$385,RBCount+WRCount+TECount)</f>
        <v>-62.98</v>
      </c>
      <c r="F238" t="str">
        <f ca="1">IF(H238&lt;=I238,"Starter",IF(G238&gt;=LARGE(G:G,FlexOn*LeagueInfo!$F$2),"Starter","Bench"))</f>
        <v>Bench</v>
      </c>
      <c r="G238">
        <f ca="1">IF(H238&gt;I238,D238,0)</f>
        <v>45.01</v>
      </c>
      <c r="H238">
        <f ca="1">INDEX(INDIRECT(""&amp;C238&amp;"!A2:A489"),MATCH(B238,INDIRECT(""&amp;C238&amp;"!B2:B489"),0))</f>
        <v>47</v>
      </c>
      <c r="I238">
        <f>IF(C238="RB",LeagueInfo!$D$4*LeagueInfo!$F$2,IF(C238="WR",LeagueInfo!$D$5*LeagueInfo!$F$2,IF(C238="TE",LeagueInfo!$D$6*LeagueInfo!$F$2)))</f>
        <v>12</v>
      </c>
    </row>
    <row r="239" spans="1:9" x14ac:dyDescent="0.25">
      <c r="A239">
        <f ca="1">RANK(E239,E$2:E$462)</f>
        <v>238</v>
      </c>
      <c r="B239" t="s">
        <v>617</v>
      </c>
      <c r="C239" t="s">
        <v>28</v>
      </c>
      <c r="D239">
        <f ca="1">INDEX(INDIRECT($C239&amp;"!P:P"),MATCH($B239,INDIRECT($C239&amp;"!B:B"),0))</f>
        <v>44.7</v>
      </c>
      <c r="E239" s="210">
        <f ca="1">D239-LARGE(D$2:D$385,RBCount+WRCount+TECount)</f>
        <v>-63.289999999999992</v>
      </c>
      <c r="F239" t="str">
        <f ca="1">IF(H239&lt;=I239,"Starter",IF(G239&gt;=LARGE(G:G,FlexOn*LeagueInfo!$F$2),"Starter","Bench"))</f>
        <v>Bench</v>
      </c>
      <c r="G239">
        <f ca="1">IF(H239&gt;I239,D239,0)</f>
        <v>44.7</v>
      </c>
      <c r="H239">
        <f ca="1">INDEX(INDIRECT(""&amp;C239&amp;"!A2:A489"),MATCH(B239,INDIRECT(""&amp;C239&amp;"!B2:B489"),0))</f>
        <v>77</v>
      </c>
      <c r="I239">
        <f>IF(C239="RB",LeagueInfo!$D$4*LeagueInfo!$F$2,IF(C239="WR",LeagueInfo!$D$5*LeagueInfo!$F$2,IF(C239="TE",LeagueInfo!$D$6*LeagueInfo!$F$2)))</f>
        <v>24</v>
      </c>
    </row>
    <row r="240" spans="1:9" x14ac:dyDescent="0.25">
      <c r="A240">
        <f ca="1">RANK(E240,E$2:E$462)</f>
        <v>239</v>
      </c>
      <c r="B240" t="s">
        <v>867</v>
      </c>
      <c r="C240" t="s">
        <v>35</v>
      </c>
      <c r="D240">
        <f ca="1">INDEX(INDIRECT($C240&amp;"!P:P"),MATCH($B240,INDIRECT($C240&amp;"!B:B"),0))</f>
        <v>44.370000000000005</v>
      </c>
      <c r="E240" s="210">
        <f ca="1">D240-LARGE(D$2:D$385,RBCount+WRCount+TECount)</f>
        <v>-63.61999999999999</v>
      </c>
      <c r="F240" t="str">
        <f ca="1">IF(H240&lt;=I240,"Starter",IF(G240&gt;=LARGE(G:G,FlexOn*LeagueInfo!$F$2),"Starter","Bench"))</f>
        <v>Bench</v>
      </c>
      <c r="G240">
        <f ca="1">IF(H240&gt;I240,D240,0)</f>
        <v>44.370000000000005</v>
      </c>
      <c r="H240">
        <f ca="1">INDEX(INDIRECT(""&amp;C240&amp;"!A2:A489"),MATCH(B240,INDIRECT(""&amp;C240&amp;"!B2:B489"),0))</f>
        <v>115</v>
      </c>
      <c r="I240">
        <f>IF(C240="RB",LeagueInfo!$D$4*LeagueInfo!$F$2,IF(C240="WR",LeagueInfo!$D$5*LeagueInfo!$F$2,IF(C240="TE",LeagueInfo!$D$6*LeagueInfo!$F$2)))</f>
        <v>24</v>
      </c>
    </row>
    <row r="241" spans="1:9" x14ac:dyDescent="0.25">
      <c r="A241">
        <f ca="1">RANK(E241,E$2:E$462)</f>
        <v>240</v>
      </c>
      <c r="B241" t="s">
        <v>799</v>
      </c>
      <c r="C241" t="s">
        <v>28</v>
      </c>
      <c r="D241">
        <f ca="1">INDEX(INDIRECT($C241&amp;"!P:P"),MATCH($B241,INDIRECT($C241&amp;"!B:B"),0))</f>
        <v>44.210000000000008</v>
      </c>
      <c r="E241" s="210">
        <f ca="1">D241-LARGE(D$2:D$385,RBCount+WRCount+TECount)</f>
        <v>-63.779999999999987</v>
      </c>
      <c r="F241" t="str">
        <f ca="1">IF(H241&lt;=I241,"Starter",IF(G241&gt;=LARGE(G:G,FlexOn*LeagueInfo!$F$2),"Starter","Bench"))</f>
        <v>Bench</v>
      </c>
      <c r="G241">
        <f ca="1">IF(H241&gt;I241,D241,0)</f>
        <v>44.210000000000008</v>
      </c>
      <c r="H241">
        <f ca="1">INDEX(INDIRECT(""&amp;C241&amp;"!A2:A489"),MATCH(B241,INDIRECT(""&amp;C241&amp;"!B2:B489"),0))</f>
        <v>78</v>
      </c>
      <c r="I241">
        <f>IF(C241="RB",LeagueInfo!$D$4*LeagueInfo!$F$2,IF(C241="WR",LeagueInfo!$D$5*LeagueInfo!$F$2,IF(C241="TE",LeagueInfo!$D$6*LeagueInfo!$F$2)))</f>
        <v>24</v>
      </c>
    </row>
    <row r="242" spans="1:9" x14ac:dyDescent="0.25">
      <c r="A242">
        <f ca="1">RANK(E242,E$2:E$462)</f>
        <v>241</v>
      </c>
      <c r="B242" t="s">
        <v>595</v>
      </c>
      <c r="C242" t="s">
        <v>43</v>
      </c>
      <c r="D242">
        <f ca="1">INDEX(INDIRECT($C242&amp;"!P:P"),MATCH($B242,INDIRECT($C242&amp;"!B:B"),0))</f>
        <v>43.61</v>
      </c>
      <c r="E242" s="210">
        <f ca="1">D242-LARGE(D$2:D$385,RBCount+WRCount+TECount)</f>
        <v>-64.38</v>
      </c>
      <c r="F242" t="str">
        <f ca="1">IF(H242&lt;=I242,"Starter",IF(G242&gt;=LARGE(G:G,FlexOn*LeagueInfo!$F$2),"Starter","Bench"))</f>
        <v>Bench</v>
      </c>
      <c r="G242">
        <f ca="1">IF(H242&gt;I242,D242,0)</f>
        <v>43.61</v>
      </c>
      <c r="H242">
        <f ca="1">INDEX(INDIRECT(""&amp;C242&amp;"!A2:A489"),MATCH(B242,INDIRECT(""&amp;C242&amp;"!B2:B489"),0))</f>
        <v>48</v>
      </c>
      <c r="I242">
        <f>IF(C242="RB",LeagueInfo!$D$4*LeagueInfo!$F$2,IF(C242="WR",LeagueInfo!$D$5*LeagueInfo!$F$2,IF(C242="TE",LeagueInfo!$D$6*LeagueInfo!$F$2)))</f>
        <v>12</v>
      </c>
    </row>
    <row r="243" spans="1:9" x14ac:dyDescent="0.25">
      <c r="A243">
        <f ca="1">RANK(E243,E$2:E$462)</f>
        <v>242</v>
      </c>
      <c r="B243" t="s">
        <v>897</v>
      </c>
      <c r="C243" t="s">
        <v>28</v>
      </c>
      <c r="D243">
        <f ca="1">INDEX(INDIRECT($C243&amp;"!P:P"),MATCH($B243,INDIRECT($C243&amp;"!B:B"),0))</f>
        <v>42.420000000000009</v>
      </c>
      <c r="E243" s="210">
        <f ca="1">D243-LARGE(D$2:D$385,RBCount+WRCount+TECount)</f>
        <v>-65.569999999999993</v>
      </c>
      <c r="F243" t="str">
        <f ca="1">IF(H243&lt;=I243,"Starter",IF(G243&gt;=LARGE(G:G,FlexOn*LeagueInfo!$F$2),"Starter","Bench"))</f>
        <v>Bench</v>
      </c>
      <c r="G243">
        <f ca="1">IF(H243&gt;I243,D243,0)</f>
        <v>42.420000000000009</v>
      </c>
      <c r="H243">
        <f ca="1">INDEX(INDIRECT(""&amp;C243&amp;"!A2:A489"),MATCH(B243,INDIRECT(""&amp;C243&amp;"!B2:B489"),0))</f>
        <v>79</v>
      </c>
      <c r="I243">
        <f>IF(C243="RB",LeagueInfo!$D$4*LeagueInfo!$F$2,IF(C243="WR",LeagueInfo!$D$5*LeagueInfo!$F$2,IF(C243="TE",LeagueInfo!$D$6*LeagueInfo!$F$2)))</f>
        <v>24</v>
      </c>
    </row>
    <row r="244" spans="1:9" x14ac:dyDescent="0.25">
      <c r="A244">
        <f ca="1">RANK(E244,E$2:E$462)</f>
        <v>243</v>
      </c>
      <c r="B244" t="s">
        <v>825</v>
      </c>
      <c r="C244" t="s">
        <v>43</v>
      </c>
      <c r="D244">
        <f ca="1">INDEX(INDIRECT($C244&amp;"!P:P"),MATCH($B244,INDIRECT($C244&amp;"!B:B"),0))</f>
        <v>40.680000000000007</v>
      </c>
      <c r="E244" s="210">
        <f ca="1">D244-LARGE(D$2:D$385,RBCount+WRCount+TECount)</f>
        <v>-67.309999999999988</v>
      </c>
      <c r="F244" t="str">
        <f ca="1">IF(H244&lt;=I244,"Starter",IF(G244&gt;=LARGE(G:G,FlexOn*LeagueInfo!$F$2),"Starter","Bench"))</f>
        <v>Bench</v>
      </c>
      <c r="G244">
        <f ca="1">IF(H244&gt;I244,D244,0)</f>
        <v>40.680000000000007</v>
      </c>
      <c r="H244">
        <f ca="1">INDEX(INDIRECT(""&amp;C244&amp;"!A2:A489"),MATCH(B244,INDIRECT(""&amp;C244&amp;"!B2:B489"),0))</f>
        <v>49</v>
      </c>
      <c r="I244">
        <f>IF(C244="RB",LeagueInfo!$D$4*LeagueInfo!$F$2,IF(C244="WR",LeagueInfo!$D$5*LeagueInfo!$F$2,IF(C244="TE",LeagueInfo!$D$6*LeagueInfo!$F$2)))</f>
        <v>12</v>
      </c>
    </row>
    <row r="245" spans="1:9" x14ac:dyDescent="0.25">
      <c r="A245">
        <f ca="1">RANK(E245,E$2:E$462)</f>
        <v>244</v>
      </c>
      <c r="B245" t="s">
        <v>850</v>
      </c>
      <c r="C245" t="s">
        <v>35</v>
      </c>
      <c r="D245">
        <f ca="1">INDEX(INDIRECT($C245&amp;"!P:P"),MATCH($B245,INDIRECT($C245&amp;"!B:B"),0))</f>
        <v>40.329999999999991</v>
      </c>
      <c r="E245" s="210">
        <f ca="1">D245-LARGE(D$2:D$385,RBCount+WRCount+TECount)</f>
        <v>-67.66</v>
      </c>
      <c r="F245" t="str">
        <f ca="1">IF(H245&lt;=I245,"Starter",IF(G245&gt;=LARGE(G:G,FlexOn*LeagueInfo!$F$2),"Starter","Bench"))</f>
        <v>Bench</v>
      </c>
      <c r="G245">
        <f ca="1">IF(H245&gt;I245,D245,0)</f>
        <v>40.329999999999991</v>
      </c>
      <c r="H245">
        <f ca="1">INDEX(INDIRECT(""&amp;C245&amp;"!A2:A489"),MATCH(B245,INDIRECT(""&amp;C245&amp;"!B2:B489"),0))</f>
        <v>116</v>
      </c>
      <c r="I245">
        <f>IF(C245="RB",LeagueInfo!$D$4*LeagueInfo!$F$2,IF(C245="WR",LeagueInfo!$D$5*LeagueInfo!$F$2,IF(C245="TE",LeagueInfo!$D$6*LeagueInfo!$F$2)))</f>
        <v>24</v>
      </c>
    </row>
    <row r="246" spans="1:9" x14ac:dyDescent="0.25">
      <c r="A246">
        <f ca="1">RANK(E246,E$2:E$462)</f>
        <v>245</v>
      </c>
      <c r="B246" t="s">
        <v>811</v>
      </c>
      <c r="C246" t="s">
        <v>28</v>
      </c>
      <c r="D246">
        <f ca="1">INDEX(INDIRECT($C246&amp;"!P:P"),MATCH($B246,INDIRECT($C246&amp;"!B:B"),0))</f>
        <v>39.980000000000004</v>
      </c>
      <c r="E246" s="210">
        <f ca="1">D246-LARGE(D$2:D$385,RBCount+WRCount+TECount)</f>
        <v>-68.009999999999991</v>
      </c>
      <c r="F246" t="str">
        <f ca="1">IF(H246&lt;=I246,"Starter",IF(G246&gt;=LARGE(G:G,FlexOn*LeagueInfo!$F$2),"Starter","Bench"))</f>
        <v>Bench</v>
      </c>
      <c r="G246">
        <f ca="1">IF(H246&gt;I246,D246,0)</f>
        <v>39.980000000000004</v>
      </c>
      <c r="H246">
        <f ca="1">INDEX(INDIRECT(""&amp;C246&amp;"!A2:A489"),MATCH(B246,INDIRECT(""&amp;C246&amp;"!B2:B489"),0))</f>
        <v>80</v>
      </c>
      <c r="I246">
        <f>IF(C246="RB",LeagueInfo!$D$4*LeagueInfo!$F$2,IF(C246="WR",LeagueInfo!$D$5*LeagueInfo!$F$2,IF(C246="TE",LeagueInfo!$D$6*LeagueInfo!$F$2)))</f>
        <v>24</v>
      </c>
    </row>
    <row r="247" spans="1:9" x14ac:dyDescent="0.25">
      <c r="A247">
        <f ca="1">RANK(E247,E$2:E$462)</f>
        <v>246</v>
      </c>
      <c r="B247" t="s">
        <v>539</v>
      </c>
      <c r="C247" t="s">
        <v>43</v>
      </c>
      <c r="D247">
        <f ca="1">INDEX(INDIRECT($C247&amp;"!P:P"),MATCH($B247,INDIRECT($C247&amp;"!B:B"),0))</f>
        <v>39.700000000000003</v>
      </c>
      <c r="E247" s="210">
        <f ca="1">D247-LARGE(D$2:D$385,RBCount+WRCount+TECount)</f>
        <v>-68.289999999999992</v>
      </c>
      <c r="F247" t="str">
        <f ca="1">IF(H247&lt;=I247,"Starter",IF(G247&gt;=LARGE(G:G,FlexOn*LeagueInfo!$F$2),"Starter","Bench"))</f>
        <v>Bench</v>
      </c>
      <c r="G247">
        <f ca="1">IF(H247&gt;I247,D247,0)</f>
        <v>39.700000000000003</v>
      </c>
      <c r="H247">
        <f ca="1">INDEX(INDIRECT(""&amp;C247&amp;"!A2:A489"),MATCH(B247,INDIRECT(""&amp;C247&amp;"!B2:B489"),0))</f>
        <v>50</v>
      </c>
      <c r="I247">
        <f>IF(C247="RB",LeagueInfo!$D$4*LeagueInfo!$F$2,IF(C247="WR",LeagueInfo!$D$5*LeagueInfo!$F$2,IF(C247="TE",LeagueInfo!$D$6*LeagueInfo!$F$2)))</f>
        <v>12</v>
      </c>
    </row>
    <row r="248" spans="1:9" x14ac:dyDescent="0.25">
      <c r="A248">
        <f ca="1">RANK(E248,E$2:E$462)</f>
        <v>247</v>
      </c>
      <c r="B248" t="s">
        <v>2474</v>
      </c>
      <c r="C248" t="s">
        <v>43</v>
      </c>
      <c r="D248">
        <f ca="1">INDEX(INDIRECT($C248&amp;"!P:P"),MATCH($B248,INDIRECT($C248&amp;"!B:B"),0))</f>
        <v>39.659999999999997</v>
      </c>
      <c r="E248" s="210">
        <f ca="1">D248-LARGE(D$2:D$385,RBCount+WRCount+TECount)</f>
        <v>-68.33</v>
      </c>
      <c r="F248" t="str">
        <f ca="1">IF(H248&lt;=I248,"Starter",IF(G248&gt;=LARGE(G:G,FlexOn*LeagueInfo!$F$2),"Starter","Bench"))</f>
        <v>Bench</v>
      </c>
      <c r="G248">
        <f ca="1">IF(H248&gt;I248,D248,0)</f>
        <v>39.659999999999997</v>
      </c>
      <c r="H248">
        <f ca="1">INDEX(INDIRECT(""&amp;C248&amp;"!A2:A489"),MATCH(B248,INDIRECT(""&amp;C248&amp;"!B2:B489"),0))</f>
        <v>51</v>
      </c>
      <c r="I248">
        <f>IF(C248="RB",LeagueInfo!$D$4*LeagueInfo!$F$2,IF(C248="WR",LeagueInfo!$D$5*LeagueInfo!$F$2,IF(C248="TE",LeagueInfo!$D$6*LeagueInfo!$F$2)))</f>
        <v>12</v>
      </c>
    </row>
    <row r="249" spans="1:9" x14ac:dyDescent="0.25">
      <c r="A249">
        <f ca="1">RANK(E249,E$2:E$462)</f>
        <v>248</v>
      </c>
      <c r="B249" t="s">
        <v>196</v>
      </c>
      <c r="C249" t="s">
        <v>43</v>
      </c>
      <c r="D249">
        <f ca="1">INDEX(INDIRECT($C249&amp;"!P:P"),MATCH($B249,INDIRECT($C249&amp;"!B:B"),0))</f>
        <v>39.29</v>
      </c>
      <c r="E249" s="210">
        <f ca="1">D249-LARGE(D$2:D$385,RBCount+WRCount+TECount)</f>
        <v>-68.699999999999989</v>
      </c>
      <c r="F249" t="str">
        <f ca="1">IF(H249&lt;=I249,"Starter",IF(G249&gt;=LARGE(G:G,FlexOn*LeagueInfo!$F$2),"Starter","Bench"))</f>
        <v>Bench</v>
      </c>
      <c r="G249">
        <f ca="1">IF(H249&gt;I249,D249,0)</f>
        <v>39.29</v>
      </c>
      <c r="H249">
        <f ca="1">INDEX(INDIRECT(""&amp;C249&amp;"!A2:A489"),MATCH(B249,INDIRECT(""&amp;C249&amp;"!B2:B489"),0))</f>
        <v>52</v>
      </c>
      <c r="I249">
        <f>IF(C249="RB",LeagueInfo!$D$4*LeagueInfo!$F$2,IF(C249="WR",LeagueInfo!$D$5*LeagueInfo!$F$2,IF(C249="TE",LeagueInfo!$D$6*LeagueInfo!$F$2)))</f>
        <v>12</v>
      </c>
    </row>
    <row r="250" spans="1:9" x14ac:dyDescent="0.25">
      <c r="A250">
        <f ca="1">RANK(E250,E$2:E$462)</f>
        <v>249</v>
      </c>
      <c r="B250" t="s">
        <v>2475</v>
      </c>
      <c r="C250" t="s">
        <v>43</v>
      </c>
      <c r="D250">
        <f ca="1">INDEX(INDIRECT($C250&amp;"!P:P"),MATCH($B250,INDIRECT($C250&amp;"!B:B"),0))</f>
        <v>39.06</v>
      </c>
      <c r="E250" s="210">
        <f ca="1">D250-LARGE(D$2:D$385,RBCount+WRCount+TECount)</f>
        <v>-68.929999999999993</v>
      </c>
      <c r="F250" t="str">
        <f ca="1">IF(H250&lt;=I250,"Starter",IF(G250&gt;=LARGE(G:G,FlexOn*LeagueInfo!$F$2),"Starter","Bench"))</f>
        <v>Bench</v>
      </c>
      <c r="G250">
        <f ca="1">IF(H250&gt;I250,D250,0)</f>
        <v>39.06</v>
      </c>
      <c r="H250">
        <f ca="1">INDEX(INDIRECT(""&amp;C250&amp;"!A2:A489"),MATCH(B250,INDIRECT(""&amp;C250&amp;"!B2:B489"),0))</f>
        <v>53</v>
      </c>
      <c r="I250">
        <f>IF(C250="RB",LeagueInfo!$D$4*LeagueInfo!$F$2,IF(C250="WR",LeagueInfo!$D$5*LeagueInfo!$F$2,IF(C250="TE",LeagueInfo!$D$6*LeagueInfo!$F$2)))</f>
        <v>12</v>
      </c>
    </row>
    <row r="251" spans="1:9" x14ac:dyDescent="0.25">
      <c r="A251">
        <f ca="1">RANK(E251,E$2:E$462)</f>
        <v>250</v>
      </c>
      <c r="B251" t="s">
        <v>2657</v>
      </c>
      <c r="C251" t="s">
        <v>28</v>
      </c>
      <c r="D251">
        <f ca="1">INDEX(INDIRECT($C251&amp;"!P:P"),MATCH($B251,INDIRECT($C251&amp;"!B:B"),0))</f>
        <v>38.910000000000004</v>
      </c>
      <c r="E251" s="210">
        <f ca="1">D251-LARGE(D$2:D$385,RBCount+WRCount+TECount)</f>
        <v>-69.079999999999984</v>
      </c>
      <c r="F251" t="str">
        <f ca="1">IF(H251&lt;=I251,"Starter",IF(G251&gt;=LARGE(G:G,FlexOn*LeagueInfo!$F$2),"Starter","Bench"))</f>
        <v>Bench</v>
      </c>
      <c r="G251">
        <f ca="1">IF(H251&gt;I251,D251,0)</f>
        <v>38.910000000000004</v>
      </c>
      <c r="H251">
        <f ca="1">INDEX(INDIRECT(""&amp;C251&amp;"!A2:A489"),MATCH(B251,INDIRECT(""&amp;C251&amp;"!B2:B489"),0))</f>
        <v>81</v>
      </c>
      <c r="I251">
        <f>IF(C251="RB",LeagueInfo!$D$4*LeagueInfo!$F$2,IF(C251="WR",LeagueInfo!$D$5*LeagueInfo!$F$2,IF(C251="TE",LeagueInfo!$D$6*LeagueInfo!$F$2)))</f>
        <v>24</v>
      </c>
    </row>
    <row r="252" spans="1:9" x14ac:dyDescent="0.25">
      <c r="A252">
        <f ca="1">RANK(E252,E$2:E$462)</f>
        <v>251</v>
      </c>
      <c r="B252" t="s">
        <v>406</v>
      </c>
      <c r="C252" t="s">
        <v>35</v>
      </c>
      <c r="D252">
        <f ca="1">INDEX(INDIRECT($C252&amp;"!P:P"),MATCH($B252,INDIRECT($C252&amp;"!B:B"),0))</f>
        <v>38.86</v>
      </c>
      <c r="E252" s="210">
        <f ca="1">D252-LARGE(D$2:D$385,RBCount+WRCount+TECount)</f>
        <v>-69.13</v>
      </c>
      <c r="F252" t="str">
        <f ca="1">IF(H252&lt;=I252,"Starter",IF(G252&gt;=LARGE(G:G,FlexOn*LeagueInfo!$F$2),"Starter","Bench"))</f>
        <v>Bench</v>
      </c>
      <c r="G252">
        <f ca="1">IF(H252&gt;I252,D252,0)</f>
        <v>38.86</v>
      </c>
      <c r="H252">
        <f ca="1">INDEX(INDIRECT(""&amp;C252&amp;"!A2:A489"),MATCH(B252,INDIRECT(""&amp;C252&amp;"!B2:B489"),0))</f>
        <v>117</v>
      </c>
      <c r="I252">
        <f>IF(C252="RB",LeagueInfo!$D$4*LeagueInfo!$F$2,IF(C252="WR",LeagueInfo!$D$5*LeagueInfo!$F$2,IF(C252="TE",LeagueInfo!$D$6*LeagueInfo!$F$2)))</f>
        <v>24</v>
      </c>
    </row>
    <row r="253" spans="1:9" x14ac:dyDescent="0.25">
      <c r="A253">
        <f ca="1">RANK(E253,E$2:E$462)</f>
        <v>252</v>
      </c>
      <c r="B253" t="s">
        <v>561</v>
      </c>
      <c r="C253" t="s">
        <v>28</v>
      </c>
      <c r="D253">
        <f ca="1">INDEX(INDIRECT($C253&amp;"!P:P"),MATCH($B253,INDIRECT($C253&amp;"!B:B"),0))</f>
        <v>38.76</v>
      </c>
      <c r="E253" s="210">
        <f ca="1">D253-LARGE(D$2:D$385,RBCount+WRCount+TECount)</f>
        <v>-69.22999999999999</v>
      </c>
      <c r="F253" t="str">
        <f ca="1">IF(H253&lt;=I253,"Starter",IF(G253&gt;=LARGE(G:G,FlexOn*LeagueInfo!$F$2),"Starter","Bench"))</f>
        <v>Bench</v>
      </c>
      <c r="G253">
        <f ca="1">IF(H253&gt;I253,D253,0)</f>
        <v>38.76</v>
      </c>
      <c r="H253">
        <f ca="1">INDEX(INDIRECT(""&amp;C253&amp;"!A2:A489"),MATCH(B253,INDIRECT(""&amp;C253&amp;"!B2:B489"),0))</f>
        <v>82</v>
      </c>
      <c r="I253">
        <f>IF(C253="RB",LeagueInfo!$D$4*LeagueInfo!$F$2,IF(C253="WR",LeagueInfo!$D$5*LeagueInfo!$F$2,IF(C253="TE",LeagueInfo!$D$6*LeagueInfo!$F$2)))</f>
        <v>24</v>
      </c>
    </row>
    <row r="254" spans="1:9" x14ac:dyDescent="0.25">
      <c r="A254">
        <f ca="1">RANK(E254,E$2:E$462)</f>
        <v>253</v>
      </c>
      <c r="B254" t="s">
        <v>846</v>
      </c>
      <c r="C254" t="s">
        <v>35</v>
      </c>
      <c r="D254">
        <f ca="1">INDEX(INDIRECT($C254&amp;"!P:P"),MATCH($B254,INDIRECT($C254&amp;"!B:B"),0))</f>
        <v>38.599999999999994</v>
      </c>
      <c r="E254" s="210">
        <f ca="1">D254-LARGE(D$2:D$385,RBCount+WRCount+TECount)</f>
        <v>-69.39</v>
      </c>
      <c r="F254" t="str">
        <f ca="1">IF(H254&lt;=I254,"Starter",IF(G254&gt;=LARGE(G:G,FlexOn*LeagueInfo!$F$2),"Starter","Bench"))</f>
        <v>Bench</v>
      </c>
      <c r="G254">
        <f ca="1">IF(H254&gt;I254,D254,0)</f>
        <v>38.599999999999994</v>
      </c>
      <c r="H254">
        <f ca="1">INDEX(INDIRECT(""&amp;C254&amp;"!A2:A489"),MATCH(B254,INDIRECT(""&amp;C254&amp;"!B2:B489"),0))</f>
        <v>118</v>
      </c>
      <c r="I254">
        <f>IF(C254="RB",LeagueInfo!$D$4*LeagueInfo!$F$2,IF(C254="WR",LeagueInfo!$D$5*LeagueInfo!$F$2,IF(C254="TE",LeagueInfo!$D$6*LeagueInfo!$F$2)))</f>
        <v>24</v>
      </c>
    </row>
    <row r="255" spans="1:9" x14ac:dyDescent="0.25">
      <c r="A255">
        <f ca="1">RANK(E255,E$2:E$462)</f>
        <v>254</v>
      </c>
      <c r="B255" t="s">
        <v>884</v>
      </c>
      <c r="C255" t="s">
        <v>28</v>
      </c>
      <c r="D255">
        <f ca="1">INDEX(INDIRECT($C255&amp;"!P:P"),MATCH($B255,INDIRECT($C255&amp;"!B:B"),0))</f>
        <v>38.249999999999993</v>
      </c>
      <c r="E255" s="210">
        <f ca="1">D255-LARGE(D$2:D$385,RBCount+WRCount+TECount)</f>
        <v>-69.740000000000009</v>
      </c>
      <c r="F255" t="str">
        <f ca="1">IF(H255&lt;=I255,"Starter",IF(G255&gt;=LARGE(G:G,FlexOn*LeagueInfo!$F$2),"Starter","Bench"))</f>
        <v>Bench</v>
      </c>
      <c r="G255">
        <f ca="1">IF(H255&gt;I255,D255,0)</f>
        <v>38.249999999999993</v>
      </c>
      <c r="H255">
        <f ca="1">INDEX(INDIRECT(""&amp;C255&amp;"!A2:A489"),MATCH(B255,INDIRECT(""&amp;C255&amp;"!B2:B489"),0))</f>
        <v>83</v>
      </c>
      <c r="I255">
        <f>IF(C255="RB",LeagueInfo!$D$4*LeagueInfo!$F$2,IF(C255="WR",LeagueInfo!$D$5*LeagueInfo!$F$2,IF(C255="TE",LeagueInfo!$D$6*LeagueInfo!$F$2)))</f>
        <v>24</v>
      </c>
    </row>
    <row r="256" spans="1:9" x14ac:dyDescent="0.25">
      <c r="A256">
        <f ca="1">RANK(E256,E$2:E$462)</f>
        <v>255</v>
      </c>
      <c r="B256" t="s">
        <v>985</v>
      </c>
      <c r="C256" t="s">
        <v>43</v>
      </c>
      <c r="D256">
        <f ca="1">INDEX(INDIRECT($C256&amp;"!P:P"),MATCH($B256,INDIRECT($C256&amp;"!B:B"),0))</f>
        <v>38.19</v>
      </c>
      <c r="E256" s="210">
        <f ca="1">D256-LARGE(D$2:D$385,RBCount+WRCount+TECount)</f>
        <v>-69.8</v>
      </c>
      <c r="F256" t="str">
        <f ca="1">IF(H256&lt;=I256,"Starter",IF(G256&gt;=LARGE(G:G,FlexOn*LeagueInfo!$F$2),"Starter","Bench"))</f>
        <v>Bench</v>
      </c>
      <c r="G256">
        <f ca="1">IF(H256&gt;I256,D256,0)</f>
        <v>38.19</v>
      </c>
      <c r="H256">
        <f ca="1">INDEX(INDIRECT(""&amp;C256&amp;"!A2:A489"),MATCH(B256,INDIRECT(""&amp;C256&amp;"!B2:B489"),0))</f>
        <v>54</v>
      </c>
      <c r="I256">
        <f>IF(C256="RB",LeagueInfo!$D$4*LeagueInfo!$F$2,IF(C256="WR",LeagueInfo!$D$5*LeagueInfo!$F$2,IF(C256="TE",LeagueInfo!$D$6*LeagueInfo!$F$2)))</f>
        <v>12</v>
      </c>
    </row>
    <row r="257" spans="1:9" x14ac:dyDescent="0.25">
      <c r="A257">
        <f ca="1">RANK(E257,E$2:E$462)</f>
        <v>256</v>
      </c>
      <c r="B257" t="s">
        <v>398</v>
      </c>
      <c r="C257" t="s">
        <v>35</v>
      </c>
      <c r="D257">
        <f ca="1">INDEX(INDIRECT($C257&amp;"!P:P"),MATCH($B257,INDIRECT($C257&amp;"!B:B"),0))</f>
        <v>37.970000000000006</v>
      </c>
      <c r="E257" s="210">
        <f ca="1">D257-LARGE(D$2:D$385,RBCount+WRCount+TECount)</f>
        <v>-70.019999999999982</v>
      </c>
      <c r="F257" t="str">
        <f ca="1">IF(H257&lt;=I257,"Starter",IF(G257&gt;=LARGE(G:G,FlexOn*LeagueInfo!$F$2),"Starter","Bench"))</f>
        <v>Bench</v>
      </c>
      <c r="G257">
        <f ca="1">IF(H257&gt;I257,D257,0)</f>
        <v>37.970000000000006</v>
      </c>
      <c r="H257">
        <f ca="1">INDEX(INDIRECT(""&amp;C257&amp;"!A2:A489"),MATCH(B257,INDIRECT(""&amp;C257&amp;"!B2:B489"),0))</f>
        <v>119</v>
      </c>
      <c r="I257">
        <f>IF(C257="RB",LeagueInfo!$D$4*LeagueInfo!$F$2,IF(C257="WR",LeagueInfo!$D$5*LeagueInfo!$F$2,IF(C257="TE",LeagueInfo!$D$6*LeagueInfo!$F$2)))</f>
        <v>24</v>
      </c>
    </row>
    <row r="258" spans="1:9" x14ac:dyDescent="0.25">
      <c r="A258">
        <f ca="1">RANK(E258,E$2:E$462)</f>
        <v>257</v>
      </c>
      <c r="B258" t="s">
        <v>395</v>
      </c>
      <c r="C258" t="s">
        <v>35</v>
      </c>
      <c r="D258">
        <f ca="1">INDEX(INDIRECT($C258&amp;"!P:P"),MATCH($B258,INDIRECT($C258&amp;"!B:B"),0))</f>
        <v>37.93</v>
      </c>
      <c r="E258" s="210">
        <f ca="1">D258-LARGE(D$2:D$385,RBCount+WRCount+TECount)</f>
        <v>-70.06</v>
      </c>
      <c r="F258" t="str">
        <f ca="1">IF(H258&lt;=I258,"Starter",IF(G258&gt;=LARGE(G:G,FlexOn*LeagueInfo!$F$2),"Starter","Bench"))</f>
        <v>Bench</v>
      </c>
      <c r="G258">
        <f ca="1">IF(H258&gt;I258,D258,0)</f>
        <v>37.93</v>
      </c>
      <c r="H258">
        <f ca="1">INDEX(INDIRECT(""&amp;C258&amp;"!A2:A489"),MATCH(B258,INDIRECT(""&amp;C258&amp;"!B2:B489"),0))</f>
        <v>120</v>
      </c>
      <c r="I258">
        <f>IF(C258="RB",LeagueInfo!$D$4*LeagueInfo!$F$2,IF(C258="WR",LeagueInfo!$D$5*LeagueInfo!$F$2,IF(C258="TE",LeagueInfo!$D$6*LeagueInfo!$F$2)))</f>
        <v>24</v>
      </c>
    </row>
    <row r="259" spans="1:9" x14ac:dyDescent="0.25">
      <c r="A259">
        <f ca="1">RANK(E259,E$2:E$462)</f>
        <v>258</v>
      </c>
      <c r="B259" t="s">
        <v>720</v>
      </c>
      <c r="C259" t="s">
        <v>35</v>
      </c>
      <c r="D259">
        <f ca="1">INDEX(INDIRECT($C259&amp;"!P:P"),MATCH($B259,INDIRECT($C259&amp;"!B:B"),0))</f>
        <v>37.92</v>
      </c>
      <c r="E259" s="210">
        <f ca="1">D259-LARGE(D$2:D$385,RBCount+WRCount+TECount)</f>
        <v>-70.069999999999993</v>
      </c>
      <c r="F259" t="str">
        <f ca="1">IF(H259&lt;=I259,"Starter",IF(G259&gt;=LARGE(G:G,FlexOn*LeagueInfo!$F$2),"Starter","Bench"))</f>
        <v>Bench</v>
      </c>
      <c r="G259">
        <f ca="1">IF(H259&gt;I259,D259,0)</f>
        <v>37.92</v>
      </c>
      <c r="H259">
        <f ca="1">INDEX(INDIRECT(""&amp;C259&amp;"!A2:A489"),MATCH(B259,INDIRECT(""&amp;C259&amp;"!B2:B489"),0))</f>
        <v>121</v>
      </c>
      <c r="I259">
        <f>IF(C259="RB",LeagueInfo!$D$4*LeagueInfo!$F$2,IF(C259="WR",LeagueInfo!$D$5*LeagueInfo!$F$2,IF(C259="TE",LeagueInfo!$D$6*LeagueInfo!$F$2)))</f>
        <v>24</v>
      </c>
    </row>
    <row r="260" spans="1:9" x14ac:dyDescent="0.25">
      <c r="A260">
        <f ca="1">RANK(E260,E$2:E$462)</f>
        <v>259</v>
      </c>
      <c r="B260" t="s">
        <v>822</v>
      </c>
      <c r="C260" t="s">
        <v>43</v>
      </c>
      <c r="D260">
        <f ca="1">INDEX(INDIRECT($C260&amp;"!P:P"),MATCH($B260,INDIRECT($C260&amp;"!B:B"),0))</f>
        <v>37.67</v>
      </c>
      <c r="E260" s="210">
        <f ca="1">D260-LARGE(D$2:D$385,RBCount+WRCount+TECount)</f>
        <v>-70.319999999999993</v>
      </c>
      <c r="F260" t="str">
        <f ca="1">IF(H260&lt;=I260,"Starter",IF(G260&gt;=LARGE(G:G,FlexOn*LeagueInfo!$F$2),"Starter","Bench"))</f>
        <v>Bench</v>
      </c>
      <c r="G260">
        <f ca="1">IF(H260&gt;I260,D260,0)</f>
        <v>37.67</v>
      </c>
      <c r="H260">
        <f ca="1">INDEX(INDIRECT(""&amp;C260&amp;"!A2:A489"),MATCH(B260,INDIRECT(""&amp;C260&amp;"!B2:B489"),0))</f>
        <v>55</v>
      </c>
      <c r="I260">
        <f>IF(C260="RB",LeagueInfo!$D$4*LeagueInfo!$F$2,IF(C260="WR",LeagueInfo!$D$5*LeagueInfo!$F$2,IF(C260="TE",LeagueInfo!$D$6*LeagueInfo!$F$2)))</f>
        <v>12</v>
      </c>
    </row>
    <row r="261" spans="1:9" x14ac:dyDescent="0.25">
      <c r="A261">
        <f ca="1">RANK(E261,E$2:E$462)</f>
        <v>260</v>
      </c>
      <c r="B261" t="s">
        <v>847</v>
      </c>
      <c r="C261" t="s">
        <v>35</v>
      </c>
      <c r="D261">
        <f ca="1">INDEX(INDIRECT($C261&amp;"!P:P"),MATCH($B261,INDIRECT($C261&amp;"!B:B"),0))</f>
        <v>37.64</v>
      </c>
      <c r="E261" s="210">
        <f ca="1">D261-LARGE(D$2:D$385,RBCount+WRCount+TECount)</f>
        <v>-70.349999999999994</v>
      </c>
      <c r="F261" t="str">
        <f ca="1">IF(H261&lt;=I261,"Starter",IF(G261&gt;=LARGE(G:G,FlexOn*LeagueInfo!$F$2),"Starter","Bench"))</f>
        <v>Bench</v>
      </c>
      <c r="G261">
        <f ca="1">IF(H261&gt;I261,D261,0)</f>
        <v>37.64</v>
      </c>
      <c r="H261">
        <f ca="1">INDEX(INDIRECT(""&amp;C261&amp;"!A2:A489"),MATCH(B261,INDIRECT(""&amp;C261&amp;"!B2:B489"),0))</f>
        <v>122</v>
      </c>
      <c r="I261">
        <f>IF(C261="RB",LeagueInfo!$D$4*LeagueInfo!$F$2,IF(C261="WR",LeagueInfo!$D$5*LeagueInfo!$F$2,IF(C261="TE",LeagueInfo!$D$6*LeagueInfo!$F$2)))</f>
        <v>24</v>
      </c>
    </row>
    <row r="262" spans="1:9" x14ac:dyDescent="0.25">
      <c r="A262">
        <f ca="1">RANK(E262,E$2:E$462)</f>
        <v>261</v>
      </c>
      <c r="B262" t="s">
        <v>939</v>
      </c>
      <c r="C262" t="s">
        <v>28</v>
      </c>
      <c r="D262">
        <f ca="1">INDEX(INDIRECT($C262&amp;"!P:P"),MATCH($B262,INDIRECT($C262&amp;"!B:B"),0))</f>
        <v>37</v>
      </c>
      <c r="E262" s="210">
        <f ca="1">D262-LARGE(D$2:D$385,RBCount+WRCount+TECount)</f>
        <v>-70.989999999999995</v>
      </c>
      <c r="F262" t="str">
        <f ca="1">IF(H262&lt;=I262,"Starter",IF(G262&gt;=LARGE(G:G,FlexOn*LeagueInfo!$F$2),"Starter","Bench"))</f>
        <v>Bench</v>
      </c>
      <c r="G262">
        <f ca="1">IF(H262&gt;I262,D262,0)</f>
        <v>37</v>
      </c>
      <c r="H262">
        <f ca="1">INDEX(INDIRECT(""&amp;C262&amp;"!A2:A489"),MATCH(B262,INDIRECT(""&amp;C262&amp;"!B2:B489"),0))</f>
        <v>84</v>
      </c>
      <c r="I262">
        <f>IF(C262="RB",LeagueInfo!$D$4*LeagueInfo!$F$2,IF(C262="WR",LeagueInfo!$D$5*LeagueInfo!$F$2,IF(C262="TE",LeagueInfo!$D$6*LeagueInfo!$F$2)))</f>
        <v>24</v>
      </c>
    </row>
    <row r="263" spans="1:9" x14ac:dyDescent="0.25">
      <c r="A263">
        <f ca="1">RANK(E263,E$2:E$462)</f>
        <v>262</v>
      </c>
      <c r="B263" t="s">
        <v>2660</v>
      </c>
      <c r="C263" t="s">
        <v>35</v>
      </c>
      <c r="D263">
        <f ca="1">INDEX(INDIRECT($C263&amp;"!P:P"),MATCH($B263,INDIRECT($C263&amp;"!B:B"),0))</f>
        <v>36.480000000000004</v>
      </c>
      <c r="E263" s="210">
        <f ca="1">D263-LARGE(D$2:D$385,RBCount+WRCount+TECount)</f>
        <v>-71.509999999999991</v>
      </c>
      <c r="F263" t="str">
        <f ca="1">IF(H263&lt;=I263,"Starter",IF(G263&gt;=LARGE(G:G,FlexOn*LeagueInfo!$F$2),"Starter","Bench"))</f>
        <v>Bench</v>
      </c>
      <c r="G263">
        <f ca="1">IF(H263&gt;I263,D263,0)</f>
        <v>36.480000000000004</v>
      </c>
      <c r="H263">
        <f ca="1">INDEX(INDIRECT(""&amp;C263&amp;"!A2:A489"),MATCH(B263,INDIRECT(""&amp;C263&amp;"!B2:B489"),0))</f>
        <v>123</v>
      </c>
      <c r="I263">
        <f>IF(C263="RB",LeagueInfo!$D$4*LeagueInfo!$F$2,IF(C263="WR",LeagueInfo!$D$5*LeagueInfo!$F$2,IF(C263="TE",LeagueInfo!$D$6*LeagueInfo!$F$2)))</f>
        <v>24</v>
      </c>
    </row>
    <row r="264" spans="1:9" x14ac:dyDescent="0.25">
      <c r="A264">
        <f ca="1">RANK(E264,E$2:E$462)</f>
        <v>263</v>
      </c>
      <c r="B264" t="s">
        <v>594</v>
      </c>
      <c r="C264" t="s">
        <v>43</v>
      </c>
      <c r="D264">
        <f ca="1">INDEX(INDIRECT($C264&amp;"!P:P"),MATCH($B264,INDIRECT($C264&amp;"!B:B"),0))</f>
        <v>36.47</v>
      </c>
      <c r="E264" s="210">
        <f ca="1">D264-LARGE(D$2:D$385,RBCount+WRCount+TECount)</f>
        <v>-71.52</v>
      </c>
      <c r="F264" t="str">
        <f ca="1">IF(H264&lt;=I264,"Starter",IF(G264&gt;=LARGE(G:G,FlexOn*LeagueInfo!$F$2),"Starter","Bench"))</f>
        <v>Bench</v>
      </c>
      <c r="G264">
        <f ca="1">IF(H264&gt;I264,D264,0)</f>
        <v>36.47</v>
      </c>
      <c r="H264">
        <f ca="1">INDEX(INDIRECT(""&amp;C264&amp;"!A2:A489"),MATCH(B264,INDIRECT(""&amp;C264&amp;"!B2:B489"),0))</f>
        <v>56</v>
      </c>
      <c r="I264">
        <f>IF(C264="RB",LeagueInfo!$D$4*LeagueInfo!$F$2,IF(C264="WR",LeagueInfo!$D$5*LeagueInfo!$F$2,IF(C264="TE",LeagueInfo!$D$6*LeagueInfo!$F$2)))</f>
        <v>12</v>
      </c>
    </row>
    <row r="265" spans="1:9" x14ac:dyDescent="0.25">
      <c r="A265">
        <f ca="1">RANK(E265,E$2:E$462)</f>
        <v>264</v>
      </c>
      <c r="B265" t="s">
        <v>678</v>
      </c>
      <c r="C265" t="s">
        <v>28</v>
      </c>
      <c r="D265">
        <f ca="1">INDEX(INDIRECT($C265&amp;"!P:P"),MATCH($B265,INDIRECT($C265&amp;"!B:B"),0))</f>
        <v>36.250000000000007</v>
      </c>
      <c r="E265" s="210">
        <f ca="1">D265-LARGE(D$2:D$385,RBCount+WRCount+TECount)</f>
        <v>-71.739999999999981</v>
      </c>
      <c r="F265" t="str">
        <f ca="1">IF(H265&lt;=I265,"Starter",IF(G265&gt;=LARGE(G:G,FlexOn*LeagueInfo!$F$2),"Starter","Bench"))</f>
        <v>Bench</v>
      </c>
      <c r="G265">
        <f ca="1">IF(H265&gt;I265,D265,0)</f>
        <v>36.250000000000007</v>
      </c>
      <c r="H265">
        <f ca="1">INDEX(INDIRECT(""&amp;C265&amp;"!A2:A489"),MATCH(B265,INDIRECT(""&amp;C265&amp;"!B2:B489"),0))</f>
        <v>85</v>
      </c>
      <c r="I265">
        <f>IF(C265="RB",LeagueInfo!$D$4*LeagueInfo!$F$2,IF(C265="WR",LeagueInfo!$D$5*LeagueInfo!$F$2,IF(C265="TE",LeagueInfo!$D$6*LeagueInfo!$F$2)))</f>
        <v>24</v>
      </c>
    </row>
    <row r="266" spans="1:9" x14ac:dyDescent="0.25">
      <c r="A266">
        <f ca="1">RANK(E266,E$2:E$462)</f>
        <v>265</v>
      </c>
      <c r="B266" t="s">
        <v>555</v>
      </c>
      <c r="C266" t="s">
        <v>28</v>
      </c>
      <c r="D266">
        <f ca="1">INDEX(INDIRECT($C266&amp;"!P:P"),MATCH($B266,INDIRECT($C266&amp;"!B:B"),0))</f>
        <v>36.020000000000003</v>
      </c>
      <c r="E266" s="210">
        <f ca="1">D266-LARGE(D$2:D$385,RBCount+WRCount+TECount)</f>
        <v>-71.97</v>
      </c>
      <c r="F266" t="str">
        <f ca="1">IF(H266&lt;=I266,"Starter",IF(G266&gt;=LARGE(G:G,FlexOn*LeagueInfo!$F$2),"Starter","Bench"))</f>
        <v>Bench</v>
      </c>
      <c r="G266">
        <f ca="1">IF(H266&gt;I266,D266,0)</f>
        <v>36.020000000000003</v>
      </c>
      <c r="H266">
        <f ca="1">INDEX(INDIRECT(""&amp;C266&amp;"!A2:A489"),MATCH(B266,INDIRECT(""&amp;C266&amp;"!B2:B489"),0))</f>
        <v>86</v>
      </c>
      <c r="I266">
        <f>IF(C266="RB",LeagueInfo!$D$4*LeagueInfo!$F$2,IF(C266="WR",LeagueInfo!$D$5*LeagueInfo!$F$2,IF(C266="TE",LeagueInfo!$D$6*LeagueInfo!$F$2)))</f>
        <v>24</v>
      </c>
    </row>
    <row r="267" spans="1:9" x14ac:dyDescent="0.25">
      <c r="A267">
        <f ca="1">RANK(E267,E$2:E$462)</f>
        <v>266</v>
      </c>
      <c r="B267" t="s">
        <v>2476</v>
      </c>
      <c r="C267" t="s">
        <v>43</v>
      </c>
      <c r="D267">
        <f ca="1">INDEX(INDIRECT($C267&amp;"!P:P"),MATCH($B267,INDIRECT($C267&amp;"!B:B"),0))</f>
        <v>35.94</v>
      </c>
      <c r="E267" s="210">
        <f ca="1">D267-LARGE(D$2:D$385,RBCount+WRCount+TECount)</f>
        <v>-72.05</v>
      </c>
      <c r="F267" t="str">
        <f ca="1">IF(H267&lt;=I267,"Starter",IF(G267&gt;=LARGE(G:G,FlexOn*LeagueInfo!$F$2),"Starter","Bench"))</f>
        <v>Bench</v>
      </c>
      <c r="G267">
        <f ca="1">IF(H267&gt;I267,D267,0)</f>
        <v>35.94</v>
      </c>
      <c r="H267">
        <f ca="1">INDEX(INDIRECT(""&amp;C267&amp;"!A2:A489"),MATCH(B267,INDIRECT(""&amp;C267&amp;"!B2:B489"),0))</f>
        <v>57</v>
      </c>
      <c r="I267">
        <f>IF(C267="RB",LeagueInfo!$D$4*LeagueInfo!$F$2,IF(C267="WR",LeagueInfo!$D$5*LeagueInfo!$F$2,IF(C267="TE",LeagueInfo!$D$6*LeagueInfo!$F$2)))</f>
        <v>12</v>
      </c>
    </row>
    <row r="268" spans="1:9" x14ac:dyDescent="0.25">
      <c r="A268">
        <f ca="1">RANK(E268,E$2:E$462)</f>
        <v>267</v>
      </c>
      <c r="B268" t="s">
        <v>1002</v>
      </c>
      <c r="C268" t="s">
        <v>35</v>
      </c>
      <c r="D268">
        <f ca="1">INDEX(INDIRECT($C268&amp;"!P:P"),MATCH($B268,INDIRECT($C268&amp;"!B:B"),0))</f>
        <v>35.92</v>
      </c>
      <c r="E268" s="210">
        <f ca="1">D268-LARGE(D$2:D$385,RBCount+WRCount+TECount)</f>
        <v>-72.069999999999993</v>
      </c>
      <c r="F268" t="str">
        <f ca="1">IF(H268&lt;=I268,"Starter",IF(G268&gt;=LARGE(G:G,FlexOn*LeagueInfo!$F$2),"Starter","Bench"))</f>
        <v>Bench</v>
      </c>
      <c r="G268">
        <f ca="1">IF(H268&gt;I268,D268,0)</f>
        <v>35.92</v>
      </c>
      <c r="H268">
        <f ca="1">INDEX(INDIRECT(""&amp;C268&amp;"!A2:A489"),MATCH(B268,INDIRECT(""&amp;C268&amp;"!B2:B489"),0))</f>
        <v>124</v>
      </c>
      <c r="I268">
        <f>IF(C268="RB",LeagueInfo!$D$4*LeagueInfo!$F$2,IF(C268="WR",LeagueInfo!$D$5*LeagueInfo!$F$2,IF(C268="TE",LeagueInfo!$D$6*LeagueInfo!$F$2)))</f>
        <v>24</v>
      </c>
    </row>
    <row r="269" spans="1:9" x14ac:dyDescent="0.25">
      <c r="A269">
        <f ca="1">RANK(E269,E$2:E$462)</f>
        <v>268</v>
      </c>
      <c r="B269" t="s">
        <v>677</v>
      </c>
      <c r="C269" t="s">
        <v>28</v>
      </c>
      <c r="D269">
        <f ca="1">INDEX(INDIRECT($C269&amp;"!P:P"),MATCH($B269,INDIRECT($C269&amp;"!B:B"),0))</f>
        <v>35.39</v>
      </c>
      <c r="E269" s="210">
        <f ca="1">D269-LARGE(D$2:D$385,RBCount+WRCount+TECount)</f>
        <v>-72.599999999999994</v>
      </c>
      <c r="F269" t="str">
        <f ca="1">IF(H269&lt;=I269,"Starter",IF(G269&gt;=LARGE(G:G,FlexOn*LeagueInfo!$F$2),"Starter","Bench"))</f>
        <v>Bench</v>
      </c>
      <c r="G269">
        <f ca="1">IF(H269&gt;I269,D269,0)</f>
        <v>35.39</v>
      </c>
      <c r="H269">
        <f ca="1">INDEX(INDIRECT(""&amp;C269&amp;"!A2:A489"),MATCH(B269,INDIRECT(""&amp;C269&amp;"!B2:B489"),0))</f>
        <v>87</v>
      </c>
      <c r="I269">
        <f>IF(C269="RB",LeagueInfo!$D$4*LeagueInfo!$F$2,IF(C269="WR",LeagueInfo!$D$5*LeagueInfo!$F$2,IF(C269="TE",LeagueInfo!$D$6*LeagueInfo!$F$2)))</f>
        <v>24</v>
      </c>
    </row>
    <row r="270" spans="1:9" x14ac:dyDescent="0.25">
      <c r="A270">
        <f ca="1">RANK(E270,E$2:E$462)</f>
        <v>269</v>
      </c>
      <c r="B270" t="s">
        <v>887</v>
      </c>
      <c r="C270" t="s">
        <v>28</v>
      </c>
      <c r="D270">
        <f ca="1">INDEX(INDIRECT($C270&amp;"!P:P"),MATCH($B270,INDIRECT($C270&amp;"!B:B"),0))</f>
        <v>35.200000000000003</v>
      </c>
      <c r="E270" s="210">
        <f ca="1">D270-LARGE(D$2:D$385,RBCount+WRCount+TECount)</f>
        <v>-72.789999999999992</v>
      </c>
      <c r="F270" t="str">
        <f ca="1">IF(H270&lt;=I270,"Starter",IF(G270&gt;=LARGE(G:G,FlexOn*LeagueInfo!$F$2),"Starter","Bench"))</f>
        <v>Bench</v>
      </c>
      <c r="G270">
        <f ca="1">IF(H270&gt;I270,D270,0)</f>
        <v>35.200000000000003</v>
      </c>
      <c r="H270">
        <f ca="1">INDEX(INDIRECT(""&amp;C270&amp;"!A2:A489"),MATCH(B270,INDIRECT(""&amp;C270&amp;"!B2:B489"),0))</f>
        <v>88</v>
      </c>
      <c r="I270">
        <f>IF(C270="RB",LeagueInfo!$D$4*LeagueInfo!$F$2,IF(C270="WR",LeagueInfo!$D$5*LeagueInfo!$F$2,IF(C270="TE",LeagueInfo!$D$6*LeagueInfo!$F$2)))</f>
        <v>24</v>
      </c>
    </row>
    <row r="271" spans="1:9" x14ac:dyDescent="0.25">
      <c r="A271">
        <f ca="1">RANK(E271,E$2:E$462)</f>
        <v>270</v>
      </c>
      <c r="B271" t="s">
        <v>394</v>
      </c>
      <c r="C271" t="s">
        <v>35</v>
      </c>
      <c r="D271">
        <f ca="1">INDEX(INDIRECT($C271&amp;"!P:P"),MATCH($B271,INDIRECT($C271&amp;"!B:B"),0))</f>
        <v>35.159999999999997</v>
      </c>
      <c r="E271" s="210">
        <f ca="1">D271-LARGE(D$2:D$385,RBCount+WRCount+TECount)</f>
        <v>-72.83</v>
      </c>
      <c r="F271" t="str">
        <f ca="1">IF(H271&lt;=I271,"Starter",IF(G271&gt;=LARGE(G:G,FlexOn*LeagueInfo!$F$2),"Starter","Bench"))</f>
        <v>Bench</v>
      </c>
      <c r="G271">
        <f ca="1">IF(H271&gt;I271,D271,0)</f>
        <v>35.159999999999997</v>
      </c>
      <c r="H271">
        <f ca="1">INDEX(INDIRECT(""&amp;C271&amp;"!A2:A489"),MATCH(B271,INDIRECT(""&amp;C271&amp;"!B2:B489"),0))</f>
        <v>125</v>
      </c>
      <c r="I271">
        <f>IF(C271="RB",LeagueInfo!$D$4*LeagueInfo!$F$2,IF(C271="WR",LeagueInfo!$D$5*LeagueInfo!$F$2,IF(C271="TE",LeagueInfo!$D$6*LeagueInfo!$F$2)))</f>
        <v>24</v>
      </c>
    </row>
    <row r="272" spans="1:9" x14ac:dyDescent="0.25">
      <c r="A272">
        <f ca="1">RANK(E272,E$2:E$462)</f>
        <v>271</v>
      </c>
      <c r="B272" t="s">
        <v>981</v>
      </c>
      <c r="C272" t="s">
        <v>43</v>
      </c>
      <c r="D272">
        <f ca="1">INDEX(INDIRECT($C272&amp;"!P:P"),MATCH($B272,INDIRECT($C272&amp;"!B:B"),0))</f>
        <v>34.42</v>
      </c>
      <c r="E272" s="210">
        <f ca="1">D272-LARGE(D$2:D$385,RBCount+WRCount+TECount)</f>
        <v>-73.569999999999993</v>
      </c>
      <c r="F272" t="str">
        <f ca="1">IF(H272&lt;=I272,"Starter",IF(G272&gt;=LARGE(G:G,FlexOn*LeagueInfo!$F$2),"Starter","Bench"))</f>
        <v>Bench</v>
      </c>
      <c r="G272">
        <f ca="1">IF(H272&gt;I272,D272,0)</f>
        <v>34.42</v>
      </c>
      <c r="H272">
        <f ca="1">INDEX(INDIRECT(""&amp;C272&amp;"!A2:A489"),MATCH(B272,INDIRECT(""&amp;C272&amp;"!B2:B489"),0))</f>
        <v>58</v>
      </c>
      <c r="I272">
        <f>IF(C272="RB",LeagueInfo!$D$4*LeagueInfo!$F$2,IF(C272="WR",LeagueInfo!$D$5*LeagueInfo!$F$2,IF(C272="TE",LeagueInfo!$D$6*LeagueInfo!$F$2)))</f>
        <v>12</v>
      </c>
    </row>
    <row r="273" spans="1:9" x14ac:dyDescent="0.25">
      <c r="A273">
        <f ca="1">RANK(E273,E$2:E$462)</f>
        <v>272</v>
      </c>
      <c r="B273" t="s">
        <v>895</v>
      </c>
      <c r="C273" t="s">
        <v>28</v>
      </c>
      <c r="D273">
        <f ca="1">INDEX(INDIRECT($C273&amp;"!P:P"),MATCH($B273,INDIRECT($C273&amp;"!B:B"),0))</f>
        <v>33.909999999999997</v>
      </c>
      <c r="E273" s="210">
        <f ca="1">D273-LARGE(D$2:D$385,RBCount+WRCount+TECount)</f>
        <v>-74.08</v>
      </c>
      <c r="F273" t="str">
        <f ca="1">IF(H273&lt;=I273,"Starter",IF(G273&gt;=LARGE(G:G,FlexOn*LeagueInfo!$F$2),"Starter","Bench"))</f>
        <v>Bench</v>
      </c>
      <c r="G273">
        <f ca="1">IF(H273&gt;I273,D273,0)</f>
        <v>33.909999999999997</v>
      </c>
      <c r="H273">
        <f ca="1">INDEX(INDIRECT(""&amp;C273&amp;"!A2:A489"),MATCH(B273,INDIRECT(""&amp;C273&amp;"!B2:B489"),0))</f>
        <v>89</v>
      </c>
      <c r="I273">
        <f>IF(C273="RB",LeagueInfo!$D$4*LeagueInfo!$F$2,IF(C273="WR",LeagueInfo!$D$5*LeagueInfo!$F$2,IF(C273="TE",LeagueInfo!$D$6*LeagueInfo!$F$2)))</f>
        <v>24</v>
      </c>
    </row>
    <row r="274" spans="1:9" x14ac:dyDescent="0.25">
      <c r="A274">
        <f ca="1">RANK(E274,E$2:E$462)</f>
        <v>273</v>
      </c>
      <c r="B274" t="s">
        <v>886</v>
      </c>
      <c r="C274" t="s">
        <v>28</v>
      </c>
      <c r="D274">
        <f ca="1">INDEX(INDIRECT($C274&amp;"!P:P"),MATCH($B274,INDIRECT($C274&amp;"!B:B"),0))</f>
        <v>33.51</v>
      </c>
      <c r="E274" s="210">
        <f ca="1">D274-LARGE(D$2:D$385,RBCount+WRCount+TECount)</f>
        <v>-74.47999999999999</v>
      </c>
      <c r="F274" t="str">
        <f ca="1">IF(H274&lt;=I274,"Starter",IF(G274&gt;=LARGE(G:G,FlexOn*LeagueInfo!$F$2),"Starter","Bench"))</f>
        <v>Bench</v>
      </c>
      <c r="G274">
        <f ca="1">IF(H274&gt;I274,D274,0)</f>
        <v>33.51</v>
      </c>
      <c r="H274">
        <f ca="1">INDEX(INDIRECT(""&amp;C274&amp;"!A2:A489"),MATCH(B274,INDIRECT(""&amp;C274&amp;"!B2:B489"),0))</f>
        <v>90</v>
      </c>
      <c r="I274">
        <f>IF(C274="RB",LeagueInfo!$D$4*LeagueInfo!$F$2,IF(C274="WR",LeagueInfo!$D$5*LeagueInfo!$F$2,IF(C274="TE",LeagueInfo!$D$6*LeagueInfo!$F$2)))</f>
        <v>24</v>
      </c>
    </row>
    <row r="275" spans="1:9" x14ac:dyDescent="0.25">
      <c r="A275">
        <f ca="1">RANK(E275,E$2:E$462)</f>
        <v>274</v>
      </c>
      <c r="B275" t="s">
        <v>883</v>
      </c>
      <c r="C275" t="s">
        <v>28</v>
      </c>
      <c r="D275">
        <f ca="1">INDEX(INDIRECT($C275&amp;"!P:P"),MATCH($B275,INDIRECT($C275&amp;"!B:B"),0))</f>
        <v>33.339999999999996</v>
      </c>
      <c r="E275" s="210">
        <f ca="1">D275-LARGE(D$2:D$385,RBCount+WRCount+TECount)</f>
        <v>-74.650000000000006</v>
      </c>
      <c r="F275" t="str">
        <f ca="1">IF(H275&lt;=I275,"Starter",IF(G275&gt;=LARGE(G:G,FlexOn*LeagueInfo!$F$2),"Starter","Bench"))</f>
        <v>Bench</v>
      </c>
      <c r="G275">
        <f ca="1">IF(H275&gt;I275,D275,0)</f>
        <v>33.339999999999996</v>
      </c>
      <c r="H275">
        <f ca="1">INDEX(INDIRECT(""&amp;C275&amp;"!A2:A489"),MATCH(B275,INDIRECT(""&amp;C275&amp;"!B2:B489"),0))</f>
        <v>91</v>
      </c>
      <c r="I275">
        <f>IF(C275="RB",LeagueInfo!$D$4*LeagueInfo!$F$2,IF(C275="WR",LeagueInfo!$D$5*LeagueInfo!$F$2,IF(C275="TE",LeagueInfo!$D$6*LeagueInfo!$F$2)))</f>
        <v>24</v>
      </c>
    </row>
    <row r="276" spans="1:9" x14ac:dyDescent="0.25">
      <c r="A276">
        <f ca="1">RANK(E276,E$2:E$462)</f>
        <v>275</v>
      </c>
      <c r="B276" t="s">
        <v>596</v>
      </c>
      <c r="C276" t="s">
        <v>43</v>
      </c>
      <c r="D276">
        <f ca="1">INDEX(INDIRECT($C276&amp;"!P:P"),MATCH($B276,INDIRECT($C276&amp;"!B:B"),0))</f>
        <v>33.31</v>
      </c>
      <c r="E276" s="210">
        <f ca="1">D276-LARGE(D$2:D$385,RBCount+WRCount+TECount)</f>
        <v>-74.679999999999993</v>
      </c>
      <c r="F276" t="str">
        <f ca="1">IF(H276&lt;=I276,"Starter",IF(G276&gt;=LARGE(G:G,FlexOn*LeagueInfo!$F$2),"Starter","Bench"))</f>
        <v>Bench</v>
      </c>
      <c r="G276">
        <f ca="1">IF(H276&gt;I276,D276,0)</f>
        <v>33.31</v>
      </c>
      <c r="H276">
        <f ca="1">INDEX(INDIRECT(""&amp;C276&amp;"!A2:A489"),MATCH(B276,INDIRECT(""&amp;C276&amp;"!B2:B489"),0))</f>
        <v>59</v>
      </c>
      <c r="I276">
        <f>IF(C276="RB",LeagueInfo!$D$4*LeagueInfo!$F$2,IF(C276="WR",LeagueInfo!$D$5*LeagueInfo!$F$2,IF(C276="TE",LeagueInfo!$D$6*LeagueInfo!$F$2)))</f>
        <v>12</v>
      </c>
    </row>
    <row r="277" spans="1:9" x14ac:dyDescent="0.25">
      <c r="A277">
        <f ca="1">RANK(E277,E$2:E$462)</f>
        <v>276</v>
      </c>
      <c r="B277" t="s">
        <v>960</v>
      </c>
      <c r="C277" t="s">
        <v>35</v>
      </c>
      <c r="D277">
        <f ca="1">INDEX(INDIRECT($C277&amp;"!P:P"),MATCH($B277,INDIRECT($C277&amp;"!B:B"),0))</f>
        <v>33.080000000000005</v>
      </c>
      <c r="E277" s="210">
        <f ca="1">D277-LARGE(D$2:D$385,RBCount+WRCount+TECount)</f>
        <v>-74.91</v>
      </c>
      <c r="F277" t="str">
        <f ca="1">IF(H277&lt;=I277,"Starter",IF(G277&gt;=LARGE(G:G,FlexOn*LeagueInfo!$F$2),"Starter","Bench"))</f>
        <v>Bench</v>
      </c>
      <c r="G277">
        <f ca="1">IF(H277&gt;I277,D277,0)</f>
        <v>33.080000000000005</v>
      </c>
      <c r="H277">
        <f ca="1">INDEX(INDIRECT(""&amp;C277&amp;"!A2:A489"),MATCH(B277,INDIRECT(""&amp;C277&amp;"!B2:B489"),0))</f>
        <v>126</v>
      </c>
      <c r="I277">
        <f>IF(C277="RB",LeagueInfo!$D$4*LeagueInfo!$F$2,IF(C277="WR",LeagueInfo!$D$5*LeagueInfo!$F$2,IF(C277="TE",LeagueInfo!$D$6*LeagueInfo!$F$2)))</f>
        <v>24</v>
      </c>
    </row>
    <row r="278" spans="1:9" x14ac:dyDescent="0.25">
      <c r="A278">
        <f ca="1">RANK(E278,E$2:E$462)</f>
        <v>277</v>
      </c>
      <c r="B278" t="s">
        <v>371</v>
      </c>
      <c r="C278" t="s">
        <v>35</v>
      </c>
      <c r="D278">
        <f ca="1">INDEX(INDIRECT($C278&amp;"!P:P"),MATCH($B278,INDIRECT($C278&amp;"!B:B"),0))</f>
        <v>32.589999999999996</v>
      </c>
      <c r="E278" s="210">
        <f ca="1">D278-LARGE(D$2:D$385,RBCount+WRCount+TECount)</f>
        <v>-75.400000000000006</v>
      </c>
      <c r="F278" t="str">
        <f ca="1">IF(H278&lt;=I278,"Starter",IF(G278&gt;=LARGE(G:G,FlexOn*LeagueInfo!$F$2),"Starter","Bench"))</f>
        <v>Bench</v>
      </c>
      <c r="G278">
        <f ca="1">IF(H278&gt;I278,D278,0)</f>
        <v>32.589999999999996</v>
      </c>
      <c r="H278">
        <f ca="1">INDEX(INDIRECT(""&amp;C278&amp;"!A2:A489"),MATCH(B278,INDIRECT(""&amp;C278&amp;"!B2:B489"),0))</f>
        <v>127</v>
      </c>
      <c r="I278">
        <f>IF(C278="RB",LeagueInfo!$D$4*LeagueInfo!$F$2,IF(C278="WR",LeagueInfo!$D$5*LeagueInfo!$F$2,IF(C278="TE",LeagueInfo!$D$6*LeagueInfo!$F$2)))</f>
        <v>24</v>
      </c>
    </row>
    <row r="279" spans="1:9" x14ac:dyDescent="0.25">
      <c r="A279">
        <f ca="1">RANK(E279,E$2:E$462)</f>
        <v>278</v>
      </c>
      <c r="B279" t="s">
        <v>2437</v>
      </c>
      <c r="C279" t="s">
        <v>35</v>
      </c>
      <c r="D279">
        <f ca="1">INDEX(INDIRECT($C279&amp;"!P:P"),MATCH($B279,INDIRECT($C279&amp;"!B:B"),0))</f>
        <v>32.28</v>
      </c>
      <c r="E279" s="210">
        <f ca="1">D279-LARGE(D$2:D$385,RBCount+WRCount+TECount)</f>
        <v>-75.709999999999994</v>
      </c>
      <c r="F279" t="str">
        <f ca="1">IF(H279&lt;=I279,"Starter",IF(G279&gt;=LARGE(G:G,FlexOn*LeagueInfo!$F$2),"Starter","Bench"))</f>
        <v>Bench</v>
      </c>
      <c r="G279">
        <f ca="1">IF(H279&gt;I279,D279,0)</f>
        <v>32.28</v>
      </c>
      <c r="H279">
        <f ca="1">INDEX(INDIRECT(""&amp;C279&amp;"!A2:A489"),MATCH(B279,INDIRECT(""&amp;C279&amp;"!B2:B489"),0))</f>
        <v>128</v>
      </c>
      <c r="I279">
        <f>IF(C279="RB",LeagueInfo!$D$4*LeagueInfo!$F$2,IF(C279="WR",LeagueInfo!$D$5*LeagueInfo!$F$2,IF(C279="TE",LeagueInfo!$D$6*LeagueInfo!$F$2)))</f>
        <v>24</v>
      </c>
    </row>
    <row r="280" spans="1:9" x14ac:dyDescent="0.25">
      <c r="A280">
        <f ca="1">RANK(E280,E$2:E$462)</f>
        <v>279</v>
      </c>
      <c r="B280" t="s">
        <v>2560</v>
      </c>
      <c r="C280" t="s">
        <v>35</v>
      </c>
      <c r="D280">
        <f ca="1">INDEX(INDIRECT($C280&amp;"!P:P"),MATCH($B280,INDIRECT($C280&amp;"!B:B"),0))</f>
        <v>31.68</v>
      </c>
      <c r="E280" s="210">
        <f ca="1">D280-LARGE(D$2:D$385,RBCount+WRCount+TECount)</f>
        <v>-76.31</v>
      </c>
      <c r="F280" t="str">
        <f ca="1">IF(H280&lt;=I280,"Starter",IF(G280&gt;=LARGE(G:G,FlexOn*LeagueInfo!$F$2),"Starter","Bench"))</f>
        <v>Bench</v>
      </c>
      <c r="G280">
        <f ca="1">IF(H280&gt;I280,D280,0)</f>
        <v>31.68</v>
      </c>
      <c r="H280">
        <f ca="1">INDEX(INDIRECT(""&amp;C280&amp;"!A2:A489"),MATCH(B280,INDIRECT(""&amp;C280&amp;"!B2:B489"),0))</f>
        <v>129</v>
      </c>
      <c r="I280">
        <f>IF(C280="RB",LeagueInfo!$D$4*LeagueInfo!$F$2,IF(C280="WR",LeagueInfo!$D$5*LeagueInfo!$F$2,IF(C280="TE",LeagueInfo!$D$6*LeagueInfo!$F$2)))</f>
        <v>24</v>
      </c>
    </row>
    <row r="281" spans="1:9" x14ac:dyDescent="0.25">
      <c r="A281">
        <f ca="1">RANK(E281,E$2:E$462)</f>
        <v>280</v>
      </c>
      <c r="B281" t="s">
        <v>580</v>
      </c>
      <c r="C281" t="s">
        <v>35</v>
      </c>
      <c r="D281">
        <f ca="1">INDEX(INDIRECT($C281&amp;"!P:P"),MATCH($B281,INDIRECT($C281&amp;"!B:B"),0))</f>
        <v>31.66</v>
      </c>
      <c r="E281" s="210">
        <f ca="1">D281-LARGE(D$2:D$385,RBCount+WRCount+TECount)</f>
        <v>-76.33</v>
      </c>
      <c r="F281" t="str">
        <f ca="1">IF(H281&lt;=I281,"Starter",IF(G281&gt;=LARGE(G:G,FlexOn*LeagueInfo!$F$2),"Starter","Bench"))</f>
        <v>Bench</v>
      </c>
      <c r="G281">
        <f ca="1">IF(H281&gt;I281,D281,0)</f>
        <v>31.66</v>
      </c>
      <c r="H281">
        <f ca="1">INDEX(INDIRECT(""&amp;C281&amp;"!A2:A489"),MATCH(B281,INDIRECT(""&amp;C281&amp;"!B2:B489"),0))</f>
        <v>130</v>
      </c>
      <c r="I281">
        <f>IF(C281="RB",LeagueInfo!$D$4*LeagueInfo!$F$2,IF(C281="WR",LeagueInfo!$D$5*LeagueInfo!$F$2,IF(C281="TE",LeagueInfo!$D$6*LeagueInfo!$F$2)))</f>
        <v>24</v>
      </c>
    </row>
    <row r="282" spans="1:9" x14ac:dyDescent="0.25">
      <c r="A282">
        <f ca="1">RANK(E282,E$2:E$462)</f>
        <v>281</v>
      </c>
      <c r="B282" t="s">
        <v>855</v>
      </c>
      <c r="C282" t="s">
        <v>35</v>
      </c>
      <c r="D282">
        <f ca="1">INDEX(INDIRECT($C282&amp;"!P:P"),MATCH($B282,INDIRECT($C282&amp;"!B:B"),0))</f>
        <v>31.580000000000002</v>
      </c>
      <c r="E282" s="210">
        <f ca="1">D282-LARGE(D$2:D$385,RBCount+WRCount+TECount)</f>
        <v>-76.41</v>
      </c>
      <c r="F282" t="str">
        <f ca="1">IF(H282&lt;=I282,"Starter",IF(G282&gt;=LARGE(G:G,FlexOn*LeagueInfo!$F$2),"Starter","Bench"))</f>
        <v>Bench</v>
      </c>
      <c r="G282">
        <f ca="1">IF(H282&gt;I282,D282,0)</f>
        <v>31.580000000000002</v>
      </c>
      <c r="H282">
        <f ca="1">INDEX(INDIRECT(""&amp;C282&amp;"!A2:A489"),MATCH(B282,INDIRECT(""&amp;C282&amp;"!B2:B489"),0))</f>
        <v>131</v>
      </c>
      <c r="I282">
        <f>IF(C282="RB",LeagueInfo!$D$4*LeagueInfo!$F$2,IF(C282="WR",LeagueInfo!$D$5*LeagueInfo!$F$2,IF(C282="TE",LeagueInfo!$D$6*LeagueInfo!$F$2)))</f>
        <v>24</v>
      </c>
    </row>
    <row r="283" spans="1:9" x14ac:dyDescent="0.25">
      <c r="A283">
        <f ca="1">RANK(E283,E$2:E$462)</f>
        <v>282</v>
      </c>
      <c r="B283" t="s">
        <v>421</v>
      </c>
      <c r="C283" t="s">
        <v>43</v>
      </c>
      <c r="D283">
        <f ca="1">INDEX(INDIRECT($C283&amp;"!P:P"),MATCH($B283,INDIRECT($C283&amp;"!B:B"),0))</f>
        <v>31.55</v>
      </c>
      <c r="E283" s="210">
        <f ca="1">D283-LARGE(D$2:D$385,RBCount+WRCount+TECount)</f>
        <v>-76.44</v>
      </c>
      <c r="F283" t="str">
        <f ca="1">IF(H283&lt;=I283,"Starter",IF(G283&gt;=LARGE(G:G,FlexOn*LeagueInfo!$F$2),"Starter","Bench"))</f>
        <v>Bench</v>
      </c>
      <c r="G283">
        <f ca="1">IF(H283&gt;I283,D283,0)</f>
        <v>31.55</v>
      </c>
      <c r="H283">
        <f ca="1">INDEX(INDIRECT(""&amp;C283&amp;"!A2:A489"),MATCH(B283,INDIRECT(""&amp;C283&amp;"!B2:B489"),0))</f>
        <v>60</v>
      </c>
      <c r="I283">
        <f>IF(C283="RB",LeagueInfo!$D$4*LeagueInfo!$F$2,IF(C283="WR",LeagueInfo!$D$5*LeagueInfo!$F$2,IF(C283="TE",LeagueInfo!$D$6*LeagueInfo!$F$2)))</f>
        <v>12</v>
      </c>
    </row>
    <row r="284" spans="1:9" x14ac:dyDescent="0.25">
      <c r="A284">
        <f ca="1">RANK(E284,E$2:E$462)</f>
        <v>283</v>
      </c>
      <c r="B284" t="s">
        <v>574</v>
      </c>
      <c r="C284" t="s">
        <v>35</v>
      </c>
      <c r="D284">
        <f ca="1">INDEX(INDIRECT($C284&amp;"!P:P"),MATCH($B284,INDIRECT($C284&amp;"!B:B"),0))</f>
        <v>31.180000000000007</v>
      </c>
      <c r="E284" s="210">
        <f ca="1">D284-LARGE(D$2:D$385,RBCount+WRCount+TECount)</f>
        <v>-76.809999999999988</v>
      </c>
      <c r="F284" t="str">
        <f ca="1">IF(H284&lt;=I284,"Starter",IF(G284&gt;=LARGE(G:G,FlexOn*LeagueInfo!$F$2),"Starter","Bench"))</f>
        <v>Bench</v>
      </c>
      <c r="G284">
        <f ca="1">IF(H284&gt;I284,D284,0)</f>
        <v>31.180000000000007</v>
      </c>
      <c r="H284">
        <f ca="1">INDEX(INDIRECT(""&amp;C284&amp;"!A2:A489"),MATCH(B284,INDIRECT(""&amp;C284&amp;"!B2:B489"),0))</f>
        <v>132</v>
      </c>
      <c r="I284">
        <f>IF(C284="RB",LeagueInfo!$D$4*LeagueInfo!$F$2,IF(C284="WR",LeagueInfo!$D$5*LeagueInfo!$F$2,IF(C284="TE",LeagueInfo!$D$6*LeagueInfo!$F$2)))</f>
        <v>24</v>
      </c>
    </row>
    <row r="285" spans="1:9" x14ac:dyDescent="0.25">
      <c r="A285">
        <f ca="1">RANK(E285,E$2:E$462)</f>
        <v>284</v>
      </c>
      <c r="B285" t="s">
        <v>681</v>
      </c>
      <c r="C285" t="s">
        <v>28</v>
      </c>
      <c r="D285">
        <f ca="1">INDEX(INDIRECT($C285&amp;"!P:P"),MATCH($B285,INDIRECT($C285&amp;"!B:B"),0))</f>
        <v>30.84</v>
      </c>
      <c r="E285" s="210">
        <f ca="1">D285-LARGE(D$2:D$385,RBCount+WRCount+TECount)</f>
        <v>-77.149999999999991</v>
      </c>
      <c r="F285" t="str">
        <f ca="1">IF(H285&lt;=I285,"Starter",IF(G285&gt;=LARGE(G:G,FlexOn*LeagueInfo!$F$2),"Starter","Bench"))</f>
        <v>Bench</v>
      </c>
      <c r="G285">
        <f ca="1">IF(H285&gt;I285,D285,0)</f>
        <v>30.84</v>
      </c>
      <c r="H285">
        <f ca="1">INDEX(INDIRECT(""&amp;C285&amp;"!A2:A489"),MATCH(B285,INDIRECT(""&amp;C285&amp;"!B2:B489"),0))</f>
        <v>92</v>
      </c>
      <c r="I285">
        <f>IF(C285="RB",LeagueInfo!$D$4*LeagueInfo!$F$2,IF(C285="WR",LeagueInfo!$D$5*LeagueInfo!$F$2,IF(C285="TE",LeagueInfo!$D$6*LeagueInfo!$F$2)))</f>
        <v>24</v>
      </c>
    </row>
    <row r="286" spans="1:9" x14ac:dyDescent="0.25">
      <c r="A286">
        <f ca="1">RANK(E286,E$2:E$462)</f>
        <v>285</v>
      </c>
      <c r="B286" t="s">
        <v>327</v>
      </c>
      <c r="C286" t="s">
        <v>28</v>
      </c>
      <c r="D286">
        <f ca="1">INDEX(INDIRECT($C286&amp;"!P:P"),MATCH($B286,INDIRECT($C286&amp;"!B:B"),0))</f>
        <v>30.620000000000005</v>
      </c>
      <c r="E286" s="210">
        <f ca="1">D286-LARGE(D$2:D$385,RBCount+WRCount+TECount)</f>
        <v>-77.36999999999999</v>
      </c>
      <c r="F286" t="str">
        <f ca="1">IF(H286&lt;=I286,"Starter",IF(G286&gt;=LARGE(G:G,FlexOn*LeagueInfo!$F$2),"Starter","Bench"))</f>
        <v>Bench</v>
      </c>
      <c r="G286">
        <f ca="1">IF(H286&gt;I286,D286,0)</f>
        <v>30.620000000000005</v>
      </c>
      <c r="H286">
        <f ca="1">INDEX(INDIRECT(""&amp;C286&amp;"!A2:A489"),MATCH(B286,INDIRECT(""&amp;C286&amp;"!B2:B489"),0))</f>
        <v>93</v>
      </c>
      <c r="I286">
        <f>IF(C286="RB",LeagueInfo!$D$4*LeagueInfo!$F$2,IF(C286="WR",LeagueInfo!$D$5*LeagueInfo!$F$2,IF(C286="TE",LeagueInfo!$D$6*LeagueInfo!$F$2)))</f>
        <v>24</v>
      </c>
    </row>
    <row r="287" spans="1:9" x14ac:dyDescent="0.25">
      <c r="A287">
        <f ca="1">RANK(E287,E$2:E$462)</f>
        <v>286</v>
      </c>
      <c r="B287" t="s">
        <v>404</v>
      </c>
      <c r="C287" t="s">
        <v>35</v>
      </c>
      <c r="D287">
        <f ca="1">INDEX(INDIRECT($C287&amp;"!P:P"),MATCH($B287,INDIRECT($C287&amp;"!B:B"),0))</f>
        <v>30.549999999999997</v>
      </c>
      <c r="E287" s="210">
        <f ca="1">D287-LARGE(D$2:D$385,RBCount+WRCount+TECount)</f>
        <v>-77.44</v>
      </c>
      <c r="F287" t="str">
        <f ca="1">IF(H287&lt;=I287,"Starter",IF(G287&gt;=LARGE(G:G,FlexOn*LeagueInfo!$F$2),"Starter","Bench"))</f>
        <v>Bench</v>
      </c>
      <c r="G287">
        <f ca="1">IF(H287&gt;I287,D287,0)</f>
        <v>30.549999999999997</v>
      </c>
      <c r="H287">
        <f ca="1">INDEX(INDIRECT(""&amp;C287&amp;"!A2:A489"),MATCH(B287,INDIRECT(""&amp;C287&amp;"!B2:B489"),0))</f>
        <v>133</v>
      </c>
      <c r="I287">
        <f>IF(C287="RB",LeagueInfo!$D$4*LeagueInfo!$F$2,IF(C287="WR",LeagueInfo!$D$5*LeagueInfo!$F$2,IF(C287="TE",LeagueInfo!$D$6*LeagueInfo!$F$2)))</f>
        <v>24</v>
      </c>
    </row>
    <row r="288" spans="1:9" x14ac:dyDescent="0.25">
      <c r="A288">
        <f ca="1">RANK(E288,E$2:E$462)</f>
        <v>287</v>
      </c>
      <c r="B288" t="s">
        <v>321</v>
      </c>
      <c r="C288" t="s">
        <v>43</v>
      </c>
      <c r="D288">
        <f ca="1">INDEX(INDIRECT($C288&amp;"!P:P"),MATCH($B288,INDIRECT($C288&amp;"!B:B"),0))</f>
        <v>30.450000000000003</v>
      </c>
      <c r="E288" s="210">
        <f ca="1">D288-LARGE(D$2:D$385,RBCount+WRCount+TECount)</f>
        <v>-77.539999999999992</v>
      </c>
      <c r="F288" t="str">
        <f ca="1">IF(H288&lt;=I288,"Starter",IF(G288&gt;=LARGE(G:G,FlexOn*LeagueInfo!$F$2),"Starter","Bench"))</f>
        <v>Bench</v>
      </c>
      <c r="G288">
        <f ca="1">IF(H288&gt;I288,D288,0)</f>
        <v>30.450000000000003</v>
      </c>
      <c r="H288">
        <f ca="1">INDEX(INDIRECT(""&amp;C288&amp;"!A2:A489"),MATCH(B288,INDIRECT(""&amp;C288&amp;"!B2:B489"),0))</f>
        <v>61</v>
      </c>
      <c r="I288">
        <f>IF(C288="RB",LeagueInfo!$D$4*LeagueInfo!$F$2,IF(C288="WR",LeagueInfo!$D$5*LeagueInfo!$F$2,IF(C288="TE",LeagueInfo!$D$6*LeagueInfo!$F$2)))</f>
        <v>12</v>
      </c>
    </row>
    <row r="289" spans="1:9" x14ac:dyDescent="0.25">
      <c r="A289">
        <f ca="1">RANK(E289,E$2:E$462)</f>
        <v>288</v>
      </c>
      <c r="B289" t="s">
        <v>732</v>
      </c>
      <c r="C289" t="s">
        <v>35</v>
      </c>
      <c r="D289">
        <f ca="1">INDEX(INDIRECT($C289&amp;"!P:P"),MATCH($B289,INDIRECT($C289&amp;"!B:B"),0))</f>
        <v>30.44</v>
      </c>
      <c r="E289" s="210">
        <f ca="1">D289-LARGE(D$2:D$385,RBCount+WRCount+TECount)</f>
        <v>-77.55</v>
      </c>
      <c r="F289" t="str">
        <f ca="1">IF(H289&lt;=I289,"Starter",IF(G289&gt;=LARGE(G:G,FlexOn*LeagueInfo!$F$2),"Starter","Bench"))</f>
        <v>Bench</v>
      </c>
      <c r="G289">
        <f ca="1">IF(H289&gt;I289,D289,0)</f>
        <v>30.44</v>
      </c>
      <c r="H289">
        <f ca="1">INDEX(INDIRECT(""&amp;C289&amp;"!A2:A489"),MATCH(B289,INDIRECT(""&amp;C289&amp;"!B2:B489"),0))</f>
        <v>134</v>
      </c>
      <c r="I289">
        <f>IF(C289="RB",LeagueInfo!$D$4*LeagueInfo!$F$2,IF(C289="WR",LeagueInfo!$D$5*LeagueInfo!$F$2,IF(C289="TE",LeagueInfo!$D$6*LeagueInfo!$F$2)))</f>
        <v>24</v>
      </c>
    </row>
    <row r="290" spans="1:9" x14ac:dyDescent="0.25">
      <c r="A290">
        <f ca="1">RANK(E290,E$2:E$462)</f>
        <v>289</v>
      </c>
      <c r="B290" t="s">
        <v>958</v>
      </c>
      <c r="C290" t="s">
        <v>35</v>
      </c>
      <c r="D290">
        <f ca="1">INDEX(INDIRECT($C290&amp;"!P:P"),MATCH($B290,INDIRECT($C290&amp;"!B:B"),0))</f>
        <v>30.240000000000002</v>
      </c>
      <c r="E290" s="210">
        <f ca="1">D290-LARGE(D$2:D$385,RBCount+WRCount+TECount)</f>
        <v>-77.75</v>
      </c>
      <c r="F290" t="str">
        <f ca="1">IF(H290&lt;=I290,"Starter",IF(G290&gt;=LARGE(G:G,FlexOn*LeagueInfo!$F$2),"Starter","Bench"))</f>
        <v>Bench</v>
      </c>
      <c r="G290">
        <f ca="1">IF(H290&gt;I290,D290,0)</f>
        <v>30.240000000000002</v>
      </c>
      <c r="H290">
        <f ca="1">INDEX(INDIRECT(""&amp;C290&amp;"!A2:A489"),MATCH(B290,INDIRECT(""&amp;C290&amp;"!B2:B489"),0))</f>
        <v>135</v>
      </c>
      <c r="I290">
        <f>IF(C290="RB",LeagueInfo!$D$4*LeagueInfo!$F$2,IF(C290="WR",LeagueInfo!$D$5*LeagueInfo!$F$2,IF(C290="TE",LeagueInfo!$D$6*LeagueInfo!$F$2)))</f>
        <v>24</v>
      </c>
    </row>
    <row r="291" spans="1:9" x14ac:dyDescent="0.25">
      <c r="A291">
        <f ca="1">RANK(E291,E$2:E$462)</f>
        <v>290</v>
      </c>
      <c r="B291" t="s">
        <v>997</v>
      </c>
      <c r="C291" t="s">
        <v>43</v>
      </c>
      <c r="D291">
        <f ca="1">INDEX(INDIRECT($C291&amp;"!P:P"),MATCH($B291,INDIRECT($C291&amp;"!B:B"),0))</f>
        <v>30.230000000000004</v>
      </c>
      <c r="E291" s="210">
        <f ca="1">D291-LARGE(D$2:D$385,RBCount+WRCount+TECount)</f>
        <v>-77.759999999999991</v>
      </c>
      <c r="F291" t="str">
        <f ca="1">IF(H291&lt;=I291,"Starter",IF(G291&gt;=LARGE(G:G,FlexOn*LeagueInfo!$F$2),"Starter","Bench"))</f>
        <v>Bench</v>
      </c>
      <c r="G291">
        <f ca="1">IF(H291&gt;I291,D291,0)</f>
        <v>30.230000000000004</v>
      </c>
      <c r="H291">
        <f ca="1">INDEX(INDIRECT(""&amp;C291&amp;"!A2:A489"),MATCH(B291,INDIRECT(""&amp;C291&amp;"!B2:B489"),0))</f>
        <v>62</v>
      </c>
      <c r="I291">
        <f>IF(C291="RB",LeagueInfo!$D$4*LeagueInfo!$F$2,IF(C291="WR",LeagueInfo!$D$5*LeagueInfo!$F$2,IF(C291="TE",LeagueInfo!$D$6*LeagueInfo!$F$2)))</f>
        <v>12</v>
      </c>
    </row>
    <row r="292" spans="1:9" x14ac:dyDescent="0.25">
      <c r="A292">
        <f ca="1">RANK(E292,E$2:E$462)</f>
        <v>291</v>
      </c>
      <c r="B292" t="s">
        <v>645</v>
      </c>
      <c r="C292" t="s">
        <v>35</v>
      </c>
      <c r="D292">
        <f ca="1">INDEX(INDIRECT($C292&amp;"!P:P"),MATCH($B292,INDIRECT($C292&amp;"!B:B"),0))</f>
        <v>29.94</v>
      </c>
      <c r="E292" s="210">
        <f ca="1">D292-LARGE(D$2:D$385,RBCount+WRCount+TECount)</f>
        <v>-78.05</v>
      </c>
      <c r="F292" t="str">
        <f ca="1">IF(H292&lt;=I292,"Starter",IF(G292&gt;=LARGE(G:G,FlexOn*LeagueInfo!$F$2),"Starter","Bench"))</f>
        <v>Bench</v>
      </c>
      <c r="G292">
        <f ca="1">IF(H292&gt;I292,D292,0)</f>
        <v>29.94</v>
      </c>
      <c r="H292">
        <f ca="1">INDEX(INDIRECT(""&amp;C292&amp;"!A2:A489"),MATCH(B292,INDIRECT(""&amp;C292&amp;"!B2:B489"),0))</f>
        <v>136</v>
      </c>
      <c r="I292">
        <f>IF(C292="RB",LeagueInfo!$D$4*LeagueInfo!$F$2,IF(C292="WR",LeagueInfo!$D$5*LeagueInfo!$F$2,IF(C292="TE",LeagueInfo!$D$6*LeagueInfo!$F$2)))</f>
        <v>24</v>
      </c>
    </row>
    <row r="293" spans="1:9" x14ac:dyDescent="0.25">
      <c r="A293">
        <f ca="1">RANK(E293,E$2:E$462)</f>
        <v>292</v>
      </c>
      <c r="B293" t="s">
        <v>134</v>
      </c>
      <c r="C293" t="s">
        <v>28</v>
      </c>
      <c r="D293">
        <f ca="1">INDEX(INDIRECT($C293&amp;"!P:P"),MATCH($B293,INDIRECT($C293&amp;"!B:B"),0))</f>
        <v>29.84</v>
      </c>
      <c r="E293" s="210">
        <f ca="1">D293-LARGE(D$2:D$385,RBCount+WRCount+TECount)</f>
        <v>-78.149999999999991</v>
      </c>
      <c r="F293" t="str">
        <f ca="1">IF(H293&lt;=I293,"Starter",IF(G293&gt;=LARGE(G:G,FlexOn*LeagueInfo!$F$2),"Starter","Bench"))</f>
        <v>Bench</v>
      </c>
      <c r="G293">
        <f ca="1">IF(H293&gt;I293,D293,0)</f>
        <v>29.84</v>
      </c>
      <c r="H293">
        <f ca="1">INDEX(INDIRECT(""&amp;C293&amp;"!A2:A489"),MATCH(B293,INDIRECT(""&amp;C293&amp;"!B2:B489"),0))</f>
        <v>94</v>
      </c>
      <c r="I293">
        <f>IF(C293="RB",LeagueInfo!$D$4*LeagueInfo!$F$2,IF(C293="WR",LeagueInfo!$D$5*LeagueInfo!$F$2,IF(C293="TE",LeagueInfo!$D$6*LeagueInfo!$F$2)))</f>
        <v>24</v>
      </c>
    </row>
    <row r="294" spans="1:9" x14ac:dyDescent="0.25">
      <c r="A294">
        <f ca="1">RANK(E294,E$2:E$462)</f>
        <v>293</v>
      </c>
      <c r="B294" t="s">
        <v>961</v>
      </c>
      <c r="C294" t="s">
        <v>35</v>
      </c>
      <c r="D294">
        <f ca="1">INDEX(INDIRECT($C294&amp;"!P:P"),MATCH($B294,INDIRECT($C294&amp;"!B:B"),0))</f>
        <v>29.430000000000003</v>
      </c>
      <c r="E294" s="210">
        <f ca="1">D294-LARGE(D$2:D$385,RBCount+WRCount+TECount)</f>
        <v>-78.559999999999988</v>
      </c>
      <c r="F294" t="str">
        <f ca="1">IF(H294&lt;=I294,"Starter",IF(G294&gt;=LARGE(G:G,FlexOn*LeagueInfo!$F$2),"Starter","Bench"))</f>
        <v>Bench</v>
      </c>
      <c r="G294">
        <f ca="1">IF(H294&gt;I294,D294,0)</f>
        <v>29.430000000000003</v>
      </c>
      <c r="H294">
        <f ca="1">INDEX(INDIRECT(""&amp;C294&amp;"!A2:A489"),MATCH(B294,INDIRECT(""&amp;C294&amp;"!B2:B489"),0))</f>
        <v>137</v>
      </c>
      <c r="I294">
        <f>IF(C294="RB",LeagueInfo!$D$4*LeagueInfo!$F$2,IF(C294="WR",LeagueInfo!$D$5*LeagueInfo!$F$2,IF(C294="TE",LeagueInfo!$D$6*LeagueInfo!$F$2)))</f>
        <v>24</v>
      </c>
    </row>
    <row r="295" spans="1:9" x14ac:dyDescent="0.25">
      <c r="A295">
        <f ca="1">RANK(E295,E$2:E$462)</f>
        <v>294</v>
      </c>
      <c r="B295" t="s">
        <v>673</v>
      </c>
      <c r="C295" t="s">
        <v>28</v>
      </c>
      <c r="D295">
        <f ca="1">INDEX(INDIRECT($C295&amp;"!P:P"),MATCH($B295,INDIRECT($C295&amp;"!B:B"),0))</f>
        <v>29.260000000000005</v>
      </c>
      <c r="E295" s="210">
        <f ca="1">D295-LARGE(D$2:D$385,RBCount+WRCount+TECount)</f>
        <v>-78.72999999999999</v>
      </c>
      <c r="F295" t="str">
        <f ca="1">IF(H295&lt;=I295,"Starter",IF(G295&gt;=LARGE(G:G,FlexOn*LeagueInfo!$F$2),"Starter","Bench"))</f>
        <v>Bench</v>
      </c>
      <c r="G295">
        <f ca="1">IF(H295&gt;I295,D295,0)</f>
        <v>29.260000000000005</v>
      </c>
      <c r="H295">
        <f ca="1">INDEX(INDIRECT(""&amp;C295&amp;"!A2:A489"),MATCH(B295,INDIRECT(""&amp;C295&amp;"!B2:B489"),0))</f>
        <v>95</v>
      </c>
      <c r="I295">
        <f>IF(C295="RB",LeagueInfo!$D$4*LeagueInfo!$F$2,IF(C295="WR",LeagueInfo!$D$5*LeagueInfo!$F$2,IF(C295="TE",LeagueInfo!$D$6*LeagueInfo!$F$2)))</f>
        <v>24</v>
      </c>
    </row>
    <row r="296" spans="1:9" x14ac:dyDescent="0.25">
      <c r="A296">
        <f ca="1">RANK(E296,E$2:E$462)</f>
        <v>295</v>
      </c>
      <c r="B296" t="s">
        <v>2460</v>
      </c>
      <c r="C296" t="s">
        <v>28</v>
      </c>
      <c r="D296">
        <f ca="1">INDEX(INDIRECT($C296&amp;"!P:P"),MATCH($B296,INDIRECT($C296&amp;"!B:B"),0))</f>
        <v>28.400000000000002</v>
      </c>
      <c r="E296" s="210">
        <f ca="1">D296-LARGE(D$2:D$385,RBCount+WRCount+TECount)</f>
        <v>-79.589999999999989</v>
      </c>
      <c r="F296" t="str">
        <f ca="1">IF(H296&lt;=I296,"Starter",IF(G296&gt;=LARGE(G:G,FlexOn*LeagueInfo!$F$2),"Starter","Bench"))</f>
        <v>Bench</v>
      </c>
      <c r="G296">
        <f ca="1">IF(H296&gt;I296,D296,0)</f>
        <v>28.400000000000002</v>
      </c>
      <c r="H296">
        <f ca="1">INDEX(INDIRECT(""&amp;C296&amp;"!A2:A489"),MATCH(B296,INDIRECT(""&amp;C296&amp;"!B2:B489"),0))</f>
        <v>96</v>
      </c>
      <c r="I296">
        <f>IF(C296="RB",LeagueInfo!$D$4*LeagueInfo!$F$2,IF(C296="WR",LeagueInfo!$D$5*LeagueInfo!$F$2,IF(C296="TE",LeagueInfo!$D$6*LeagueInfo!$F$2)))</f>
        <v>24</v>
      </c>
    </row>
    <row r="297" spans="1:9" x14ac:dyDescent="0.25">
      <c r="A297">
        <f ca="1">RANK(E297,E$2:E$462)</f>
        <v>296</v>
      </c>
      <c r="B297" t="s">
        <v>728</v>
      </c>
      <c r="C297" t="s">
        <v>35</v>
      </c>
      <c r="D297">
        <f ca="1">INDEX(INDIRECT($C297&amp;"!P:P"),MATCH($B297,INDIRECT($C297&amp;"!B:B"),0))</f>
        <v>28.39</v>
      </c>
      <c r="E297" s="210">
        <f ca="1">D297-LARGE(D$2:D$385,RBCount+WRCount+TECount)</f>
        <v>-79.599999999999994</v>
      </c>
      <c r="F297" t="str">
        <f ca="1">IF(H297&lt;=I297,"Starter",IF(G297&gt;=LARGE(G:G,FlexOn*LeagueInfo!$F$2),"Starter","Bench"))</f>
        <v>Bench</v>
      </c>
      <c r="G297">
        <f ca="1">IF(H297&gt;I297,D297,0)</f>
        <v>28.39</v>
      </c>
      <c r="H297">
        <f ca="1">INDEX(INDIRECT(""&amp;C297&amp;"!A2:A489"),MATCH(B297,INDIRECT(""&amp;C297&amp;"!B2:B489"),0))</f>
        <v>138</v>
      </c>
      <c r="I297">
        <f>IF(C297="RB",LeagueInfo!$D$4*LeagueInfo!$F$2,IF(C297="WR",LeagueInfo!$D$5*LeagueInfo!$F$2,IF(C297="TE",LeagueInfo!$D$6*LeagueInfo!$F$2)))</f>
        <v>24</v>
      </c>
    </row>
    <row r="298" spans="1:9" x14ac:dyDescent="0.25">
      <c r="A298">
        <f ca="1">RANK(E298,E$2:E$462)</f>
        <v>297</v>
      </c>
      <c r="B298" t="s">
        <v>2735</v>
      </c>
      <c r="C298" t="s">
        <v>28</v>
      </c>
      <c r="D298">
        <f ca="1">INDEX(INDIRECT($C298&amp;"!P:P"),MATCH($B298,INDIRECT($C298&amp;"!B:B"),0))</f>
        <v>28.110000000000003</v>
      </c>
      <c r="E298" s="210">
        <f ca="1">D298-LARGE(D$2:D$385,RBCount+WRCount+TECount)</f>
        <v>-79.88</v>
      </c>
      <c r="F298" t="str">
        <f ca="1">IF(H298&lt;=I298,"Starter",IF(G298&gt;=LARGE(G:G,FlexOn*LeagueInfo!$F$2),"Starter","Bench"))</f>
        <v>Bench</v>
      </c>
      <c r="G298">
        <f ca="1">IF(H298&gt;I298,D298,0)</f>
        <v>28.110000000000003</v>
      </c>
      <c r="H298">
        <f ca="1">INDEX(INDIRECT(""&amp;C298&amp;"!A2:A489"),MATCH(B298,INDIRECT(""&amp;C298&amp;"!B2:B489"),0))</f>
        <v>97</v>
      </c>
      <c r="I298">
        <f>IF(C298="RB",LeagueInfo!$D$4*LeagueInfo!$F$2,IF(C298="WR",LeagueInfo!$D$5*LeagueInfo!$F$2,IF(C298="TE",LeagueInfo!$D$6*LeagueInfo!$F$2)))</f>
        <v>24</v>
      </c>
    </row>
    <row r="299" spans="1:9" x14ac:dyDescent="0.25">
      <c r="A299">
        <f ca="1">RANK(E299,E$2:E$462)</f>
        <v>298</v>
      </c>
      <c r="B299" t="s">
        <v>2468</v>
      </c>
      <c r="C299" t="s">
        <v>28</v>
      </c>
      <c r="D299">
        <f ca="1">INDEX(INDIRECT($C299&amp;"!P:P"),MATCH($B299,INDIRECT($C299&amp;"!B:B"),0))</f>
        <v>28.070000000000004</v>
      </c>
      <c r="E299" s="210">
        <f ca="1">D299-LARGE(D$2:D$385,RBCount+WRCount+TECount)</f>
        <v>-79.919999999999987</v>
      </c>
      <c r="F299" t="str">
        <f ca="1">IF(H299&lt;=I299,"Starter",IF(G299&gt;=LARGE(G:G,FlexOn*LeagueInfo!$F$2),"Starter","Bench"))</f>
        <v>Bench</v>
      </c>
      <c r="G299">
        <f ca="1">IF(H299&gt;I299,D299,0)</f>
        <v>28.070000000000004</v>
      </c>
      <c r="H299">
        <f ca="1">INDEX(INDIRECT(""&amp;C299&amp;"!A2:A489"),MATCH(B299,INDIRECT(""&amp;C299&amp;"!B2:B489"),0))</f>
        <v>98</v>
      </c>
      <c r="I299">
        <f>IF(C299="RB",LeagueInfo!$D$4*LeagueInfo!$F$2,IF(C299="WR",LeagueInfo!$D$5*LeagueInfo!$F$2,IF(C299="TE",LeagueInfo!$D$6*LeagueInfo!$F$2)))</f>
        <v>24</v>
      </c>
    </row>
    <row r="300" spans="1:9" x14ac:dyDescent="0.25">
      <c r="A300">
        <f ca="1">RANK(E300,E$2:E$462)</f>
        <v>299</v>
      </c>
      <c r="B300" t="s">
        <v>957</v>
      </c>
      <c r="C300" t="s">
        <v>35</v>
      </c>
      <c r="D300">
        <f ca="1">INDEX(INDIRECT($C300&amp;"!P:P"),MATCH($B300,INDIRECT($C300&amp;"!B:B"),0))</f>
        <v>27.860000000000003</v>
      </c>
      <c r="E300" s="210">
        <f ca="1">D300-LARGE(D$2:D$385,RBCount+WRCount+TECount)</f>
        <v>-80.13</v>
      </c>
      <c r="F300" t="str">
        <f ca="1">IF(H300&lt;=I300,"Starter",IF(G300&gt;=LARGE(G:G,FlexOn*LeagueInfo!$F$2),"Starter","Bench"))</f>
        <v>Bench</v>
      </c>
      <c r="G300">
        <f ca="1">IF(H300&gt;I300,D300,0)</f>
        <v>27.860000000000003</v>
      </c>
      <c r="H300">
        <f ca="1">INDEX(INDIRECT(""&amp;C300&amp;"!A2:A489"),MATCH(B300,INDIRECT(""&amp;C300&amp;"!B2:B489"),0))</f>
        <v>139</v>
      </c>
      <c r="I300">
        <f>IF(C300="RB",LeagueInfo!$D$4*LeagueInfo!$F$2,IF(C300="WR",LeagueInfo!$D$5*LeagueInfo!$F$2,IF(C300="TE",LeagueInfo!$D$6*LeagueInfo!$F$2)))</f>
        <v>24</v>
      </c>
    </row>
    <row r="301" spans="1:9" x14ac:dyDescent="0.25">
      <c r="A301">
        <f ca="1">RANK(E301,E$2:E$462)</f>
        <v>300</v>
      </c>
      <c r="B301" t="s">
        <v>993</v>
      </c>
      <c r="C301" t="s">
        <v>43</v>
      </c>
      <c r="D301">
        <f ca="1">INDEX(INDIRECT($C301&amp;"!P:P"),MATCH($B301,INDIRECT($C301&amp;"!B:B"),0))</f>
        <v>27.8</v>
      </c>
      <c r="E301" s="210">
        <f ca="1">D301-LARGE(D$2:D$385,RBCount+WRCount+TECount)</f>
        <v>-80.19</v>
      </c>
      <c r="F301" t="str">
        <f ca="1">IF(H301&lt;=I301,"Starter",IF(G301&gt;=LARGE(G:G,FlexOn*LeagueInfo!$F$2),"Starter","Bench"))</f>
        <v>Bench</v>
      </c>
      <c r="G301">
        <f ca="1">IF(H301&gt;I301,D301,0)</f>
        <v>27.8</v>
      </c>
      <c r="H301">
        <f ca="1">INDEX(INDIRECT(""&amp;C301&amp;"!A2:A489"),MATCH(B301,INDIRECT(""&amp;C301&amp;"!B2:B489"),0))</f>
        <v>63</v>
      </c>
      <c r="I301">
        <f>IF(C301="RB",LeagueInfo!$D$4*LeagueInfo!$F$2,IF(C301="WR",LeagueInfo!$D$5*LeagueInfo!$F$2,IF(C301="TE",LeagueInfo!$D$6*LeagueInfo!$F$2)))</f>
        <v>12</v>
      </c>
    </row>
    <row r="302" spans="1:9" x14ac:dyDescent="0.25">
      <c r="A302">
        <f ca="1">RANK(E302,E$2:E$462)</f>
        <v>301</v>
      </c>
      <c r="B302" t="s">
        <v>689</v>
      </c>
      <c r="C302" t="s">
        <v>28</v>
      </c>
      <c r="D302">
        <f ca="1">INDEX(INDIRECT($C302&amp;"!P:P"),MATCH($B302,INDIRECT($C302&amp;"!B:B"),0))</f>
        <v>27.750000000000004</v>
      </c>
      <c r="E302" s="210">
        <f ca="1">D302-LARGE(D$2:D$385,RBCount+WRCount+TECount)</f>
        <v>-80.239999999999995</v>
      </c>
      <c r="F302" t="str">
        <f ca="1">IF(H302&lt;=I302,"Starter",IF(G302&gt;=LARGE(G:G,FlexOn*LeagueInfo!$F$2),"Starter","Bench"))</f>
        <v>Bench</v>
      </c>
      <c r="G302">
        <f ca="1">IF(H302&gt;I302,D302,0)</f>
        <v>27.750000000000004</v>
      </c>
      <c r="H302">
        <f ca="1">INDEX(INDIRECT(""&amp;C302&amp;"!A2:A489"),MATCH(B302,INDIRECT(""&amp;C302&amp;"!B2:B489"),0))</f>
        <v>99</v>
      </c>
      <c r="I302">
        <f>IF(C302="RB",LeagueInfo!$D$4*LeagueInfo!$F$2,IF(C302="WR",LeagueInfo!$D$5*LeagueInfo!$F$2,IF(C302="TE",LeagueInfo!$D$6*LeagueInfo!$F$2)))</f>
        <v>24</v>
      </c>
    </row>
    <row r="303" spans="1:9" x14ac:dyDescent="0.25">
      <c r="A303">
        <f ca="1">RANK(E303,E$2:E$462)</f>
        <v>301</v>
      </c>
      <c r="B303" t="s">
        <v>2480</v>
      </c>
      <c r="C303" t="s">
        <v>43</v>
      </c>
      <c r="D303">
        <f ca="1">INDEX(INDIRECT($C303&amp;"!P:P"),MATCH($B303,INDIRECT($C303&amp;"!B:B"),0))</f>
        <v>27.75</v>
      </c>
      <c r="E303" s="210">
        <f ca="1">D303-LARGE(D$2:D$385,RBCount+WRCount+TECount)</f>
        <v>-80.239999999999995</v>
      </c>
      <c r="F303" t="str">
        <f ca="1">IF(H303&lt;=I303,"Starter",IF(G303&gt;=LARGE(G:G,FlexOn*LeagueInfo!$F$2),"Starter","Bench"))</f>
        <v>Bench</v>
      </c>
      <c r="G303">
        <f ca="1">IF(H303&gt;I303,D303,0)</f>
        <v>27.75</v>
      </c>
      <c r="H303">
        <f ca="1">INDEX(INDIRECT(""&amp;C303&amp;"!A2:A489"),MATCH(B303,INDIRECT(""&amp;C303&amp;"!B2:B489"),0))</f>
        <v>64</v>
      </c>
      <c r="I303">
        <f>IF(C303="RB",LeagueInfo!$D$4*LeagueInfo!$F$2,IF(C303="WR",LeagueInfo!$D$5*LeagueInfo!$F$2,IF(C303="TE",LeagueInfo!$D$6*LeagueInfo!$F$2)))</f>
        <v>12</v>
      </c>
    </row>
    <row r="304" spans="1:9" x14ac:dyDescent="0.25">
      <c r="A304">
        <f ca="1">RANK(E304,E$2:E$462)</f>
        <v>303</v>
      </c>
      <c r="B304" t="s">
        <v>2430</v>
      </c>
      <c r="C304" t="s">
        <v>35</v>
      </c>
      <c r="D304">
        <f ca="1">INDEX(INDIRECT($C304&amp;"!P:P"),MATCH($B304,INDIRECT($C304&amp;"!B:B"),0))</f>
        <v>27.21</v>
      </c>
      <c r="E304" s="210">
        <f ca="1">D304-LARGE(D$2:D$385,RBCount+WRCount+TECount)</f>
        <v>-80.78</v>
      </c>
      <c r="F304" t="str">
        <f ca="1">IF(H304&lt;=I304,"Starter",IF(G304&gt;=LARGE(G:G,FlexOn*LeagueInfo!$F$2),"Starter","Bench"))</f>
        <v>Bench</v>
      </c>
      <c r="G304">
        <f ca="1">IF(H304&gt;I304,D304,0)</f>
        <v>27.21</v>
      </c>
      <c r="H304">
        <f ca="1">INDEX(INDIRECT(""&amp;C304&amp;"!A2:A489"),MATCH(B304,INDIRECT(""&amp;C304&amp;"!B2:B489"),0))</f>
        <v>140</v>
      </c>
      <c r="I304">
        <f>IF(C304="RB",LeagueInfo!$D$4*LeagueInfo!$F$2,IF(C304="WR",LeagueInfo!$D$5*LeagueInfo!$F$2,IF(C304="TE",LeagueInfo!$D$6*LeagueInfo!$F$2)))</f>
        <v>24</v>
      </c>
    </row>
    <row r="305" spans="1:9" x14ac:dyDescent="0.25">
      <c r="A305">
        <f ca="1">RANK(E305,E$2:E$462)</f>
        <v>304</v>
      </c>
      <c r="B305" t="s">
        <v>2459</v>
      </c>
      <c r="C305" t="s">
        <v>28</v>
      </c>
      <c r="D305">
        <f ca="1">INDEX(INDIRECT($C305&amp;"!P:P"),MATCH($B305,INDIRECT($C305&amp;"!B:B"),0))</f>
        <v>27.040000000000006</v>
      </c>
      <c r="E305" s="210">
        <f ca="1">D305-LARGE(D$2:D$385,RBCount+WRCount+TECount)</f>
        <v>-80.949999999999989</v>
      </c>
      <c r="F305" t="str">
        <f ca="1">IF(H305&lt;=I305,"Starter",IF(G305&gt;=LARGE(G:G,FlexOn*LeagueInfo!$F$2),"Starter","Bench"))</f>
        <v>Bench</v>
      </c>
      <c r="G305">
        <f ca="1">IF(H305&gt;I305,D305,0)</f>
        <v>27.040000000000006</v>
      </c>
      <c r="H305">
        <f ca="1">INDEX(INDIRECT(""&amp;C305&amp;"!A2:A489"),MATCH(B305,INDIRECT(""&amp;C305&amp;"!B2:B489"),0))</f>
        <v>100</v>
      </c>
      <c r="I305">
        <f>IF(C305="RB",LeagueInfo!$D$4*LeagueInfo!$F$2,IF(C305="WR",LeagueInfo!$D$5*LeagueInfo!$F$2,IF(C305="TE",LeagueInfo!$D$6*LeagueInfo!$F$2)))</f>
        <v>24</v>
      </c>
    </row>
    <row r="306" spans="1:9" x14ac:dyDescent="0.25">
      <c r="A306">
        <f ca="1">RANK(E306,E$2:E$462)</f>
        <v>305</v>
      </c>
      <c r="B306" t="s">
        <v>424</v>
      </c>
      <c r="C306" t="s">
        <v>43</v>
      </c>
      <c r="D306">
        <f ca="1">INDEX(INDIRECT($C306&amp;"!P:P"),MATCH($B306,INDIRECT($C306&amp;"!B:B"),0))</f>
        <v>26.72</v>
      </c>
      <c r="E306" s="210">
        <f ca="1">D306-LARGE(D$2:D$385,RBCount+WRCount+TECount)</f>
        <v>-81.27</v>
      </c>
      <c r="F306" t="str">
        <f ca="1">IF(H306&lt;=I306,"Starter",IF(G306&gt;=LARGE(G:G,FlexOn*LeagueInfo!$F$2),"Starter","Bench"))</f>
        <v>Bench</v>
      </c>
      <c r="G306">
        <f ca="1">IF(H306&gt;I306,D306,0)</f>
        <v>26.72</v>
      </c>
      <c r="H306">
        <f ca="1">INDEX(INDIRECT(""&amp;C306&amp;"!A2:A489"),MATCH(B306,INDIRECT(""&amp;C306&amp;"!B2:B489"),0))</f>
        <v>65</v>
      </c>
      <c r="I306">
        <f>IF(C306="RB",LeagueInfo!$D$4*LeagueInfo!$F$2,IF(C306="WR",LeagueInfo!$D$5*LeagueInfo!$F$2,IF(C306="TE",LeagueInfo!$D$6*LeagueInfo!$F$2)))</f>
        <v>12</v>
      </c>
    </row>
    <row r="307" spans="1:9" x14ac:dyDescent="0.25">
      <c r="A307">
        <f ca="1">RANK(E307,E$2:E$462)</f>
        <v>306</v>
      </c>
      <c r="B307" t="s">
        <v>2479</v>
      </c>
      <c r="C307" t="s">
        <v>43</v>
      </c>
      <c r="D307">
        <f ca="1">INDEX(INDIRECT($C307&amp;"!P:P"),MATCH($B307,INDIRECT($C307&amp;"!B:B"),0))</f>
        <v>26.6</v>
      </c>
      <c r="E307" s="210">
        <f ca="1">D307-LARGE(D$2:D$385,RBCount+WRCount+TECount)</f>
        <v>-81.389999999999986</v>
      </c>
      <c r="F307" t="str">
        <f ca="1">IF(H307&lt;=I307,"Starter",IF(G307&gt;=LARGE(G:G,FlexOn*LeagueInfo!$F$2),"Starter","Bench"))</f>
        <v>Bench</v>
      </c>
      <c r="G307">
        <f ca="1">IF(H307&gt;I307,D307,0)</f>
        <v>26.6</v>
      </c>
      <c r="H307">
        <f ca="1">INDEX(INDIRECT(""&amp;C307&amp;"!A2:A489"),MATCH(B307,INDIRECT(""&amp;C307&amp;"!B2:B489"),0))</f>
        <v>66</v>
      </c>
      <c r="I307">
        <f>IF(C307="RB",LeagueInfo!$D$4*LeagueInfo!$F$2,IF(C307="WR",LeagueInfo!$D$5*LeagueInfo!$F$2,IF(C307="TE",LeagueInfo!$D$6*LeagueInfo!$F$2)))</f>
        <v>12</v>
      </c>
    </row>
    <row r="308" spans="1:9" x14ac:dyDescent="0.25">
      <c r="A308">
        <f ca="1">RANK(E308,E$2:E$462)</f>
        <v>307</v>
      </c>
      <c r="B308" t="s">
        <v>2674</v>
      </c>
      <c r="C308" t="s">
        <v>35</v>
      </c>
      <c r="D308">
        <f ca="1">INDEX(INDIRECT($C308&amp;"!P:P"),MATCH($B308,INDIRECT($C308&amp;"!B:B"),0))</f>
        <v>26.55</v>
      </c>
      <c r="E308" s="210">
        <f ca="1">D308-LARGE(D$2:D$385,RBCount+WRCount+TECount)</f>
        <v>-81.44</v>
      </c>
      <c r="F308" t="str">
        <f ca="1">IF(H308&lt;=I308,"Starter",IF(G308&gt;=LARGE(G:G,FlexOn*LeagueInfo!$F$2),"Starter","Bench"))</f>
        <v>Bench</v>
      </c>
      <c r="G308">
        <f ca="1">IF(H308&gt;I308,D308,0)</f>
        <v>26.55</v>
      </c>
      <c r="H308">
        <f ca="1">INDEX(INDIRECT(""&amp;C308&amp;"!A2:A489"),MATCH(B308,INDIRECT(""&amp;C308&amp;"!B2:B489"),0))</f>
        <v>141</v>
      </c>
      <c r="I308">
        <f>IF(C308="RB",LeagueInfo!$D$4*LeagueInfo!$F$2,IF(C308="WR",LeagueInfo!$D$5*LeagueInfo!$F$2,IF(C308="TE",LeagueInfo!$D$6*LeagueInfo!$F$2)))</f>
        <v>24</v>
      </c>
    </row>
    <row r="309" spans="1:9" x14ac:dyDescent="0.25">
      <c r="A309">
        <f ca="1">RANK(E309,E$2:E$462)</f>
        <v>308</v>
      </c>
      <c r="B309" t="s">
        <v>2456</v>
      </c>
      <c r="C309" t="s">
        <v>28</v>
      </c>
      <c r="D309">
        <f ca="1">INDEX(INDIRECT($C309&amp;"!P:P"),MATCH($B309,INDIRECT($C309&amp;"!B:B"),0))</f>
        <v>26.500000000000004</v>
      </c>
      <c r="E309" s="210">
        <f ca="1">D309-LARGE(D$2:D$385,RBCount+WRCount+TECount)</f>
        <v>-81.489999999999995</v>
      </c>
      <c r="F309" t="str">
        <f ca="1">IF(H309&lt;=I309,"Starter",IF(G309&gt;=LARGE(G:G,FlexOn*LeagueInfo!$F$2),"Starter","Bench"))</f>
        <v>Bench</v>
      </c>
      <c r="G309">
        <f ca="1">IF(H309&gt;I309,D309,0)</f>
        <v>26.500000000000004</v>
      </c>
      <c r="H309">
        <f ca="1">INDEX(INDIRECT(""&amp;C309&amp;"!A2:A489"),MATCH(B309,INDIRECT(""&amp;C309&amp;"!B2:B489"),0))</f>
        <v>101</v>
      </c>
      <c r="I309">
        <f>IF(C309="RB",LeagueInfo!$D$4*LeagueInfo!$F$2,IF(C309="WR",LeagueInfo!$D$5*LeagueInfo!$F$2,IF(C309="TE",LeagueInfo!$D$6*LeagueInfo!$F$2)))</f>
        <v>24</v>
      </c>
    </row>
    <row r="310" spans="1:9" x14ac:dyDescent="0.25">
      <c r="A310">
        <f ca="1">RANK(E310,E$2:E$462)</f>
        <v>309</v>
      </c>
      <c r="B310" t="s">
        <v>856</v>
      </c>
      <c r="C310" t="s">
        <v>35</v>
      </c>
      <c r="D310">
        <f ca="1">INDEX(INDIRECT($C310&amp;"!P:P"),MATCH($B310,INDIRECT($C310&amp;"!B:B"),0))</f>
        <v>26.459999999999997</v>
      </c>
      <c r="E310" s="210">
        <f ca="1">D310-LARGE(D$2:D$385,RBCount+WRCount+TECount)</f>
        <v>-81.53</v>
      </c>
      <c r="F310" t="str">
        <f ca="1">IF(H310&lt;=I310,"Starter",IF(G310&gt;=LARGE(G:G,FlexOn*LeagueInfo!$F$2),"Starter","Bench"))</f>
        <v>Bench</v>
      </c>
      <c r="G310">
        <f ca="1">IF(H310&gt;I310,D310,0)</f>
        <v>26.459999999999997</v>
      </c>
      <c r="H310">
        <f ca="1">INDEX(INDIRECT(""&amp;C310&amp;"!A2:A489"),MATCH(B310,INDIRECT(""&amp;C310&amp;"!B2:B489"),0))</f>
        <v>142</v>
      </c>
      <c r="I310">
        <f>IF(C310="RB",LeagueInfo!$D$4*LeagueInfo!$F$2,IF(C310="WR",LeagueInfo!$D$5*LeagueInfo!$F$2,IF(C310="TE",LeagueInfo!$D$6*LeagueInfo!$F$2)))</f>
        <v>24</v>
      </c>
    </row>
    <row r="311" spans="1:9" x14ac:dyDescent="0.25">
      <c r="A311">
        <f ca="1">RANK(E311,E$2:E$462)</f>
        <v>310</v>
      </c>
      <c r="B311" t="s">
        <v>833</v>
      </c>
      <c r="C311" t="s">
        <v>35</v>
      </c>
      <c r="D311">
        <f ca="1">INDEX(INDIRECT($C311&amp;"!P:P"),MATCH($B311,INDIRECT($C311&amp;"!B:B"),0))</f>
        <v>26.37</v>
      </c>
      <c r="E311" s="210">
        <f ca="1">D311-LARGE(D$2:D$385,RBCount+WRCount+TECount)</f>
        <v>-81.61999999999999</v>
      </c>
      <c r="F311" t="str">
        <f ca="1">IF(H311&lt;=I311,"Starter",IF(G311&gt;=LARGE(G:G,FlexOn*LeagueInfo!$F$2),"Starter","Bench"))</f>
        <v>Bench</v>
      </c>
      <c r="G311">
        <f ca="1">IF(H311&gt;I311,D311,0)</f>
        <v>26.37</v>
      </c>
      <c r="H311">
        <f ca="1">INDEX(INDIRECT(""&amp;C311&amp;"!A2:A489"),MATCH(B311,INDIRECT(""&amp;C311&amp;"!B2:B489"),0))</f>
        <v>143</v>
      </c>
      <c r="I311">
        <f>IF(C311="RB",LeagueInfo!$D$4*LeagueInfo!$F$2,IF(C311="WR",LeagueInfo!$D$5*LeagueInfo!$F$2,IF(C311="TE",LeagueInfo!$D$6*LeagueInfo!$F$2)))</f>
        <v>24</v>
      </c>
    </row>
    <row r="312" spans="1:9" x14ac:dyDescent="0.25">
      <c r="A312">
        <f ca="1">RANK(E312,E$2:E$462)</f>
        <v>311</v>
      </c>
      <c r="B312" t="s">
        <v>934</v>
      </c>
      <c r="C312" t="s">
        <v>28</v>
      </c>
      <c r="D312">
        <f ca="1">INDEX(INDIRECT($C312&amp;"!P:P"),MATCH($B312,INDIRECT($C312&amp;"!B:B"),0))</f>
        <v>25.62</v>
      </c>
      <c r="E312" s="210">
        <f ca="1">D312-LARGE(D$2:D$385,RBCount+WRCount+TECount)</f>
        <v>-82.36999999999999</v>
      </c>
      <c r="F312" t="str">
        <f ca="1">IF(H312&lt;=I312,"Starter",IF(G312&gt;=LARGE(G:G,FlexOn*LeagueInfo!$F$2),"Starter","Bench"))</f>
        <v>Bench</v>
      </c>
      <c r="G312">
        <f ca="1">IF(H312&gt;I312,D312,0)</f>
        <v>25.62</v>
      </c>
      <c r="H312">
        <f ca="1">INDEX(INDIRECT(""&amp;C312&amp;"!A2:A489"),MATCH(B312,INDIRECT(""&amp;C312&amp;"!B2:B489"),0))</f>
        <v>102</v>
      </c>
      <c r="I312">
        <f>IF(C312="RB",LeagueInfo!$D$4*LeagueInfo!$F$2,IF(C312="WR",LeagueInfo!$D$5*LeagueInfo!$F$2,IF(C312="TE",LeagueInfo!$D$6*LeagueInfo!$F$2)))</f>
        <v>24</v>
      </c>
    </row>
    <row r="313" spans="1:9" x14ac:dyDescent="0.25">
      <c r="A313">
        <f ca="1">RANK(E313,E$2:E$462)</f>
        <v>312</v>
      </c>
      <c r="B313" t="s">
        <v>2463</v>
      </c>
      <c r="C313" t="s">
        <v>28</v>
      </c>
      <c r="D313">
        <f ca="1">INDEX(INDIRECT($C313&amp;"!P:P"),MATCH($B313,INDIRECT($C313&amp;"!B:B"),0))</f>
        <v>25.580000000000005</v>
      </c>
      <c r="E313" s="210">
        <f ca="1">D313-LARGE(D$2:D$385,RBCount+WRCount+TECount)</f>
        <v>-82.41</v>
      </c>
      <c r="F313" t="str">
        <f ca="1">IF(H313&lt;=I313,"Starter",IF(G313&gt;=LARGE(G:G,FlexOn*LeagueInfo!$F$2),"Starter","Bench"))</f>
        <v>Bench</v>
      </c>
      <c r="G313">
        <f ca="1">IF(H313&gt;I313,D313,0)</f>
        <v>25.580000000000005</v>
      </c>
      <c r="H313">
        <f ca="1">INDEX(INDIRECT(""&amp;C313&amp;"!A2:A489"),MATCH(B313,INDIRECT(""&amp;C313&amp;"!B2:B489"),0))</f>
        <v>103</v>
      </c>
      <c r="I313">
        <f>IF(C313="RB",LeagueInfo!$D$4*LeagueInfo!$F$2,IF(C313="WR",LeagueInfo!$D$5*LeagueInfo!$F$2,IF(C313="TE",LeagueInfo!$D$6*LeagueInfo!$F$2)))</f>
        <v>24</v>
      </c>
    </row>
    <row r="314" spans="1:9" x14ac:dyDescent="0.25">
      <c r="A314">
        <f ca="1">RANK(E314,E$2:E$462)</f>
        <v>313</v>
      </c>
      <c r="B314" t="s">
        <v>692</v>
      </c>
      <c r="C314" t="s">
        <v>28</v>
      </c>
      <c r="D314">
        <f ca="1">INDEX(INDIRECT($C314&amp;"!P:P"),MATCH($B314,INDIRECT($C314&amp;"!B:B"),0))</f>
        <v>25.419999999999998</v>
      </c>
      <c r="E314" s="210">
        <f ca="1">D314-LARGE(D$2:D$385,RBCount+WRCount+TECount)</f>
        <v>-82.57</v>
      </c>
      <c r="F314" t="str">
        <f ca="1">IF(H314&lt;=I314,"Starter",IF(G314&gt;=LARGE(G:G,FlexOn*LeagueInfo!$F$2),"Starter","Bench"))</f>
        <v>Bench</v>
      </c>
      <c r="G314">
        <f ca="1">IF(H314&gt;I314,D314,0)</f>
        <v>25.419999999999998</v>
      </c>
      <c r="H314">
        <f ca="1">INDEX(INDIRECT(""&amp;C314&amp;"!A2:A489"),MATCH(B314,INDIRECT(""&amp;C314&amp;"!B2:B489"),0))</f>
        <v>104</v>
      </c>
      <c r="I314">
        <f>IF(C314="RB",LeagueInfo!$D$4*LeagueInfo!$F$2,IF(C314="WR",LeagueInfo!$D$5*LeagueInfo!$F$2,IF(C314="TE",LeagueInfo!$D$6*LeagueInfo!$F$2)))</f>
        <v>24</v>
      </c>
    </row>
    <row r="315" spans="1:9" x14ac:dyDescent="0.25">
      <c r="A315">
        <f ca="1">RANK(E315,E$2:E$462)</f>
        <v>314</v>
      </c>
      <c r="B315" t="s">
        <v>2618</v>
      </c>
      <c r="C315" t="s">
        <v>28</v>
      </c>
      <c r="D315">
        <f ca="1">INDEX(INDIRECT($C315&amp;"!P:P"),MATCH($B315,INDIRECT($C315&amp;"!B:B"),0))</f>
        <v>25.410000000000004</v>
      </c>
      <c r="E315" s="210">
        <f ca="1">D315-LARGE(D$2:D$385,RBCount+WRCount+TECount)</f>
        <v>-82.579999999999984</v>
      </c>
      <c r="F315" t="str">
        <f ca="1">IF(H315&lt;=I315,"Starter",IF(G315&gt;=LARGE(G:G,FlexOn*LeagueInfo!$F$2),"Starter","Bench"))</f>
        <v>Bench</v>
      </c>
      <c r="G315">
        <f ca="1">IF(H315&gt;I315,D315,0)</f>
        <v>25.410000000000004</v>
      </c>
      <c r="H315">
        <f ca="1">INDEX(INDIRECT(""&amp;C315&amp;"!A2:A489"),MATCH(B315,INDIRECT(""&amp;C315&amp;"!B2:B489"),0))</f>
        <v>105</v>
      </c>
      <c r="I315">
        <f>IF(C315="RB",LeagueInfo!$D$4*LeagueInfo!$F$2,IF(C315="WR",LeagueInfo!$D$5*LeagueInfo!$F$2,IF(C315="TE",LeagueInfo!$D$6*LeagueInfo!$F$2)))</f>
        <v>24</v>
      </c>
    </row>
    <row r="316" spans="1:9" x14ac:dyDescent="0.25">
      <c r="A316">
        <f ca="1">RANK(E316,E$2:E$462)</f>
        <v>315</v>
      </c>
      <c r="B316" t="s">
        <v>977</v>
      </c>
      <c r="C316" t="s">
        <v>43</v>
      </c>
      <c r="D316">
        <f ca="1">INDEX(INDIRECT($C316&amp;"!P:P"),MATCH($B316,INDIRECT($C316&amp;"!B:B"),0))</f>
        <v>25.200000000000003</v>
      </c>
      <c r="E316" s="210">
        <f ca="1">D316-LARGE(D$2:D$385,RBCount+WRCount+TECount)</f>
        <v>-82.789999999999992</v>
      </c>
      <c r="F316" t="str">
        <f ca="1">IF(H316&lt;=I316,"Starter",IF(G316&gt;=LARGE(G:G,FlexOn*LeagueInfo!$F$2),"Starter","Bench"))</f>
        <v>Bench</v>
      </c>
      <c r="G316">
        <f ca="1">IF(H316&gt;I316,D316,0)</f>
        <v>25.200000000000003</v>
      </c>
      <c r="H316">
        <f ca="1">INDEX(INDIRECT(""&amp;C316&amp;"!A2:A489"),MATCH(B316,INDIRECT(""&amp;C316&amp;"!B2:B489"),0))</f>
        <v>67</v>
      </c>
      <c r="I316">
        <f>IF(C316="RB",LeagueInfo!$D$4*LeagueInfo!$F$2,IF(C316="WR",LeagueInfo!$D$5*LeagueInfo!$F$2,IF(C316="TE",LeagueInfo!$D$6*LeagueInfo!$F$2)))</f>
        <v>12</v>
      </c>
    </row>
    <row r="317" spans="1:9" x14ac:dyDescent="0.25">
      <c r="A317">
        <f ca="1">RANK(E317,E$2:E$462)</f>
        <v>316</v>
      </c>
      <c r="B317" t="s">
        <v>542</v>
      </c>
      <c r="C317" t="s">
        <v>28</v>
      </c>
      <c r="D317">
        <f ca="1">INDEX(INDIRECT($C317&amp;"!P:P"),MATCH($B317,INDIRECT($C317&amp;"!B:B"),0))</f>
        <v>25.119999999999997</v>
      </c>
      <c r="E317" s="210">
        <f ca="1">D317-LARGE(D$2:D$385,RBCount+WRCount+TECount)</f>
        <v>-82.87</v>
      </c>
      <c r="F317" t="str">
        <f ca="1">IF(H317&lt;=I317,"Starter",IF(G317&gt;=LARGE(G:G,FlexOn*LeagueInfo!$F$2),"Starter","Bench"))</f>
        <v>Bench</v>
      </c>
      <c r="G317">
        <f ca="1">IF(H317&gt;I317,D317,0)</f>
        <v>25.119999999999997</v>
      </c>
      <c r="H317">
        <f ca="1">INDEX(INDIRECT(""&amp;C317&amp;"!A2:A489"),MATCH(B317,INDIRECT(""&amp;C317&amp;"!B2:B489"),0))</f>
        <v>106</v>
      </c>
      <c r="I317">
        <f>IF(C317="RB",LeagueInfo!$D$4*LeagueInfo!$F$2,IF(C317="WR",LeagueInfo!$D$5*LeagueInfo!$F$2,IF(C317="TE",LeagueInfo!$D$6*LeagueInfo!$F$2)))</f>
        <v>24</v>
      </c>
    </row>
    <row r="318" spans="1:9" x14ac:dyDescent="0.25">
      <c r="A318">
        <f ca="1">RANK(E318,E$2:E$462)</f>
        <v>317</v>
      </c>
      <c r="B318" t="s">
        <v>912</v>
      </c>
      <c r="C318" t="s">
        <v>35</v>
      </c>
      <c r="D318">
        <f ca="1">INDEX(INDIRECT($C318&amp;"!P:P"),MATCH($B318,INDIRECT($C318&amp;"!B:B"),0))</f>
        <v>25.080000000000002</v>
      </c>
      <c r="E318" s="210">
        <f ca="1">D318-LARGE(D$2:D$385,RBCount+WRCount+TECount)</f>
        <v>-82.91</v>
      </c>
      <c r="F318" t="str">
        <f ca="1">IF(H318&lt;=I318,"Starter",IF(G318&gt;=LARGE(G:G,FlexOn*LeagueInfo!$F$2),"Starter","Bench"))</f>
        <v>Bench</v>
      </c>
      <c r="G318">
        <f ca="1">IF(H318&gt;I318,D318,0)</f>
        <v>25.080000000000002</v>
      </c>
      <c r="H318">
        <f ca="1">INDEX(INDIRECT(""&amp;C318&amp;"!A2:A489"),MATCH(B318,INDIRECT(""&amp;C318&amp;"!B2:B489"),0))</f>
        <v>144</v>
      </c>
      <c r="I318">
        <f>IF(C318="RB",LeagueInfo!$D$4*LeagueInfo!$F$2,IF(C318="WR",LeagueInfo!$D$5*LeagueInfo!$F$2,IF(C318="TE",LeagueInfo!$D$6*LeagueInfo!$F$2)))</f>
        <v>24</v>
      </c>
    </row>
    <row r="319" spans="1:9" x14ac:dyDescent="0.25">
      <c r="A319">
        <f ca="1">RANK(E319,E$2:E$462)</f>
        <v>318</v>
      </c>
      <c r="B319" t="s">
        <v>824</v>
      </c>
      <c r="C319" t="s">
        <v>43</v>
      </c>
      <c r="D319">
        <f ca="1">INDEX(INDIRECT($C319&amp;"!P:P"),MATCH($B319,INDIRECT($C319&amp;"!B:B"),0))</f>
        <v>25.030000000000005</v>
      </c>
      <c r="E319" s="210">
        <f ca="1">D319-LARGE(D$2:D$385,RBCount+WRCount+TECount)</f>
        <v>-82.96</v>
      </c>
      <c r="F319" t="str">
        <f ca="1">IF(H319&lt;=I319,"Starter",IF(G319&gt;=LARGE(G:G,FlexOn*LeagueInfo!$F$2),"Starter","Bench"))</f>
        <v>Bench</v>
      </c>
      <c r="G319">
        <f ca="1">IF(H319&gt;I319,D319,0)</f>
        <v>25.030000000000005</v>
      </c>
      <c r="H319">
        <f ca="1">INDEX(INDIRECT(""&amp;C319&amp;"!A2:A489"),MATCH(B319,INDIRECT(""&amp;C319&amp;"!B2:B489"),0))</f>
        <v>68</v>
      </c>
      <c r="I319">
        <f>IF(C319="RB",LeagueInfo!$D$4*LeagueInfo!$F$2,IF(C319="WR",LeagueInfo!$D$5*LeagueInfo!$F$2,IF(C319="TE",LeagueInfo!$D$6*LeagueInfo!$F$2)))</f>
        <v>12</v>
      </c>
    </row>
    <row r="320" spans="1:9" x14ac:dyDescent="0.25">
      <c r="A320">
        <f ca="1">RANK(E320,E$2:E$462)</f>
        <v>319</v>
      </c>
      <c r="B320" t="s">
        <v>733</v>
      </c>
      <c r="C320" t="s">
        <v>35</v>
      </c>
      <c r="D320">
        <f ca="1">INDEX(INDIRECT($C320&amp;"!P:P"),MATCH($B320,INDIRECT($C320&amp;"!B:B"),0))</f>
        <v>24.690000000000005</v>
      </c>
      <c r="E320" s="210">
        <f ca="1">D320-LARGE(D$2:D$385,RBCount+WRCount+TECount)</f>
        <v>-83.299999999999983</v>
      </c>
      <c r="F320" t="str">
        <f ca="1">IF(H320&lt;=I320,"Starter",IF(G320&gt;=LARGE(G:G,FlexOn*LeagueInfo!$F$2),"Starter","Bench"))</f>
        <v>Bench</v>
      </c>
      <c r="G320">
        <f ca="1">IF(H320&gt;I320,D320,0)</f>
        <v>24.690000000000005</v>
      </c>
      <c r="H320">
        <f ca="1">INDEX(INDIRECT(""&amp;C320&amp;"!A2:A489"),MATCH(B320,INDIRECT(""&amp;C320&amp;"!B2:B489"),0))</f>
        <v>145</v>
      </c>
      <c r="I320">
        <f>IF(C320="RB",LeagueInfo!$D$4*LeagueInfo!$F$2,IF(C320="WR",LeagueInfo!$D$5*LeagueInfo!$F$2,IF(C320="TE",LeagueInfo!$D$6*LeagueInfo!$F$2)))</f>
        <v>24</v>
      </c>
    </row>
    <row r="321" spans="1:9" x14ac:dyDescent="0.25">
      <c r="A321">
        <f ca="1">RANK(E321,E$2:E$462)</f>
        <v>320</v>
      </c>
      <c r="B321" t="s">
        <v>682</v>
      </c>
      <c r="C321" t="s">
        <v>28</v>
      </c>
      <c r="D321">
        <f ca="1">INDEX(INDIRECT($C321&amp;"!P:P"),MATCH($B321,INDIRECT($C321&amp;"!B:B"),0))</f>
        <v>24.67</v>
      </c>
      <c r="E321" s="210">
        <f ca="1">D321-LARGE(D$2:D$385,RBCount+WRCount+TECount)</f>
        <v>-83.32</v>
      </c>
      <c r="F321" t="str">
        <f ca="1">IF(H321&lt;=I321,"Starter",IF(G321&gt;=LARGE(G:G,FlexOn*LeagueInfo!$F$2),"Starter","Bench"))</f>
        <v>Bench</v>
      </c>
      <c r="G321">
        <f ca="1">IF(H321&gt;I321,D321,0)</f>
        <v>24.67</v>
      </c>
      <c r="H321">
        <f ca="1">INDEX(INDIRECT(""&amp;C321&amp;"!A2:A489"),MATCH(B321,INDIRECT(""&amp;C321&amp;"!B2:B489"),0))</f>
        <v>107</v>
      </c>
      <c r="I321">
        <f>IF(C321="RB",LeagueInfo!$D$4*LeagueInfo!$F$2,IF(C321="WR",LeagueInfo!$D$5*LeagueInfo!$F$2,IF(C321="TE",LeagueInfo!$D$6*LeagueInfo!$F$2)))</f>
        <v>24</v>
      </c>
    </row>
    <row r="322" spans="1:9" x14ac:dyDescent="0.25">
      <c r="A322">
        <f ca="1">RANK(E322,E$2:E$462)</f>
        <v>321</v>
      </c>
      <c r="B322" t="s">
        <v>2489</v>
      </c>
      <c r="C322" t="s">
        <v>43</v>
      </c>
      <c r="D322">
        <f ca="1">INDEX(INDIRECT($C322&amp;"!P:P"),MATCH($B322,INDIRECT($C322&amp;"!B:B"),0))</f>
        <v>24.200000000000003</v>
      </c>
      <c r="E322" s="210">
        <f ca="1">D322-LARGE(D$2:D$385,RBCount+WRCount+TECount)</f>
        <v>-83.789999999999992</v>
      </c>
      <c r="F322" t="str">
        <f ca="1">IF(H322&lt;=I322,"Starter",IF(G322&gt;=LARGE(G:G,FlexOn*LeagueInfo!$F$2),"Starter","Bench"))</f>
        <v>Bench</v>
      </c>
      <c r="G322">
        <f ca="1">IF(H322&gt;I322,D322,0)</f>
        <v>24.200000000000003</v>
      </c>
      <c r="H322">
        <f ca="1">INDEX(INDIRECT(""&amp;C322&amp;"!A2:A489"),MATCH(B322,INDIRECT(""&amp;C322&amp;"!B2:B489"),0))</f>
        <v>69</v>
      </c>
      <c r="I322">
        <f>IF(C322="RB",LeagueInfo!$D$4*LeagueInfo!$F$2,IF(C322="WR",LeagueInfo!$D$5*LeagueInfo!$F$2,IF(C322="TE",LeagueInfo!$D$6*LeagueInfo!$F$2)))</f>
        <v>12</v>
      </c>
    </row>
    <row r="323" spans="1:9" x14ac:dyDescent="0.25">
      <c r="A323">
        <f ca="1">RANK(E323,E$2:E$462)</f>
        <v>321</v>
      </c>
      <c r="B323" t="s">
        <v>2680</v>
      </c>
      <c r="C323" t="s">
        <v>43</v>
      </c>
      <c r="D323">
        <f ca="1">INDEX(INDIRECT($C323&amp;"!P:P"),MATCH($B323,INDIRECT($C323&amp;"!B:B"),0))</f>
        <v>24.200000000000003</v>
      </c>
      <c r="E323" s="210">
        <f ca="1">D323-LARGE(D$2:D$385,RBCount+WRCount+TECount)</f>
        <v>-83.789999999999992</v>
      </c>
      <c r="F323" t="str">
        <f ca="1">IF(H323&lt;=I323,"Starter",IF(G323&gt;=LARGE(G:G,FlexOn*LeagueInfo!$F$2),"Starter","Bench"))</f>
        <v>Bench</v>
      </c>
      <c r="G323">
        <f ca="1">IF(H323&gt;I323,D323,0)</f>
        <v>24.200000000000003</v>
      </c>
      <c r="H323">
        <f ca="1">INDEX(INDIRECT(""&amp;C323&amp;"!A2:A489"),MATCH(B323,INDIRECT(""&amp;C323&amp;"!B2:B489"),0))</f>
        <v>69</v>
      </c>
      <c r="I323">
        <f>IF(C323="RB",LeagueInfo!$D$4*LeagueInfo!$F$2,IF(C323="WR",LeagueInfo!$D$5*LeagueInfo!$F$2,IF(C323="TE",LeagueInfo!$D$6*LeagueInfo!$F$2)))</f>
        <v>12</v>
      </c>
    </row>
    <row r="324" spans="1:9" x14ac:dyDescent="0.25">
      <c r="A324">
        <f ca="1">RANK(E324,E$2:E$462)</f>
        <v>323</v>
      </c>
      <c r="B324" t="s">
        <v>888</v>
      </c>
      <c r="C324" t="s">
        <v>28</v>
      </c>
      <c r="D324">
        <f ca="1">INDEX(INDIRECT($C324&amp;"!P:P"),MATCH($B324,INDIRECT($C324&amp;"!B:B"),0))</f>
        <v>23.54</v>
      </c>
      <c r="E324" s="210">
        <f ca="1">D324-LARGE(D$2:D$385,RBCount+WRCount+TECount)</f>
        <v>-84.449999999999989</v>
      </c>
      <c r="F324" t="str">
        <f ca="1">IF(H324&lt;=I324,"Starter",IF(G324&gt;=LARGE(G:G,FlexOn*LeagueInfo!$F$2),"Starter","Bench"))</f>
        <v>Bench</v>
      </c>
      <c r="G324">
        <f ca="1">IF(H324&gt;I324,D324,0)</f>
        <v>23.54</v>
      </c>
      <c r="H324">
        <f ca="1">INDEX(INDIRECT(""&amp;C324&amp;"!A2:A489"),MATCH(B324,INDIRECT(""&amp;C324&amp;"!B2:B489"),0))</f>
        <v>108</v>
      </c>
      <c r="I324">
        <f>IF(C324="RB",LeagueInfo!$D$4*LeagueInfo!$F$2,IF(C324="WR",LeagueInfo!$D$5*LeagueInfo!$F$2,IF(C324="TE",LeagueInfo!$D$6*LeagueInfo!$F$2)))</f>
        <v>24</v>
      </c>
    </row>
    <row r="325" spans="1:9" x14ac:dyDescent="0.25">
      <c r="A325">
        <f ca="1">RANK(E325,E$2:E$462)</f>
        <v>324</v>
      </c>
      <c r="B325" t="s">
        <v>435</v>
      </c>
      <c r="C325" t="s">
        <v>43</v>
      </c>
      <c r="D325">
        <f ca="1">INDEX(INDIRECT($C325&amp;"!P:P"),MATCH($B325,INDIRECT($C325&amp;"!B:B"),0))</f>
        <v>23.509999999999998</v>
      </c>
      <c r="E325" s="210">
        <f ca="1">D325-LARGE(D$2:D$385,RBCount+WRCount+TECount)</f>
        <v>-84.47999999999999</v>
      </c>
      <c r="F325" t="str">
        <f ca="1">IF(H325&lt;=I325,"Starter",IF(G325&gt;=LARGE(G:G,FlexOn*LeagueInfo!$F$2),"Starter","Bench"))</f>
        <v>Bench</v>
      </c>
      <c r="G325">
        <f ca="1">IF(H325&gt;I325,D325,0)</f>
        <v>23.509999999999998</v>
      </c>
      <c r="H325">
        <f ca="1">INDEX(INDIRECT(""&amp;C325&amp;"!A2:A489"),MATCH(B325,INDIRECT(""&amp;C325&amp;"!B2:B489"),0))</f>
        <v>71</v>
      </c>
      <c r="I325">
        <f>IF(C325="RB",LeagueInfo!$D$4*LeagueInfo!$F$2,IF(C325="WR",LeagueInfo!$D$5*LeagueInfo!$F$2,IF(C325="TE",LeagueInfo!$D$6*LeagueInfo!$F$2)))</f>
        <v>12</v>
      </c>
    </row>
    <row r="326" spans="1:9" x14ac:dyDescent="0.25">
      <c r="A326">
        <f ca="1">RANK(E326,E$2:E$462)</f>
        <v>325</v>
      </c>
      <c r="B326" t="s">
        <v>2436</v>
      </c>
      <c r="C326" t="s">
        <v>35</v>
      </c>
      <c r="D326">
        <f ca="1">INDEX(INDIRECT($C326&amp;"!P:P"),MATCH($B326,INDIRECT($C326&amp;"!B:B"),0))</f>
        <v>23.480000000000004</v>
      </c>
      <c r="E326" s="210">
        <f ca="1">D326-LARGE(D$2:D$385,RBCount+WRCount+TECount)</f>
        <v>-84.509999999999991</v>
      </c>
      <c r="F326" t="str">
        <f ca="1">IF(H326&lt;=I326,"Starter",IF(G326&gt;=LARGE(G:G,FlexOn*LeagueInfo!$F$2),"Starter","Bench"))</f>
        <v>Bench</v>
      </c>
      <c r="G326">
        <f ca="1">IF(H326&gt;I326,D326,0)</f>
        <v>23.480000000000004</v>
      </c>
      <c r="H326">
        <f ca="1">INDEX(INDIRECT(""&amp;C326&amp;"!A2:A489"),MATCH(B326,INDIRECT(""&amp;C326&amp;"!B2:B489"),0))</f>
        <v>146</v>
      </c>
      <c r="I326">
        <f>IF(C326="RB",LeagueInfo!$D$4*LeagueInfo!$F$2,IF(C326="WR",LeagueInfo!$D$5*LeagueInfo!$F$2,IF(C326="TE",LeagueInfo!$D$6*LeagueInfo!$F$2)))</f>
        <v>24</v>
      </c>
    </row>
    <row r="327" spans="1:9" x14ac:dyDescent="0.25">
      <c r="A327">
        <f ca="1">RANK(E327,E$2:E$462)</f>
        <v>326</v>
      </c>
      <c r="B327" t="s">
        <v>2493</v>
      </c>
      <c r="C327" t="s">
        <v>43</v>
      </c>
      <c r="D327">
        <f ca="1">INDEX(INDIRECT($C327&amp;"!P:P"),MATCH($B327,INDIRECT($C327&amp;"!B:B"),0))</f>
        <v>23.44</v>
      </c>
      <c r="E327" s="210">
        <f ca="1">D327-LARGE(D$2:D$385,RBCount+WRCount+TECount)</f>
        <v>-84.55</v>
      </c>
      <c r="F327" t="str">
        <f ca="1">IF(H327&lt;=I327,"Starter",IF(G327&gt;=LARGE(G:G,FlexOn*LeagueInfo!$F$2),"Starter","Bench"))</f>
        <v>Bench</v>
      </c>
      <c r="G327">
        <f ca="1">IF(H327&gt;I327,D327,0)</f>
        <v>23.44</v>
      </c>
      <c r="H327">
        <f ca="1">INDEX(INDIRECT(""&amp;C327&amp;"!A2:A489"),MATCH(B327,INDIRECT(""&amp;C327&amp;"!B2:B489"),0))</f>
        <v>72</v>
      </c>
      <c r="I327">
        <f>IF(C327="RB",LeagueInfo!$D$4*LeagueInfo!$F$2,IF(C327="WR",LeagueInfo!$D$5*LeagueInfo!$F$2,IF(C327="TE",LeagueInfo!$D$6*LeagueInfo!$F$2)))</f>
        <v>12</v>
      </c>
    </row>
    <row r="328" spans="1:9" x14ac:dyDescent="0.25">
      <c r="A328">
        <f ca="1">RANK(E328,E$2:E$462)</f>
        <v>327</v>
      </c>
      <c r="B328" t="s">
        <v>2675</v>
      </c>
      <c r="C328" t="s">
        <v>35</v>
      </c>
      <c r="D328">
        <f ca="1">INDEX(INDIRECT($C328&amp;"!P:P"),MATCH($B328,INDIRECT($C328&amp;"!B:B"),0))</f>
        <v>23.009999999999998</v>
      </c>
      <c r="E328" s="210">
        <f ca="1">D328-LARGE(D$2:D$385,RBCount+WRCount+TECount)</f>
        <v>-84.97999999999999</v>
      </c>
      <c r="F328" t="str">
        <f ca="1">IF(H328&lt;=I328,"Starter",IF(G328&gt;=LARGE(G:G,FlexOn*LeagueInfo!$F$2),"Starter","Bench"))</f>
        <v>Bench</v>
      </c>
      <c r="G328">
        <f ca="1">IF(H328&gt;I328,D328,0)</f>
        <v>23.009999999999998</v>
      </c>
      <c r="H328">
        <f ca="1">INDEX(INDIRECT(""&amp;C328&amp;"!A2:A489"),MATCH(B328,INDIRECT(""&amp;C328&amp;"!B2:B489"),0))</f>
        <v>147</v>
      </c>
      <c r="I328">
        <f>IF(C328="RB",LeagueInfo!$D$4*LeagueInfo!$F$2,IF(C328="WR",LeagueInfo!$D$5*LeagueInfo!$F$2,IF(C328="TE",LeagueInfo!$D$6*LeagueInfo!$F$2)))</f>
        <v>24</v>
      </c>
    </row>
    <row r="329" spans="1:9" x14ac:dyDescent="0.25">
      <c r="A329">
        <f ca="1">RANK(E329,E$2:E$462)</f>
        <v>328</v>
      </c>
      <c r="B329" t="s">
        <v>2481</v>
      </c>
      <c r="C329" t="s">
        <v>43</v>
      </c>
      <c r="D329">
        <f ca="1">INDEX(INDIRECT($C329&amp;"!P:P"),MATCH($B329,INDIRECT($C329&amp;"!B:B"),0))</f>
        <v>22.980000000000004</v>
      </c>
      <c r="E329" s="210">
        <f ca="1">D329-LARGE(D$2:D$385,RBCount+WRCount+TECount)</f>
        <v>-85.009999999999991</v>
      </c>
      <c r="F329" t="str">
        <f ca="1">IF(H329&lt;=I329,"Starter",IF(G329&gt;=LARGE(G:G,FlexOn*LeagueInfo!$F$2),"Starter","Bench"))</f>
        <v>Bench</v>
      </c>
      <c r="G329">
        <f ca="1">IF(H329&gt;I329,D329,0)</f>
        <v>22.980000000000004</v>
      </c>
      <c r="H329">
        <f ca="1">INDEX(INDIRECT(""&amp;C329&amp;"!A2:A489"),MATCH(B329,INDIRECT(""&amp;C329&amp;"!B2:B489"),0))</f>
        <v>73</v>
      </c>
      <c r="I329">
        <f>IF(C329="RB",LeagueInfo!$D$4*LeagueInfo!$F$2,IF(C329="WR",LeagueInfo!$D$5*LeagueInfo!$F$2,IF(C329="TE",LeagueInfo!$D$6*LeagueInfo!$F$2)))</f>
        <v>12</v>
      </c>
    </row>
    <row r="330" spans="1:9" x14ac:dyDescent="0.25">
      <c r="A330">
        <f ca="1">RANK(E330,E$2:E$462)</f>
        <v>329</v>
      </c>
      <c r="B330" t="s">
        <v>2431</v>
      </c>
      <c r="C330" t="s">
        <v>35</v>
      </c>
      <c r="D330">
        <f ca="1">INDEX(INDIRECT($C330&amp;"!P:P"),MATCH($B330,INDIRECT($C330&amp;"!B:B"),0))</f>
        <v>22.91</v>
      </c>
      <c r="E330" s="210">
        <f ca="1">D330-LARGE(D$2:D$385,RBCount+WRCount+TECount)</f>
        <v>-85.08</v>
      </c>
      <c r="F330" t="str">
        <f ca="1">IF(H330&lt;=I330,"Starter",IF(G330&gt;=LARGE(G:G,FlexOn*LeagueInfo!$F$2),"Starter","Bench"))</f>
        <v>Bench</v>
      </c>
      <c r="G330">
        <f ca="1">IF(H330&gt;I330,D330,0)</f>
        <v>22.91</v>
      </c>
      <c r="H330">
        <f ca="1">INDEX(INDIRECT(""&amp;C330&amp;"!A2:A489"),MATCH(B330,INDIRECT(""&amp;C330&amp;"!B2:B489"),0))</f>
        <v>148</v>
      </c>
      <c r="I330">
        <f>IF(C330="RB",LeagueInfo!$D$4*LeagueInfo!$F$2,IF(C330="WR",LeagueInfo!$D$5*LeagueInfo!$F$2,IF(C330="TE",LeagueInfo!$D$6*LeagueInfo!$F$2)))</f>
        <v>24</v>
      </c>
    </row>
    <row r="331" spans="1:9" x14ac:dyDescent="0.25">
      <c r="A331">
        <f ca="1">RANK(E331,E$2:E$462)</f>
        <v>329</v>
      </c>
      <c r="B331" t="s">
        <v>869</v>
      </c>
      <c r="C331" t="s">
        <v>35</v>
      </c>
      <c r="D331">
        <f ca="1">INDEX(INDIRECT($C331&amp;"!P:P"),MATCH($B331,INDIRECT($C331&amp;"!B:B"),0))</f>
        <v>22.91</v>
      </c>
      <c r="E331" s="210">
        <f ca="1">D331-LARGE(D$2:D$385,RBCount+WRCount+TECount)</f>
        <v>-85.08</v>
      </c>
      <c r="F331" t="str">
        <f ca="1">IF(H331&lt;=I331,"Starter",IF(G331&gt;=LARGE(G:G,FlexOn*LeagueInfo!$F$2),"Starter","Bench"))</f>
        <v>Bench</v>
      </c>
      <c r="G331">
        <f ca="1">IF(H331&gt;I331,D331,0)</f>
        <v>22.91</v>
      </c>
      <c r="H331">
        <f ca="1">INDEX(INDIRECT(""&amp;C331&amp;"!A2:A489"),MATCH(B331,INDIRECT(""&amp;C331&amp;"!B2:B489"),0))</f>
        <v>148</v>
      </c>
      <c r="I331">
        <f>IF(C331="RB",LeagueInfo!$D$4*LeagueInfo!$F$2,IF(C331="WR",LeagueInfo!$D$5*LeagueInfo!$F$2,IF(C331="TE",LeagueInfo!$D$6*LeagueInfo!$F$2)))</f>
        <v>24</v>
      </c>
    </row>
    <row r="332" spans="1:9" x14ac:dyDescent="0.25">
      <c r="A332">
        <f ca="1">RANK(E332,E$2:E$462)</f>
        <v>331</v>
      </c>
      <c r="B332" t="s">
        <v>1030</v>
      </c>
      <c r="C332" t="s">
        <v>43</v>
      </c>
      <c r="D332">
        <f ca="1">INDEX(INDIRECT($C332&amp;"!P:P"),MATCH($B332,INDIRECT($C332&amp;"!B:B"),0))</f>
        <v>22.9</v>
      </c>
      <c r="E332" s="210">
        <f ca="1">D332-LARGE(D$2:D$385,RBCount+WRCount+TECount)</f>
        <v>-85.09</v>
      </c>
      <c r="F332" t="str">
        <f ca="1">IF(H332&lt;=I332,"Starter",IF(G332&gt;=LARGE(G:G,FlexOn*LeagueInfo!$F$2),"Starter","Bench"))</f>
        <v>Bench</v>
      </c>
      <c r="G332">
        <f ca="1">IF(H332&gt;I332,D332,0)</f>
        <v>22.9</v>
      </c>
      <c r="H332">
        <f ca="1">INDEX(INDIRECT(""&amp;C332&amp;"!A2:A489"),MATCH(B332,INDIRECT(""&amp;C332&amp;"!B2:B489"),0))</f>
        <v>74</v>
      </c>
      <c r="I332">
        <f>IF(C332="RB",LeagueInfo!$D$4*LeagueInfo!$F$2,IF(C332="WR",LeagueInfo!$D$5*LeagueInfo!$F$2,IF(C332="TE",LeagueInfo!$D$6*LeagueInfo!$F$2)))</f>
        <v>12</v>
      </c>
    </row>
    <row r="333" spans="1:9" x14ac:dyDescent="0.25">
      <c r="A333">
        <f ca="1">RANK(E333,E$2:E$462)</f>
        <v>332</v>
      </c>
      <c r="B333" t="s">
        <v>937</v>
      </c>
      <c r="C333" t="s">
        <v>28</v>
      </c>
      <c r="D333">
        <f ca="1">INDEX(INDIRECT($C333&amp;"!P:P"),MATCH($B333,INDIRECT($C333&amp;"!B:B"),0))</f>
        <v>22.720000000000006</v>
      </c>
      <c r="E333" s="210">
        <f ca="1">D333-LARGE(D$2:D$385,RBCount+WRCount+TECount)</f>
        <v>-85.269999999999982</v>
      </c>
      <c r="F333" t="str">
        <f ca="1">IF(H333&lt;=I333,"Starter",IF(G333&gt;=LARGE(G:G,FlexOn*LeagueInfo!$F$2),"Starter","Bench"))</f>
        <v>Bench</v>
      </c>
      <c r="G333">
        <f ca="1">IF(H333&gt;I333,D333,0)</f>
        <v>22.720000000000006</v>
      </c>
      <c r="H333">
        <f ca="1">INDEX(INDIRECT(""&amp;C333&amp;"!A2:A489"),MATCH(B333,INDIRECT(""&amp;C333&amp;"!B2:B489"),0))</f>
        <v>109</v>
      </c>
      <c r="I333">
        <f>IF(C333="RB",LeagueInfo!$D$4*LeagueInfo!$F$2,IF(C333="WR",LeagueInfo!$D$5*LeagueInfo!$F$2,IF(C333="TE",LeagueInfo!$D$6*LeagueInfo!$F$2)))</f>
        <v>24</v>
      </c>
    </row>
    <row r="334" spans="1:9" x14ac:dyDescent="0.25">
      <c r="A334">
        <f ca="1">RANK(E334,E$2:E$462)</f>
        <v>333</v>
      </c>
      <c r="B334" t="s">
        <v>756</v>
      </c>
      <c r="C334" t="s">
        <v>43</v>
      </c>
      <c r="D334">
        <f ca="1">INDEX(INDIRECT($C334&amp;"!P:P"),MATCH($B334,INDIRECT($C334&amp;"!B:B"),0))</f>
        <v>22.71</v>
      </c>
      <c r="E334" s="210">
        <f ca="1">D334-LARGE(D$2:D$385,RBCount+WRCount+TECount)</f>
        <v>-85.28</v>
      </c>
      <c r="F334" t="str">
        <f ca="1">IF(H334&lt;=I334,"Starter",IF(G334&gt;=LARGE(G:G,FlexOn*LeagueInfo!$F$2),"Starter","Bench"))</f>
        <v>Bench</v>
      </c>
      <c r="G334">
        <f ca="1">IF(H334&gt;I334,D334,0)</f>
        <v>22.71</v>
      </c>
      <c r="H334">
        <f ca="1">INDEX(INDIRECT(""&amp;C334&amp;"!A2:A489"),MATCH(B334,INDIRECT(""&amp;C334&amp;"!B2:B489"),0))</f>
        <v>75</v>
      </c>
      <c r="I334">
        <f>IF(C334="RB",LeagueInfo!$D$4*LeagueInfo!$F$2,IF(C334="WR",LeagueInfo!$D$5*LeagueInfo!$F$2,IF(C334="TE",LeagueInfo!$D$6*LeagueInfo!$F$2)))</f>
        <v>12</v>
      </c>
    </row>
    <row r="335" spans="1:9" x14ac:dyDescent="0.25">
      <c r="A335">
        <f ca="1">RANK(E335,E$2:E$462)</f>
        <v>334</v>
      </c>
      <c r="B335" t="s">
        <v>966</v>
      </c>
      <c r="C335" t="s">
        <v>35</v>
      </c>
      <c r="D335">
        <f ca="1">INDEX(INDIRECT($C335&amp;"!P:P"),MATCH($B335,INDIRECT($C335&amp;"!B:B"),0))</f>
        <v>22.680000000000003</v>
      </c>
      <c r="E335" s="210">
        <f ca="1">D335-LARGE(D$2:D$385,RBCount+WRCount+TECount)</f>
        <v>-85.309999999999988</v>
      </c>
      <c r="F335" t="str">
        <f ca="1">IF(H335&lt;=I335,"Starter",IF(G335&gt;=LARGE(G:G,FlexOn*LeagueInfo!$F$2),"Starter","Bench"))</f>
        <v>Bench</v>
      </c>
      <c r="G335">
        <f ca="1">IF(H335&gt;I335,D335,0)</f>
        <v>22.680000000000003</v>
      </c>
      <c r="H335">
        <f ca="1">INDEX(INDIRECT(""&amp;C335&amp;"!A2:A489"),MATCH(B335,INDIRECT(""&amp;C335&amp;"!B2:B489"),0))</f>
        <v>150</v>
      </c>
      <c r="I335">
        <f>IF(C335="RB",LeagueInfo!$D$4*LeagueInfo!$F$2,IF(C335="WR",LeagueInfo!$D$5*LeagueInfo!$F$2,IF(C335="TE",LeagueInfo!$D$6*LeagueInfo!$F$2)))</f>
        <v>24</v>
      </c>
    </row>
    <row r="336" spans="1:9" x14ac:dyDescent="0.25">
      <c r="A336">
        <f ca="1">RANK(E336,E$2:E$462)</f>
        <v>334</v>
      </c>
      <c r="B336" t="s">
        <v>735</v>
      </c>
      <c r="C336" t="s">
        <v>35</v>
      </c>
      <c r="D336">
        <f ca="1">INDEX(INDIRECT($C336&amp;"!P:P"),MATCH($B336,INDIRECT($C336&amp;"!B:B"),0))</f>
        <v>22.680000000000003</v>
      </c>
      <c r="E336" s="210">
        <f ca="1">D336-LARGE(D$2:D$385,RBCount+WRCount+TECount)</f>
        <v>-85.309999999999988</v>
      </c>
      <c r="F336" t="str">
        <f ca="1">IF(H336&lt;=I336,"Starter",IF(G336&gt;=LARGE(G:G,FlexOn*LeagueInfo!$F$2),"Starter","Bench"))</f>
        <v>Bench</v>
      </c>
      <c r="G336">
        <f ca="1">IF(H336&gt;I336,D336,0)</f>
        <v>22.680000000000003</v>
      </c>
      <c r="H336">
        <f ca="1">INDEX(INDIRECT(""&amp;C336&amp;"!A2:A489"),MATCH(B336,INDIRECT(""&amp;C336&amp;"!B2:B489"),0))</f>
        <v>150</v>
      </c>
      <c r="I336">
        <f>IF(C336="RB",LeagueInfo!$D$4*LeagueInfo!$F$2,IF(C336="WR",LeagueInfo!$D$5*LeagueInfo!$F$2,IF(C336="TE",LeagueInfo!$D$6*LeagueInfo!$F$2)))</f>
        <v>24</v>
      </c>
    </row>
    <row r="337" spans="1:9" x14ac:dyDescent="0.25">
      <c r="A337">
        <f ca="1">RANK(E337,E$2:E$462)</f>
        <v>336</v>
      </c>
      <c r="B337" t="s">
        <v>432</v>
      </c>
      <c r="C337" t="s">
        <v>43</v>
      </c>
      <c r="D337">
        <f ca="1">INDEX(INDIRECT($C337&amp;"!P:P"),MATCH($B337,INDIRECT($C337&amp;"!B:B"),0))</f>
        <v>22.610000000000003</v>
      </c>
      <c r="E337" s="210">
        <f ca="1">D337-LARGE(D$2:D$385,RBCount+WRCount+TECount)</f>
        <v>-85.38</v>
      </c>
      <c r="F337" t="str">
        <f ca="1">IF(H337&lt;=I337,"Starter",IF(G337&gt;=LARGE(G:G,FlexOn*LeagueInfo!$F$2),"Starter","Bench"))</f>
        <v>Bench</v>
      </c>
      <c r="G337">
        <f ca="1">IF(H337&gt;I337,D337,0)</f>
        <v>22.610000000000003</v>
      </c>
      <c r="H337">
        <f ca="1">INDEX(INDIRECT(""&amp;C337&amp;"!A2:A489"),MATCH(B337,INDIRECT(""&amp;C337&amp;"!B2:B489"),0))</f>
        <v>76</v>
      </c>
      <c r="I337">
        <f>IF(C337="RB",LeagueInfo!$D$4*LeagueInfo!$F$2,IF(C337="WR",LeagueInfo!$D$5*LeagueInfo!$F$2,IF(C337="TE",LeagueInfo!$D$6*LeagueInfo!$F$2)))</f>
        <v>12</v>
      </c>
    </row>
    <row r="338" spans="1:9" x14ac:dyDescent="0.25">
      <c r="A338">
        <f ca="1">RANK(E338,E$2:E$462)</f>
        <v>336</v>
      </c>
      <c r="B338" t="s">
        <v>754</v>
      </c>
      <c r="C338" t="s">
        <v>43</v>
      </c>
      <c r="D338">
        <f ca="1">INDEX(INDIRECT($C338&amp;"!P:P"),MATCH($B338,INDIRECT($C338&amp;"!B:B"),0))</f>
        <v>22.61</v>
      </c>
      <c r="E338" s="210">
        <f ca="1">D338-LARGE(D$2:D$385,RBCount+WRCount+TECount)</f>
        <v>-85.38</v>
      </c>
      <c r="F338" t="str">
        <f ca="1">IF(H338&lt;=I338,"Starter",IF(G338&gt;=LARGE(G:G,FlexOn*LeagueInfo!$F$2),"Starter","Bench"))</f>
        <v>Bench</v>
      </c>
      <c r="G338">
        <f ca="1">IF(H338&gt;I338,D338,0)</f>
        <v>22.61</v>
      </c>
      <c r="H338">
        <f ca="1">INDEX(INDIRECT(""&amp;C338&amp;"!A2:A489"),MATCH(B338,INDIRECT(""&amp;C338&amp;"!B2:B489"),0))</f>
        <v>77</v>
      </c>
      <c r="I338">
        <f>IF(C338="RB",LeagueInfo!$D$4*LeagueInfo!$F$2,IF(C338="WR",LeagueInfo!$D$5*LeagueInfo!$F$2,IF(C338="TE",LeagueInfo!$D$6*LeagueInfo!$F$2)))</f>
        <v>12</v>
      </c>
    </row>
    <row r="339" spans="1:9" x14ac:dyDescent="0.25">
      <c r="A339">
        <f ca="1">RANK(E339,E$2:E$462)</f>
        <v>338</v>
      </c>
      <c r="B339" t="s">
        <v>425</v>
      </c>
      <c r="C339" t="s">
        <v>43</v>
      </c>
      <c r="D339">
        <f ca="1">INDEX(INDIRECT($C339&amp;"!P:P"),MATCH($B339,INDIRECT($C339&amp;"!B:B"),0))</f>
        <v>22.560000000000002</v>
      </c>
      <c r="E339" s="210">
        <f ca="1">D339-LARGE(D$2:D$385,RBCount+WRCount+TECount)</f>
        <v>-85.429999999999993</v>
      </c>
      <c r="F339" t="str">
        <f ca="1">IF(H339&lt;=I339,"Starter",IF(G339&gt;=LARGE(G:G,FlexOn*LeagueInfo!$F$2),"Starter","Bench"))</f>
        <v>Bench</v>
      </c>
      <c r="G339">
        <f ca="1">IF(H339&gt;I339,D339,0)</f>
        <v>22.560000000000002</v>
      </c>
      <c r="H339">
        <f ca="1">INDEX(INDIRECT(""&amp;C339&amp;"!A2:A489"),MATCH(B339,INDIRECT(""&amp;C339&amp;"!B2:B489"),0))</f>
        <v>78</v>
      </c>
      <c r="I339">
        <f>IF(C339="RB",LeagueInfo!$D$4*LeagueInfo!$F$2,IF(C339="WR",LeagueInfo!$D$5*LeagueInfo!$F$2,IF(C339="TE",LeagueInfo!$D$6*LeagueInfo!$F$2)))</f>
        <v>12</v>
      </c>
    </row>
    <row r="340" spans="1:9" x14ac:dyDescent="0.25">
      <c r="A340">
        <f ca="1">RANK(E340,E$2:E$462)</f>
        <v>339</v>
      </c>
      <c r="B340" t="s">
        <v>2458</v>
      </c>
      <c r="C340" t="s">
        <v>35</v>
      </c>
      <c r="D340">
        <f ca="1">INDEX(INDIRECT($C340&amp;"!P:P"),MATCH($B340,INDIRECT($C340&amp;"!B:B"),0))</f>
        <v>22.51</v>
      </c>
      <c r="E340" s="210">
        <f ca="1">D340-LARGE(D$2:D$385,RBCount+WRCount+TECount)</f>
        <v>-85.47999999999999</v>
      </c>
      <c r="F340" t="str">
        <f ca="1">IF(H340&lt;=I340,"Starter",IF(G340&gt;=LARGE(G:G,FlexOn*LeagueInfo!$F$2),"Starter","Bench"))</f>
        <v>Bench</v>
      </c>
      <c r="G340">
        <f ca="1">IF(H340&gt;I340,D340,0)</f>
        <v>22.51</v>
      </c>
      <c r="H340">
        <f ca="1">INDEX(INDIRECT(""&amp;C340&amp;"!A2:A489"),MATCH(B340,INDIRECT(""&amp;C340&amp;"!B2:B489"),0))</f>
        <v>152</v>
      </c>
      <c r="I340">
        <f>IF(C340="RB",LeagueInfo!$D$4*LeagueInfo!$F$2,IF(C340="WR",LeagueInfo!$D$5*LeagueInfo!$F$2,IF(C340="TE",LeagueInfo!$D$6*LeagueInfo!$F$2)))</f>
        <v>24</v>
      </c>
    </row>
    <row r="341" spans="1:9" x14ac:dyDescent="0.25">
      <c r="A341">
        <f ca="1">RANK(E341,E$2:E$462)</f>
        <v>340</v>
      </c>
      <c r="B341" t="s">
        <v>1028</v>
      </c>
      <c r="C341" t="s">
        <v>35</v>
      </c>
      <c r="D341">
        <f ca="1">INDEX(INDIRECT($C341&amp;"!P:P"),MATCH($B341,INDIRECT($C341&amp;"!B:B"),0))</f>
        <v>22.39</v>
      </c>
      <c r="E341" s="210">
        <f ca="1">D341-LARGE(D$2:D$385,RBCount+WRCount+TECount)</f>
        <v>-85.6</v>
      </c>
      <c r="F341" t="str">
        <f ca="1">IF(H341&lt;=I341,"Starter",IF(G341&gt;=LARGE(G:G,FlexOn*LeagueInfo!$F$2),"Starter","Bench"))</f>
        <v>Bench</v>
      </c>
      <c r="G341">
        <f ca="1">IF(H341&gt;I341,D341,0)</f>
        <v>22.39</v>
      </c>
      <c r="H341">
        <f ca="1">INDEX(INDIRECT(""&amp;C341&amp;"!A2:A489"),MATCH(B341,INDIRECT(""&amp;C341&amp;"!B2:B489"),0))</f>
        <v>153</v>
      </c>
      <c r="I341">
        <f>IF(C341="RB",LeagueInfo!$D$4*LeagueInfo!$F$2,IF(C341="WR",LeagueInfo!$D$5*LeagueInfo!$F$2,IF(C341="TE",LeagueInfo!$D$6*LeagueInfo!$F$2)))</f>
        <v>24</v>
      </c>
    </row>
    <row r="342" spans="1:9" x14ac:dyDescent="0.25">
      <c r="A342">
        <f ca="1">RANK(E342,E$2:E$462)</f>
        <v>341</v>
      </c>
      <c r="B342" t="s">
        <v>998</v>
      </c>
      <c r="C342" t="s">
        <v>35</v>
      </c>
      <c r="D342">
        <f ca="1">INDEX(INDIRECT($C342&amp;"!P:P"),MATCH($B342,INDIRECT($C342&amp;"!B:B"),0))</f>
        <v>21.62</v>
      </c>
      <c r="E342" s="210">
        <f ca="1">D342-LARGE(D$2:D$385,RBCount+WRCount+TECount)</f>
        <v>-86.36999999999999</v>
      </c>
      <c r="F342" t="str">
        <f ca="1">IF(H342&lt;=I342,"Starter",IF(G342&gt;=LARGE(G:G,FlexOn*LeagueInfo!$F$2),"Starter","Bench"))</f>
        <v>Bench</v>
      </c>
      <c r="G342">
        <f ca="1">IF(H342&gt;I342,D342,0)</f>
        <v>21.62</v>
      </c>
      <c r="H342">
        <f ca="1">INDEX(INDIRECT(""&amp;C342&amp;"!A2:A489"),MATCH(B342,INDIRECT(""&amp;C342&amp;"!B2:B489"),0))</f>
        <v>154</v>
      </c>
      <c r="I342">
        <f>IF(C342="RB",LeagueInfo!$D$4*LeagueInfo!$F$2,IF(C342="WR",LeagueInfo!$D$5*LeagueInfo!$F$2,IF(C342="TE",LeagueInfo!$D$6*LeagueInfo!$F$2)))</f>
        <v>24</v>
      </c>
    </row>
    <row r="343" spans="1:9" x14ac:dyDescent="0.25">
      <c r="A343">
        <f ca="1">RANK(E343,E$2:E$462)</f>
        <v>342</v>
      </c>
      <c r="B343" t="s">
        <v>2497</v>
      </c>
      <c r="C343" t="s">
        <v>43</v>
      </c>
      <c r="D343">
        <f ca="1">INDEX(INDIRECT($C343&amp;"!P:P"),MATCH($B343,INDIRECT($C343&amp;"!B:B"),0))</f>
        <v>21.6</v>
      </c>
      <c r="E343" s="210">
        <f ca="1">D343-LARGE(D$2:D$385,RBCount+WRCount+TECount)</f>
        <v>-86.389999999999986</v>
      </c>
      <c r="F343" t="str">
        <f ca="1">IF(H343&lt;=I343,"Starter",IF(G343&gt;=LARGE(G:G,FlexOn*LeagueInfo!$F$2),"Starter","Bench"))</f>
        <v>Bench</v>
      </c>
      <c r="G343">
        <f ca="1">IF(H343&gt;I343,D343,0)</f>
        <v>21.6</v>
      </c>
      <c r="H343">
        <f ca="1">INDEX(INDIRECT(""&amp;C343&amp;"!A2:A489"),MATCH(B343,INDIRECT(""&amp;C343&amp;"!B2:B489"),0))</f>
        <v>79</v>
      </c>
      <c r="I343">
        <f>IF(C343="RB",LeagueInfo!$D$4*LeagueInfo!$F$2,IF(C343="WR",LeagueInfo!$D$5*LeagueInfo!$F$2,IF(C343="TE",LeagueInfo!$D$6*LeagueInfo!$F$2)))</f>
        <v>12</v>
      </c>
    </row>
    <row r="344" spans="1:9" x14ac:dyDescent="0.25">
      <c r="A344">
        <f ca="1">RANK(E344,E$2:E$462)</f>
        <v>343</v>
      </c>
      <c r="B344" t="s">
        <v>968</v>
      </c>
      <c r="C344" t="s">
        <v>35</v>
      </c>
      <c r="D344">
        <f ca="1">INDEX(INDIRECT($C344&amp;"!P:P"),MATCH($B344,INDIRECT($C344&amp;"!B:B"),0))</f>
        <v>21.470000000000002</v>
      </c>
      <c r="E344" s="210">
        <f ca="1">D344-LARGE(D$2:D$385,RBCount+WRCount+TECount)</f>
        <v>-86.52</v>
      </c>
      <c r="F344" t="str">
        <f ca="1">IF(H344&lt;=I344,"Starter",IF(G344&gt;=LARGE(G:G,FlexOn*LeagueInfo!$F$2),"Starter","Bench"))</f>
        <v>Bench</v>
      </c>
      <c r="G344">
        <f ca="1">IF(H344&gt;I344,D344,0)</f>
        <v>21.470000000000002</v>
      </c>
      <c r="H344">
        <f ca="1">INDEX(INDIRECT(""&amp;C344&amp;"!A2:A489"),MATCH(B344,INDIRECT(""&amp;C344&amp;"!B2:B489"),0))</f>
        <v>155</v>
      </c>
      <c r="I344">
        <f>IF(C344="RB",LeagueInfo!$D$4*LeagueInfo!$F$2,IF(C344="WR",LeagueInfo!$D$5*LeagueInfo!$F$2,IF(C344="TE",LeagueInfo!$D$6*LeagueInfo!$F$2)))</f>
        <v>24</v>
      </c>
    </row>
    <row r="345" spans="1:9" x14ac:dyDescent="0.25">
      <c r="A345">
        <f ca="1">RANK(E345,E$2:E$462)</f>
        <v>343</v>
      </c>
      <c r="B345" t="s">
        <v>2482</v>
      </c>
      <c r="C345" t="s">
        <v>43</v>
      </c>
      <c r="D345">
        <f ca="1">INDEX(INDIRECT($C345&amp;"!P:P"),MATCH($B345,INDIRECT($C345&amp;"!B:B"),0))</f>
        <v>21.470000000000002</v>
      </c>
      <c r="E345" s="210">
        <f ca="1">D345-LARGE(D$2:D$385,RBCount+WRCount+TECount)</f>
        <v>-86.52</v>
      </c>
      <c r="F345" t="str">
        <f ca="1">IF(H345&lt;=I345,"Starter",IF(G345&gt;=LARGE(G:G,FlexOn*LeagueInfo!$F$2),"Starter","Bench"))</f>
        <v>Bench</v>
      </c>
      <c r="G345">
        <f ca="1">IF(H345&gt;I345,D345,0)</f>
        <v>21.470000000000002</v>
      </c>
      <c r="H345">
        <f ca="1">INDEX(INDIRECT(""&amp;C345&amp;"!A2:A489"),MATCH(B345,INDIRECT(""&amp;C345&amp;"!B2:B489"),0))</f>
        <v>80</v>
      </c>
      <c r="I345">
        <f>IF(C345="RB",LeagueInfo!$D$4*LeagueInfo!$F$2,IF(C345="WR",LeagueInfo!$D$5*LeagueInfo!$F$2,IF(C345="TE",LeagueInfo!$D$6*LeagueInfo!$F$2)))</f>
        <v>12</v>
      </c>
    </row>
    <row r="346" spans="1:9" x14ac:dyDescent="0.25">
      <c r="A346">
        <f ca="1">RANK(E346,E$2:E$462)</f>
        <v>345</v>
      </c>
      <c r="B346" t="s">
        <v>2433</v>
      </c>
      <c r="C346" t="s">
        <v>35</v>
      </c>
      <c r="D346">
        <f ca="1">INDEX(INDIRECT($C346&amp;"!P:P"),MATCH($B346,INDIRECT($C346&amp;"!B:B"),0))</f>
        <v>21.3</v>
      </c>
      <c r="E346" s="210">
        <f ca="1">D346-LARGE(D$2:D$385,RBCount+WRCount+TECount)</f>
        <v>-86.69</v>
      </c>
      <c r="F346" t="str">
        <f ca="1">IF(H346&lt;=I346,"Starter",IF(G346&gt;=LARGE(G:G,FlexOn*LeagueInfo!$F$2),"Starter","Bench"))</f>
        <v>Bench</v>
      </c>
      <c r="G346">
        <f ca="1">IF(H346&gt;I346,D346,0)</f>
        <v>21.3</v>
      </c>
      <c r="H346">
        <f ca="1">INDEX(INDIRECT(""&amp;C346&amp;"!A2:A489"),MATCH(B346,INDIRECT(""&amp;C346&amp;"!B2:B489"),0))</f>
        <v>156</v>
      </c>
      <c r="I346">
        <f>IF(C346="RB",LeagueInfo!$D$4*LeagueInfo!$F$2,IF(C346="WR",LeagueInfo!$D$5*LeagueInfo!$F$2,IF(C346="TE",LeagueInfo!$D$6*LeagueInfo!$F$2)))</f>
        <v>24</v>
      </c>
    </row>
    <row r="347" spans="1:9" x14ac:dyDescent="0.25">
      <c r="A347">
        <f ca="1">RANK(E347,E$2:E$462)</f>
        <v>345</v>
      </c>
      <c r="B347" t="s">
        <v>978</v>
      </c>
      <c r="C347" t="s">
        <v>43</v>
      </c>
      <c r="D347">
        <f ca="1">INDEX(INDIRECT($C347&amp;"!P:P"),MATCH($B347,INDIRECT($C347&amp;"!B:B"),0))</f>
        <v>21.3</v>
      </c>
      <c r="E347" s="210">
        <f ca="1">D347-LARGE(D$2:D$385,RBCount+WRCount+TECount)</f>
        <v>-86.69</v>
      </c>
      <c r="F347" t="str">
        <f ca="1">IF(H347&lt;=I347,"Starter",IF(G347&gt;=LARGE(G:G,FlexOn*LeagueInfo!$F$2),"Starter","Bench"))</f>
        <v>Bench</v>
      </c>
      <c r="G347">
        <f ca="1">IF(H347&gt;I347,D347,0)</f>
        <v>21.3</v>
      </c>
      <c r="H347">
        <f ca="1">INDEX(INDIRECT(""&amp;C347&amp;"!A2:A489"),MATCH(B347,INDIRECT(""&amp;C347&amp;"!B2:B489"),0))</f>
        <v>81</v>
      </c>
      <c r="I347">
        <f>IF(C347="RB",LeagueInfo!$D$4*LeagueInfo!$F$2,IF(C347="WR",LeagueInfo!$D$5*LeagueInfo!$F$2,IF(C347="TE",LeagueInfo!$D$6*LeagueInfo!$F$2)))</f>
        <v>12</v>
      </c>
    </row>
    <row r="348" spans="1:9" x14ac:dyDescent="0.25">
      <c r="A348">
        <f ca="1">RANK(E348,E$2:E$462)</f>
        <v>347</v>
      </c>
      <c r="B348" t="s">
        <v>2484</v>
      </c>
      <c r="C348" t="s">
        <v>43</v>
      </c>
      <c r="D348">
        <f ca="1">INDEX(INDIRECT($C348&amp;"!P:P"),MATCH($B348,INDIRECT($C348&amp;"!B:B"),0))</f>
        <v>21.150000000000002</v>
      </c>
      <c r="E348" s="210">
        <f ca="1">D348-LARGE(D$2:D$385,RBCount+WRCount+TECount)</f>
        <v>-86.839999999999989</v>
      </c>
      <c r="F348" t="str">
        <f ca="1">IF(H348&lt;=I348,"Starter",IF(G348&gt;=LARGE(G:G,FlexOn*LeagueInfo!$F$2),"Starter","Bench"))</f>
        <v>Bench</v>
      </c>
      <c r="G348">
        <f ca="1">IF(H348&gt;I348,D348,0)</f>
        <v>21.150000000000002</v>
      </c>
      <c r="H348">
        <f ca="1">INDEX(INDIRECT(""&amp;C348&amp;"!A2:A489"),MATCH(B348,INDIRECT(""&amp;C348&amp;"!B2:B489"),0))</f>
        <v>82</v>
      </c>
      <c r="I348">
        <f>IF(C348="RB",LeagueInfo!$D$4*LeagueInfo!$F$2,IF(C348="WR",LeagueInfo!$D$5*LeagueInfo!$F$2,IF(C348="TE",LeagueInfo!$D$6*LeagueInfo!$F$2)))</f>
        <v>12</v>
      </c>
    </row>
    <row r="349" spans="1:9" x14ac:dyDescent="0.25">
      <c r="A349">
        <f ca="1">RANK(E349,E$2:E$462)</f>
        <v>348</v>
      </c>
      <c r="B349" t="s">
        <v>2438</v>
      </c>
      <c r="C349" t="s">
        <v>35</v>
      </c>
      <c r="D349">
        <f ca="1">INDEX(INDIRECT($C349&amp;"!P:P"),MATCH($B349,INDIRECT($C349&amp;"!B:B"),0))</f>
        <v>21.09</v>
      </c>
      <c r="E349" s="210">
        <f ca="1">D349-LARGE(D$2:D$385,RBCount+WRCount+TECount)</f>
        <v>-86.899999999999991</v>
      </c>
      <c r="F349" t="str">
        <f ca="1">IF(H349&lt;=I349,"Starter",IF(G349&gt;=LARGE(G:G,FlexOn*LeagueInfo!$F$2),"Starter","Bench"))</f>
        <v>Bench</v>
      </c>
      <c r="G349">
        <f ca="1">IF(H349&gt;I349,D349,0)</f>
        <v>21.09</v>
      </c>
      <c r="H349">
        <f ca="1">INDEX(INDIRECT(""&amp;C349&amp;"!A2:A489"),MATCH(B349,INDIRECT(""&amp;C349&amp;"!B2:B489"),0))</f>
        <v>157</v>
      </c>
      <c r="I349">
        <f>IF(C349="RB",LeagueInfo!$D$4*LeagueInfo!$F$2,IF(C349="WR",LeagueInfo!$D$5*LeagueInfo!$F$2,IF(C349="TE",LeagueInfo!$D$6*LeagueInfo!$F$2)))</f>
        <v>24</v>
      </c>
    </row>
    <row r="350" spans="1:9" x14ac:dyDescent="0.25">
      <c r="A350">
        <f ca="1">RANK(E350,E$2:E$462)</f>
        <v>349</v>
      </c>
      <c r="B350" t="s">
        <v>2458</v>
      </c>
      <c r="C350" t="s">
        <v>28</v>
      </c>
      <c r="D350">
        <f ca="1">INDEX(INDIRECT($C350&amp;"!P:P"),MATCH($B350,INDIRECT($C350&amp;"!B:B"),0))</f>
        <v>20.94</v>
      </c>
      <c r="E350" s="210">
        <f ca="1">D350-LARGE(D$2:D$385,RBCount+WRCount+TECount)</f>
        <v>-87.05</v>
      </c>
      <c r="F350" t="str">
        <f ca="1">IF(H350&lt;=I350,"Starter",IF(G350&gt;=LARGE(G:G,FlexOn*LeagueInfo!$F$2),"Starter","Bench"))</f>
        <v>Bench</v>
      </c>
      <c r="G350">
        <f ca="1">IF(H350&gt;I350,D350,0)</f>
        <v>20.94</v>
      </c>
      <c r="H350">
        <f ca="1">INDEX(INDIRECT(""&amp;C350&amp;"!A2:A489"),MATCH(B350,INDIRECT(""&amp;C350&amp;"!B2:B489"),0))</f>
        <v>110</v>
      </c>
      <c r="I350">
        <f>IF(C350="RB",LeagueInfo!$D$4*LeagueInfo!$F$2,IF(C350="WR",LeagueInfo!$D$5*LeagueInfo!$F$2,IF(C350="TE",LeagueInfo!$D$6*LeagueInfo!$F$2)))</f>
        <v>24</v>
      </c>
    </row>
    <row r="351" spans="1:9" x14ac:dyDescent="0.25">
      <c r="A351">
        <f ca="1">RANK(E351,E$2:E$462)</f>
        <v>350</v>
      </c>
      <c r="B351" t="s">
        <v>737</v>
      </c>
      <c r="C351" t="s">
        <v>35</v>
      </c>
      <c r="D351">
        <f ca="1">INDEX(INDIRECT($C351&amp;"!P:P"),MATCH($B351,INDIRECT($C351&amp;"!B:B"),0))</f>
        <v>20.9</v>
      </c>
      <c r="E351" s="210">
        <f ca="1">D351-LARGE(D$2:D$385,RBCount+WRCount+TECount)</f>
        <v>-87.09</v>
      </c>
      <c r="F351" t="str">
        <f ca="1">IF(H351&lt;=I351,"Starter",IF(G351&gt;=LARGE(G:G,FlexOn*LeagueInfo!$F$2),"Starter","Bench"))</f>
        <v>Bench</v>
      </c>
      <c r="G351">
        <f ca="1">IF(H351&gt;I351,D351,0)</f>
        <v>20.9</v>
      </c>
      <c r="H351">
        <f ca="1">INDEX(INDIRECT(""&amp;C351&amp;"!A2:A489"),MATCH(B351,INDIRECT(""&amp;C351&amp;"!B2:B489"),0))</f>
        <v>158</v>
      </c>
      <c r="I351">
        <f>IF(C351="RB",LeagueInfo!$D$4*LeagueInfo!$F$2,IF(C351="WR",LeagueInfo!$D$5*LeagueInfo!$F$2,IF(C351="TE",LeagueInfo!$D$6*LeagueInfo!$F$2)))</f>
        <v>24</v>
      </c>
    </row>
    <row r="352" spans="1:9" x14ac:dyDescent="0.25">
      <c r="A352">
        <f ca="1">RANK(E352,E$2:E$462)</f>
        <v>351</v>
      </c>
      <c r="B352" t="s">
        <v>2461</v>
      </c>
      <c r="C352" t="s">
        <v>28</v>
      </c>
      <c r="D352">
        <f ca="1">INDEX(INDIRECT($C352&amp;"!P:P"),MATCH($B352,INDIRECT($C352&amp;"!B:B"),0))</f>
        <v>20.89</v>
      </c>
      <c r="E352" s="210">
        <f ca="1">D352-LARGE(D$2:D$385,RBCount+WRCount+TECount)</f>
        <v>-87.1</v>
      </c>
      <c r="F352" t="str">
        <f ca="1">IF(H352&lt;=I352,"Starter",IF(G352&gt;=LARGE(G:G,FlexOn*LeagueInfo!$F$2),"Starter","Bench"))</f>
        <v>Bench</v>
      </c>
      <c r="G352">
        <f ca="1">IF(H352&gt;I352,D352,0)</f>
        <v>20.89</v>
      </c>
      <c r="H352">
        <f ca="1">INDEX(INDIRECT(""&amp;C352&amp;"!A2:A489"),MATCH(B352,INDIRECT(""&amp;C352&amp;"!B2:B489"),0))</f>
        <v>111</v>
      </c>
      <c r="I352">
        <f>IF(C352="RB",LeagueInfo!$D$4*LeagueInfo!$F$2,IF(C352="WR",LeagueInfo!$D$5*LeagueInfo!$F$2,IF(C352="TE",LeagueInfo!$D$6*LeagueInfo!$F$2)))</f>
        <v>24</v>
      </c>
    </row>
    <row r="353" spans="1:9" x14ac:dyDescent="0.25">
      <c r="A353">
        <f ca="1">RANK(E353,E$2:E$462)</f>
        <v>352</v>
      </c>
      <c r="B353" t="s">
        <v>2469</v>
      </c>
      <c r="C353" t="s">
        <v>28</v>
      </c>
      <c r="D353">
        <f ca="1">INDEX(INDIRECT($C353&amp;"!P:P"),MATCH($B353,INDIRECT($C353&amp;"!B:B"),0))</f>
        <v>20.82</v>
      </c>
      <c r="E353" s="210">
        <f ca="1">D353-LARGE(D$2:D$385,RBCount+WRCount+TECount)</f>
        <v>-87.169999999999987</v>
      </c>
      <c r="F353" t="str">
        <f ca="1">IF(H353&lt;=I353,"Starter",IF(G353&gt;=LARGE(G:G,FlexOn*LeagueInfo!$F$2),"Starter","Bench"))</f>
        <v>Bench</v>
      </c>
      <c r="G353">
        <f ca="1">IF(H353&gt;I353,D353,0)</f>
        <v>20.82</v>
      </c>
      <c r="H353">
        <f ca="1">INDEX(INDIRECT(""&amp;C353&amp;"!A2:A489"),MATCH(B353,INDIRECT(""&amp;C353&amp;"!B2:B489"),0))</f>
        <v>112</v>
      </c>
      <c r="I353">
        <f>IF(C353="RB",LeagueInfo!$D$4*LeagueInfo!$F$2,IF(C353="WR",LeagueInfo!$D$5*LeagueInfo!$F$2,IF(C353="TE",LeagueInfo!$D$6*LeagueInfo!$F$2)))</f>
        <v>24</v>
      </c>
    </row>
    <row r="354" spans="1:9" x14ac:dyDescent="0.25">
      <c r="A354">
        <f ca="1">RANK(E354,E$2:E$462)</f>
        <v>353</v>
      </c>
      <c r="B354" t="s">
        <v>751</v>
      </c>
      <c r="C354" t="s">
        <v>43</v>
      </c>
      <c r="D354">
        <f ca="1">INDEX(INDIRECT($C354&amp;"!P:P"),MATCH($B354,INDIRECT($C354&amp;"!B:B"),0))</f>
        <v>20.520000000000003</v>
      </c>
      <c r="E354" s="210">
        <f ca="1">D354-LARGE(D$2:D$385,RBCount+WRCount+TECount)</f>
        <v>-87.47</v>
      </c>
      <c r="F354" t="str">
        <f ca="1">IF(H354&lt;=I354,"Starter",IF(G354&gt;=LARGE(G:G,FlexOn*LeagueInfo!$F$2),"Starter","Bench"))</f>
        <v>Bench</v>
      </c>
      <c r="G354">
        <f ca="1">IF(H354&gt;I354,D354,0)</f>
        <v>20.520000000000003</v>
      </c>
      <c r="H354">
        <f ca="1">INDEX(INDIRECT(""&amp;C354&amp;"!A2:A489"),MATCH(B354,INDIRECT(""&amp;C354&amp;"!B2:B489"),0))</f>
        <v>83</v>
      </c>
      <c r="I354">
        <f>IF(C354="RB",LeagueInfo!$D$4*LeagueInfo!$F$2,IF(C354="WR",LeagueInfo!$D$5*LeagueInfo!$F$2,IF(C354="TE",LeagueInfo!$D$6*LeagueInfo!$F$2)))</f>
        <v>12</v>
      </c>
    </row>
    <row r="355" spans="1:9" x14ac:dyDescent="0.25">
      <c r="A355">
        <f ca="1">RANK(E355,E$2:E$462)</f>
        <v>354</v>
      </c>
      <c r="B355" t="s">
        <v>703</v>
      </c>
      <c r="C355" t="s">
        <v>35</v>
      </c>
      <c r="D355">
        <f ca="1">INDEX(INDIRECT($C355&amp;"!P:P"),MATCH($B355,INDIRECT($C355&amp;"!B:B"),0))</f>
        <v>20.39</v>
      </c>
      <c r="E355" s="210">
        <f ca="1">D355-LARGE(D$2:D$385,RBCount+WRCount+TECount)</f>
        <v>-87.6</v>
      </c>
      <c r="F355" t="str">
        <f ca="1">IF(H355&lt;=I355,"Starter",IF(G355&gt;=LARGE(G:G,FlexOn*LeagueInfo!$F$2),"Starter","Bench"))</f>
        <v>Bench</v>
      </c>
      <c r="G355">
        <f ca="1">IF(H355&gt;I355,D355,0)</f>
        <v>20.39</v>
      </c>
      <c r="H355">
        <f ca="1">INDEX(INDIRECT(""&amp;C355&amp;"!A2:A489"),MATCH(B355,INDIRECT(""&amp;C355&amp;"!B2:B489"),0))</f>
        <v>159</v>
      </c>
      <c r="I355">
        <f>IF(C355="RB",LeagueInfo!$D$4*LeagueInfo!$F$2,IF(C355="WR",LeagueInfo!$D$5*LeagueInfo!$F$2,IF(C355="TE",LeagueInfo!$D$6*LeagueInfo!$F$2)))</f>
        <v>24</v>
      </c>
    </row>
    <row r="356" spans="1:9" x14ac:dyDescent="0.25">
      <c r="A356">
        <f ca="1">RANK(E356,E$2:E$462)</f>
        <v>355</v>
      </c>
      <c r="B356" t="s">
        <v>2466</v>
      </c>
      <c r="C356" t="s">
        <v>28</v>
      </c>
      <c r="D356">
        <f ca="1">INDEX(INDIRECT($C356&amp;"!P:P"),MATCH($B356,INDIRECT($C356&amp;"!B:B"),0))</f>
        <v>19.72</v>
      </c>
      <c r="E356" s="210">
        <f ca="1">D356-LARGE(D$2:D$385,RBCount+WRCount+TECount)</f>
        <v>-88.27</v>
      </c>
      <c r="F356" t="str">
        <f ca="1">IF(H356&lt;=I356,"Starter",IF(G356&gt;=LARGE(G:G,FlexOn*LeagueInfo!$F$2),"Starter","Bench"))</f>
        <v>Bench</v>
      </c>
      <c r="G356">
        <f ca="1">IF(H356&gt;I356,D356,0)</f>
        <v>19.72</v>
      </c>
      <c r="H356">
        <f ca="1">INDEX(INDIRECT(""&amp;C356&amp;"!A2:A489"),MATCH(B356,INDIRECT(""&amp;C356&amp;"!B2:B489"),0))</f>
        <v>113</v>
      </c>
      <c r="I356">
        <f>IF(C356="RB",LeagueInfo!$D$4*LeagueInfo!$F$2,IF(C356="WR",LeagueInfo!$D$5*LeagueInfo!$F$2,IF(C356="TE",LeagueInfo!$D$6*LeagueInfo!$F$2)))</f>
        <v>24</v>
      </c>
    </row>
    <row r="357" spans="1:9" x14ac:dyDescent="0.25">
      <c r="A357">
        <f ca="1">RANK(E357,E$2:E$462)</f>
        <v>356</v>
      </c>
      <c r="B357" t="s">
        <v>885</v>
      </c>
      <c r="C357" t="s">
        <v>28</v>
      </c>
      <c r="D357">
        <f ca="1">INDEX(INDIRECT($C357&amp;"!P:P"),MATCH($B357,INDIRECT($C357&amp;"!B:B"),0))</f>
        <v>19.590000000000003</v>
      </c>
      <c r="E357" s="210">
        <f ca="1">D357-LARGE(D$2:D$385,RBCount+WRCount+TECount)</f>
        <v>-88.399999999999991</v>
      </c>
      <c r="F357" t="str">
        <f ca="1">IF(H357&lt;=I357,"Starter",IF(G357&gt;=LARGE(G:G,FlexOn*LeagueInfo!$F$2),"Starter","Bench"))</f>
        <v>Bench</v>
      </c>
      <c r="G357">
        <f ca="1">IF(H357&gt;I357,D357,0)</f>
        <v>19.590000000000003</v>
      </c>
      <c r="H357">
        <f ca="1">INDEX(INDIRECT(""&amp;C357&amp;"!A2:A489"),MATCH(B357,INDIRECT(""&amp;C357&amp;"!B2:B489"),0))</f>
        <v>114</v>
      </c>
      <c r="I357">
        <f>IF(C357="RB",LeagueInfo!$D$4*LeagueInfo!$F$2,IF(C357="WR",LeagueInfo!$D$5*LeagueInfo!$F$2,IF(C357="TE",LeagueInfo!$D$6*LeagueInfo!$F$2)))</f>
        <v>24</v>
      </c>
    </row>
    <row r="358" spans="1:9" x14ac:dyDescent="0.25">
      <c r="A358">
        <f ca="1">RANK(E358,E$2:E$462)</f>
        <v>357</v>
      </c>
      <c r="B358" t="s">
        <v>693</v>
      </c>
      <c r="C358" t="s">
        <v>28</v>
      </c>
      <c r="D358">
        <f ca="1">INDEX(INDIRECT($C358&amp;"!P:P"),MATCH($B358,INDIRECT($C358&amp;"!B:B"),0))</f>
        <v>19.540000000000003</v>
      </c>
      <c r="E358" s="210">
        <f ca="1">D358-LARGE(D$2:D$385,RBCount+WRCount+TECount)</f>
        <v>-88.449999999999989</v>
      </c>
      <c r="F358" t="str">
        <f ca="1">IF(H358&lt;=I358,"Starter",IF(G358&gt;=LARGE(G:G,FlexOn*LeagueInfo!$F$2),"Starter","Bench"))</f>
        <v>Bench</v>
      </c>
      <c r="G358">
        <f ca="1">IF(H358&gt;I358,D358,0)</f>
        <v>19.540000000000003</v>
      </c>
      <c r="H358">
        <f ca="1">INDEX(INDIRECT(""&amp;C358&amp;"!A2:A489"),MATCH(B358,INDIRECT(""&amp;C358&amp;"!B2:B489"),0))</f>
        <v>115</v>
      </c>
      <c r="I358">
        <f>IF(C358="RB",LeagueInfo!$D$4*LeagueInfo!$F$2,IF(C358="WR",LeagueInfo!$D$5*LeagueInfo!$F$2,IF(C358="TE",LeagueInfo!$D$6*LeagueInfo!$F$2)))</f>
        <v>24</v>
      </c>
    </row>
    <row r="359" spans="1:9" x14ac:dyDescent="0.25">
      <c r="A359">
        <f ca="1">RANK(E359,E$2:E$462)</f>
        <v>358</v>
      </c>
      <c r="B359" t="s">
        <v>2462</v>
      </c>
      <c r="C359" t="s">
        <v>28</v>
      </c>
      <c r="D359">
        <f ca="1">INDEX(INDIRECT($C359&amp;"!P:P"),MATCH($B359,INDIRECT($C359&amp;"!B:B"),0))</f>
        <v>19.47</v>
      </c>
      <c r="E359" s="210">
        <f ca="1">D359-LARGE(D$2:D$385,RBCount+WRCount+TECount)</f>
        <v>-88.52</v>
      </c>
      <c r="F359" t="str">
        <f ca="1">IF(H359&lt;=I359,"Starter",IF(G359&gt;=LARGE(G:G,FlexOn*LeagueInfo!$F$2),"Starter","Bench"))</f>
        <v>Bench</v>
      </c>
      <c r="G359">
        <f ca="1">IF(H359&gt;I359,D359,0)</f>
        <v>19.47</v>
      </c>
      <c r="H359">
        <f ca="1">INDEX(INDIRECT(""&amp;C359&amp;"!A2:A489"),MATCH(B359,INDIRECT(""&amp;C359&amp;"!B2:B489"),0))</f>
        <v>116</v>
      </c>
      <c r="I359">
        <f>IF(C359="RB",LeagueInfo!$D$4*LeagueInfo!$F$2,IF(C359="WR",LeagueInfo!$D$5*LeagueInfo!$F$2,IF(C359="TE",LeagueInfo!$D$6*LeagueInfo!$F$2)))</f>
        <v>24</v>
      </c>
    </row>
    <row r="360" spans="1:9" x14ac:dyDescent="0.25">
      <c r="A360">
        <f ca="1">RANK(E360,E$2:E$462)</f>
        <v>359</v>
      </c>
      <c r="B360" t="s">
        <v>943</v>
      </c>
      <c r="C360" t="s">
        <v>28</v>
      </c>
      <c r="D360">
        <f ca="1">INDEX(INDIRECT($C360&amp;"!P:P"),MATCH($B360,INDIRECT($C360&amp;"!B:B"),0))</f>
        <v>19.380000000000003</v>
      </c>
      <c r="E360" s="210">
        <f ca="1">D360-LARGE(D$2:D$385,RBCount+WRCount+TECount)</f>
        <v>-88.609999999999985</v>
      </c>
      <c r="F360" t="str">
        <f ca="1">IF(H360&lt;=I360,"Starter",IF(G360&gt;=LARGE(G:G,FlexOn*LeagueInfo!$F$2),"Starter","Bench"))</f>
        <v>Bench</v>
      </c>
      <c r="G360">
        <f ca="1">IF(H360&gt;I360,D360,0)</f>
        <v>19.380000000000003</v>
      </c>
      <c r="H360">
        <f ca="1">INDEX(INDIRECT(""&amp;C360&amp;"!A2:A489"),MATCH(B360,INDIRECT(""&amp;C360&amp;"!B2:B489"),0))</f>
        <v>117</v>
      </c>
      <c r="I360">
        <f>IF(C360="RB",LeagueInfo!$D$4*LeagueInfo!$F$2,IF(C360="WR",LeagueInfo!$D$5*LeagueInfo!$F$2,IF(C360="TE",LeagueInfo!$D$6*LeagueInfo!$F$2)))</f>
        <v>24</v>
      </c>
    </row>
    <row r="361" spans="1:9" x14ac:dyDescent="0.25">
      <c r="A361">
        <f ca="1">RANK(E361,E$2:E$462)</f>
        <v>360</v>
      </c>
      <c r="B361" t="s">
        <v>969</v>
      </c>
      <c r="C361" t="s">
        <v>35</v>
      </c>
      <c r="D361">
        <f ca="1">INDEX(INDIRECT($C361&amp;"!P:P"),MATCH($B361,INDIRECT($C361&amp;"!B:B"),0))</f>
        <v>19.309999999999999</v>
      </c>
      <c r="E361" s="210">
        <f ca="1">D361-LARGE(D$2:D$385,RBCount+WRCount+TECount)</f>
        <v>-88.679999999999993</v>
      </c>
      <c r="F361" t="str">
        <f ca="1">IF(H361&lt;=I361,"Starter",IF(G361&gt;=LARGE(G:G,FlexOn*LeagueInfo!$F$2),"Starter","Bench"))</f>
        <v>Bench</v>
      </c>
      <c r="G361">
        <f ca="1">IF(H361&gt;I361,D361,0)</f>
        <v>19.309999999999999</v>
      </c>
      <c r="H361">
        <f ca="1">INDEX(INDIRECT(""&amp;C361&amp;"!A2:A489"),MATCH(B361,INDIRECT(""&amp;C361&amp;"!B2:B489"),0))</f>
        <v>160</v>
      </c>
      <c r="I361">
        <f>IF(C361="RB",LeagueInfo!$D$4*LeagueInfo!$F$2,IF(C361="WR",LeagueInfo!$D$5*LeagueInfo!$F$2,IF(C361="TE",LeagueInfo!$D$6*LeagueInfo!$F$2)))</f>
        <v>24</v>
      </c>
    </row>
    <row r="362" spans="1:9" x14ac:dyDescent="0.25">
      <c r="A362">
        <f ca="1">RANK(E362,E$2:E$462)</f>
        <v>361</v>
      </c>
      <c r="B362" t="s">
        <v>803</v>
      </c>
      <c r="C362" t="s">
        <v>35</v>
      </c>
      <c r="D362">
        <f ca="1">INDEX(INDIRECT($C362&amp;"!P:P"),MATCH($B362,INDIRECT($C362&amp;"!B:B"),0))</f>
        <v>18.950000000000003</v>
      </c>
      <c r="E362" s="210">
        <f ca="1">D362-LARGE(D$2:D$385,RBCount+WRCount+TECount)</f>
        <v>-89.039999999999992</v>
      </c>
      <c r="F362" t="str">
        <f ca="1">IF(H362&lt;=I362,"Starter",IF(G362&gt;=LARGE(G:G,FlexOn*LeagueInfo!$F$2),"Starter","Bench"))</f>
        <v>Bench</v>
      </c>
      <c r="G362">
        <f ca="1">IF(H362&gt;I362,D362,0)</f>
        <v>18.950000000000003</v>
      </c>
      <c r="H362">
        <f ca="1">INDEX(INDIRECT(""&amp;C362&amp;"!A2:A489"),MATCH(B362,INDIRECT(""&amp;C362&amp;"!B2:B489"),0))</f>
        <v>161</v>
      </c>
      <c r="I362">
        <f>IF(C362="RB",LeagueInfo!$D$4*LeagueInfo!$F$2,IF(C362="WR",LeagueInfo!$D$5*LeagueInfo!$F$2,IF(C362="TE",LeagueInfo!$D$6*LeagueInfo!$F$2)))</f>
        <v>24</v>
      </c>
    </row>
    <row r="363" spans="1:9" x14ac:dyDescent="0.25">
      <c r="A363">
        <f ca="1">RANK(E363,E$2:E$462)</f>
        <v>362</v>
      </c>
      <c r="B363" t="s">
        <v>736</v>
      </c>
      <c r="C363" t="s">
        <v>35</v>
      </c>
      <c r="D363">
        <f ca="1">INDEX(INDIRECT($C363&amp;"!P:P"),MATCH($B363,INDIRECT($C363&amp;"!B:B"),0))</f>
        <v>18.78</v>
      </c>
      <c r="E363" s="210">
        <f ca="1">D363-LARGE(D$2:D$385,RBCount+WRCount+TECount)</f>
        <v>-89.21</v>
      </c>
      <c r="F363" t="str">
        <f ca="1">IF(H363&lt;=I363,"Starter",IF(G363&gt;=LARGE(G:G,FlexOn*LeagueInfo!$F$2),"Starter","Bench"))</f>
        <v>Bench</v>
      </c>
      <c r="G363">
        <f ca="1">IF(H363&gt;I363,D363,0)</f>
        <v>18.78</v>
      </c>
      <c r="H363">
        <f ca="1">INDEX(INDIRECT(""&amp;C363&amp;"!A2:A489"),MATCH(B363,INDIRECT(""&amp;C363&amp;"!B2:B489"),0))</f>
        <v>162</v>
      </c>
      <c r="I363">
        <f>IF(C363="RB",LeagueInfo!$D$4*LeagueInfo!$F$2,IF(C363="WR",LeagueInfo!$D$5*LeagueInfo!$F$2,IF(C363="TE",LeagueInfo!$D$6*LeagueInfo!$F$2)))</f>
        <v>24</v>
      </c>
    </row>
    <row r="364" spans="1:9" x14ac:dyDescent="0.25">
      <c r="A364">
        <f ca="1">RANK(E364,E$2:E$462)</f>
        <v>363</v>
      </c>
      <c r="B364" t="s">
        <v>980</v>
      </c>
      <c r="C364" t="s">
        <v>43</v>
      </c>
      <c r="D364">
        <f ca="1">INDEX(INDIRECT($C364&amp;"!P:P"),MATCH($B364,INDIRECT($C364&amp;"!B:B"),0))</f>
        <v>18.75</v>
      </c>
      <c r="E364" s="210">
        <f ca="1">D364-LARGE(D$2:D$385,RBCount+WRCount+TECount)</f>
        <v>-89.24</v>
      </c>
      <c r="F364" t="str">
        <f ca="1">IF(H364&lt;=I364,"Starter",IF(G364&gt;=LARGE(G:G,FlexOn*LeagueInfo!$F$2),"Starter","Bench"))</f>
        <v>Bench</v>
      </c>
      <c r="G364">
        <f ca="1">IF(H364&gt;I364,D364,0)</f>
        <v>18.75</v>
      </c>
      <c r="H364">
        <f ca="1">INDEX(INDIRECT(""&amp;C364&amp;"!A2:A489"),MATCH(B364,INDIRECT(""&amp;C364&amp;"!B2:B489"),0))</f>
        <v>84</v>
      </c>
      <c r="I364">
        <f>IF(C364="RB",LeagueInfo!$D$4*LeagueInfo!$F$2,IF(C364="WR",LeagueInfo!$D$5*LeagueInfo!$F$2,IF(C364="TE",LeagueInfo!$D$6*LeagueInfo!$F$2)))</f>
        <v>12</v>
      </c>
    </row>
    <row r="365" spans="1:9" x14ac:dyDescent="0.25">
      <c r="A365">
        <f ca="1">RANK(E365,E$2:E$462)</f>
        <v>364</v>
      </c>
      <c r="B365" t="s">
        <v>2435</v>
      </c>
      <c r="C365" t="s">
        <v>35</v>
      </c>
      <c r="D365">
        <f ca="1">INDEX(INDIRECT($C365&amp;"!P:P"),MATCH($B365,INDIRECT($C365&amp;"!B:B"),0))</f>
        <v>18.68</v>
      </c>
      <c r="E365" s="210">
        <f ca="1">D365-LARGE(D$2:D$385,RBCount+WRCount+TECount)</f>
        <v>-89.31</v>
      </c>
      <c r="F365" t="str">
        <f ca="1">IF(H365&lt;=I365,"Starter",IF(G365&gt;=LARGE(G:G,FlexOn*LeagueInfo!$F$2),"Starter","Bench"))</f>
        <v>Bench</v>
      </c>
      <c r="G365">
        <f ca="1">IF(H365&gt;I365,D365,0)</f>
        <v>18.68</v>
      </c>
      <c r="H365">
        <f ca="1">INDEX(INDIRECT(""&amp;C365&amp;"!A2:A489"),MATCH(B365,INDIRECT(""&amp;C365&amp;"!B2:B489"),0))</f>
        <v>163</v>
      </c>
      <c r="I365">
        <f>IF(C365="RB",LeagueInfo!$D$4*LeagueInfo!$F$2,IF(C365="WR",LeagueInfo!$D$5*LeagueInfo!$F$2,IF(C365="TE",LeagueInfo!$D$6*LeagueInfo!$F$2)))</f>
        <v>24</v>
      </c>
    </row>
    <row r="366" spans="1:9" x14ac:dyDescent="0.25">
      <c r="A366">
        <f ca="1">RANK(E366,E$2:E$462)</f>
        <v>365</v>
      </c>
      <c r="B366" t="s">
        <v>941</v>
      </c>
      <c r="C366" t="s">
        <v>28</v>
      </c>
      <c r="D366">
        <f ca="1">INDEX(INDIRECT($C366&amp;"!P:P"),MATCH($B366,INDIRECT($C366&amp;"!B:B"),0))</f>
        <v>18.630000000000003</v>
      </c>
      <c r="E366" s="210">
        <f ca="1">D366-LARGE(D$2:D$385,RBCount+WRCount+TECount)</f>
        <v>-89.359999999999985</v>
      </c>
      <c r="F366" t="str">
        <f ca="1">IF(H366&lt;=I366,"Starter",IF(G366&gt;=LARGE(G:G,FlexOn*LeagueInfo!$F$2),"Starter","Bench"))</f>
        <v>Bench</v>
      </c>
      <c r="G366">
        <f ca="1">IF(H366&gt;I366,D366,0)</f>
        <v>18.630000000000003</v>
      </c>
      <c r="H366">
        <f ca="1">INDEX(INDIRECT(""&amp;C366&amp;"!A2:A489"),MATCH(B366,INDIRECT(""&amp;C366&amp;"!B2:B489"),0))</f>
        <v>118</v>
      </c>
      <c r="I366">
        <f>IF(C366="RB",LeagueInfo!$D$4*LeagueInfo!$F$2,IF(C366="WR",LeagueInfo!$D$5*LeagueInfo!$F$2,IF(C366="TE",LeagueInfo!$D$6*LeagueInfo!$F$2)))</f>
        <v>24</v>
      </c>
    </row>
    <row r="367" spans="1:9" x14ac:dyDescent="0.25">
      <c r="A367">
        <f ca="1">RANK(E367,E$2:E$462)</f>
        <v>366</v>
      </c>
      <c r="B367" t="s">
        <v>2432</v>
      </c>
      <c r="C367" t="s">
        <v>35</v>
      </c>
      <c r="D367">
        <f ca="1">INDEX(INDIRECT($C367&amp;"!P:P"),MATCH($B367,INDIRECT($C367&amp;"!B:B"),0))</f>
        <v>18.610000000000003</v>
      </c>
      <c r="E367" s="210">
        <f ca="1">D367-LARGE(D$2:D$385,RBCount+WRCount+TECount)</f>
        <v>-89.38</v>
      </c>
      <c r="F367" t="str">
        <f ca="1">IF(H367&lt;=I367,"Starter",IF(G367&gt;=LARGE(G:G,FlexOn*LeagueInfo!$F$2),"Starter","Bench"))</f>
        <v>Bench</v>
      </c>
      <c r="G367">
        <f ca="1">IF(H367&gt;I367,D367,0)</f>
        <v>18.610000000000003</v>
      </c>
      <c r="H367">
        <f ca="1">INDEX(INDIRECT(""&amp;C367&amp;"!A2:A489"),MATCH(B367,INDIRECT(""&amp;C367&amp;"!B2:B489"),0))</f>
        <v>164</v>
      </c>
      <c r="I367">
        <f>IF(C367="RB",LeagueInfo!$D$4*LeagueInfo!$F$2,IF(C367="WR",LeagueInfo!$D$5*LeagueInfo!$F$2,IF(C367="TE",LeagueInfo!$D$6*LeagueInfo!$F$2)))</f>
        <v>24</v>
      </c>
    </row>
    <row r="368" spans="1:9" x14ac:dyDescent="0.25">
      <c r="A368">
        <f ca="1">RANK(E368,E$2:E$462)</f>
        <v>366</v>
      </c>
      <c r="B368" t="s">
        <v>962</v>
      </c>
      <c r="C368" t="s">
        <v>35</v>
      </c>
      <c r="D368">
        <f ca="1">INDEX(INDIRECT($C368&amp;"!P:P"),MATCH($B368,INDIRECT($C368&amp;"!B:B"),0))</f>
        <v>18.61</v>
      </c>
      <c r="E368" s="210">
        <f ca="1">D368-LARGE(D$2:D$385,RBCount+WRCount+TECount)</f>
        <v>-89.38</v>
      </c>
      <c r="F368" t="str">
        <f ca="1">IF(H368&lt;=I368,"Starter",IF(G368&gt;=LARGE(G:G,FlexOn*LeagueInfo!$F$2),"Starter","Bench"))</f>
        <v>Bench</v>
      </c>
      <c r="G368">
        <f ca="1">IF(H368&gt;I368,D368,0)</f>
        <v>18.61</v>
      </c>
      <c r="H368">
        <f ca="1">INDEX(INDIRECT(""&amp;C368&amp;"!A2:A489"),MATCH(B368,INDIRECT(""&amp;C368&amp;"!B2:B489"),0))</f>
        <v>165</v>
      </c>
      <c r="I368">
        <f>IF(C368="RB",LeagueInfo!$D$4*LeagueInfo!$F$2,IF(C368="WR",LeagueInfo!$D$5*LeagueInfo!$F$2,IF(C368="TE",LeagueInfo!$D$6*LeagueInfo!$F$2)))</f>
        <v>24</v>
      </c>
    </row>
    <row r="369" spans="1:9" x14ac:dyDescent="0.25">
      <c r="A369">
        <f ca="1">RANK(E369,E$2:E$462)</f>
        <v>368</v>
      </c>
      <c r="B369" t="s">
        <v>2670</v>
      </c>
      <c r="C369" t="s">
        <v>28</v>
      </c>
      <c r="D369">
        <f ca="1">INDEX(INDIRECT($C369&amp;"!P:P"),MATCH($B369,INDIRECT($C369&amp;"!B:B"),0))</f>
        <v>18.12</v>
      </c>
      <c r="E369" s="210">
        <f ca="1">D369-LARGE(D$2:D$385,RBCount+WRCount+TECount)</f>
        <v>-89.86999999999999</v>
      </c>
      <c r="F369" t="str">
        <f ca="1">IF(H369&lt;=I369,"Starter",IF(G369&gt;=LARGE(G:G,FlexOn*LeagueInfo!$F$2),"Starter","Bench"))</f>
        <v>Bench</v>
      </c>
      <c r="G369">
        <f ca="1">IF(H369&gt;I369,D369,0)</f>
        <v>18.12</v>
      </c>
      <c r="H369">
        <f ca="1">INDEX(INDIRECT(""&amp;C369&amp;"!A2:A489"),MATCH(B369,INDIRECT(""&amp;C369&amp;"!B2:B489"),0))</f>
        <v>119</v>
      </c>
      <c r="I369">
        <f>IF(C369="RB",LeagueInfo!$D$4*LeagueInfo!$F$2,IF(C369="WR",LeagueInfo!$D$5*LeagueInfo!$F$2,IF(C369="TE",LeagueInfo!$D$6*LeagueInfo!$F$2)))</f>
        <v>24</v>
      </c>
    </row>
    <row r="370" spans="1:9" x14ac:dyDescent="0.25">
      <c r="A370">
        <f ca="1">RANK(E370,E$2:E$462)</f>
        <v>369</v>
      </c>
      <c r="B370" t="s">
        <v>967</v>
      </c>
      <c r="C370" t="s">
        <v>35</v>
      </c>
      <c r="D370">
        <f ca="1">INDEX(INDIRECT($C370&amp;"!P:P"),MATCH($B370,INDIRECT($C370&amp;"!B:B"),0))</f>
        <v>18.060000000000002</v>
      </c>
      <c r="E370" s="210">
        <f ca="1">D370-LARGE(D$2:D$385,RBCount+WRCount+TECount)</f>
        <v>-89.929999999999993</v>
      </c>
      <c r="F370" t="str">
        <f ca="1">IF(H370&lt;=I370,"Starter",IF(G370&gt;=LARGE(G:G,FlexOn*LeagueInfo!$F$2),"Starter","Bench"))</f>
        <v>Bench</v>
      </c>
      <c r="G370">
        <f ca="1">IF(H370&gt;I370,D370,0)</f>
        <v>18.060000000000002</v>
      </c>
      <c r="H370">
        <f ca="1">INDEX(INDIRECT(""&amp;C370&amp;"!A2:A489"),MATCH(B370,INDIRECT(""&amp;C370&amp;"!B2:B489"),0))</f>
        <v>166</v>
      </c>
      <c r="I370">
        <f>IF(C370="RB",LeagueInfo!$D$4*LeagueInfo!$F$2,IF(C370="WR",LeagueInfo!$D$5*LeagueInfo!$F$2,IF(C370="TE",LeagueInfo!$D$6*LeagueInfo!$F$2)))</f>
        <v>24</v>
      </c>
    </row>
    <row r="371" spans="1:9" x14ac:dyDescent="0.25">
      <c r="A371">
        <f ca="1">RANK(E371,E$2:E$462)</f>
        <v>370</v>
      </c>
      <c r="B371" t="s">
        <v>2483</v>
      </c>
      <c r="C371" t="s">
        <v>43</v>
      </c>
      <c r="D371">
        <f ca="1">INDEX(INDIRECT($C371&amp;"!P:P"),MATCH($B371,INDIRECT($C371&amp;"!B:B"),0))</f>
        <v>17.97</v>
      </c>
      <c r="E371" s="210">
        <f ca="1">D371-LARGE(D$2:D$385,RBCount+WRCount+TECount)</f>
        <v>-90.02</v>
      </c>
      <c r="F371" t="str">
        <f ca="1">IF(H371&lt;=I371,"Starter",IF(G371&gt;=LARGE(G:G,FlexOn*LeagueInfo!$F$2),"Starter","Bench"))</f>
        <v>Bench</v>
      </c>
      <c r="G371">
        <f ca="1">IF(H371&gt;I371,D371,0)</f>
        <v>17.97</v>
      </c>
      <c r="H371">
        <f ca="1">INDEX(INDIRECT(""&amp;C371&amp;"!A2:A489"),MATCH(B371,INDIRECT(""&amp;C371&amp;"!B2:B489"),0))</f>
        <v>85</v>
      </c>
      <c r="I371">
        <f>IF(C371="RB",LeagueInfo!$D$4*LeagueInfo!$F$2,IF(C371="WR",LeagueInfo!$D$5*LeagueInfo!$F$2,IF(C371="TE",LeagueInfo!$D$6*LeagueInfo!$F$2)))</f>
        <v>12</v>
      </c>
    </row>
    <row r="372" spans="1:9" x14ac:dyDescent="0.25">
      <c r="A372">
        <f ca="1">RANK(E372,E$2:E$462)</f>
        <v>371</v>
      </c>
      <c r="B372" t="s">
        <v>2464</v>
      </c>
      <c r="C372" t="s">
        <v>28</v>
      </c>
      <c r="D372">
        <f ca="1">INDEX(INDIRECT($C372&amp;"!P:P"),MATCH($B372,INDIRECT($C372&amp;"!B:B"),0))</f>
        <v>17.490000000000006</v>
      </c>
      <c r="E372" s="210">
        <f ca="1">D372-LARGE(D$2:D$385,RBCount+WRCount+TECount)</f>
        <v>-90.499999999999986</v>
      </c>
      <c r="F372" t="str">
        <f ca="1">IF(H372&lt;=I372,"Starter",IF(G372&gt;=LARGE(G:G,FlexOn*LeagueInfo!$F$2),"Starter","Bench"))</f>
        <v>Bench</v>
      </c>
      <c r="G372">
        <f ca="1">IF(H372&gt;I372,D372,0)</f>
        <v>17.490000000000006</v>
      </c>
      <c r="H372">
        <f ca="1">INDEX(INDIRECT(""&amp;C372&amp;"!A2:A489"),MATCH(B372,INDIRECT(""&amp;C372&amp;"!B2:B489"),0))</f>
        <v>120</v>
      </c>
      <c r="I372">
        <f>IF(C372="RB",LeagueInfo!$D$4*LeagueInfo!$F$2,IF(C372="WR",LeagueInfo!$D$5*LeagueInfo!$F$2,IF(C372="TE",LeagueInfo!$D$6*LeagueInfo!$F$2)))</f>
        <v>24</v>
      </c>
    </row>
    <row r="373" spans="1:9" x14ac:dyDescent="0.25">
      <c r="A373">
        <f ca="1">RANK(E373,E$2:E$462)</f>
        <v>372</v>
      </c>
      <c r="B373" t="s">
        <v>686</v>
      </c>
      <c r="C373" t="s">
        <v>28</v>
      </c>
      <c r="D373">
        <f ca="1">INDEX(INDIRECT($C373&amp;"!P:P"),MATCH($B373,INDIRECT($C373&amp;"!B:B"),0))</f>
        <v>17.43</v>
      </c>
      <c r="E373" s="210">
        <f ca="1">D373-LARGE(D$2:D$385,RBCount+WRCount+TECount)</f>
        <v>-90.56</v>
      </c>
      <c r="F373" t="str">
        <f ca="1">IF(H373&lt;=I373,"Starter",IF(G373&gt;=LARGE(G:G,FlexOn*LeagueInfo!$F$2),"Starter","Bench"))</f>
        <v>Bench</v>
      </c>
      <c r="G373">
        <f ca="1">IF(H373&gt;I373,D373,0)</f>
        <v>17.43</v>
      </c>
      <c r="H373">
        <f ca="1">INDEX(INDIRECT(""&amp;C373&amp;"!A2:A489"),MATCH(B373,INDIRECT(""&amp;C373&amp;"!B2:B489"),0))</f>
        <v>121</v>
      </c>
      <c r="I373">
        <f>IF(C373="RB",LeagueInfo!$D$4*LeagueInfo!$F$2,IF(C373="WR",LeagueInfo!$D$5*LeagueInfo!$F$2,IF(C373="TE",LeagueInfo!$D$6*LeagueInfo!$F$2)))</f>
        <v>24</v>
      </c>
    </row>
    <row r="374" spans="1:9" x14ac:dyDescent="0.25">
      <c r="A374">
        <f ca="1">RANK(E374,E$2:E$462)</f>
        <v>373</v>
      </c>
      <c r="B374" t="s">
        <v>2681</v>
      </c>
      <c r="C374" t="s">
        <v>43</v>
      </c>
      <c r="D374">
        <f ca="1">INDEX(INDIRECT($C374&amp;"!P:P"),MATCH($B374,INDIRECT($C374&amp;"!B:B"),0))</f>
        <v>17.400000000000002</v>
      </c>
      <c r="E374" s="210">
        <f ca="1">D374-LARGE(D$2:D$385,RBCount+WRCount+TECount)</f>
        <v>-90.589999999999989</v>
      </c>
      <c r="F374" t="str">
        <f ca="1">IF(H374&lt;=I374,"Starter",IF(G374&gt;=LARGE(G:G,FlexOn*LeagueInfo!$F$2),"Starter","Bench"))</f>
        <v>Bench</v>
      </c>
      <c r="G374">
        <f ca="1">IF(H374&gt;I374,D374,0)</f>
        <v>17.400000000000002</v>
      </c>
      <c r="H374">
        <f ca="1">INDEX(INDIRECT(""&amp;C374&amp;"!A2:A489"),MATCH(B374,INDIRECT(""&amp;C374&amp;"!B2:B489"),0))</f>
        <v>86</v>
      </c>
      <c r="I374">
        <f>IF(C374="RB",LeagueInfo!$D$4*LeagueInfo!$F$2,IF(C374="WR",LeagueInfo!$D$5*LeagueInfo!$F$2,IF(C374="TE",LeagueInfo!$D$6*LeagueInfo!$F$2)))</f>
        <v>12</v>
      </c>
    </row>
    <row r="375" spans="1:9" x14ac:dyDescent="0.25">
      <c r="A375">
        <f ca="1">RANK(E375,E$2:E$462)</f>
        <v>374</v>
      </c>
      <c r="B375" t="s">
        <v>2457</v>
      </c>
      <c r="C375" t="s">
        <v>28</v>
      </c>
      <c r="D375">
        <f ca="1">INDEX(INDIRECT($C375&amp;"!P:P"),MATCH($B375,INDIRECT($C375&amp;"!B:B"),0))</f>
        <v>17.39</v>
      </c>
      <c r="E375" s="210">
        <f ca="1">D375-LARGE(D$2:D$385,RBCount+WRCount+TECount)</f>
        <v>-90.6</v>
      </c>
      <c r="F375" t="str">
        <f ca="1">IF(H375&lt;=I375,"Starter",IF(G375&gt;=LARGE(G:G,FlexOn*LeagueInfo!$F$2),"Starter","Bench"))</f>
        <v>Bench</v>
      </c>
      <c r="G375">
        <f ca="1">IF(H375&gt;I375,D375,0)</f>
        <v>17.39</v>
      </c>
      <c r="H375">
        <f ca="1">INDEX(INDIRECT(""&amp;C375&amp;"!A2:A489"),MATCH(B375,INDIRECT(""&amp;C375&amp;"!B2:B489"),0))</f>
        <v>122</v>
      </c>
      <c r="I375">
        <f>IF(C375="RB",LeagueInfo!$D$4*LeagueInfo!$F$2,IF(C375="WR",LeagueInfo!$D$5*LeagueInfo!$F$2,IF(C375="TE",LeagueInfo!$D$6*LeagueInfo!$F$2)))</f>
        <v>24</v>
      </c>
    </row>
    <row r="376" spans="1:9" x14ac:dyDescent="0.25">
      <c r="A376">
        <f ca="1">RANK(E376,E$2:E$462)</f>
        <v>375</v>
      </c>
      <c r="B376" t="s">
        <v>2441</v>
      </c>
      <c r="C376" t="s">
        <v>35</v>
      </c>
      <c r="D376">
        <f ca="1">INDEX(INDIRECT($C376&amp;"!P:P"),MATCH($B376,INDIRECT($C376&amp;"!B:B"),0))</f>
        <v>17.13</v>
      </c>
      <c r="E376" s="210">
        <f ca="1">D376-LARGE(D$2:D$385,RBCount+WRCount+TECount)</f>
        <v>-90.86</v>
      </c>
      <c r="F376" t="str">
        <f ca="1">IF(H376&lt;=I376,"Starter",IF(G376&gt;=LARGE(G:G,FlexOn*LeagueInfo!$F$2),"Starter","Bench"))</f>
        <v>Bench</v>
      </c>
      <c r="G376">
        <f ca="1">IF(H376&gt;I376,D376,0)</f>
        <v>17.13</v>
      </c>
      <c r="H376">
        <f ca="1">INDEX(INDIRECT(""&amp;C376&amp;"!A2:A489"),MATCH(B376,INDIRECT(""&amp;C376&amp;"!B2:B489"),0))</f>
        <v>167</v>
      </c>
      <c r="I376">
        <f>IF(C376="RB",LeagueInfo!$D$4*LeagueInfo!$F$2,IF(C376="WR",LeagueInfo!$D$5*LeagueInfo!$F$2,IF(C376="TE",LeagueInfo!$D$6*LeagueInfo!$F$2)))</f>
        <v>24</v>
      </c>
    </row>
    <row r="377" spans="1:9" x14ac:dyDescent="0.25">
      <c r="A377">
        <f ca="1">RANK(E377,E$2:E$462)</f>
        <v>376</v>
      </c>
      <c r="B377" t="s">
        <v>685</v>
      </c>
      <c r="C377" t="s">
        <v>28</v>
      </c>
      <c r="D377">
        <f ca="1">INDEX(INDIRECT($C377&amp;"!P:P"),MATCH($B377,INDIRECT($C377&amp;"!B:B"),0))</f>
        <v>17.12</v>
      </c>
      <c r="E377" s="210">
        <f ca="1">D377-LARGE(D$2:D$385,RBCount+WRCount+TECount)</f>
        <v>-90.86999999999999</v>
      </c>
      <c r="F377" t="str">
        <f ca="1">IF(H377&lt;=I377,"Starter",IF(G377&gt;=LARGE(G:G,FlexOn*LeagueInfo!$F$2),"Starter","Bench"))</f>
        <v>Bench</v>
      </c>
      <c r="G377">
        <f ca="1">IF(H377&gt;I377,D377,0)</f>
        <v>17.12</v>
      </c>
      <c r="H377">
        <f ca="1">INDEX(INDIRECT(""&amp;C377&amp;"!A2:A489"),MATCH(B377,INDIRECT(""&amp;C377&amp;"!B2:B489"),0))</f>
        <v>123</v>
      </c>
      <c r="I377">
        <f>IF(C377="RB",LeagueInfo!$D$4*LeagueInfo!$F$2,IF(C377="WR",LeagueInfo!$D$5*LeagueInfo!$F$2,IF(C377="TE",LeagueInfo!$D$6*LeagueInfo!$F$2)))</f>
        <v>24</v>
      </c>
    </row>
    <row r="378" spans="1:9" x14ac:dyDescent="0.25">
      <c r="A378">
        <f ca="1">RANK(E378,E$2:E$462)</f>
        <v>377</v>
      </c>
      <c r="B378" t="s">
        <v>1029</v>
      </c>
      <c r="C378" t="s">
        <v>35</v>
      </c>
      <c r="D378">
        <f ca="1">INDEX(INDIRECT($C378&amp;"!P:P"),MATCH($B378,INDIRECT($C378&amp;"!B:B"),0))</f>
        <v>16.97</v>
      </c>
      <c r="E378" s="210">
        <f ca="1">D378-LARGE(D$2:D$385,RBCount+WRCount+TECount)</f>
        <v>-91.02</v>
      </c>
      <c r="F378" t="str">
        <f ca="1">IF(H378&lt;=I378,"Starter",IF(G378&gt;=LARGE(G:G,FlexOn*LeagueInfo!$F$2),"Starter","Bench"))</f>
        <v>Bench</v>
      </c>
      <c r="G378">
        <f ca="1">IF(H378&gt;I378,D378,0)</f>
        <v>16.97</v>
      </c>
      <c r="H378">
        <f ca="1">INDEX(INDIRECT(""&amp;C378&amp;"!A2:A489"),MATCH(B378,INDIRECT(""&amp;C378&amp;"!B2:B489"),0))</f>
        <v>168</v>
      </c>
      <c r="I378">
        <f>IF(C378="RB",LeagueInfo!$D$4*LeagueInfo!$F$2,IF(C378="WR",LeagueInfo!$D$5*LeagueInfo!$F$2,IF(C378="TE",LeagueInfo!$D$6*LeagueInfo!$F$2)))</f>
        <v>24</v>
      </c>
    </row>
    <row r="379" spans="1:9" x14ac:dyDescent="0.25">
      <c r="A379">
        <f ca="1">RANK(E379,E$2:E$462)</f>
        <v>378</v>
      </c>
      <c r="B379" t="s">
        <v>669</v>
      </c>
      <c r="C379" t="s">
        <v>28</v>
      </c>
      <c r="D379">
        <f ca="1">INDEX(INDIRECT($C379&amp;"!P:P"),MATCH($B379,INDIRECT($C379&amp;"!B:B"),0))</f>
        <v>16.940000000000001</v>
      </c>
      <c r="E379" s="210">
        <f ca="1">D379-LARGE(D$2:D$385,RBCount+WRCount+TECount)</f>
        <v>-91.05</v>
      </c>
      <c r="F379" t="str">
        <f ca="1">IF(H379&lt;=I379,"Starter",IF(G379&gt;=LARGE(G:G,FlexOn*LeagueInfo!$F$2),"Starter","Bench"))</f>
        <v>Bench</v>
      </c>
      <c r="G379">
        <f ca="1">IF(H379&gt;I379,D379,0)</f>
        <v>16.940000000000001</v>
      </c>
      <c r="H379">
        <f ca="1">INDEX(INDIRECT(""&amp;C379&amp;"!A2:A489"),MATCH(B379,INDIRECT(""&amp;C379&amp;"!B2:B489"),0))</f>
        <v>124</v>
      </c>
      <c r="I379">
        <f>IF(C379="RB",LeagueInfo!$D$4*LeagueInfo!$F$2,IF(C379="WR",LeagueInfo!$D$5*LeagueInfo!$F$2,IF(C379="TE",LeagueInfo!$D$6*LeagueInfo!$F$2)))</f>
        <v>24</v>
      </c>
    </row>
    <row r="380" spans="1:9" x14ac:dyDescent="0.25">
      <c r="A380">
        <f ca="1">RANK(E380,E$2:E$462)</f>
        <v>379</v>
      </c>
      <c r="B380" t="s">
        <v>892</v>
      </c>
      <c r="C380" t="s">
        <v>28</v>
      </c>
      <c r="D380">
        <f ca="1">INDEX(INDIRECT($C380&amp;"!P:P"),MATCH($B380,INDIRECT($C380&amp;"!B:B"),0))</f>
        <v>16.830000000000002</v>
      </c>
      <c r="E380" s="210">
        <f ca="1">D380-LARGE(D$2:D$385,RBCount+WRCount+TECount)</f>
        <v>-91.16</v>
      </c>
      <c r="F380" t="str">
        <f ca="1">IF(H380&lt;=I380,"Starter",IF(G380&gt;=LARGE(G:G,FlexOn*LeagueInfo!$F$2),"Starter","Bench"))</f>
        <v>Bench</v>
      </c>
      <c r="G380">
        <f ca="1">IF(H380&gt;I380,D380,0)</f>
        <v>16.830000000000002</v>
      </c>
      <c r="H380">
        <f ca="1">INDEX(INDIRECT(""&amp;C380&amp;"!A2:A489"),MATCH(B380,INDIRECT(""&amp;C380&amp;"!B2:B489"),0))</f>
        <v>125</v>
      </c>
      <c r="I380">
        <f>IF(C380="RB",LeagueInfo!$D$4*LeagueInfo!$F$2,IF(C380="WR",LeagueInfo!$D$5*LeagueInfo!$F$2,IF(C380="TE",LeagueInfo!$D$6*LeagueInfo!$F$2)))</f>
        <v>24</v>
      </c>
    </row>
    <row r="381" spans="1:9" x14ac:dyDescent="0.25">
      <c r="A381">
        <f ca="1">RANK(E381,E$2:E$462)</f>
        <v>380</v>
      </c>
      <c r="B381" t="s">
        <v>562</v>
      </c>
      <c r="C381" t="s">
        <v>28</v>
      </c>
      <c r="D381">
        <f ca="1">INDEX(INDIRECT($C381&amp;"!P:P"),MATCH($B381,INDIRECT($C381&amp;"!B:B"),0))</f>
        <v>16.7</v>
      </c>
      <c r="E381" s="210">
        <f ca="1">D381-LARGE(D$2:D$385,RBCount+WRCount+TECount)</f>
        <v>-91.289999999999992</v>
      </c>
      <c r="F381" t="str">
        <f ca="1">IF(H381&lt;=I381,"Starter",IF(G381&gt;=LARGE(G:G,FlexOn*LeagueInfo!$F$2),"Starter","Bench"))</f>
        <v>Bench</v>
      </c>
      <c r="G381">
        <f ca="1">IF(H381&gt;I381,D381,0)</f>
        <v>16.7</v>
      </c>
      <c r="H381">
        <f ca="1">INDEX(INDIRECT(""&amp;C381&amp;"!A2:A489"),MATCH(B381,INDIRECT(""&amp;C381&amp;"!B2:B489"),0))</f>
        <v>126</v>
      </c>
      <c r="I381">
        <f>IF(C381="RB",LeagueInfo!$D$4*LeagueInfo!$F$2,IF(C381="WR",LeagueInfo!$D$5*LeagueInfo!$F$2,IF(C381="TE",LeagueInfo!$D$6*LeagueInfo!$F$2)))</f>
        <v>24</v>
      </c>
    </row>
    <row r="382" spans="1:9" x14ac:dyDescent="0.25">
      <c r="A382">
        <f ca="1">RANK(E382,E$2:E$462)</f>
        <v>381</v>
      </c>
      <c r="B382" t="s">
        <v>2738</v>
      </c>
      <c r="C382" t="s">
        <v>43</v>
      </c>
      <c r="D382">
        <f ca="1">INDEX(INDIRECT($C382&amp;"!P:P"),MATCH($B382,INDIRECT($C382&amp;"!B:B"),0))</f>
        <v>16.66</v>
      </c>
      <c r="E382" s="210">
        <f ca="1">D382-LARGE(D$2:D$385,RBCount+WRCount+TECount)</f>
        <v>-91.33</v>
      </c>
      <c r="F382" t="str">
        <f ca="1">IF(H382&lt;=I382,"Starter",IF(G382&gt;=LARGE(G:G,FlexOn*LeagueInfo!$F$2),"Starter","Bench"))</f>
        <v>Bench</v>
      </c>
      <c r="G382">
        <f ca="1">IF(H382&gt;I382,D382,0)</f>
        <v>16.66</v>
      </c>
      <c r="H382">
        <f ca="1">INDEX(INDIRECT(""&amp;C382&amp;"!A2:A489"),MATCH(B382,INDIRECT(""&amp;C382&amp;"!B2:B489"),0))</f>
        <v>87</v>
      </c>
      <c r="I382">
        <f>IF(C382="RB",LeagueInfo!$D$4*LeagueInfo!$F$2,IF(C382="WR",LeagueInfo!$D$5*LeagueInfo!$F$2,IF(C382="TE",LeagueInfo!$D$6*LeagueInfo!$F$2)))</f>
        <v>12</v>
      </c>
    </row>
    <row r="383" spans="1:9" x14ac:dyDescent="0.25">
      <c r="A383">
        <f ca="1">RANK(E383,E$2:E$462)</f>
        <v>382</v>
      </c>
      <c r="B383" t="s">
        <v>936</v>
      </c>
      <c r="C383" t="s">
        <v>28</v>
      </c>
      <c r="D383">
        <f ca="1">INDEX(INDIRECT($C383&amp;"!P:P"),MATCH($B383,INDIRECT($C383&amp;"!B:B"),0))</f>
        <v>16.62</v>
      </c>
      <c r="E383" s="210">
        <f ca="1">D383-LARGE(D$2:D$385,RBCount+WRCount+TECount)</f>
        <v>-91.36999999999999</v>
      </c>
      <c r="F383" t="str">
        <f ca="1">IF(H383&lt;=I383,"Starter",IF(G383&gt;=LARGE(G:G,FlexOn*LeagueInfo!$F$2),"Starter","Bench"))</f>
        <v>Bench</v>
      </c>
      <c r="G383">
        <f ca="1">IF(H383&gt;I383,D383,0)</f>
        <v>16.62</v>
      </c>
      <c r="H383">
        <f ca="1">INDEX(INDIRECT(""&amp;C383&amp;"!A2:A489"),MATCH(B383,INDIRECT(""&amp;C383&amp;"!B2:B489"),0))</f>
        <v>127</v>
      </c>
      <c r="I383">
        <f>IF(C383="RB",LeagueInfo!$D$4*LeagueInfo!$F$2,IF(C383="WR",LeagueInfo!$D$5*LeagueInfo!$F$2,IF(C383="TE",LeagueInfo!$D$6*LeagueInfo!$F$2)))</f>
        <v>24</v>
      </c>
    </row>
    <row r="384" spans="1:9" x14ac:dyDescent="0.25">
      <c r="A384">
        <f ca="1">RANK(E384,E$2:E$462)</f>
        <v>383</v>
      </c>
      <c r="B384" t="s">
        <v>638</v>
      </c>
      <c r="C384" t="s">
        <v>28</v>
      </c>
      <c r="D384">
        <f ca="1">INDEX(INDIRECT($C384&amp;"!P:P"),MATCH($B384,INDIRECT($C384&amp;"!B:B"),0))</f>
        <v>16.580000000000002</v>
      </c>
      <c r="E384" s="210">
        <f ca="1">D384-LARGE(D$2:D$385,RBCount+WRCount+TECount)</f>
        <v>-91.41</v>
      </c>
      <c r="F384" t="str">
        <f ca="1">IF(H384&lt;=I384,"Starter",IF(G384&gt;=LARGE(G:G,FlexOn*LeagueInfo!$F$2),"Starter","Bench"))</f>
        <v>Bench</v>
      </c>
      <c r="G384">
        <f ca="1">IF(H384&gt;I384,D384,0)</f>
        <v>16.580000000000002</v>
      </c>
      <c r="H384">
        <f ca="1">INDEX(INDIRECT(""&amp;C384&amp;"!A2:A489"),MATCH(B384,INDIRECT(""&amp;C384&amp;"!B2:B489"),0))</f>
        <v>128</v>
      </c>
      <c r="I384">
        <f>IF(C384="RB",LeagueInfo!$D$4*LeagueInfo!$F$2,IF(C384="WR",LeagueInfo!$D$5*LeagueInfo!$F$2,IF(C384="TE",LeagueInfo!$D$6*LeagueInfo!$F$2)))</f>
        <v>24</v>
      </c>
    </row>
    <row r="385" spans="1:9" x14ac:dyDescent="0.25">
      <c r="A385">
        <f ca="1">RANK(E385,E$2:E$462)</f>
        <v>384</v>
      </c>
      <c r="B385" t="s">
        <v>816</v>
      </c>
      <c r="C385" t="s">
        <v>43</v>
      </c>
      <c r="D385">
        <f ca="1">INDEX(INDIRECT($C385&amp;"!P:P"),MATCH($B385,INDIRECT($C385&amp;"!B:B"),0))</f>
        <v>16.420000000000002</v>
      </c>
      <c r="E385" s="210">
        <f ca="1">D385-LARGE(D$2:D$385,RBCount+WRCount+TECount)</f>
        <v>-91.57</v>
      </c>
      <c r="F385" t="str">
        <f ca="1">IF(H385&lt;=I385,"Starter",IF(G385&gt;=LARGE(G:G,FlexOn*LeagueInfo!$F$2),"Starter","Bench"))</f>
        <v>Bench</v>
      </c>
      <c r="G385">
        <f ca="1">IF(H385&gt;I385,D385,0)</f>
        <v>16.420000000000002</v>
      </c>
      <c r="H385">
        <f ca="1">INDEX(INDIRECT(""&amp;C385&amp;"!A2:A489"),MATCH(B385,INDIRECT(""&amp;C385&amp;"!B2:B489"),0))</f>
        <v>88</v>
      </c>
      <c r="I385">
        <f>IF(C385="RB",LeagueInfo!$D$4*LeagueInfo!$F$2,IF(C385="WR",LeagueInfo!$D$5*LeagueInfo!$F$2,IF(C385="TE",LeagueInfo!$D$6*LeagueInfo!$F$2)))</f>
        <v>12</v>
      </c>
    </row>
    <row r="386" spans="1:9" x14ac:dyDescent="0.25">
      <c r="A386">
        <f ca="1">RANK(E386,E$2:E$462)</f>
        <v>385</v>
      </c>
      <c r="B386" t="s">
        <v>938</v>
      </c>
      <c r="C386" t="s">
        <v>28</v>
      </c>
      <c r="D386">
        <f ca="1">INDEX(INDIRECT($C386&amp;"!P:P"),MATCH($B386,INDIRECT($C386&amp;"!B:B"),0))</f>
        <v>16.2</v>
      </c>
      <c r="E386" s="210">
        <f ca="1">D386-LARGE(D$2:D$385,RBCount+WRCount+TECount)</f>
        <v>-91.789999999999992</v>
      </c>
      <c r="F386" t="str">
        <f ca="1">IF(H386&lt;=I386,"Starter",IF(G386&gt;=LARGE(G:G,FlexOn*LeagueInfo!$F$2),"Starter","Bench"))</f>
        <v>Bench</v>
      </c>
      <c r="G386">
        <f ca="1">IF(H386&gt;I386,D386,0)</f>
        <v>16.2</v>
      </c>
      <c r="H386">
        <f ca="1">INDEX(INDIRECT(""&amp;C386&amp;"!A2:A489"),MATCH(B386,INDIRECT(""&amp;C386&amp;"!B2:B489"),0))</f>
        <v>129</v>
      </c>
      <c r="I386">
        <f>IF(C386="RB",LeagueInfo!$D$4*LeagueInfo!$F$2,IF(C386="WR",LeagueInfo!$D$5*LeagueInfo!$F$2,IF(C386="TE",LeagueInfo!$D$6*LeagueInfo!$F$2)))</f>
        <v>24</v>
      </c>
    </row>
    <row r="387" spans="1:9" x14ac:dyDescent="0.25">
      <c r="A387">
        <f ca="1">RANK(E387,E$2:E$462)</f>
        <v>386</v>
      </c>
      <c r="B387" t="s">
        <v>845</v>
      </c>
      <c r="C387" t="s">
        <v>35</v>
      </c>
      <c r="D387">
        <f ca="1">INDEX(INDIRECT($C387&amp;"!P:P"),MATCH($B387,INDIRECT($C387&amp;"!B:B"),0))</f>
        <v>16.170000000000002</v>
      </c>
      <c r="E387" s="210">
        <f ca="1">D387-LARGE(D$2:D$385,RBCount+WRCount+TECount)</f>
        <v>-91.82</v>
      </c>
      <c r="F387" t="str">
        <f ca="1">IF(H387&lt;=I387,"Starter",IF(G387&gt;=LARGE(G:G,FlexOn*LeagueInfo!$F$2),"Starter","Bench"))</f>
        <v>Bench</v>
      </c>
      <c r="G387">
        <f ca="1">IF(H387&gt;I387,D387,0)</f>
        <v>16.170000000000002</v>
      </c>
      <c r="H387">
        <f ca="1">INDEX(INDIRECT(""&amp;C387&amp;"!A2:A489"),MATCH(B387,INDIRECT(""&amp;C387&amp;"!B2:B489"),0))</f>
        <v>169</v>
      </c>
      <c r="I387">
        <f>IF(C387="RB",LeagueInfo!$D$4*LeagueInfo!$F$2,IF(C387="WR",LeagueInfo!$D$5*LeagueInfo!$F$2,IF(C387="TE",LeagueInfo!$D$6*LeagueInfo!$F$2)))</f>
        <v>24</v>
      </c>
    </row>
    <row r="388" spans="1:9" x14ac:dyDescent="0.25">
      <c r="A388">
        <f ca="1">RANK(E388,E$2:E$462)</f>
        <v>387</v>
      </c>
      <c r="B388" t="s">
        <v>2740</v>
      </c>
      <c r="C388" t="s">
        <v>35</v>
      </c>
      <c r="D388">
        <f ca="1">INDEX(INDIRECT($C388&amp;"!P:P"),MATCH($B388,INDIRECT($C388&amp;"!B:B"),0))</f>
        <v>16.100000000000001</v>
      </c>
      <c r="E388" s="210">
        <f ca="1">D388-LARGE(D$2:D$385,RBCount+WRCount+TECount)</f>
        <v>-91.889999999999986</v>
      </c>
      <c r="F388" t="str">
        <f ca="1">IF(H388&lt;=I388,"Starter",IF(G388&gt;=LARGE(G:G,FlexOn*LeagueInfo!$F$2),"Starter","Bench"))</f>
        <v>Bench</v>
      </c>
      <c r="G388">
        <f ca="1">IF(H388&gt;I388,D388,0)</f>
        <v>16.100000000000001</v>
      </c>
      <c r="H388">
        <f ca="1">INDEX(INDIRECT(""&amp;C388&amp;"!A2:A489"),MATCH(B388,INDIRECT(""&amp;C388&amp;"!B2:B489"),0))</f>
        <v>170</v>
      </c>
      <c r="I388">
        <f>IF(C388="RB",LeagueInfo!$D$4*LeagueInfo!$F$2,IF(C388="WR",LeagueInfo!$D$5*LeagueInfo!$F$2,IF(C388="TE",LeagueInfo!$D$6*LeagueInfo!$F$2)))</f>
        <v>24</v>
      </c>
    </row>
    <row r="389" spans="1:9" x14ac:dyDescent="0.25">
      <c r="A389">
        <f ca="1">RANK(E389,E$2:E$462)</f>
        <v>388</v>
      </c>
      <c r="B389" t="s">
        <v>2676</v>
      </c>
      <c r="C389" t="s">
        <v>35</v>
      </c>
      <c r="D389">
        <f ca="1">INDEX(INDIRECT($C389&amp;"!P:P"),MATCH($B389,INDIRECT($C389&amp;"!B:B"),0))</f>
        <v>15.91</v>
      </c>
      <c r="E389" s="210">
        <f ca="1">D389-LARGE(D$2:D$385,RBCount+WRCount+TECount)</f>
        <v>-92.08</v>
      </c>
      <c r="F389" t="str">
        <f ca="1">IF(H389&lt;=I389,"Starter",IF(G389&gt;=LARGE(G:G,FlexOn*LeagueInfo!$F$2),"Starter","Bench"))</f>
        <v>Bench</v>
      </c>
      <c r="G389">
        <f ca="1">IF(H389&gt;I389,D389,0)</f>
        <v>15.91</v>
      </c>
      <c r="H389">
        <f ca="1">INDEX(INDIRECT(""&amp;C389&amp;"!A2:A489"),MATCH(B389,INDIRECT(""&amp;C389&amp;"!B2:B489"),0))</f>
        <v>171</v>
      </c>
      <c r="I389">
        <f>IF(C389="RB",LeagueInfo!$D$4*LeagueInfo!$F$2,IF(C389="WR",LeagueInfo!$D$5*LeagueInfo!$F$2,IF(C389="TE",LeagueInfo!$D$6*LeagueInfo!$F$2)))</f>
        <v>24</v>
      </c>
    </row>
    <row r="390" spans="1:9" x14ac:dyDescent="0.25">
      <c r="A390">
        <f ca="1">RANK(E390,E$2:E$462)</f>
        <v>389</v>
      </c>
      <c r="B390" t="s">
        <v>761</v>
      </c>
      <c r="C390" t="s">
        <v>43</v>
      </c>
      <c r="D390">
        <f ca="1">INDEX(INDIRECT($C390&amp;"!P:P"),MATCH($B390,INDIRECT($C390&amp;"!B:B"),0))</f>
        <v>15.87</v>
      </c>
      <c r="E390" s="210">
        <f ca="1">D390-LARGE(D$2:D$385,RBCount+WRCount+TECount)</f>
        <v>-92.11999999999999</v>
      </c>
      <c r="F390" t="str">
        <f ca="1">IF(H390&lt;=I390,"Starter",IF(G390&gt;=LARGE(G:G,FlexOn*LeagueInfo!$F$2),"Starter","Bench"))</f>
        <v>Bench</v>
      </c>
      <c r="G390">
        <f ca="1">IF(H390&gt;I390,D390,0)</f>
        <v>15.87</v>
      </c>
      <c r="H390">
        <f ca="1">INDEX(INDIRECT(""&amp;C390&amp;"!A2:A489"),MATCH(B390,INDIRECT(""&amp;C390&amp;"!B2:B489"),0))</f>
        <v>89</v>
      </c>
      <c r="I390">
        <f>IF(C390="RB",LeagueInfo!$D$4*LeagueInfo!$F$2,IF(C390="WR",LeagueInfo!$D$5*LeagueInfo!$F$2,IF(C390="TE",LeagueInfo!$D$6*LeagueInfo!$F$2)))</f>
        <v>12</v>
      </c>
    </row>
    <row r="391" spans="1:9" x14ac:dyDescent="0.25">
      <c r="A391">
        <f ca="1">RANK(E391,E$2:E$462)</f>
        <v>390</v>
      </c>
      <c r="B391" t="s">
        <v>392</v>
      </c>
      <c r="C391" t="s">
        <v>35</v>
      </c>
      <c r="D391">
        <f ca="1">INDEX(INDIRECT($C391&amp;"!P:P"),MATCH($B391,INDIRECT($C391&amp;"!B:B"),0))</f>
        <v>15.82</v>
      </c>
      <c r="E391" s="210">
        <f ca="1">D391-LARGE(D$2:D$385,RBCount+WRCount+TECount)</f>
        <v>-92.169999999999987</v>
      </c>
      <c r="F391" t="str">
        <f ca="1">IF(H391&lt;=I391,"Starter",IF(G391&gt;=LARGE(G:G,FlexOn*LeagueInfo!$F$2),"Starter","Bench"))</f>
        <v>Bench</v>
      </c>
      <c r="G391">
        <f ca="1">IF(H391&gt;I391,D391,0)</f>
        <v>15.82</v>
      </c>
      <c r="H391">
        <f ca="1">INDEX(INDIRECT(""&amp;C391&amp;"!A2:A489"),MATCH(B391,INDIRECT(""&amp;C391&amp;"!B2:B489"),0))</f>
        <v>172</v>
      </c>
      <c r="I391">
        <f>IF(C391="RB",LeagueInfo!$D$4*LeagueInfo!$F$2,IF(C391="WR",LeagueInfo!$D$5*LeagueInfo!$F$2,IF(C391="TE",LeagueInfo!$D$6*LeagueInfo!$F$2)))</f>
        <v>24</v>
      </c>
    </row>
    <row r="392" spans="1:9" x14ac:dyDescent="0.25">
      <c r="A392">
        <f ca="1">RANK(E392,E$2:E$462)</f>
        <v>391</v>
      </c>
      <c r="B392" t="s">
        <v>2434</v>
      </c>
      <c r="C392" t="s">
        <v>35</v>
      </c>
      <c r="D392">
        <f ca="1">INDEX(INDIRECT($C392&amp;"!P:P"),MATCH($B392,INDIRECT($C392&amp;"!B:B"),0))</f>
        <v>15.690000000000001</v>
      </c>
      <c r="E392" s="210">
        <f ca="1">D392-LARGE(D$2:D$385,RBCount+WRCount+TECount)</f>
        <v>-92.3</v>
      </c>
      <c r="F392" t="str">
        <f ca="1">IF(H392&lt;=I392,"Starter",IF(G392&gt;=LARGE(G:G,FlexOn*LeagueInfo!$F$2),"Starter","Bench"))</f>
        <v>Bench</v>
      </c>
      <c r="G392">
        <f ca="1">IF(H392&gt;I392,D392,0)</f>
        <v>15.690000000000001</v>
      </c>
      <c r="H392">
        <f ca="1">INDEX(INDIRECT(""&amp;C392&amp;"!A2:A489"),MATCH(B392,INDIRECT(""&amp;C392&amp;"!B2:B489"),0))</f>
        <v>173</v>
      </c>
      <c r="I392">
        <f>IF(C392="RB",LeagueInfo!$D$4*LeagueInfo!$F$2,IF(C392="WR",LeagueInfo!$D$5*LeagueInfo!$F$2,IF(C392="TE",LeagueInfo!$D$6*LeagueInfo!$F$2)))</f>
        <v>24</v>
      </c>
    </row>
    <row r="393" spans="1:9" x14ac:dyDescent="0.25">
      <c r="A393">
        <f ca="1">RANK(E393,E$2:E$462)</f>
        <v>391</v>
      </c>
      <c r="B393" t="s">
        <v>760</v>
      </c>
      <c r="C393" t="s">
        <v>43</v>
      </c>
      <c r="D393">
        <f ca="1">INDEX(INDIRECT($C393&amp;"!P:P"),MATCH($B393,INDIRECT($C393&amp;"!B:B"),0))</f>
        <v>15.690000000000001</v>
      </c>
      <c r="E393" s="210">
        <f ca="1">D393-LARGE(D$2:D$385,RBCount+WRCount+TECount)</f>
        <v>-92.3</v>
      </c>
      <c r="F393" t="str">
        <f ca="1">IF(H393&lt;=I393,"Starter",IF(G393&gt;=LARGE(G:G,FlexOn*LeagueInfo!$F$2),"Starter","Bench"))</f>
        <v>Bench</v>
      </c>
      <c r="G393">
        <f ca="1">IF(H393&gt;I393,D393,0)</f>
        <v>15.690000000000001</v>
      </c>
      <c r="H393">
        <f ca="1">INDEX(INDIRECT(""&amp;C393&amp;"!A2:A489"),MATCH(B393,INDIRECT(""&amp;C393&amp;"!B2:B489"),0))</f>
        <v>90</v>
      </c>
      <c r="I393">
        <f>IF(C393="RB",LeagueInfo!$D$4*LeagueInfo!$F$2,IF(C393="WR",LeagueInfo!$D$5*LeagueInfo!$F$2,IF(C393="TE",LeagueInfo!$D$6*LeagueInfo!$F$2)))</f>
        <v>12</v>
      </c>
    </row>
    <row r="394" spans="1:9" x14ac:dyDescent="0.25">
      <c r="A394">
        <f ca="1">RANK(E394,E$2:E$462)</f>
        <v>393</v>
      </c>
      <c r="B394" t="s">
        <v>910</v>
      </c>
      <c r="C394" t="s">
        <v>28</v>
      </c>
      <c r="D394">
        <f ca="1">INDEX(INDIRECT($C394&amp;"!P:P"),MATCH($B394,INDIRECT($C394&amp;"!B:B"),0))</f>
        <v>15.560000000000002</v>
      </c>
      <c r="E394" s="210">
        <f ca="1">D394-LARGE(D$2:D$385,RBCount+WRCount+TECount)</f>
        <v>-92.429999999999993</v>
      </c>
      <c r="F394" t="str">
        <f ca="1">IF(H394&lt;=I394,"Starter",IF(G394&gt;=LARGE(G:G,FlexOn*LeagueInfo!$F$2),"Starter","Bench"))</f>
        <v>Bench</v>
      </c>
      <c r="G394">
        <f ca="1">IF(H394&gt;I394,D394,0)</f>
        <v>15.560000000000002</v>
      </c>
      <c r="H394">
        <f ca="1">INDEX(INDIRECT(""&amp;C394&amp;"!A2:A489"),MATCH(B394,INDIRECT(""&amp;C394&amp;"!B2:B489"),0))</f>
        <v>130</v>
      </c>
      <c r="I394">
        <f>IF(C394="RB",LeagueInfo!$D$4*LeagueInfo!$F$2,IF(C394="WR",LeagueInfo!$D$5*LeagueInfo!$F$2,IF(C394="TE",LeagueInfo!$D$6*LeagueInfo!$F$2)))</f>
        <v>24</v>
      </c>
    </row>
    <row r="395" spans="1:9" x14ac:dyDescent="0.25">
      <c r="A395">
        <f ca="1">RANK(E395,E$2:E$462)</f>
        <v>394</v>
      </c>
      <c r="B395" t="s">
        <v>900</v>
      </c>
      <c r="C395" t="s">
        <v>28</v>
      </c>
      <c r="D395">
        <f ca="1">INDEX(INDIRECT($C395&amp;"!P:P"),MATCH($B395,INDIRECT($C395&amp;"!B:B"),0))</f>
        <v>15.470000000000002</v>
      </c>
      <c r="E395" s="210">
        <f ca="1">D395-LARGE(D$2:D$385,RBCount+WRCount+TECount)</f>
        <v>-92.52</v>
      </c>
      <c r="F395" t="str">
        <f ca="1">IF(H395&lt;=I395,"Starter",IF(G395&gt;=LARGE(G:G,FlexOn*LeagueInfo!$F$2),"Starter","Bench"))</f>
        <v>Bench</v>
      </c>
      <c r="G395">
        <f ca="1">IF(H395&gt;I395,D395,0)</f>
        <v>15.470000000000002</v>
      </c>
      <c r="H395">
        <f ca="1">INDEX(INDIRECT(""&amp;C395&amp;"!A2:A489"),MATCH(B395,INDIRECT(""&amp;C395&amp;"!B2:B489"),0))</f>
        <v>131</v>
      </c>
      <c r="I395">
        <f>IF(C395="RB",LeagueInfo!$D$4*LeagueInfo!$F$2,IF(C395="WR",LeagueInfo!$D$5*LeagueInfo!$F$2,IF(C395="TE",LeagueInfo!$D$6*LeagueInfo!$F$2)))</f>
        <v>24</v>
      </c>
    </row>
    <row r="396" spans="1:9" x14ac:dyDescent="0.25">
      <c r="A396">
        <f ca="1">RANK(E396,E$2:E$462)</f>
        <v>395</v>
      </c>
      <c r="B396" t="s">
        <v>986</v>
      </c>
      <c r="C396" t="s">
        <v>43</v>
      </c>
      <c r="D396">
        <f ca="1">INDEX(INDIRECT($C396&amp;"!P:P"),MATCH($B396,INDIRECT($C396&amp;"!B:B"),0))</f>
        <v>15.42</v>
      </c>
      <c r="E396" s="210">
        <f ca="1">D396-LARGE(D$2:D$385,RBCount+WRCount+TECount)</f>
        <v>-92.57</v>
      </c>
      <c r="F396" t="str">
        <f ca="1">IF(H396&lt;=I396,"Starter",IF(G396&gt;=LARGE(G:G,FlexOn*LeagueInfo!$F$2),"Starter","Bench"))</f>
        <v>Bench</v>
      </c>
      <c r="G396">
        <f ca="1">IF(H396&gt;I396,D396,0)</f>
        <v>15.42</v>
      </c>
      <c r="H396">
        <f ca="1">INDEX(INDIRECT(""&amp;C396&amp;"!A2:A489"),MATCH(B396,INDIRECT(""&amp;C396&amp;"!B2:B489"),0))</f>
        <v>91</v>
      </c>
      <c r="I396">
        <f>IF(C396="RB",LeagueInfo!$D$4*LeagueInfo!$F$2,IF(C396="WR",LeagueInfo!$D$5*LeagueInfo!$F$2,IF(C396="TE",LeagueInfo!$D$6*LeagueInfo!$F$2)))</f>
        <v>12</v>
      </c>
    </row>
    <row r="397" spans="1:9" x14ac:dyDescent="0.25">
      <c r="A397">
        <f ca="1">RANK(E397,E$2:E$462)</f>
        <v>396</v>
      </c>
      <c r="B397" t="s">
        <v>354</v>
      </c>
      <c r="C397" t="s">
        <v>28</v>
      </c>
      <c r="D397">
        <f ca="1">INDEX(INDIRECT($C397&amp;"!P:P"),MATCH($B397,INDIRECT($C397&amp;"!B:B"),0))</f>
        <v>15.400000000000002</v>
      </c>
      <c r="E397" s="210">
        <f ca="1">D397-LARGE(D$2:D$385,RBCount+WRCount+TECount)</f>
        <v>-92.589999999999989</v>
      </c>
      <c r="F397" t="str">
        <f ca="1">IF(H397&lt;=I397,"Starter",IF(G397&gt;=LARGE(G:G,FlexOn*LeagueInfo!$F$2),"Starter","Bench"))</f>
        <v>Bench</v>
      </c>
      <c r="G397">
        <f ca="1">IF(H397&gt;I397,D397,0)</f>
        <v>15.400000000000002</v>
      </c>
      <c r="H397">
        <f ca="1">INDEX(INDIRECT(""&amp;C397&amp;"!A2:A489"),MATCH(B397,INDIRECT(""&amp;C397&amp;"!B2:B489"),0))</f>
        <v>132</v>
      </c>
      <c r="I397">
        <f>IF(C397="RB",LeagueInfo!$D$4*LeagueInfo!$F$2,IF(C397="WR",LeagueInfo!$D$5*LeagueInfo!$F$2,IF(C397="TE",LeagueInfo!$D$6*LeagueInfo!$F$2)))</f>
        <v>24</v>
      </c>
    </row>
    <row r="398" spans="1:9" x14ac:dyDescent="0.25">
      <c r="A398">
        <f ca="1">RANK(E398,E$2:E$462)</f>
        <v>397</v>
      </c>
      <c r="B398" t="s">
        <v>983</v>
      </c>
      <c r="C398" t="s">
        <v>43</v>
      </c>
      <c r="D398">
        <f ca="1">INDEX(INDIRECT($C398&amp;"!P:P"),MATCH($B398,INDIRECT($C398&amp;"!B:B"),0))</f>
        <v>15.260000000000002</v>
      </c>
      <c r="E398" s="210">
        <f ca="1">D398-LARGE(D$2:D$385,RBCount+WRCount+TECount)</f>
        <v>-92.72999999999999</v>
      </c>
      <c r="F398" t="str">
        <f ca="1">IF(H398&lt;=I398,"Starter",IF(G398&gt;=LARGE(G:G,FlexOn*LeagueInfo!$F$2),"Starter","Bench"))</f>
        <v>Bench</v>
      </c>
      <c r="G398">
        <f ca="1">IF(H398&gt;I398,D398,0)</f>
        <v>15.260000000000002</v>
      </c>
      <c r="H398">
        <f ca="1">INDEX(INDIRECT(""&amp;C398&amp;"!A2:A489"),MATCH(B398,INDIRECT(""&amp;C398&amp;"!B2:B489"),0))</f>
        <v>92</v>
      </c>
      <c r="I398">
        <f>IF(C398="RB",LeagueInfo!$D$4*LeagueInfo!$F$2,IF(C398="WR",LeagueInfo!$D$5*LeagueInfo!$F$2,IF(C398="TE",LeagueInfo!$D$6*LeagueInfo!$F$2)))</f>
        <v>12</v>
      </c>
    </row>
    <row r="399" spans="1:9" x14ac:dyDescent="0.25">
      <c r="A399">
        <f ca="1">RANK(E399,E$2:E$462)</f>
        <v>398</v>
      </c>
      <c r="B399" t="s">
        <v>430</v>
      </c>
      <c r="C399" t="s">
        <v>43</v>
      </c>
      <c r="D399">
        <f ca="1">INDEX(INDIRECT($C399&amp;"!P:P"),MATCH($B399,INDIRECT($C399&amp;"!B:B"),0))</f>
        <v>15.25</v>
      </c>
      <c r="E399" s="210">
        <f ca="1">D399-LARGE(D$2:D$385,RBCount+WRCount+TECount)</f>
        <v>-92.74</v>
      </c>
      <c r="F399" t="str">
        <f ca="1">IF(H399&lt;=I399,"Starter",IF(G399&gt;=LARGE(G:G,FlexOn*LeagueInfo!$F$2),"Starter","Bench"))</f>
        <v>Bench</v>
      </c>
      <c r="G399">
        <f ca="1">IF(H399&gt;I399,D399,0)</f>
        <v>15.25</v>
      </c>
      <c r="H399">
        <f ca="1">INDEX(INDIRECT(""&amp;C399&amp;"!A2:A489"),MATCH(B399,INDIRECT(""&amp;C399&amp;"!B2:B489"),0))</f>
        <v>93</v>
      </c>
      <c r="I399">
        <f>IF(C399="RB",LeagueInfo!$D$4*LeagueInfo!$F$2,IF(C399="WR",LeagueInfo!$D$5*LeagueInfo!$F$2,IF(C399="TE",LeagueInfo!$D$6*LeagueInfo!$F$2)))</f>
        <v>12</v>
      </c>
    </row>
    <row r="400" spans="1:9" x14ac:dyDescent="0.25">
      <c r="A400">
        <f ca="1">RANK(E400,E$2:E$462)</f>
        <v>399</v>
      </c>
      <c r="B400" t="s">
        <v>804</v>
      </c>
      <c r="C400" t="s">
        <v>35</v>
      </c>
      <c r="D400">
        <f ca="1">INDEX(INDIRECT($C400&amp;"!P:P"),MATCH($B400,INDIRECT($C400&amp;"!B:B"),0))</f>
        <v>15.059999999999999</v>
      </c>
      <c r="E400" s="210">
        <f ca="1">D400-LARGE(D$2:D$385,RBCount+WRCount+TECount)</f>
        <v>-92.929999999999993</v>
      </c>
      <c r="F400" t="str">
        <f ca="1">IF(H400&lt;=I400,"Starter",IF(G400&gt;=LARGE(G:G,FlexOn*LeagueInfo!$F$2),"Starter","Bench"))</f>
        <v>Bench</v>
      </c>
      <c r="G400">
        <f ca="1">IF(H400&gt;I400,D400,0)</f>
        <v>15.059999999999999</v>
      </c>
      <c r="H400">
        <f ca="1">INDEX(INDIRECT(""&amp;C400&amp;"!A2:A489"),MATCH(B400,INDIRECT(""&amp;C400&amp;"!B2:B489"),0))</f>
        <v>174</v>
      </c>
      <c r="I400">
        <f>IF(C400="RB",LeagueInfo!$D$4*LeagueInfo!$F$2,IF(C400="WR",LeagueInfo!$D$5*LeagueInfo!$F$2,IF(C400="TE",LeagueInfo!$D$6*LeagueInfo!$F$2)))</f>
        <v>24</v>
      </c>
    </row>
    <row r="401" spans="1:9" x14ac:dyDescent="0.25">
      <c r="A401">
        <f ca="1">RANK(E401,E$2:E$462)</f>
        <v>400</v>
      </c>
      <c r="B401" t="s">
        <v>684</v>
      </c>
      <c r="C401" t="s">
        <v>28</v>
      </c>
      <c r="D401">
        <f ca="1">INDEX(INDIRECT($C401&amp;"!P:P"),MATCH($B401,INDIRECT($C401&amp;"!B:B"),0))</f>
        <v>14.899999999999999</v>
      </c>
      <c r="E401" s="210">
        <f ca="1">D401-LARGE(D$2:D$385,RBCount+WRCount+TECount)</f>
        <v>-93.09</v>
      </c>
      <c r="F401" t="str">
        <f ca="1">IF(H401&lt;=I401,"Starter",IF(G401&gt;=LARGE(G:G,FlexOn*LeagueInfo!$F$2),"Starter","Bench"))</f>
        <v>Bench</v>
      </c>
      <c r="G401">
        <f ca="1">IF(H401&gt;I401,D401,0)</f>
        <v>14.899999999999999</v>
      </c>
      <c r="H401">
        <f ca="1">INDEX(INDIRECT(""&amp;C401&amp;"!A2:A489"),MATCH(B401,INDIRECT(""&amp;C401&amp;"!B2:B489"),0))</f>
        <v>133</v>
      </c>
      <c r="I401">
        <f>IF(C401="RB",LeagueInfo!$D$4*LeagueInfo!$F$2,IF(C401="WR",LeagueInfo!$D$5*LeagueInfo!$F$2,IF(C401="TE",LeagueInfo!$D$6*LeagueInfo!$F$2)))</f>
        <v>24</v>
      </c>
    </row>
    <row r="402" spans="1:9" x14ac:dyDescent="0.25">
      <c r="A402">
        <f ca="1">RANK(E402,E$2:E$462)</f>
        <v>401</v>
      </c>
      <c r="B402" t="s">
        <v>2488</v>
      </c>
      <c r="C402" t="s">
        <v>43</v>
      </c>
      <c r="D402">
        <f ca="1">INDEX(INDIRECT($C402&amp;"!P:P"),MATCH($B402,INDIRECT($C402&amp;"!B:B"),0))</f>
        <v>14.690000000000001</v>
      </c>
      <c r="E402" s="210">
        <f ca="1">D402-LARGE(D$2:D$385,RBCount+WRCount+TECount)</f>
        <v>-93.3</v>
      </c>
      <c r="F402" t="str">
        <f ca="1">IF(H402&lt;=I402,"Starter",IF(G402&gt;=LARGE(G:G,FlexOn*LeagueInfo!$F$2),"Starter","Bench"))</f>
        <v>Bench</v>
      </c>
      <c r="G402">
        <f ca="1">IF(H402&gt;I402,D402,0)</f>
        <v>14.690000000000001</v>
      </c>
      <c r="H402">
        <f ca="1">INDEX(INDIRECT(""&amp;C402&amp;"!A2:A489"),MATCH(B402,INDIRECT(""&amp;C402&amp;"!B2:B489"),0))</f>
        <v>94</v>
      </c>
      <c r="I402">
        <f>IF(C402="RB",LeagueInfo!$D$4*LeagueInfo!$F$2,IF(C402="WR",LeagueInfo!$D$5*LeagueInfo!$F$2,IF(C402="TE",LeagueInfo!$D$6*LeagueInfo!$F$2)))</f>
        <v>12</v>
      </c>
    </row>
    <row r="403" spans="1:9" x14ac:dyDescent="0.25">
      <c r="A403">
        <f ca="1">RANK(E403,E$2:E$462)</f>
        <v>402</v>
      </c>
      <c r="B403" t="s">
        <v>657</v>
      </c>
      <c r="C403" t="s">
        <v>43</v>
      </c>
      <c r="D403">
        <f ca="1">INDEX(INDIRECT($C403&amp;"!P:P"),MATCH($B403,INDIRECT($C403&amp;"!B:B"),0))</f>
        <v>14.53</v>
      </c>
      <c r="E403" s="210">
        <f ca="1">D403-LARGE(D$2:D$385,RBCount+WRCount+TECount)</f>
        <v>-93.46</v>
      </c>
      <c r="F403" t="str">
        <f ca="1">IF(H403&lt;=I403,"Starter",IF(G403&gt;=LARGE(G:G,FlexOn*LeagueInfo!$F$2),"Starter","Bench"))</f>
        <v>Bench</v>
      </c>
      <c r="G403">
        <f ca="1">IF(H403&gt;I403,D403,0)</f>
        <v>14.53</v>
      </c>
      <c r="H403">
        <f ca="1">INDEX(INDIRECT(""&amp;C403&amp;"!A2:A489"),MATCH(B403,INDIRECT(""&amp;C403&amp;"!B2:B489"),0))</f>
        <v>95</v>
      </c>
      <c r="I403">
        <f>IF(C403="RB",LeagueInfo!$D$4*LeagueInfo!$F$2,IF(C403="WR",LeagueInfo!$D$5*LeagueInfo!$F$2,IF(C403="TE",LeagueInfo!$D$6*LeagueInfo!$F$2)))</f>
        <v>12</v>
      </c>
    </row>
    <row r="404" spans="1:9" x14ac:dyDescent="0.25">
      <c r="A404">
        <f ca="1">RANK(E404,E$2:E$462)</f>
        <v>403</v>
      </c>
      <c r="B404" t="s">
        <v>2491</v>
      </c>
      <c r="C404" t="s">
        <v>43</v>
      </c>
      <c r="D404">
        <f ca="1">INDEX(INDIRECT($C404&amp;"!P:P"),MATCH($B404,INDIRECT($C404&amp;"!B:B"),0))</f>
        <v>14.5</v>
      </c>
      <c r="E404" s="210">
        <f ca="1">D404-LARGE(D$2:D$385,RBCount+WRCount+TECount)</f>
        <v>-93.49</v>
      </c>
      <c r="F404" t="str">
        <f ca="1">IF(H404&lt;=I404,"Starter",IF(G404&gt;=LARGE(G:G,FlexOn*LeagueInfo!$F$2),"Starter","Bench"))</f>
        <v>Bench</v>
      </c>
      <c r="G404">
        <f ca="1">IF(H404&gt;I404,D404,0)</f>
        <v>14.5</v>
      </c>
      <c r="H404">
        <f ca="1">INDEX(INDIRECT(""&amp;C404&amp;"!A2:A489"),MATCH(B404,INDIRECT(""&amp;C404&amp;"!B2:B489"),0))</f>
        <v>96</v>
      </c>
      <c r="I404">
        <f>IF(C404="RB",LeagueInfo!$D$4*LeagueInfo!$F$2,IF(C404="WR",LeagueInfo!$D$5*LeagueInfo!$F$2,IF(C404="TE",LeagueInfo!$D$6*LeagueInfo!$F$2)))</f>
        <v>12</v>
      </c>
    </row>
    <row r="405" spans="1:9" x14ac:dyDescent="0.25">
      <c r="A405">
        <f ca="1">RANK(E405,E$2:E$462)</f>
        <v>404</v>
      </c>
      <c r="B405" t="s">
        <v>2678</v>
      </c>
      <c r="C405" t="s">
        <v>35</v>
      </c>
      <c r="D405">
        <f ca="1">INDEX(INDIRECT($C405&amp;"!P:P"),MATCH($B405,INDIRECT($C405&amp;"!B:B"),0))</f>
        <v>14.480000000000002</v>
      </c>
      <c r="E405" s="210">
        <f ca="1">D405-LARGE(D$2:D$385,RBCount+WRCount+TECount)</f>
        <v>-93.509999999999991</v>
      </c>
      <c r="F405" t="str">
        <f ca="1">IF(H405&lt;=I405,"Starter",IF(G405&gt;=LARGE(G:G,FlexOn*LeagueInfo!$F$2),"Starter","Bench"))</f>
        <v>Bench</v>
      </c>
      <c r="G405">
        <f ca="1">IF(H405&gt;I405,D405,0)</f>
        <v>14.480000000000002</v>
      </c>
      <c r="H405">
        <f ca="1">INDEX(INDIRECT(""&amp;C405&amp;"!A2:A489"),MATCH(B405,INDIRECT(""&amp;C405&amp;"!B2:B489"),0))</f>
        <v>175</v>
      </c>
      <c r="I405">
        <f>IF(C405="RB",LeagueInfo!$D$4*LeagueInfo!$F$2,IF(C405="WR",LeagueInfo!$D$5*LeagueInfo!$F$2,IF(C405="TE",LeagueInfo!$D$6*LeagueInfo!$F$2)))</f>
        <v>24</v>
      </c>
    </row>
    <row r="406" spans="1:9" x14ac:dyDescent="0.25">
      <c r="A406">
        <f ca="1">RANK(E406,E$2:E$462)</f>
        <v>405</v>
      </c>
      <c r="B406" t="s">
        <v>403</v>
      </c>
      <c r="C406" t="s">
        <v>35</v>
      </c>
      <c r="D406">
        <f ca="1">INDEX(INDIRECT($C406&amp;"!P:P"),MATCH($B406,INDIRECT($C406&amp;"!B:B"),0))</f>
        <v>14.36</v>
      </c>
      <c r="E406" s="210">
        <f ca="1">D406-LARGE(D$2:D$385,RBCount+WRCount+TECount)</f>
        <v>-93.63</v>
      </c>
      <c r="F406" t="str">
        <f ca="1">IF(H406&lt;=I406,"Starter",IF(G406&gt;=LARGE(G:G,FlexOn*LeagueInfo!$F$2),"Starter","Bench"))</f>
        <v>Bench</v>
      </c>
      <c r="G406">
        <f ca="1">IF(H406&gt;I406,D406,0)</f>
        <v>14.36</v>
      </c>
      <c r="H406">
        <f ca="1">INDEX(INDIRECT(""&amp;C406&amp;"!A2:A489"),MATCH(B406,INDIRECT(""&amp;C406&amp;"!B2:B489"),0))</f>
        <v>176</v>
      </c>
      <c r="I406">
        <f>IF(C406="RB",LeagueInfo!$D$4*LeagueInfo!$F$2,IF(C406="WR",LeagueInfo!$D$5*LeagueInfo!$F$2,IF(C406="TE",LeagueInfo!$D$6*LeagueInfo!$F$2)))</f>
        <v>24</v>
      </c>
    </row>
    <row r="407" spans="1:9" x14ac:dyDescent="0.25">
      <c r="A407">
        <f ca="1">RANK(E407,E$2:E$462)</f>
        <v>406</v>
      </c>
      <c r="B407" t="s">
        <v>994</v>
      </c>
      <c r="C407" t="s">
        <v>35</v>
      </c>
      <c r="D407">
        <f ca="1">INDEX(INDIRECT($C407&amp;"!P:P"),MATCH($B407,INDIRECT($C407&amp;"!B:B"),0))</f>
        <v>14.25</v>
      </c>
      <c r="E407" s="210">
        <f ca="1">D407-LARGE(D$2:D$385,RBCount+WRCount+TECount)</f>
        <v>-93.74</v>
      </c>
      <c r="F407" t="str">
        <f ca="1">IF(H407&lt;=I407,"Starter",IF(G407&gt;=LARGE(G:G,FlexOn*LeagueInfo!$F$2),"Starter","Bench"))</f>
        <v>Bench</v>
      </c>
      <c r="G407">
        <f ca="1">IF(H407&gt;I407,D407,0)</f>
        <v>14.25</v>
      </c>
      <c r="H407">
        <f ca="1">INDEX(INDIRECT(""&amp;C407&amp;"!A2:A489"),MATCH(B407,INDIRECT(""&amp;C407&amp;"!B2:B489"),0))</f>
        <v>177</v>
      </c>
      <c r="I407">
        <f>IF(C407="RB",LeagueInfo!$D$4*LeagueInfo!$F$2,IF(C407="WR",LeagueInfo!$D$5*LeagueInfo!$F$2,IF(C407="TE",LeagueInfo!$D$6*LeagueInfo!$F$2)))</f>
        <v>24</v>
      </c>
    </row>
    <row r="408" spans="1:9" x14ac:dyDescent="0.25">
      <c r="A408">
        <f ca="1">RANK(E408,E$2:E$462)</f>
        <v>407</v>
      </c>
      <c r="B408" t="s">
        <v>999</v>
      </c>
      <c r="C408" t="s">
        <v>35</v>
      </c>
      <c r="D408">
        <f ca="1">INDEX(INDIRECT($C408&amp;"!P:P"),MATCH($B408,INDIRECT($C408&amp;"!B:B"),0))</f>
        <v>14.11</v>
      </c>
      <c r="E408" s="210">
        <f ca="1">D408-LARGE(D$2:D$385,RBCount+WRCount+TECount)</f>
        <v>-93.88</v>
      </c>
      <c r="F408" t="str">
        <f ca="1">IF(H408&lt;=I408,"Starter",IF(G408&gt;=LARGE(G:G,FlexOn*LeagueInfo!$F$2),"Starter","Bench"))</f>
        <v>Bench</v>
      </c>
      <c r="G408">
        <f ca="1">IF(H408&gt;I408,D408,0)</f>
        <v>14.11</v>
      </c>
      <c r="H408">
        <f ca="1">INDEX(INDIRECT(""&amp;C408&amp;"!A2:A489"),MATCH(B408,INDIRECT(""&amp;C408&amp;"!B2:B489"),0))</f>
        <v>178</v>
      </c>
      <c r="I408">
        <f>IF(C408="RB",LeagueInfo!$D$4*LeagueInfo!$F$2,IF(C408="WR",LeagueInfo!$D$5*LeagueInfo!$F$2,IF(C408="TE",LeagueInfo!$D$6*LeagueInfo!$F$2)))</f>
        <v>24</v>
      </c>
    </row>
    <row r="409" spans="1:9" x14ac:dyDescent="0.25">
      <c r="A409">
        <f ca="1">RANK(E409,E$2:E$462)</f>
        <v>408</v>
      </c>
      <c r="B409" t="s">
        <v>853</v>
      </c>
      <c r="C409" t="s">
        <v>35</v>
      </c>
      <c r="D409">
        <f ca="1">INDEX(INDIRECT($C409&amp;"!P:P"),MATCH($B409,INDIRECT($C409&amp;"!B:B"),0))</f>
        <v>14.01</v>
      </c>
      <c r="E409" s="210">
        <f ca="1">D409-LARGE(D$2:D$385,RBCount+WRCount+TECount)</f>
        <v>-93.97999999999999</v>
      </c>
      <c r="F409" t="str">
        <f ca="1">IF(H409&lt;=I409,"Starter",IF(G409&gt;=LARGE(G:G,FlexOn*LeagueInfo!$F$2),"Starter","Bench"))</f>
        <v>Bench</v>
      </c>
      <c r="G409">
        <f ca="1">IF(H409&gt;I409,D409,0)</f>
        <v>14.01</v>
      </c>
      <c r="H409">
        <f ca="1">INDEX(INDIRECT(""&amp;C409&amp;"!A2:A489"),MATCH(B409,INDIRECT(""&amp;C409&amp;"!B2:B489"),0))</f>
        <v>179</v>
      </c>
      <c r="I409">
        <f>IF(C409="RB",LeagueInfo!$D$4*LeagueInfo!$F$2,IF(C409="WR",LeagueInfo!$D$5*LeagueInfo!$F$2,IF(C409="TE",LeagueInfo!$D$6*LeagueInfo!$F$2)))</f>
        <v>24</v>
      </c>
    </row>
    <row r="410" spans="1:9" x14ac:dyDescent="0.25">
      <c r="A410">
        <f ca="1">RANK(E410,E$2:E$462)</f>
        <v>409</v>
      </c>
      <c r="B410" t="s">
        <v>2741</v>
      </c>
      <c r="C410" t="s">
        <v>35</v>
      </c>
      <c r="D410">
        <f ca="1">INDEX(INDIRECT($C410&amp;"!P:P"),MATCH($B410,INDIRECT($C410&amp;"!B:B"),0))</f>
        <v>13.920000000000002</v>
      </c>
      <c r="E410" s="210">
        <f ca="1">D410-LARGE(D$2:D$385,RBCount+WRCount+TECount)</f>
        <v>-94.07</v>
      </c>
      <c r="F410" t="str">
        <f ca="1">IF(H410&lt;=I410,"Starter",IF(G410&gt;=LARGE(G:G,FlexOn*LeagueInfo!$F$2),"Starter","Bench"))</f>
        <v>Bench</v>
      </c>
      <c r="G410">
        <f ca="1">IF(H410&gt;I410,D410,0)</f>
        <v>13.920000000000002</v>
      </c>
      <c r="H410">
        <f ca="1">INDEX(INDIRECT(""&amp;C410&amp;"!A2:A489"),MATCH(B410,INDIRECT(""&amp;C410&amp;"!B2:B489"),0))</f>
        <v>180</v>
      </c>
      <c r="I410">
        <f>IF(C410="RB",LeagueInfo!$D$4*LeagueInfo!$F$2,IF(C410="WR",LeagueInfo!$D$5*LeagueInfo!$F$2,IF(C410="TE",LeagueInfo!$D$6*LeagueInfo!$F$2)))</f>
        <v>24</v>
      </c>
    </row>
    <row r="411" spans="1:9" x14ac:dyDescent="0.25">
      <c r="A411">
        <f ca="1">RANK(E411,E$2:E$462)</f>
        <v>410</v>
      </c>
      <c r="B411" t="s">
        <v>858</v>
      </c>
      <c r="C411" t="s">
        <v>35</v>
      </c>
      <c r="D411">
        <f ca="1">INDEX(INDIRECT($C411&amp;"!P:P"),MATCH($B411,INDIRECT($C411&amp;"!B:B"),0))</f>
        <v>13.890000000000002</v>
      </c>
      <c r="E411" s="210">
        <f ca="1">D411-LARGE(D$2:D$385,RBCount+WRCount+TECount)</f>
        <v>-94.1</v>
      </c>
      <c r="F411" t="str">
        <f ca="1">IF(H411&lt;=I411,"Starter",IF(G411&gt;=LARGE(G:G,FlexOn*LeagueInfo!$F$2),"Starter","Bench"))</f>
        <v>Bench</v>
      </c>
      <c r="G411">
        <f ca="1">IF(H411&gt;I411,D411,0)</f>
        <v>13.890000000000002</v>
      </c>
      <c r="H411">
        <f ca="1">INDEX(INDIRECT(""&amp;C411&amp;"!A2:A489"),MATCH(B411,INDIRECT(""&amp;C411&amp;"!B2:B489"),0))</f>
        <v>181</v>
      </c>
      <c r="I411">
        <f>IF(C411="RB",LeagueInfo!$D$4*LeagueInfo!$F$2,IF(C411="WR",LeagueInfo!$D$5*LeagueInfo!$F$2,IF(C411="TE",LeagueInfo!$D$6*LeagueInfo!$F$2)))</f>
        <v>24</v>
      </c>
    </row>
    <row r="412" spans="1:9" x14ac:dyDescent="0.25">
      <c r="A412">
        <f ca="1">RANK(E412,E$2:E$462)</f>
        <v>411</v>
      </c>
      <c r="B412" t="s">
        <v>838</v>
      </c>
      <c r="C412" t="s">
        <v>35</v>
      </c>
      <c r="D412">
        <f ca="1">INDEX(INDIRECT($C412&amp;"!P:P"),MATCH($B412,INDIRECT($C412&amp;"!B:B"),0))</f>
        <v>13.729999999999999</v>
      </c>
      <c r="E412" s="210">
        <f ca="1">D412-LARGE(D$2:D$385,RBCount+WRCount+TECount)</f>
        <v>-94.259999999999991</v>
      </c>
      <c r="F412" t="str">
        <f ca="1">IF(H412&lt;=I412,"Starter",IF(G412&gt;=LARGE(G:G,FlexOn*LeagueInfo!$F$2),"Starter","Bench"))</f>
        <v>Bench</v>
      </c>
      <c r="G412">
        <f ca="1">IF(H412&gt;I412,D412,0)</f>
        <v>13.729999999999999</v>
      </c>
      <c r="H412">
        <f ca="1">INDEX(INDIRECT(""&amp;C412&amp;"!A2:A489"),MATCH(B412,INDIRECT(""&amp;C412&amp;"!B2:B489"),0))</f>
        <v>182</v>
      </c>
      <c r="I412">
        <f>IF(C412="RB",LeagueInfo!$D$4*LeagueInfo!$F$2,IF(C412="WR",LeagueInfo!$D$5*LeagueInfo!$F$2,IF(C412="TE",LeagueInfo!$D$6*LeagueInfo!$F$2)))</f>
        <v>24</v>
      </c>
    </row>
    <row r="413" spans="1:9" x14ac:dyDescent="0.25">
      <c r="A413">
        <f ca="1">RANK(E413,E$2:E$462)</f>
        <v>412</v>
      </c>
      <c r="B413" t="s">
        <v>995</v>
      </c>
      <c r="C413" t="s">
        <v>35</v>
      </c>
      <c r="D413">
        <f ca="1">INDEX(INDIRECT($C413&amp;"!P:P"),MATCH($B413,INDIRECT($C413&amp;"!B:B"),0))</f>
        <v>13.64</v>
      </c>
      <c r="E413" s="210">
        <f ca="1">D413-LARGE(D$2:D$385,RBCount+WRCount+TECount)</f>
        <v>-94.35</v>
      </c>
      <c r="F413" t="str">
        <f ca="1">IF(H413&lt;=I413,"Starter",IF(G413&gt;=LARGE(G:G,FlexOn*LeagueInfo!$F$2),"Starter","Bench"))</f>
        <v>Bench</v>
      </c>
      <c r="G413">
        <f ca="1">IF(H413&gt;I413,D413,0)</f>
        <v>13.64</v>
      </c>
      <c r="H413">
        <f ca="1">INDEX(INDIRECT(""&amp;C413&amp;"!A2:A489"),MATCH(B413,INDIRECT(""&amp;C413&amp;"!B2:B489"),0))</f>
        <v>183</v>
      </c>
      <c r="I413">
        <f>IF(C413="RB",LeagueInfo!$D$4*LeagueInfo!$F$2,IF(C413="WR",LeagueInfo!$D$5*LeagueInfo!$F$2,IF(C413="TE",LeagueInfo!$D$6*LeagueInfo!$F$2)))</f>
        <v>24</v>
      </c>
    </row>
    <row r="414" spans="1:9" x14ac:dyDescent="0.25">
      <c r="A414">
        <f ca="1">RANK(E414,E$2:E$462)</f>
        <v>413</v>
      </c>
      <c r="B414" t="s">
        <v>2622</v>
      </c>
      <c r="C414" t="s">
        <v>43</v>
      </c>
      <c r="D414">
        <f ca="1">INDEX(INDIRECT($C414&amp;"!P:P"),MATCH($B414,INDIRECT($C414&amp;"!B:B"),0))</f>
        <v>13.520000000000001</v>
      </c>
      <c r="E414" s="210">
        <f ca="1">D414-LARGE(D$2:D$385,RBCount+WRCount+TECount)</f>
        <v>-94.47</v>
      </c>
      <c r="F414" t="str">
        <f ca="1">IF(H414&lt;=I414,"Starter",IF(G414&gt;=LARGE(G:G,FlexOn*LeagueInfo!$F$2),"Starter","Bench"))</f>
        <v>Bench</v>
      </c>
      <c r="G414">
        <f ca="1">IF(H414&gt;I414,D414,0)</f>
        <v>13.520000000000001</v>
      </c>
      <c r="H414">
        <f ca="1">INDEX(INDIRECT(""&amp;C414&amp;"!A2:A489"),MATCH(B414,INDIRECT(""&amp;C414&amp;"!B2:B489"),0))</f>
        <v>97</v>
      </c>
      <c r="I414">
        <f>IF(C414="RB",LeagueInfo!$D$4*LeagueInfo!$F$2,IF(C414="WR",LeagueInfo!$D$5*LeagueInfo!$F$2,IF(C414="TE",LeagueInfo!$D$6*LeagueInfo!$F$2)))</f>
        <v>12</v>
      </c>
    </row>
    <row r="415" spans="1:9" x14ac:dyDescent="0.25">
      <c r="A415">
        <f ca="1">RANK(E415,E$2:E$462)</f>
        <v>414</v>
      </c>
      <c r="B415" t="s">
        <v>956</v>
      </c>
      <c r="C415" t="s">
        <v>35</v>
      </c>
      <c r="D415">
        <f ca="1">INDEX(INDIRECT($C415&amp;"!P:P"),MATCH($B415,INDIRECT($C415&amp;"!B:B"),0))</f>
        <v>13.510000000000002</v>
      </c>
      <c r="E415" s="210">
        <f ca="1">D415-LARGE(D$2:D$385,RBCount+WRCount+TECount)</f>
        <v>-94.47999999999999</v>
      </c>
      <c r="F415" t="str">
        <f ca="1">IF(H415&lt;=I415,"Starter",IF(G415&gt;=LARGE(G:G,FlexOn*LeagueInfo!$F$2),"Starter","Bench"))</f>
        <v>Bench</v>
      </c>
      <c r="G415">
        <f ca="1">IF(H415&gt;I415,D415,0)</f>
        <v>13.510000000000002</v>
      </c>
      <c r="H415">
        <f ca="1">INDEX(INDIRECT(""&amp;C415&amp;"!A2:A489"),MATCH(B415,INDIRECT(""&amp;C415&amp;"!B2:B489"),0))</f>
        <v>184</v>
      </c>
      <c r="I415">
        <f>IF(C415="RB",LeagueInfo!$D$4*LeagueInfo!$F$2,IF(C415="WR",LeagueInfo!$D$5*LeagueInfo!$F$2,IF(C415="TE",LeagueInfo!$D$6*LeagueInfo!$F$2)))</f>
        <v>24</v>
      </c>
    </row>
    <row r="416" spans="1:9" x14ac:dyDescent="0.25">
      <c r="A416">
        <f ca="1">RANK(E416,E$2:E$462)</f>
        <v>415</v>
      </c>
      <c r="B416" t="s">
        <v>970</v>
      </c>
      <c r="C416" t="s">
        <v>35</v>
      </c>
      <c r="D416">
        <f ca="1">INDEX(INDIRECT($C416&amp;"!P:P"),MATCH($B416,INDIRECT($C416&amp;"!B:B"),0))</f>
        <v>13.440000000000001</v>
      </c>
      <c r="E416" s="210">
        <f ca="1">D416-LARGE(D$2:D$385,RBCount+WRCount+TECount)</f>
        <v>-94.55</v>
      </c>
      <c r="F416" t="str">
        <f ca="1">IF(H416&lt;=I416,"Starter",IF(G416&gt;=LARGE(G:G,FlexOn*LeagueInfo!$F$2),"Starter","Bench"))</f>
        <v>Bench</v>
      </c>
      <c r="G416">
        <f ca="1">IF(H416&gt;I416,D416,0)</f>
        <v>13.440000000000001</v>
      </c>
      <c r="H416">
        <f ca="1">INDEX(INDIRECT(""&amp;C416&amp;"!A2:A489"),MATCH(B416,INDIRECT(""&amp;C416&amp;"!B2:B489"),0))</f>
        <v>185</v>
      </c>
      <c r="I416">
        <f>IF(C416="RB",LeagueInfo!$D$4*LeagueInfo!$F$2,IF(C416="WR",LeagueInfo!$D$5*LeagueInfo!$F$2,IF(C416="TE",LeagueInfo!$D$6*LeagueInfo!$F$2)))</f>
        <v>24</v>
      </c>
    </row>
    <row r="417" spans="1:9" x14ac:dyDescent="0.25">
      <c r="A417">
        <f ca="1">RANK(E417,E$2:E$462)</f>
        <v>416</v>
      </c>
      <c r="B417" t="s">
        <v>2490</v>
      </c>
      <c r="C417" t="s">
        <v>43</v>
      </c>
      <c r="D417">
        <f ca="1">INDEX(INDIRECT($C417&amp;"!P:P"),MATCH($B417,INDIRECT($C417&amp;"!B:B"),0))</f>
        <v>13.270000000000001</v>
      </c>
      <c r="E417" s="210">
        <f ca="1">D417-LARGE(D$2:D$385,RBCount+WRCount+TECount)</f>
        <v>-94.72</v>
      </c>
      <c r="F417" t="str">
        <f ca="1">IF(H417&lt;=I417,"Starter",IF(G417&gt;=LARGE(G:G,FlexOn*LeagueInfo!$F$2),"Starter","Bench"))</f>
        <v>Bench</v>
      </c>
      <c r="G417">
        <f ca="1">IF(H417&gt;I417,D417,0)</f>
        <v>13.270000000000001</v>
      </c>
      <c r="H417">
        <f ca="1">INDEX(INDIRECT(""&amp;C417&amp;"!A2:A489"),MATCH(B417,INDIRECT(""&amp;C417&amp;"!B2:B489"),0))</f>
        <v>98</v>
      </c>
      <c r="I417">
        <f>IF(C417="RB",LeagueInfo!$D$4*LeagueInfo!$F$2,IF(C417="WR",LeagueInfo!$D$5*LeagueInfo!$F$2,IF(C417="TE",LeagueInfo!$D$6*LeagueInfo!$F$2)))</f>
        <v>12</v>
      </c>
    </row>
    <row r="418" spans="1:9" x14ac:dyDescent="0.25">
      <c r="A418">
        <f ca="1">RANK(E418,E$2:E$462)</f>
        <v>417</v>
      </c>
      <c r="B418" t="s">
        <v>582</v>
      </c>
      <c r="C418" t="s">
        <v>35</v>
      </c>
      <c r="D418">
        <f ca="1">INDEX(INDIRECT($C418&amp;"!P:P"),MATCH($B418,INDIRECT($C418&amp;"!B:B"),0))</f>
        <v>13.26</v>
      </c>
      <c r="E418" s="210">
        <f ca="1">D418-LARGE(D$2:D$385,RBCount+WRCount+TECount)</f>
        <v>-94.72999999999999</v>
      </c>
      <c r="F418" t="str">
        <f ca="1">IF(H418&lt;=I418,"Starter",IF(G418&gt;=LARGE(G:G,FlexOn*LeagueInfo!$F$2),"Starter","Bench"))</f>
        <v>Bench</v>
      </c>
      <c r="G418">
        <f ca="1">IF(H418&gt;I418,D418,0)</f>
        <v>13.26</v>
      </c>
      <c r="H418">
        <f ca="1">INDEX(INDIRECT(""&amp;C418&amp;"!A2:A489"),MATCH(B418,INDIRECT(""&amp;C418&amp;"!B2:B489"),0))</f>
        <v>186</v>
      </c>
      <c r="I418">
        <f>IF(C418="RB",LeagueInfo!$D$4*LeagueInfo!$F$2,IF(C418="WR",LeagueInfo!$D$5*LeagueInfo!$F$2,IF(C418="TE",LeagueInfo!$D$6*LeagueInfo!$F$2)))</f>
        <v>24</v>
      </c>
    </row>
    <row r="419" spans="1:9" x14ac:dyDescent="0.25">
      <c r="A419">
        <f ca="1">RANK(E419,E$2:E$462)</f>
        <v>418</v>
      </c>
      <c r="B419" t="s">
        <v>710</v>
      </c>
      <c r="C419" t="s">
        <v>35</v>
      </c>
      <c r="D419">
        <f ca="1">INDEX(INDIRECT($C419&amp;"!P:P"),MATCH($B419,INDIRECT($C419&amp;"!B:B"),0))</f>
        <v>13.040000000000001</v>
      </c>
      <c r="E419" s="210">
        <f ca="1">D419-LARGE(D$2:D$385,RBCount+WRCount+TECount)</f>
        <v>-94.949999999999989</v>
      </c>
      <c r="F419" t="str">
        <f ca="1">IF(H419&lt;=I419,"Starter",IF(G419&gt;=LARGE(G:G,FlexOn*LeagueInfo!$F$2),"Starter","Bench"))</f>
        <v>Bench</v>
      </c>
      <c r="G419">
        <f ca="1">IF(H419&gt;I419,D419,0)</f>
        <v>13.040000000000001</v>
      </c>
      <c r="H419">
        <f ca="1">INDEX(INDIRECT(""&amp;C419&amp;"!A2:A489"),MATCH(B419,INDIRECT(""&amp;C419&amp;"!B2:B489"),0))</f>
        <v>187</v>
      </c>
      <c r="I419">
        <f>IF(C419="RB",LeagueInfo!$D$4*LeagueInfo!$F$2,IF(C419="WR",LeagueInfo!$D$5*LeagueInfo!$F$2,IF(C419="TE",LeagueInfo!$D$6*LeagueInfo!$F$2)))</f>
        <v>24</v>
      </c>
    </row>
    <row r="420" spans="1:9" x14ac:dyDescent="0.25">
      <c r="A420">
        <f ca="1">RANK(E420,E$2:E$462)</f>
        <v>419</v>
      </c>
      <c r="B420" t="s">
        <v>861</v>
      </c>
      <c r="C420" t="s">
        <v>35</v>
      </c>
      <c r="D420">
        <f ca="1">INDEX(INDIRECT($C420&amp;"!P:P"),MATCH($B420,INDIRECT($C420&amp;"!B:B"),0))</f>
        <v>13.020000000000001</v>
      </c>
      <c r="E420" s="210">
        <f ca="1">D420-LARGE(D$2:D$385,RBCount+WRCount+TECount)</f>
        <v>-94.97</v>
      </c>
      <c r="F420" t="str">
        <f ca="1">IF(H420&lt;=I420,"Starter",IF(G420&gt;=LARGE(G:G,FlexOn*LeagueInfo!$F$2),"Starter","Bench"))</f>
        <v>Bench</v>
      </c>
      <c r="G420">
        <f ca="1">IF(H420&gt;I420,D420,0)</f>
        <v>13.020000000000001</v>
      </c>
      <c r="H420">
        <f ca="1">INDEX(INDIRECT(""&amp;C420&amp;"!A2:A489"),MATCH(B420,INDIRECT(""&amp;C420&amp;"!B2:B489"),0))</f>
        <v>188</v>
      </c>
      <c r="I420">
        <f>IF(C420="RB",LeagueInfo!$D$4*LeagueInfo!$F$2,IF(C420="WR",LeagueInfo!$D$5*LeagueInfo!$F$2,IF(C420="TE",LeagueInfo!$D$6*LeagueInfo!$F$2)))</f>
        <v>24</v>
      </c>
    </row>
    <row r="421" spans="1:9" x14ac:dyDescent="0.25">
      <c r="A421">
        <f ca="1">RANK(E421,E$2:E$462)</f>
        <v>420</v>
      </c>
      <c r="B421" t="s">
        <v>644</v>
      </c>
      <c r="C421" t="s">
        <v>35</v>
      </c>
      <c r="D421">
        <f ca="1">INDEX(INDIRECT($C421&amp;"!P:P"),MATCH($B421,INDIRECT($C421&amp;"!B:B"),0))</f>
        <v>12.740000000000002</v>
      </c>
      <c r="E421" s="210">
        <f ca="1">D421-LARGE(D$2:D$385,RBCount+WRCount+TECount)</f>
        <v>-95.25</v>
      </c>
      <c r="F421" t="str">
        <f ca="1">IF(H421&lt;=I421,"Starter",IF(G421&gt;=LARGE(G:G,FlexOn*LeagueInfo!$F$2),"Starter","Bench"))</f>
        <v>Bench</v>
      </c>
      <c r="G421">
        <f ca="1">IF(H421&gt;I421,D421,0)</f>
        <v>12.740000000000002</v>
      </c>
      <c r="H421">
        <f ca="1">INDEX(INDIRECT(""&amp;C421&amp;"!A2:A489"),MATCH(B421,INDIRECT(""&amp;C421&amp;"!B2:B489"),0))</f>
        <v>189</v>
      </c>
      <c r="I421">
        <f>IF(C421="RB",LeagueInfo!$D$4*LeagueInfo!$F$2,IF(C421="WR",LeagueInfo!$D$5*LeagueInfo!$F$2,IF(C421="TE",LeagueInfo!$D$6*LeagueInfo!$F$2)))</f>
        <v>24</v>
      </c>
    </row>
    <row r="422" spans="1:9" x14ac:dyDescent="0.25">
      <c r="A422">
        <f ca="1">RANK(E422,E$2:E$462)</f>
        <v>421</v>
      </c>
      <c r="B422" t="s">
        <v>2492</v>
      </c>
      <c r="C422" t="s">
        <v>43</v>
      </c>
      <c r="D422">
        <f ca="1">INDEX(INDIRECT($C422&amp;"!P:P"),MATCH($B422,INDIRECT($C422&amp;"!B:B"),0))</f>
        <v>12.720000000000002</v>
      </c>
      <c r="E422" s="210">
        <f ca="1">D422-LARGE(D$2:D$385,RBCount+WRCount+TECount)</f>
        <v>-95.27</v>
      </c>
      <c r="F422" t="str">
        <f ca="1">IF(H422&lt;=I422,"Starter",IF(G422&gt;=LARGE(G:G,FlexOn*LeagueInfo!$F$2),"Starter","Bench"))</f>
        <v>Bench</v>
      </c>
      <c r="G422">
        <f ca="1">IF(H422&gt;I422,D422,0)</f>
        <v>12.720000000000002</v>
      </c>
      <c r="H422">
        <f ca="1">INDEX(INDIRECT(""&amp;C422&amp;"!A2:A489"),MATCH(B422,INDIRECT(""&amp;C422&amp;"!B2:B489"),0))</f>
        <v>99</v>
      </c>
      <c r="I422">
        <f>IF(C422="RB",LeagueInfo!$D$4*LeagueInfo!$F$2,IF(C422="WR",LeagueInfo!$D$5*LeagueInfo!$F$2,IF(C422="TE",LeagueInfo!$D$6*LeagueInfo!$F$2)))</f>
        <v>12</v>
      </c>
    </row>
    <row r="423" spans="1:9" x14ac:dyDescent="0.25">
      <c r="A423">
        <f ca="1">RANK(E423,E$2:E$462)</f>
        <v>422</v>
      </c>
      <c r="B423" t="s">
        <v>2668</v>
      </c>
      <c r="C423" t="s">
        <v>43</v>
      </c>
      <c r="D423">
        <f ca="1">INDEX(INDIRECT($C423&amp;"!P:P"),MATCH($B423,INDIRECT($C423&amp;"!B:B"),0))</f>
        <v>12.61</v>
      </c>
      <c r="E423" s="210">
        <f ca="1">D423-LARGE(D$2:D$385,RBCount+WRCount+TECount)</f>
        <v>-95.38</v>
      </c>
      <c r="F423" t="str">
        <f ca="1">IF(H423&lt;=I423,"Starter",IF(G423&gt;=LARGE(G:G,FlexOn*LeagueInfo!$F$2),"Starter","Bench"))</f>
        <v>Bench</v>
      </c>
      <c r="G423">
        <f ca="1">IF(H423&gt;I423,D423,0)</f>
        <v>12.61</v>
      </c>
      <c r="H423">
        <f ca="1">INDEX(INDIRECT(""&amp;C423&amp;"!A2:A489"),MATCH(B423,INDIRECT(""&amp;C423&amp;"!B2:B489"),0))</f>
        <v>100</v>
      </c>
      <c r="I423">
        <f>IF(C423="RB",LeagueInfo!$D$4*LeagueInfo!$F$2,IF(C423="WR",LeagueInfo!$D$5*LeagueInfo!$F$2,IF(C423="TE",LeagueInfo!$D$6*LeagueInfo!$F$2)))</f>
        <v>12</v>
      </c>
    </row>
    <row r="424" spans="1:9" x14ac:dyDescent="0.25">
      <c r="A424">
        <f ca="1">RANK(E424,E$2:E$462)</f>
        <v>423</v>
      </c>
      <c r="B424" t="s">
        <v>962</v>
      </c>
      <c r="C424" t="s">
        <v>43</v>
      </c>
      <c r="D424">
        <f ca="1">INDEX(INDIRECT($C424&amp;"!P:P"),MATCH($B424,INDIRECT($C424&amp;"!B:B"),0))</f>
        <v>12.38</v>
      </c>
      <c r="E424" s="210">
        <f ca="1">D424-LARGE(D$2:D$385,RBCount+WRCount+TECount)</f>
        <v>-95.61</v>
      </c>
      <c r="F424" t="str">
        <f ca="1">IF(H424&lt;=I424,"Starter",IF(G424&gt;=LARGE(G:G,FlexOn*LeagueInfo!$F$2),"Starter","Bench"))</f>
        <v>Bench</v>
      </c>
      <c r="G424">
        <f ca="1">IF(H424&gt;I424,D424,0)</f>
        <v>12.38</v>
      </c>
      <c r="H424">
        <f ca="1">INDEX(INDIRECT(""&amp;C424&amp;"!A2:A489"),MATCH(B424,INDIRECT(""&amp;C424&amp;"!B2:B489"),0))</f>
        <v>101</v>
      </c>
      <c r="I424">
        <f>IF(C424="RB",LeagueInfo!$D$4*LeagueInfo!$F$2,IF(C424="WR",LeagueInfo!$D$5*LeagueInfo!$F$2,IF(C424="TE",LeagueInfo!$D$6*LeagueInfo!$F$2)))</f>
        <v>12</v>
      </c>
    </row>
    <row r="425" spans="1:9" x14ac:dyDescent="0.25">
      <c r="A425">
        <f ca="1">RANK(E425,E$2:E$462)</f>
        <v>424</v>
      </c>
      <c r="B425" t="s">
        <v>571</v>
      </c>
      <c r="C425" t="s">
        <v>35</v>
      </c>
      <c r="D425">
        <f ca="1">INDEX(INDIRECT($C425&amp;"!P:P"),MATCH($B425,INDIRECT($C425&amp;"!B:B"),0))</f>
        <v>12.030000000000001</v>
      </c>
      <c r="E425" s="210">
        <f ca="1">D425-LARGE(D$2:D$385,RBCount+WRCount+TECount)</f>
        <v>-95.96</v>
      </c>
      <c r="F425" t="str">
        <f ca="1">IF(H425&lt;=I425,"Starter",IF(G425&gt;=LARGE(G:G,FlexOn*LeagueInfo!$F$2),"Starter","Bench"))</f>
        <v>Bench</v>
      </c>
      <c r="G425">
        <f ca="1">IF(H425&gt;I425,D425,0)</f>
        <v>12.030000000000001</v>
      </c>
      <c r="H425">
        <f ca="1">INDEX(INDIRECT(""&amp;C425&amp;"!A2:A489"),MATCH(B425,INDIRECT(""&amp;C425&amp;"!B2:B489"),0))</f>
        <v>190</v>
      </c>
      <c r="I425">
        <f>IF(C425="RB",LeagueInfo!$D$4*LeagueInfo!$F$2,IF(C425="WR",LeagueInfo!$D$5*LeagueInfo!$F$2,IF(C425="TE",LeagueInfo!$D$6*LeagueInfo!$F$2)))</f>
        <v>24</v>
      </c>
    </row>
    <row r="426" spans="1:9" x14ac:dyDescent="0.25">
      <c r="A426">
        <f ca="1">RANK(E426,E$2:E$462)</f>
        <v>425</v>
      </c>
      <c r="B426" t="s">
        <v>890</v>
      </c>
      <c r="C426" t="s">
        <v>28</v>
      </c>
      <c r="D426">
        <f ca="1">INDEX(INDIRECT($C426&amp;"!P:P"),MATCH($B426,INDIRECT($C426&amp;"!B:B"),0))</f>
        <v>11.95</v>
      </c>
      <c r="E426" s="210">
        <f ca="1">D426-LARGE(D$2:D$385,RBCount+WRCount+TECount)</f>
        <v>-96.039999999999992</v>
      </c>
      <c r="F426" t="str">
        <f ca="1">IF(H426&lt;=I426,"Starter",IF(G426&gt;=LARGE(G:G,FlexOn*LeagueInfo!$F$2),"Starter","Bench"))</f>
        <v>Bench</v>
      </c>
      <c r="G426">
        <f ca="1">IF(H426&gt;I426,D426,0)</f>
        <v>11.95</v>
      </c>
      <c r="H426">
        <f ca="1">INDEX(INDIRECT(""&amp;C426&amp;"!A2:A489"),MATCH(B426,INDIRECT(""&amp;C426&amp;"!B2:B489"),0))</f>
        <v>134</v>
      </c>
      <c r="I426">
        <f>IF(C426="RB",LeagueInfo!$D$4*LeagueInfo!$F$2,IF(C426="WR",LeagueInfo!$D$5*LeagueInfo!$F$2,IF(C426="TE",LeagueInfo!$D$6*LeagueInfo!$F$2)))</f>
        <v>24</v>
      </c>
    </row>
    <row r="427" spans="1:9" x14ac:dyDescent="0.25">
      <c r="A427">
        <f ca="1">RANK(E427,E$2:E$462)</f>
        <v>426</v>
      </c>
      <c r="B427" t="s">
        <v>2677</v>
      </c>
      <c r="C427" t="s">
        <v>35</v>
      </c>
      <c r="D427">
        <f ca="1">INDEX(INDIRECT($C427&amp;"!P:P"),MATCH($B427,INDIRECT($C427&amp;"!B:B"),0))</f>
        <v>11.73</v>
      </c>
      <c r="E427" s="210">
        <f ca="1">D427-LARGE(D$2:D$385,RBCount+WRCount+TECount)</f>
        <v>-96.259999999999991</v>
      </c>
      <c r="F427" t="str">
        <f ca="1">IF(H427&lt;=I427,"Starter",IF(G427&gt;=LARGE(G:G,FlexOn*LeagueInfo!$F$2),"Starter","Bench"))</f>
        <v>Bench</v>
      </c>
      <c r="G427">
        <f ca="1">IF(H427&gt;I427,D427,0)</f>
        <v>11.73</v>
      </c>
      <c r="H427">
        <f ca="1">INDEX(INDIRECT(""&amp;C427&amp;"!A2:A489"),MATCH(B427,INDIRECT(""&amp;C427&amp;"!B2:B489"),0))</f>
        <v>191</v>
      </c>
      <c r="I427">
        <f>IF(C427="RB",LeagueInfo!$D$4*LeagueInfo!$F$2,IF(C427="WR",LeagueInfo!$D$5*LeagueInfo!$F$2,IF(C427="TE",LeagueInfo!$D$6*LeagueInfo!$F$2)))</f>
        <v>24</v>
      </c>
    </row>
    <row r="428" spans="1:9" x14ac:dyDescent="0.25">
      <c r="A428">
        <f ca="1">RANK(E428,E$2:E$462)</f>
        <v>427</v>
      </c>
      <c r="B428" t="s">
        <v>984</v>
      </c>
      <c r="C428" t="s">
        <v>43</v>
      </c>
      <c r="D428">
        <f ca="1">INDEX(INDIRECT($C428&amp;"!P:P"),MATCH($B428,INDIRECT($C428&amp;"!B:B"),0))</f>
        <v>11.68</v>
      </c>
      <c r="E428" s="210">
        <f ca="1">D428-LARGE(D$2:D$385,RBCount+WRCount+TECount)</f>
        <v>-96.31</v>
      </c>
      <c r="F428" t="str">
        <f ca="1">IF(H428&lt;=I428,"Starter",IF(G428&gt;=LARGE(G:G,FlexOn*LeagueInfo!$F$2),"Starter","Bench"))</f>
        <v>Bench</v>
      </c>
      <c r="G428">
        <f ca="1">IF(H428&gt;I428,D428,0)</f>
        <v>11.68</v>
      </c>
      <c r="H428">
        <f ca="1">INDEX(INDIRECT(""&amp;C428&amp;"!A2:A489"),MATCH(B428,INDIRECT(""&amp;C428&amp;"!B2:B489"),0))</f>
        <v>102</v>
      </c>
      <c r="I428">
        <f>IF(C428="RB",LeagueInfo!$D$4*LeagueInfo!$F$2,IF(C428="WR",LeagueInfo!$D$5*LeagueInfo!$F$2,IF(C428="TE",LeagueInfo!$D$6*LeagueInfo!$F$2)))</f>
        <v>12</v>
      </c>
    </row>
    <row r="429" spans="1:9" x14ac:dyDescent="0.25">
      <c r="A429">
        <f ca="1">RANK(E429,E$2:E$462)</f>
        <v>428</v>
      </c>
      <c r="B429" t="s">
        <v>438</v>
      </c>
      <c r="C429" t="s">
        <v>43</v>
      </c>
      <c r="D429">
        <f ca="1">INDEX(INDIRECT($C429&amp;"!P:P"),MATCH($B429,INDIRECT($C429&amp;"!B:B"),0))</f>
        <v>11.49</v>
      </c>
      <c r="E429" s="210">
        <f ca="1">D429-LARGE(D$2:D$385,RBCount+WRCount+TECount)</f>
        <v>-96.5</v>
      </c>
      <c r="F429" t="str">
        <f ca="1">IF(H429&lt;=I429,"Starter",IF(G429&gt;=LARGE(G:G,FlexOn*LeagueInfo!$F$2),"Starter","Bench"))</f>
        <v>Bench</v>
      </c>
      <c r="G429">
        <f ca="1">IF(H429&gt;I429,D429,0)</f>
        <v>11.49</v>
      </c>
      <c r="H429">
        <f ca="1">INDEX(INDIRECT(""&amp;C429&amp;"!A2:A489"),MATCH(B429,INDIRECT(""&amp;C429&amp;"!B2:B489"),0))</f>
        <v>103</v>
      </c>
      <c r="I429">
        <f>IF(C429="RB",LeagueInfo!$D$4*LeagueInfo!$F$2,IF(C429="WR",LeagueInfo!$D$5*LeagueInfo!$F$2,IF(C429="TE",LeagueInfo!$D$6*LeagueInfo!$F$2)))</f>
        <v>12</v>
      </c>
    </row>
    <row r="430" spans="1:9" x14ac:dyDescent="0.25">
      <c r="A430">
        <f ca="1">RANK(E430,E$2:E$462)</f>
        <v>429</v>
      </c>
      <c r="B430" t="s">
        <v>821</v>
      </c>
      <c r="C430" t="s">
        <v>43</v>
      </c>
      <c r="D430">
        <f ca="1">INDEX(INDIRECT($C430&amp;"!P:P"),MATCH($B430,INDIRECT($C430&amp;"!B:B"),0))</f>
        <v>11.41</v>
      </c>
      <c r="E430" s="210">
        <f ca="1">D430-LARGE(D$2:D$385,RBCount+WRCount+TECount)</f>
        <v>-96.58</v>
      </c>
      <c r="F430" t="str">
        <f ca="1">IF(H430&lt;=I430,"Starter",IF(G430&gt;=LARGE(G:G,FlexOn*LeagueInfo!$F$2),"Starter","Bench"))</f>
        <v>Bench</v>
      </c>
      <c r="G430">
        <f ca="1">IF(H430&gt;I430,D430,0)</f>
        <v>11.41</v>
      </c>
      <c r="H430">
        <f ca="1">INDEX(INDIRECT(""&amp;C430&amp;"!A2:A489"),MATCH(B430,INDIRECT(""&amp;C430&amp;"!B2:B489"),0))</f>
        <v>104</v>
      </c>
      <c r="I430">
        <f>IF(C430="RB",LeagueInfo!$D$4*LeagueInfo!$F$2,IF(C430="WR",LeagueInfo!$D$5*LeagueInfo!$F$2,IF(C430="TE",LeagueInfo!$D$6*LeagueInfo!$F$2)))</f>
        <v>12</v>
      </c>
    </row>
    <row r="431" spans="1:9" x14ac:dyDescent="0.25">
      <c r="A431">
        <f ca="1">RANK(E431,E$2:E$462)</f>
        <v>430</v>
      </c>
      <c r="B431" t="s">
        <v>758</v>
      </c>
      <c r="C431" t="s">
        <v>43</v>
      </c>
      <c r="D431">
        <f ca="1">INDEX(INDIRECT($C431&amp;"!P:P"),MATCH($B431,INDIRECT($C431&amp;"!B:B"),0))</f>
        <v>11.33</v>
      </c>
      <c r="E431" s="210">
        <f ca="1">D431-LARGE(D$2:D$385,RBCount+WRCount+TECount)</f>
        <v>-96.66</v>
      </c>
      <c r="F431" t="str">
        <f ca="1">IF(H431&lt;=I431,"Starter",IF(G431&gt;=LARGE(G:G,FlexOn*LeagueInfo!$F$2),"Starter","Bench"))</f>
        <v>Bench</v>
      </c>
      <c r="G431">
        <f ca="1">IF(H431&gt;I431,D431,0)</f>
        <v>11.33</v>
      </c>
      <c r="H431">
        <f ca="1">INDEX(INDIRECT(""&amp;C431&amp;"!A2:A489"),MATCH(B431,INDIRECT(""&amp;C431&amp;"!B2:B489"),0))</f>
        <v>105</v>
      </c>
      <c r="I431">
        <f>IF(C431="RB",LeagueInfo!$D$4*LeagueInfo!$F$2,IF(C431="WR",LeagueInfo!$D$5*LeagueInfo!$F$2,IF(C431="TE",LeagueInfo!$D$6*LeagueInfo!$F$2)))</f>
        <v>12</v>
      </c>
    </row>
    <row r="432" spans="1:9" x14ac:dyDescent="0.25">
      <c r="A432">
        <f ca="1">RANK(E432,E$2:E$462)</f>
        <v>431</v>
      </c>
      <c r="B432" t="s">
        <v>2439</v>
      </c>
      <c r="C432" t="s">
        <v>35</v>
      </c>
      <c r="D432">
        <f ca="1">INDEX(INDIRECT($C432&amp;"!P:P"),MATCH($B432,INDIRECT($C432&amp;"!B:B"),0))</f>
        <v>11.280000000000001</v>
      </c>
      <c r="E432" s="210">
        <f ca="1">D432-LARGE(D$2:D$385,RBCount+WRCount+TECount)</f>
        <v>-96.71</v>
      </c>
      <c r="F432" t="str">
        <f ca="1">IF(H432&lt;=I432,"Starter",IF(G432&gt;=LARGE(G:G,FlexOn*LeagueInfo!$F$2),"Starter","Bench"))</f>
        <v>Bench</v>
      </c>
      <c r="G432">
        <f ca="1">IF(H432&gt;I432,D432,0)</f>
        <v>11.280000000000001</v>
      </c>
      <c r="H432">
        <f ca="1">INDEX(INDIRECT(""&amp;C432&amp;"!A2:A489"),MATCH(B432,INDIRECT(""&amp;C432&amp;"!B2:B489"),0))</f>
        <v>192</v>
      </c>
      <c r="I432">
        <f>IF(C432="RB",LeagueInfo!$D$4*LeagueInfo!$F$2,IF(C432="WR",LeagueInfo!$D$5*LeagueInfo!$F$2,IF(C432="TE",LeagueInfo!$D$6*LeagueInfo!$F$2)))</f>
        <v>24</v>
      </c>
    </row>
    <row r="433" spans="1:9" x14ac:dyDescent="0.25">
      <c r="A433">
        <f ca="1">RANK(E433,E$2:E$462)</f>
        <v>432</v>
      </c>
      <c r="B433" t="s">
        <v>750</v>
      </c>
      <c r="C433" t="s">
        <v>43</v>
      </c>
      <c r="D433">
        <f ca="1">INDEX(INDIRECT($C433&amp;"!P:P"),MATCH($B433,INDIRECT($C433&amp;"!B:B"),0))</f>
        <v>11.260000000000002</v>
      </c>
      <c r="E433" s="210">
        <f ca="1">D433-LARGE(D$2:D$385,RBCount+WRCount+TECount)</f>
        <v>-96.72999999999999</v>
      </c>
      <c r="F433" t="str">
        <f ca="1">IF(H433&lt;=I433,"Starter",IF(G433&gt;=LARGE(G:G,FlexOn*LeagueInfo!$F$2),"Starter","Bench"))</f>
        <v>Bench</v>
      </c>
      <c r="G433">
        <f ca="1">IF(H433&gt;I433,D433,0)</f>
        <v>11.260000000000002</v>
      </c>
      <c r="H433">
        <f ca="1">INDEX(INDIRECT(""&amp;C433&amp;"!A2:A489"),MATCH(B433,INDIRECT(""&amp;C433&amp;"!B2:B489"),0))</f>
        <v>106</v>
      </c>
      <c r="I433">
        <f>IF(C433="RB",LeagueInfo!$D$4*LeagueInfo!$F$2,IF(C433="WR",LeagueInfo!$D$5*LeagueInfo!$F$2,IF(C433="TE",LeagueInfo!$D$6*LeagueInfo!$F$2)))</f>
        <v>12</v>
      </c>
    </row>
    <row r="434" spans="1:9" x14ac:dyDescent="0.25">
      <c r="A434">
        <f ca="1">RANK(E434,E$2:E$462)</f>
        <v>433</v>
      </c>
      <c r="B434" t="s">
        <v>976</v>
      </c>
      <c r="C434" t="s">
        <v>43</v>
      </c>
      <c r="D434">
        <f ca="1">INDEX(INDIRECT($C434&amp;"!P:P"),MATCH($B434,INDIRECT($C434&amp;"!B:B"),0))</f>
        <v>10.64</v>
      </c>
      <c r="E434" s="210">
        <f ca="1">D434-LARGE(D$2:D$385,RBCount+WRCount+TECount)</f>
        <v>-97.35</v>
      </c>
      <c r="F434" t="str">
        <f ca="1">IF(H434&lt;=I434,"Starter",IF(G434&gt;=LARGE(G:G,FlexOn*LeagueInfo!$F$2),"Starter","Bench"))</f>
        <v>Bench</v>
      </c>
      <c r="G434">
        <f ca="1">IF(H434&gt;I434,D434,0)</f>
        <v>10.64</v>
      </c>
      <c r="H434">
        <f ca="1">INDEX(INDIRECT(""&amp;C434&amp;"!A2:A489"),MATCH(B434,INDIRECT(""&amp;C434&amp;"!B2:B489"),0))</f>
        <v>107</v>
      </c>
      <c r="I434">
        <f>IF(C434="RB",LeagueInfo!$D$4*LeagueInfo!$F$2,IF(C434="WR",LeagueInfo!$D$5*LeagueInfo!$F$2,IF(C434="TE",LeagueInfo!$D$6*LeagueInfo!$F$2)))</f>
        <v>12</v>
      </c>
    </row>
    <row r="435" spans="1:9" x14ac:dyDescent="0.25">
      <c r="A435">
        <f ca="1">RANK(E435,E$2:E$462)</f>
        <v>434</v>
      </c>
      <c r="B435" t="s">
        <v>667</v>
      </c>
      <c r="C435" t="s">
        <v>28</v>
      </c>
      <c r="D435">
        <f ca="1">INDEX(INDIRECT($C435&amp;"!P:P"),MATCH($B435,INDIRECT($C435&amp;"!B:B"),0))</f>
        <v>10.540000000000001</v>
      </c>
      <c r="E435" s="210">
        <f ca="1">D435-LARGE(D$2:D$385,RBCount+WRCount+TECount)</f>
        <v>-97.449999999999989</v>
      </c>
      <c r="F435" t="str">
        <f ca="1">IF(H435&lt;=I435,"Starter",IF(G435&gt;=LARGE(G:G,FlexOn*LeagueInfo!$F$2),"Starter","Bench"))</f>
        <v>Bench</v>
      </c>
      <c r="G435">
        <f ca="1">IF(H435&gt;I435,D435,0)</f>
        <v>10.540000000000001</v>
      </c>
      <c r="H435">
        <f ca="1">INDEX(INDIRECT(""&amp;C435&amp;"!A2:A489"),MATCH(B435,INDIRECT(""&amp;C435&amp;"!B2:B489"),0))</f>
        <v>135</v>
      </c>
      <c r="I435">
        <f>IF(C435="RB",LeagueInfo!$D$4*LeagueInfo!$F$2,IF(C435="WR",LeagueInfo!$D$5*LeagueInfo!$F$2,IF(C435="TE",LeagueInfo!$D$6*LeagueInfo!$F$2)))</f>
        <v>24</v>
      </c>
    </row>
    <row r="436" spans="1:9" x14ac:dyDescent="0.25">
      <c r="A436">
        <f ca="1">RANK(E436,E$2:E$462)</f>
        <v>435</v>
      </c>
      <c r="B436" t="s">
        <v>393</v>
      </c>
      <c r="C436" t="s">
        <v>35</v>
      </c>
      <c r="D436">
        <f ca="1">INDEX(INDIRECT($C436&amp;"!P:P"),MATCH($B436,INDIRECT($C436&amp;"!B:B"),0))</f>
        <v>10.3</v>
      </c>
      <c r="E436" s="210">
        <f ca="1">D436-LARGE(D$2:D$385,RBCount+WRCount+TECount)</f>
        <v>-97.69</v>
      </c>
      <c r="F436" t="str">
        <f ca="1">IF(H436&lt;=I436,"Starter",IF(G436&gt;=LARGE(G:G,FlexOn*LeagueInfo!$F$2),"Starter","Bench"))</f>
        <v>Bench</v>
      </c>
      <c r="G436">
        <f ca="1">IF(H436&gt;I436,D436,0)</f>
        <v>10.3</v>
      </c>
      <c r="H436">
        <f ca="1">INDEX(INDIRECT(""&amp;C436&amp;"!A2:A489"),MATCH(B436,INDIRECT(""&amp;C436&amp;"!B2:B489"),0))</f>
        <v>193</v>
      </c>
      <c r="I436">
        <f>IF(C436="RB",LeagueInfo!$D$4*LeagueInfo!$F$2,IF(C436="WR",LeagueInfo!$D$5*LeagueInfo!$F$2,IF(C436="TE",LeagueInfo!$D$6*LeagueInfo!$F$2)))</f>
        <v>24</v>
      </c>
    </row>
    <row r="437" spans="1:9" x14ac:dyDescent="0.25">
      <c r="A437">
        <f ca="1">RANK(E437,E$2:E$462)</f>
        <v>436</v>
      </c>
      <c r="B437" t="s">
        <v>436</v>
      </c>
      <c r="C437" t="s">
        <v>43</v>
      </c>
      <c r="D437">
        <f ca="1">INDEX(INDIRECT($C437&amp;"!P:P"),MATCH($B437,INDIRECT($C437&amp;"!B:B"),0))</f>
        <v>10.11</v>
      </c>
      <c r="E437" s="210">
        <f ca="1">D437-LARGE(D$2:D$385,RBCount+WRCount+TECount)</f>
        <v>-97.88</v>
      </c>
      <c r="F437" t="str">
        <f ca="1">IF(H437&lt;=I437,"Starter",IF(G437&gt;=LARGE(G:G,FlexOn*LeagueInfo!$F$2),"Starter","Bench"))</f>
        <v>Bench</v>
      </c>
      <c r="G437">
        <f ca="1">IF(H437&gt;I437,D437,0)</f>
        <v>10.11</v>
      </c>
      <c r="H437">
        <f ca="1">INDEX(INDIRECT(""&amp;C437&amp;"!A2:A489"),MATCH(B437,INDIRECT(""&amp;C437&amp;"!B2:B489"),0))</f>
        <v>109</v>
      </c>
      <c r="I437">
        <f>IF(C437="RB",LeagueInfo!$D$4*LeagueInfo!$F$2,IF(C437="WR",LeagueInfo!$D$5*LeagueInfo!$F$2,IF(C437="TE",LeagueInfo!$D$6*LeagueInfo!$F$2)))</f>
        <v>12</v>
      </c>
    </row>
    <row r="438" spans="1:9" x14ac:dyDescent="0.25">
      <c r="A438">
        <f ca="1">RANK(E438,E$2:E$462)</f>
        <v>436</v>
      </c>
      <c r="B438" t="s">
        <v>829</v>
      </c>
      <c r="C438" t="s">
        <v>43</v>
      </c>
      <c r="D438">
        <f ca="1">INDEX(INDIRECT($C438&amp;"!P:P"),MATCH($B438,INDIRECT($C438&amp;"!B:B"),0))</f>
        <v>10.110000000000003</v>
      </c>
      <c r="E438" s="210">
        <f ca="1">D438-LARGE(D$2:D$385,RBCount+WRCount+TECount)</f>
        <v>-97.88</v>
      </c>
      <c r="F438" t="str">
        <f ca="1">IF(H438&lt;=I438,"Starter",IF(G438&gt;=LARGE(G:G,FlexOn*LeagueInfo!$F$2),"Starter","Bench"))</f>
        <v>Bench</v>
      </c>
      <c r="G438">
        <f ca="1">IF(H438&gt;I438,D438,0)</f>
        <v>10.110000000000003</v>
      </c>
      <c r="H438">
        <f ca="1">INDEX(INDIRECT(""&amp;C438&amp;"!A2:A489"),MATCH(B438,INDIRECT(""&amp;C438&amp;"!B2:B489"),0))</f>
        <v>108</v>
      </c>
      <c r="I438">
        <f>IF(C438="RB",LeagueInfo!$D$4*LeagueInfo!$F$2,IF(C438="WR",LeagueInfo!$D$5*LeagueInfo!$F$2,IF(C438="TE",LeagueInfo!$D$6*LeagueInfo!$F$2)))</f>
        <v>12</v>
      </c>
    </row>
    <row r="439" spans="1:9" x14ac:dyDescent="0.25">
      <c r="A439">
        <f ca="1">RANK(E439,E$2:E$462)</f>
        <v>438</v>
      </c>
      <c r="B439" t="s">
        <v>865</v>
      </c>
      <c r="C439" t="s">
        <v>35</v>
      </c>
      <c r="D439">
        <f ca="1">INDEX(INDIRECT($C439&amp;"!P:P"),MATCH($B439,INDIRECT($C439&amp;"!B:B"),0))</f>
        <v>10.039999999999999</v>
      </c>
      <c r="E439" s="210">
        <f ca="1">D439-LARGE(D$2:D$385,RBCount+WRCount+TECount)</f>
        <v>-97.949999999999989</v>
      </c>
      <c r="F439" t="str">
        <f ca="1">IF(H439&lt;=I439,"Starter",IF(G439&gt;=LARGE(G:G,FlexOn*LeagueInfo!$F$2),"Starter","Bench"))</f>
        <v>Bench</v>
      </c>
      <c r="G439">
        <f ca="1">IF(H439&gt;I439,D439,0)</f>
        <v>10.039999999999999</v>
      </c>
      <c r="H439">
        <f ca="1">INDEX(INDIRECT(""&amp;C439&amp;"!A2:A489"),MATCH(B439,INDIRECT(""&amp;C439&amp;"!B2:B489"),0))</f>
        <v>194</v>
      </c>
      <c r="I439">
        <f>IF(C439="RB",LeagueInfo!$D$4*LeagueInfo!$F$2,IF(C439="WR",LeagueInfo!$D$5*LeagueInfo!$F$2,IF(C439="TE",LeagueInfo!$D$6*LeagueInfo!$F$2)))</f>
        <v>24</v>
      </c>
    </row>
    <row r="440" spans="1:9" x14ac:dyDescent="0.25">
      <c r="A440">
        <f ca="1">RANK(E440,E$2:E$462)</f>
        <v>439</v>
      </c>
      <c r="B440" t="s">
        <v>931</v>
      </c>
      <c r="C440" t="s">
        <v>28</v>
      </c>
      <c r="D440">
        <f ca="1">INDEX(INDIRECT($C440&amp;"!P:P"),MATCH($B440,INDIRECT($C440&amp;"!B:B"),0))</f>
        <v>9.99</v>
      </c>
      <c r="E440" s="210">
        <f ca="1">D440-LARGE(D$2:D$385,RBCount+WRCount+TECount)</f>
        <v>-98</v>
      </c>
      <c r="F440" t="str">
        <f ca="1">IF(H440&lt;=I440,"Starter",IF(G440&gt;=LARGE(G:G,FlexOn*LeagueInfo!$F$2),"Starter","Bench"))</f>
        <v>Bench</v>
      </c>
      <c r="G440">
        <f ca="1">IF(H440&gt;I440,D440,0)</f>
        <v>9.99</v>
      </c>
      <c r="H440">
        <f ca="1">INDEX(INDIRECT(""&amp;C440&amp;"!A2:A489"),MATCH(B440,INDIRECT(""&amp;C440&amp;"!B2:B489"),0))</f>
        <v>136</v>
      </c>
      <c r="I440">
        <f>IF(C440="RB",LeagueInfo!$D$4*LeagueInfo!$F$2,IF(C440="WR",LeagueInfo!$D$5*LeagueInfo!$F$2,IF(C440="TE",LeagueInfo!$D$6*LeagueInfo!$F$2)))</f>
        <v>24</v>
      </c>
    </row>
    <row r="441" spans="1:9" x14ac:dyDescent="0.25">
      <c r="A441">
        <f ca="1">RANK(E441,E$2:E$462)</f>
        <v>440</v>
      </c>
      <c r="B441" t="s">
        <v>631</v>
      </c>
      <c r="C441" t="s">
        <v>35</v>
      </c>
      <c r="D441">
        <f ca="1">INDEX(INDIRECT($C441&amp;"!P:P"),MATCH($B441,INDIRECT($C441&amp;"!B:B"),0))</f>
        <v>9.7100000000000009</v>
      </c>
      <c r="E441" s="210">
        <f ca="1">D441-LARGE(D$2:D$385,RBCount+WRCount+TECount)</f>
        <v>-98.28</v>
      </c>
      <c r="F441" t="str">
        <f ca="1">IF(H441&lt;=I441,"Starter",IF(G441&gt;=LARGE(G:G,FlexOn*LeagueInfo!$F$2),"Starter","Bench"))</f>
        <v>Bench</v>
      </c>
      <c r="G441">
        <f ca="1">IF(H441&gt;I441,D441,0)</f>
        <v>9.7100000000000009</v>
      </c>
      <c r="H441">
        <f ca="1">INDEX(INDIRECT(""&amp;C441&amp;"!A2:A489"),MATCH(B441,INDIRECT(""&amp;C441&amp;"!B2:B489"),0))</f>
        <v>195</v>
      </c>
      <c r="I441">
        <f>IF(C441="RB",LeagueInfo!$D$4*LeagueInfo!$F$2,IF(C441="WR",LeagueInfo!$D$5*LeagueInfo!$F$2,IF(C441="TE",LeagueInfo!$D$6*LeagueInfo!$F$2)))</f>
        <v>24</v>
      </c>
    </row>
    <row r="442" spans="1:9" x14ac:dyDescent="0.25">
      <c r="A442">
        <f ca="1">RANK(E442,E$2:E$462)</f>
        <v>441</v>
      </c>
      <c r="B442" t="s">
        <v>738</v>
      </c>
      <c r="C442" t="s">
        <v>35</v>
      </c>
      <c r="D442">
        <f ca="1">INDEX(INDIRECT($C442&amp;"!P:P"),MATCH($B442,INDIRECT($C442&amp;"!B:B"),0))</f>
        <v>9.56</v>
      </c>
      <c r="E442" s="210">
        <f ca="1">D442-LARGE(D$2:D$385,RBCount+WRCount+TECount)</f>
        <v>-98.429999999999993</v>
      </c>
      <c r="F442" t="str">
        <f ca="1">IF(H442&lt;=I442,"Starter",IF(G442&gt;=LARGE(G:G,FlexOn*LeagueInfo!$F$2),"Starter","Bench"))</f>
        <v>Bench</v>
      </c>
      <c r="G442">
        <f ca="1">IF(H442&gt;I442,D442,0)</f>
        <v>9.56</v>
      </c>
      <c r="H442">
        <f ca="1">INDEX(INDIRECT(""&amp;C442&amp;"!A2:A489"),MATCH(B442,INDIRECT(""&amp;C442&amp;"!B2:B489"),0))</f>
        <v>196</v>
      </c>
      <c r="I442">
        <f>IF(C442="RB",LeagueInfo!$D$4*LeagueInfo!$F$2,IF(C442="WR",LeagueInfo!$D$5*LeagueInfo!$F$2,IF(C442="TE",LeagueInfo!$D$6*LeagueInfo!$F$2)))</f>
        <v>24</v>
      </c>
    </row>
    <row r="443" spans="1:9" x14ac:dyDescent="0.25">
      <c r="A443">
        <f ca="1">RANK(E443,E$2:E$462)</f>
        <v>442</v>
      </c>
      <c r="B443" t="s">
        <v>800</v>
      </c>
      <c r="C443" t="s">
        <v>35</v>
      </c>
      <c r="D443">
        <f ca="1">INDEX(INDIRECT($C443&amp;"!P:P"),MATCH($B443,INDIRECT($C443&amp;"!B:B"),0))</f>
        <v>9.4600000000000009</v>
      </c>
      <c r="E443" s="210">
        <f ca="1">D443-LARGE(D$2:D$385,RBCount+WRCount+TECount)</f>
        <v>-98.53</v>
      </c>
      <c r="F443" t="str">
        <f ca="1">IF(H443&lt;=I443,"Starter",IF(G443&gt;=LARGE(G:G,FlexOn*LeagueInfo!$F$2),"Starter","Bench"))</f>
        <v>Bench</v>
      </c>
      <c r="G443">
        <f ca="1">IF(H443&gt;I443,D443,0)</f>
        <v>9.4600000000000009</v>
      </c>
      <c r="H443">
        <f ca="1">INDEX(INDIRECT(""&amp;C443&amp;"!A2:A489"),MATCH(B443,INDIRECT(""&amp;C443&amp;"!B2:B489"),0))</f>
        <v>197</v>
      </c>
      <c r="I443">
        <f>IF(C443="RB",LeagueInfo!$D$4*LeagueInfo!$F$2,IF(C443="WR",LeagueInfo!$D$5*LeagueInfo!$F$2,IF(C443="TE",LeagueInfo!$D$6*LeagueInfo!$F$2)))</f>
        <v>24</v>
      </c>
    </row>
    <row r="444" spans="1:9" x14ac:dyDescent="0.25">
      <c r="A444">
        <f ca="1">RANK(E444,E$2:E$462)</f>
        <v>443</v>
      </c>
      <c r="B444" t="s">
        <v>2440</v>
      </c>
      <c r="C444" t="s">
        <v>35</v>
      </c>
      <c r="D444">
        <f ca="1">INDEX(INDIRECT($C444&amp;"!P:P"),MATCH($B444,INDIRECT($C444&amp;"!B:B"),0))</f>
        <v>9.43</v>
      </c>
      <c r="E444" s="210">
        <f ca="1">D444-LARGE(D$2:D$385,RBCount+WRCount+TECount)</f>
        <v>-98.56</v>
      </c>
      <c r="F444" t="str">
        <f ca="1">IF(H444&lt;=I444,"Starter",IF(G444&gt;=LARGE(G:G,FlexOn*LeagueInfo!$F$2),"Starter","Bench"))</f>
        <v>Bench</v>
      </c>
      <c r="G444">
        <f ca="1">IF(H444&gt;I444,D444,0)</f>
        <v>9.43</v>
      </c>
      <c r="H444">
        <f ca="1">INDEX(INDIRECT(""&amp;C444&amp;"!A2:A489"),MATCH(B444,INDIRECT(""&amp;C444&amp;"!B2:B489"),0))</f>
        <v>198</v>
      </c>
      <c r="I444">
        <f>IF(C444="RB",LeagueInfo!$D$4*LeagueInfo!$F$2,IF(C444="WR",LeagueInfo!$D$5*LeagueInfo!$F$2,IF(C444="TE",LeagueInfo!$D$6*LeagueInfo!$F$2)))</f>
        <v>24</v>
      </c>
    </row>
    <row r="445" spans="1:9" x14ac:dyDescent="0.25">
      <c r="A445">
        <f ca="1">RANK(E445,E$2:E$462)</f>
        <v>444</v>
      </c>
      <c r="B445" t="s">
        <v>911</v>
      </c>
      <c r="C445" t="s">
        <v>43</v>
      </c>
      <c r="D445">
        <f ca="1">INDEX(INDIRECT($C445&amp;"!P:P"),MATCH($B445,INDIRECT($C445&amp;"!B:B"),0))</f>
        <v>8.4500000000000011</v>
      </c>
      <c r="E445" s="210">
        <f ca="1">D445-LARGE(D$2:D$385,RBCount+WRCount+TECount)</f>
        <v>-99.539999999999992</v>
      </c>
      <c r="F445" t="str">
        <f ca="1">IF(H445&lt;=I445,"Starter",IF(G445&gt;=LARGE(G:G,FlexOn*LeagueInfo!$F$2),"Starter","Bench"))</f>
        <v>Bench</v>
      </c>
      <c r="G445">
        <f ca="1">IF(H445&gt;I445,D445,0)</f>
        <v>8.4500000000000011</v>
      </c>
      <c r="H445">
        <f ca="1">INDEX(INDIRECT(""&amp;C445&amp;"!A2:A489"),MATCH(B445,INDIRECT(""&amp;C445&amp;"!B2:B489"),0))</f>
        <v>110</v>
      </c>
      <c r="I445">
        <f>IF(C445="RB",LeagueInfo!$D$4*LeagueInfo!$F$2,IF(C445="WR",LeagueInfo!$D$5*LeagueInfo!$F$2,IF(C445="TE",LeagueInfo!$D$6*LeagueInfo!$F$2)))</f>
        <v>12</v>
      </c>
    </row>
    <row r="446" spans="1:9" x14ac:dyDescent="0.25">
      <c r="A446">
        <f ca="1">RANK(E446,E$2:E$462)</f>
        <v>445</v>
      </c>
      <c r="B446" t="s">
        <v>2630</v>
      </c>
      <c r="C446" t="s">
        <v>35</v>
      </c>
      <c r="D446">
        <f ca="1">INDEX(INDIRECT($C446&amp;"!P:P"),MATCH($B446,INDIRECT($C446&amp;"!B:B"),0))</f>
        <v>7.96</v>
      </c>
      <c r="E446" s="210">
        <f ca="1">D446-LARGE(D$2:D$385,RBCount+WRCount+TECount)</f>
        <v>-100.03</v>
      </c>
      <c r="F446" t="str">
        <f ca="1">IF(H446&lt;=I446,"Starter",IF(G446&gt;=LARGE(G:G,FlexOn*LeagueInfo!$F$2),"Starter","Bench"))</f>
        <v>Bench</v>
      </c>
      <c r="G446">
        <f ca="1">IF(H446&gt;I446,D446,0)</f>
        <v>7.96</v>
      </c>
      <c r="H446">
        <f ca="1">INDEX(INDIRECT(""&amp;C446&amp;"!A2:A489"),MATCH(B446,INDIRECT(""&amp;C446&amp;"!B2:B489"),0))</f>
        <v>199</v>
      </c>
      <c r="I446">
        <f>IF(C446="RB",LeagueInfo!$D$4*LeagueInfo!$F$2,IF(C446="WR",LeagueInfo!$D$5*LeagueInfo!$F$2,IF(C446="TE",LeagueInfo!$D$6*LeagueInfo!$F$2)))</f>
        <v>24</v>
      </c>
    </row>
    <row r="447" spans="1:9" x14ac:dyDescent="0.25">
      <c r="A447">
        <f ca="1">RANK(E447,E$2:E$462)</f>
        <v>446</v>
      </c>
      <c r="B447" t="s">
        <v>704</v>
      </c>
      <c r="C447" t="s">
        <v>35</v>
      </c>
      <c r="D447">
        <f ca="1">INDEX(INDIRECT($C447&amp;"!P:P"),MATCH($B447,INDIRECT($C447&amp;"!B:B"),0))</f>
        <v>7.74</v>
      </c>
      <c r="E447" s="210">
        <f ca="1">D447-LARGE(D$2:D$385,RBCount+WRCount+TECount)</f>
        <v>-100.25</v>
      </c>
      <c r="F447" t="str">
        <f ca="1">IF(H447&lt;=I447,"Starter",IF(G447&gt;=LARGE(G:G,FlexOn*LeagueInfo!$F$2),"Starter","Bench"))</f>
        <v>Bench</v>
      </c>
      <c r="G447">
        <f ca="1">IF(H447&gt;I447,D447,0)</f>
        <v>7.74</v>
      </c>
      <c r="H447">
        <f ca="1">INDEX(INDIRECT(""&amp;C447&amp;"!A2:A489"),MATCH(B447,INDIRECT(""&amp;C447&amp;"!B2:B489"),0))</f>
        <v>200</v>
      </c>
      <c r="I447">
        <f>IF(C447="RB",LeagueInfo!$D$4*LeagueInfo!$F$2,IF(C447="WR",LeagueInfo!$D$5*LeagueInfo!$F$2,IF(C447="TE",LeagueInfo!$D$6*LeagueInfo!$F$2)))</f>
        <v>24</v>
      </c>
    </row>
    <row r="448" spans="1:9" x14ac:dyDescent="0.25">
      <c r="A448">
        <f ca="1">RANK(E448,E$2:E$462)</f>
        <v>447</v>
      </c>
      <c r="B448" t="s">
        <v>2620</v>
      </c>
      <c r="C448" t="s">
        <v>35</v>
      </c>
      <c r="D448">
        <f ca="1">INDEX(INDIRECT($C448&amp;"!P:P"),MATCH($B448,INDIRECT($C448&amp;"!B:B"),0))</f>
        <v>7.7</v>
      </c>
      <c r="E448" s="210">
        <f ca="1">D448-LARGE(D$2:D$385,RBCount+WRCount+TECount)</f>
        <v>-100.28999999999999</v>
      </c>
      <c r="F448" t="str">
        <f ca="1">IF(H448&lt;=I448,"Starter",IF(G448&gt;=LARGE(G:G,FlexOn*LeagueInfo!$F$2),"Starter","Bench"))</f>
        <v>Bench</v>
      </c>
      <c r="G448">
        <f ca="1">IF(H448&gt;I448,D448,0)</f>
        <v>7.7</v>
      </c>
      <c r="H448">
        <f ca="1">INDEX(INDIRECT(""&amp;C448&amp;"!A2:A489"),MATCH(B448,INDIRECT(""&amp;C448&amp;"!B2:B489"),0))</f>
        <v>201</v>
      </c>
      <c r="I448">
        <f>IF(C448="RB",LeagueInfo!$D$4*LeagueInfo!$F$2,IF(C448="WR",LeagueInfo!$D$5*LeagueInfo!$F$2,IF(C448="TE",LeagueInfo!$D$6*LeagueInfo!$F$2)))</f>
        <v>24</v>
      </c>
    </row>
    <row r="449" spans="1:9" x14ac:dyDescent="0.25">
      <c r="A449">
        <f ca="1">RANK(E449,E$2:E$462)</f>
        <v>448</v>
      </c>
      <c r="B449" t="s">
        <v>1000</v>
      </c>
      <c r="C449" t="s">
        <v>35</v>
      </c>
      <c r="D449">
        <f ca="1">INDEX(INDIRECT($C449&amp;"!P:P"),MATCH($B449,INDIRECT($C449&amp;"!B:B"),0))</f>
        <v>7.66</v>
      </c>
      <c r="E449" s="210">
        <f ca="1">D449-LARGE(D$2:D$385,RBCount+WRCount+TECount)</f>
        <v>-100.33</v>
      </c>
      <c r="F449" t="str">
        <f ca="1">IF(H449&lt;=I449,"Starter",IF(G449&gt;=LARGE(G:G,FlexOn*LeagueInfo!$F$2),"Starter","Bench"))</f>
        <v>Bench</v>
      </c>
      <c r="G449">
        <f ca="1">IF(H449&gt;I449,D449,0)</f>
        <v>7.66</v>
      </c>
      <c r="H449">
        <f ca="1">INDEX(INDIRECT(""&amp;C449&amp;"!A2:A489"),MATCH(B449,INDIRECT(""&amp;C449&amp;"!B2:B489"),0))</f>
        <v>202</v>
      </c>
      <c r="I449">
        <f>IF(C449="RB",LeagueInfo!$D$4*LeagueInfo!$F$2,IF(C449="WR",LeagueInfo!$D$5*LeagueInfo!$F$2,IF(C449="TE",LeagueInfo!$D$6*LeagueInfo!$F$2)))</f>
        <v>24</v>
      </c>
    </row>
    <row r="450" spans="1:9" x14ac:dyDescent="0.25">
      <c r="A450">
        <f ca="1">RANK(E450,E$2:E$462)</f>
        <v>448</v>
      </c>
      <c r="B450" t="s">
        <v>2494</v>
      </c>
      <c r="C450" t="s">
        <v>43</v>
      </c>
      <c r="D450">
        <f ca="1">INDEX(INDIRECT($C450&amp;"!P:P"),MATCH($B450,INDIRECT($C450&amp;"!B:B"),0))</f>
        <v>7.66</v>
      </c>
      <c r="E450" s="210">
        <f ca="1">D450-LARGE(D$2:D$385,RBCount+WRCount+TECount)</f>
        <v>-100.33</v>
      </c>
      <c r="F450" t="str">
        <f ca="1">IF(H450&lt;=I450,"Starter",IF(G450&gt;=LARGE(G:G,FlexOn*LeagueInfo!$F$2),"Starter","Bench"))</f>
        <v>Bench</v>
      </c>
      <c r="G450">
        <f ca="1">IF(H450&gt;I450,D450,0)</f>
        <v>7.66</v>
      </c>
      <c r="H450">
        <f ca="1">INDEX(INDIRECT(""&amp;C450&amp;"!A2:A489"),MATCH(B450,INDIRECT(""&amp;C450&amp;"!B2:B489"),0))</f>
        <v>111</v>
      </c>
      <c r="I450">
        <f>IF(C450="RB",LeagueInfo!$D$4*LeagueInfo!$F$2,IF(C450="WR",LeagueInfo!$D$5*LeagueInfo!$F$2,IF(C450="TE",LeagueInfo!$D$6*LeagueInfo!$F$2)))</f>
        <v>12</v>
      </c>
    </row>
    <row r="451" spans="1:9" x14ac:dyDescent="0.25">
      <c r="A451">
        <f ca="1">RANK(E451,E$2:E$462)</f>
        <v>450</v>
      </c>
      <c r="B451" t="s">
        <v>697</v>
      </c>
      <c r="C451" t="s">
        <v>35</v>
      </c>
      <c r="D451">
        <f ca="1">INDEX(INDIRECT($C451&amp;"!P:P"),MATCH($B451,INDIRECT($C451&amp;"!B:B"),0))</f>
        <v>7.55</v>
      </c>
      <c r="E451" s="210">
        <f ca="1">D451-LARGE(D$2:D$385,RBCount+WRCount+TECount)</f>
        <v>-100.44</v>
      </c>
      <c r="F451" t="str">
        <f ca="1">IF(H451&lt;=I451,"Starter",IF(G451&gt;=LARGE(G:G,FlexOn*LeagueInfo!$F$2),"Starter","Bench"))</f>
        <v>Bench</v>
      </c>
      <c r="G451">
        <f ca="1">IF(H451&gt;I451,D451,0)</f>
        <v>7.55</v>
      </c>
      <c r="H451">
        <f ca="1">INDEX(INDIRECT(""&amp;C451&amp;"!A2:A489"),MATCH(B451,INDIRECT(""&amp;C451&amp;"!B2:B489"),0))</f>
        <v>203</v>
      </c>
      <c r="I451">
        <f>IF(C451="RB",LeagueInfo!$D$4*LeagueInfo!$F$2,IF(C451="WR",LeagueInfo!$D$5*LeagueInfo!$F$2,IF(C451="TE",LeagueInfo!$D$6*LeagueInfo!$F$2)))</f>
        <v>24</v>
      </c>
    </row>
    <row r="452" spans="1:9" x14ac:dyDescent="0.25">
      <c r="A452">
        <f ca="1">RANK(E452,E$2:E$462)</f>
        <v>451</v>
      </c>
      <c r="B452" t="s">
        <v>868</v>
      </c>
      <c r="C452" t="s">
        <v>35</v>
      </c>
      <c r="D452">
        <f ca="1">INDEX(INDIRECT($C452&amp;"!P:P"),MATCH($B452,INDIRECT($C452&amp;"!B:B"),0))</f>
        <v>7.5100000000000007</v>
      </c>
      <c r="E452" s="210">
        <f ca="1">D452-LARGE(D$2:D$385,RBCount+WRCount+TECount)</f>
        <v>-100.47999999999999</v>
      </c>
      <c r="F452" t="str">
        <f ca="1">IF(H452&lt;=I452,"Starter",IF(G452&gt;=LARGE(G:G,FlexOn*LeagueInfo!$F$2),"Starter","Bench"))</f>
        <v>Bench</v>
      </c>
      <c r="G452">
        <f ca="1">IF(H452&gt;I452,D452,0)</f>
        <v>7.5100000000000007</v>
      </c>
      <c r="H452">
        <f ca="1">INDEX(INDIRECT(""&amp;C452&amp;"!A2:A489"),MATCH(B452,INDIRECT(""&amp;C452&amp;"!B2:B489"),0))</f>
        <v>204</v>
      </c>
      <c r="I452">
        <f>IF(C452="RB",LeagueInfo!$D$4*LeagueInfo!$F$2,IF(C452="WR",LeagueInfo!$D$5*LeagueInfo!$F$2,IF(C452="TE",LeagueInfo!$D$6*LeagueInfo!$F$2)))</f>
        <v>24</v>
      </c>
    </row>
    <row r="453" spans="1:9" x14ac:dyDescent="0.25">
      <c r="A453">
        <f ca="1">RANK(E453,E$2:E$462)</f>
        <v>452</v>
      </c>
      <c r="B453" t="s">
        <v>987</v>
      </c>
      <c r="C453" t="s">
        <v>43</v>
      </c>
      <c r="D453">
        <f ca="1">INDEX(INDIRECT($C453&amp;"!P:P"),MATCH($B453,INDIRECT($C453&amp;"!B:B"),0))</f>
        <v>7.38</v>
      </c>
      <c r="E453" s="210">
        <f ca="1">D453-LARGE(D$2:D$385,RBCount+WRCount+TECount)</f>
        <v>-100.61</v>
      </c>
      <c r="F453" t="str">
        <f ca="1">IF(H453&lt;=I453,"Starter",IF(G453&gt;=LARGE(G:G,FlexOn*LeagueInfo!$F$2),"Starter","Bench"))</f>
        <v>Bench</v>
      </c>
      <c r="G453">
        <f ca="1">IF(H453&gt;I453,D453,0)</f>
        <v>7.38</v>
      </c>
      <c r="H453">
        <f ca="1">INDEX(INDIRECT(""&amp;C453&amp;"!A2:A489"),MATCH(B453,INDIRECT(""&amp;C453&amp;"!B2:B489"),0))</f>
        <v>112</v>
      </c>
      <c r="I453">
        <f>IF(C453="RB",LeagueInfo!$D$4*LeagueInfo!$F$2,IF(C453="WR",LeagueInfo!$D$5*LeagueInfo!$F$2,IF(C453="TE",LeagueInfo!$D$6*LeagueInfo!$F$2)))</f>
        <v>12</v>
      </c>
    </row>
    <row r="454" spans="1:9" x14ac:dyDescent="0.25">
      <c r="A454">
        <f ca="1">RANK(E454,E$2:E$462)</f>
        <v>453</v>
      </c>
      <c r="B454" t="s">
        <v>2621</v>
      </c>
      <c r="C454" t="s">
        <v>35</v>
      </c>
      <c r="D454">
        <f ca="1">INDEX(INDIRECT($C454&amp;"!P:P"),MATCH($B454,INDIRECT($C454&amp;"!B:B"),0))</f>
        <v>7.0500000000000007</v>
      </c>
      <c r="E454" s="210">
        <f ca="1">D454-LARGE(D$2:D$385,RBCount+WRCount+TECount)</f>
        <v>-100.94</v>
      </c>
      <c r="F454" t="str">
        <f ca="1">IF(H454&lt;=I454,"Starter",IF(G454&gt;=LARGE(G:G,FlexOn*LeagueInfo!$F$2),"Starter","Bench"))</f>
        <v>Bench</v>
      </c>
      <c r="G454">
        <f ca="1">IF(H454&gt;I454,D454,0)</f>
        <v>7.0500000000000007</v>
      </c>
      <c r="H454">
        <f ca="1">INDEX(INDIRECT(""&amp;C454&amp;"!A2:A489"),MATCH(B454,INDIRECT(""&amp;C454&amp;"!B2:B489"),0))</f>
        <v>205</v>
      </c>
      <c r="I454">
        <f>IF(C454="RB",LeagueInfo!$D$4*LeagueInfo!$F$2,IF(C454="WR",LeagueInfo!$D$5*LeagueInfo!$F$2,IF(C454="TE",LeagueInfo!$D$6*LeagueInfo!$F$2)))</f>
        <v>24</v>
      </c>
    </row>
    <row r="455" spans="1:9" x14ac:dyDescent="0.25">
      <c r="A455">
        <f ca="1">RANK(E455,E$2:E$462)</f>
        <v>454</v>
      </c>
      <c r="B455" t="s">
        <v>729</v>
      </c>
      <c r="C455" t="s">
        <v>35</v>
      </c>
      <c r="D455">
        <f ca="1">INDEX(INDIRECT($C455&amp;"!P:P"),MATCH($B455,INDIRECT($C455&amp;"!B:B"),0))</f>
        <v>6.93</v>
      </c>
      <c r="E455" s="210">
        <f ca="1">D455-LARGE(D$2:D$385,RBCount+WRCount+TECount)</f>
        <v>-101.06</v>
      </c>
      <c r="F455" t="str">
        <f ca="1">IF(H455&lt;=I455,"Starter",IF(G455&gt;=LARGE(G:G,FlexOn*LeagueInfo!$F$2),"Starter","Bench"))</f>
        <v>Bench</v>
      </c>
      <c r="G455">
        <f ca="1">IF(H455&gt;I455,D455,0)</f>
        <v>6.93</v>
      </c>
      <c r="H455">
        <f ca="1">INDEX(INDIRECT(""&amp;C455&amp;"!A2:A489"),MATCH(B455,INDIRECT(""&amp;C455&amp;"!B2:B489"),0))</f>
        <v>206</v>
      </c>
      <c r="I455">
        <f>IF(C455="RB",LeagueInfo!$D$4*LeagueInfo!$F$2,IF(C455="WR",LeagueInfo!$D$5*LeagueInfo!$F$2,IF(C455="TE",LeagueInfo!$D$6*LeagueInfo!$F$2)))</f>
        <v>24</v>
      </c>
    </row>
    <row r="456" spans="1:9" x14ac:dyDescent="0.25">
      <c r="A456">
        <f ca="1">RANK(E456,E$2:E$462)</f>
        <v>455</v>
      </c>
      <c r="B456" t="s">
        <v>727</v>
      </c>
      <c r="C456" t="s">
        <v>35</v>
      </c>
      <c r="D456">
        <f ca="1">INDEX(INDIRECT($C456&amp;"!P:P"),MATCH($B456,INDIRECT($C456&amp;"!B:B"),0))</f>
        <v>6.83</v>
      </c>
      <c r="E456" s="210">
        <f ca="1">D456-LARGE(D$2:D$385,RBCount+WRCount+TECount)</f>
        <v>-101.16</v>
      </c>
      <c r="F456" t="str">
        <f ca="1">IF(H456&lt;=I456,"Starter",IF(G456&gt;=LARGE(G:G,FlexOn*LeagueInfo!$F$2),"Starter","Bench"))</f>
        <v>Bench</v>
      </c>
      <c r="G456">
        <f ca="1">IF(H456&gt;I456,D456,0)</f>
        <v>6.83</v>
      </c>
      <c r="H456">
        <f ca="1">INDEX(INDIRECT(""&amp;C456&amp;"!A2:A489"),MATCH(B456,INDIRECT(""&amp;C456&amp;"!B2:B489"),0))</f>
        <v>207</v>
      </c>
      <c r="I456">
        <f>IF(C456="RB",LeagueInfo!$D$4*LeagueInfo!$F$2,IF(C456="WR",LeagueInfo!$D$5*LeagueInfo!$F$2,IF(C456="TE",LeagueInfo!$D$6*LeagueInfo!$F$2)))</f>
        <v>24</v>
      </c>
    </row>
    <row r="457" spans="1:9" x14ac:dyDescent="0.25">
      <c r="A457">
        <f ca="1">RANK(E457,E$2:E$462)</f>
        <v>456</v>
      </c>
      <c r="B457" t="s">
        <v>863</v>
      </c>
      <c r="C457" t="s">
        <v>35</v>
      </c>
      <c r="D457">
        <f ca="1">INDEX(INDIRECT($C457&amp;"!P:P"),MATCH($B457,INDIRECT($C457&amp;"!B:B"),0))</f>
        <v>6.5600000000000005</v>
      </c>
      <c r="E457" s="210">
        <f ca="1">D457-LARGE(D$2:D$385,RBCount+WRCount+TECount)</f>
        <v>-101.42999999999999</v>
      </c>
      <c r="F457" t="str">
        <f ca="1">IF(H457&lt;=I457,"Starter",IF(G457&gt;=LARGE(G:G,FlexOn*LeagueInfo!$F$2),"Starter","Bench"))</f>
        <v>Bench</v>
      </c>
      <c r="G457">
        <f ca="1">IF(H457&gt;I457,D457,0)</f>
        <v>6.5600000000000005</v>
      </c>
      <c r="H457">
        <f ca="1">INDEX(INDIRECT(""&amp;C457&amp;"!A2:A489"),MATCH(B457,INDIRECT(""&amp;C457&amp;"!B2:B489"),0))</f>
        <v>208</v>
      </c>
      <c r="I457">
        <f>IF(C457="RB",LeagueInfo!$D$4*LeagueInfo!$F$2,IF(C457="WR",LeagueInfo!$D$5*LeagueInfo!$F$2,IF(C457="TE",LeagueInfo!$D$6*LeagueInfo!$F$2)))</f>
        <v>24</v>
      </c>
    </row>
    <row r="458" spans="1:9" x14ac:dyDescent="0.25">
      <c r="A458">
        <f ca="1">RANK(E458,E$2:E$462)</f>
        <v>457</v>
      </c>
      <c r="B458" t="s">
        <v>573</v>
      </c>
      <c r="C458" t="s">
        <v>35</v>
      </c>
      <c r="D458">
        <f ca="1">INDEX(INDIRECT($C458&amp;"!P:P"),MATCH($B458,INDIRECT($C458&amp;"!B:B"),0))</f>
        <v>6.53</v>
      </c>
      <c r="E458" s="210">
        <f ca="1">D458-LARGE(D$2:D$385,RBCount+WRCount+TECount)</f>
        <v>-101.46</v>
      </c>
      <c r="F458" t="str">
        <f ca="1">IF(H458&lt;=I458,"Starter",IF(G458&gt;=LARGE(G:G,FlexOn*LeagueInfo!$F$2),"Starter","Bench"))</f>
        <v>Bench</v>
      </c>
      <c r="G458">
        <f ca="1">IF(H458&gt;I458,D458,0)</f>
        <v>6.53</v>
      </c>
      <c r="H458">
        <f ca="1">INDEX(INDIRECT(""&amp;C458&amp;"!A2:A489"),MATCH(B458,INDIRECT(""&amp;C458&amp;"!B2:B489"),0))</f>
        <v>209</v>
      </c>
      <c r="I458">
        <f>IF(C458="RB",LeagueInfo!$D$4*LeagueInfo!$F$2,IF(C458="WR",LeagueInfo!$D$5*LeagueInfo!$F$2,IF(C458="TE",LeagueInfo!$D$6*LeagueInfo!$F$2)))</f>
        <v>24</v>
      </c>
    </row>
    <row r="459" spans="1:9" x14ac:dyDescent="0.25">
      <c r="A459">
        <f ca="1">RANK(E459,E$2:E$462)</f>
        <v>458</v>
      </c>
      <c r="B459" t="s">
        <v>852</v>
      </c>
      <c r="C459" t="s">
        <v>35</v>
      </c>
      <c r="D459">
        <f ca="1">INDEX(INDIRECT($C459&amp;"!P:P"),MATCH($B459,INDIRECT($C459&amp;"!B:B"),0))</f>
        <v>6.28</v>
      </c>
      <c r="E459" s="210">
        <f ca="1">D459-LARGE(D$2:D$385,RBCount+WRCount+TECount)</f>
        <v>-101.71</v>
      </c>
      <c r="F459" t="str">
        <f ca="1">IF(H459&lt;=I459,"Starter",IF(G459&gt;=LARGE(G:G,FlexOn*LeagueInfo!$F$2),"Starter","Bench"))</f>
        <v>Bench</v>
      </c>
      <c r="G459">
        <f ca="1">IF(H459&gt;I459,D459,0)</f>
        <v>6.28</v>
      </c>
      <c r="H459">
        <f ca="1">INDEX(INDIRECT(""&amp;C459&amp;"!A2:A489"),MATCH(B459,INDIRECT(""&amp;C459&amp;"!B2:B489"),0))</f>
        <v>210</v>
      </c>
      <c r="I459">
        <f>IF(C459="RB",LeagueInfo!$D$4*LeagueInfo!$F$2,IF(C459="WR",LeagueInfo!$D$5*LeagueInfo!$F$2,IF(C459="TE",LeagueInfo!$D$6*LeagueInfo!$F$2)))</f>
        <v>24</v>
      </c>
    </row>
    <row r="460" spans="1:9" x14ac:dyDescent="0.25">
      <c r="A460">
        <f ca="1">RANK(E460,E$2:E$462)</f>
        <v>459</v>
      </c>
      <c r="B460" t="s">
        <v>1009</v>
      </c>
      <c r="C460" t="s">
        <v>28</v>
      </c>
      <c r="D460">
        <f ca="1">INDEX(INDIRECT($C460&amp;"!P:P"),MATCH($B460,INDIRECT($C460&amp;"!B:B"),0))</f>
        <v>0</v>
      </c>
      <c r="E460" s="210">
        <f ca="1">D460-LARGE(D$2:D$385,RBCount+WRCount+TECount)</f>
        <v>-107.99</v>
      </c>
      <c r="F460" t="str">
        <f ca="1">IF(H460&lt;=I460,"Starter",IF(G460&gt;=LARGE(G:G,FlexOn*LeagueInfo!$F$2),"Starter","Bench"))</f>
        <v>Bench</v>
      </c>
      <c r="G460">
        <f ca="1">IF(H460&gt;I460,D460,0)</f>
        <v>0</v>
      </c>
      <c r="H460">
        <f ca="1">INDEX(INDIRECT(""&amp;C460&amp;"!A2:A489"),MATCH(B460,INDIRECT(""&amp;C460&amp;"!B2:B489"),0))</f>
        <v>137</v>
      </c>
      <c r="I460">
        <f>IF(C460="RB",LeagueInfo!$D$4*LeagueInfo!$F$2,IF(C460="WR",LeagueInfo!$D$5*LeagueInfo!$F$2,IF(C460="TE",LeagueInfo!$D$6*LeagueInfo!$F$2)))</f>
        <v>24</v>
      </c>
    </row>
    <row r="461" spans="1:9" x14ac:dyDescent="0.25">
      <c r="A461">
        <f ca="1">RANK(E461,E$2:E$462)</f>
        <v>459</v>
      </c>
      <c r="B461" t="s">
        <v>2745</v>
      </c>
      <c r="C461" t="s">
        <v>35</v>
      </c>
      <c r="D461">
        <f ca="1">INDEX(INDIRECT($C461&amp;"!P:P"),MATCH($B461,INDIRECT($C461&amp;"!B:B"),0))</f>
        <v>0</v>
      </c>
      <c r="E461" s="210">
        <f ca="1">D461-LARGE(D$2:D$385,RBCount+WRCount+TECount)</f>
        <v>-107.99</v>
      </c>
      <c r="F461" t="str">
        <f ca="1">IF(H461&lt;=I461,"Starter",IF(G461&gt;=LARGE(G:G,FlexOn*LeagueInfo!$F$2),"Starter","Bench"))</f>
        <v>Bench</v>
      </c>
      <c r="G461">
        <f ca="1">IF(H461&gt;I461,D461,0)</f>
        <v>0</v>
      </c>
      <c r="H461">
        <f ca="1">INDEX(INDIRECT(""&amp;C461&amp;"!A2:A489"),MATCH(B461,INDIRECT(""&amp;C461&amp;"!B2:B489"),0))</f>
        <v>211</v>
      </c>
      <c r="I461">
        <f>IF(C461="RB",LeagueInfo!$D$4*LeagueInfo!$F$2,IF(C461="WR",LeagueInfo!$D$5*LeagueInfo!$F$2,IF(C461="TE",LeagueInfo!$D$6*LeagueInfo!$F$2)))</f>
        <v>24</v>
      </c>
    </row>
    <row r="462" spans="1:9" x14ac:dyDescent="0.25">
      <c r="A462">
        <f ca="1">RANK(E462,E$2:E$462)</f>
        <v>459</v>
      </c>
      <c r="B462" t="s">
        <v>759</v>
      </c>
      <c r="C462" t="s">
        <v>43</v>
      </c>
      <c r="D462">
        <f ca="1">INDEX(INDIRECT($C462&amp;"!P:P"),MATCH($B462,INDIRECT($C462&amp;"!B:B"),0))</f>
        <v>0</v>
      </c>
      <c r="E462" s="210">
        <f ca="1">D462-LARGE(D$2:D$385,RBCount+WRCount+TECount)</f>
        <v>-107.99</v>
      </c>
      <c r="F462" t="str">
        <f ca="1">IF(H462&lt;=I462,"Starter",IF(G462&gt;=LARGE(G:G,FlexOn*LeagueInfo!$F$2),"Starter","Bench"))</f>
        <v>Bench</v>
      </c>
      <c r="G462">
        <f ca="1">IF(H462&gt;I462,D462,0)</f>
        <v>0</v>
      </c>
      <c r="H462">
        <f ca="1">INDEX(INDIRECT(""&amp;C462&amp;"!A2:A489"),MATCH(B462,INDIRECT(""&amp;C462&amp;"!B2:B489"),0))</f>
        <v>113</v>
      </c>
      <c r="I462">
        <f>IF(C462="RB",LeagueInfo!$D$4*LeagueInfo!$F$2,IF(C462="WR",LeagueInfo!$D$5*LeagueInfo!$F$2,IF(C462="TE",LeagueInfo!$D$6*LeagueInfo!$F$2)))</f>
        <v>12</v>
      </c>
    </row>
  </sheetData>
  <autoFilter ref="A1:I447" xr:uid="{00000000-0009-0000-0000-00000B000000}"/>
  <sortState xmlns:xlrd2="http://schemas.microsoft.com/office/spreadsheetml/2017/richdata2" ref="A2:J462">
    <sortCondition descending="1" ref="E2"/>
  </sortState>
  <conditionalFormatting sqref="C335 B191:C334">
    <cfRule type="expression" dxfId="79" priority="7">
      <formula>$J191="Yes"</formula>
    </cfRule>
  </conditionalFormatting>
  <conditionalFormatting sqref="B335">
    <cfRule type="expression" dxfId="78" priority="6">
      <formula>$J335="Yes"</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1210A-2FED-4379-A0AA-3A1B7DE9A594}">
  <sheetPr codeName="Sheet23"/>
  <dimension ref="A1:J350"/>
  <sheetViews>
    <sheetView topLeftCell="A102" zoomScaleNormal="100" workbookViewId="0">
      <selection activeCell="A2" sqref="A2:J350"/>
    </sheetView>
  </sheetViews>
  <sheetFormatPr defaultColWidth="8.85546875" defaultRowHeight="15" x14ac:dyDescent="0.25"/>
  <cols>
    <col min="2" max="2" width="23.42578125" bestFit="1" customWidth="1"/>
    <col min="3" max="3" width="4.42578125" bestFit="1" customWidth="1"/>
    <col min="9" max="9" width="10.5703125" bestFit="1" customWidth="1"/>
  </cols>
  <sheetData>
    <row r="1" spans="1:10" ht="24.75" x14ac:dyDescent="0.25">
      <c r="A1" s="1" t="s">
        <v>253</v>
      </c>
      <c r="B1" s="1" t="s">
        <v>85</v>
      </c>
      <c r="C1" s="1" t="s">
        <v>254</v>
      </c>
      <c r="D1" s="2" t="s">
        <v>263</v>
      </c>
      <c r="E1" s="3" t="s">
        <v>14</v>
      </c>
      <c r="F1" s="3" t="s">
        <v>411</v>
      </c>
      <c r="G1" s="3" t="s">
        <v>412</v>
      </c>
      <c r="H1" s="3" t="s">
        <v>413</v>
      </c>
      <c r="I1" s="3" t="s">
        <v>414</v>
      </c>
      <c r="J1" s="3"/>
    </row>
    <row r="2" spans="1:10" x14ac:dyDescent="0.25">
      <c r="A2">
        <f ca="1">RANK(E2,E$2:E$350)</f>
        <v>1</v>
      </c>
      <c r="B2" t="s">
        <v>375</v>
      </c>
      <c r="C2" t="s">
        <v>35</v>
      </c>
      <c r="D2">
        <f ca="1">INDEX(INDIRECT($C2&amp;"!P:P"),MATCH($B2,INDIRECT($C2&amp;"!B:B"),0))</f>
        <v>297.59000000000003</v>
      </c>
      <c r="E2" s="6">
        <f ca="1">D2-LARGE(D$2:D$284,TECount+WRCount)</f>
        <v>182.55</v>
      </c>
      <c r="F2" t="str">
        <f ca="1">IF(H2&lt;=I2,"Starter",IF(G2&gt;=LARGE(G:G,FlexOn*LeagueInfo!$F$2),"Starter","Bench"))</f>
        <v>Starter</v>
      </c>
      <c r="G2">
        <f ca="1">IF(H2&gt;I2,D2,0)</f>
        <v>0</v>
      </c>
      <c r="H2">
        <f ca="1">INDEX(INDIRECT(""&amp;C2&amp;"!A2:A489"),MATCH(B2,INDIRECT(""&amp;C2&amp;"!B2:B489"),0))</f>
        <v>1</v>
      </c>
      <c r="I2">
        <f>IF(C2="WR",LeagueInfo!$D$5*LeagueInfo!$F$2,LeagueInfo!$D$6*LeagueInfo!$F$2)</f>
        <v>24</v>
      </c>
    </row>
    <row r="3" spans="1:10" x14ac:dyDescent="0.25">
      <c r="A3">
        <f ca="1">RANK(E3,E$2:E$350)</f>
        <v>2</v>
      </c>
      <c r="B3" t="s">
        <v>835</v>
      </c>
      <c r="C3" t="s">
        <v>35</v>
      </c>
      <c r="D3">
        <f ca="1">INDEX(INDIRECT($C3&amp;"!P:P"),MATCH($B3,INDIRECT($C3&amp;"!B:B"),0))</f>
        <v>258.64000000000004</v>
      </c>
      <c r="E3" s="6">
        <f ca="1">D3-LARGE(D$2:D$284,TECount+WRCount)</f>
        <v>143.60000000000002</v>
      </c>
      <c r="F3" t="str">
        <f ca="1">IF(H3&lt;=I3,"Starter",IF(G3&gt;=LARGE(G:G,FlexOn*LeagueInfo!$F$2),"Starter","Bench"))</f>
        <v>Starter</v>
      </c>
      <c r="G3">
        <f ca="1">IF(H3&gt;I3,D3,0)</f>
        <v>0</v>
      </c>
      <c r="H3">
        <f ca="1">INDEX(INDIRECT(""&amp;C3&amp;"!A2:A489"),MATCH(B3,INDIRECT(""&amp;C3&amp;"!B2:B489"),0))</f>
        <v>2</v>
      </c>
      <c r="I3">
        <f>IF(C3="WR",LeagueInfo!$D$5*LeagueInfo!$F$2,LeagueInfo!$D$6*LeagueInfo!$F$2)</f>
        <v>24</v>
      </c>
    </row>
    <row r="4" spans="1:10" x14ac:dyDescent="0.25">
      <c r="A4">
        <f ca="1">RANK(E4,E$2:E$350)</f>
        <v>3</v>
      </c>
      <c r="B4" t="s">
        <v>945</v>
      </c>
      <c r="C4" t="s">
        <v>35</v>
      </c>
      <c r="D4">
        <f ca="1">INDEX(INDIRECT($C4&amp;"!P:P"),MATCH($B4,INDIRECT($C4&amp;"!B:B"),0))</f>
        <v>255.09000000000003</v>
      </c>
      <c r="E4" s="6">
        <f ca="1">D4-LARGE(D$2:D$284,TECount+WRCount)</f>
        <v>140.05000000000001</v>
      </c>
      <c r="F4" t="str">
        <f ca="1">IF(H4&lt;=I4,"Starter",IF(G4&gt;=LARGE(G:G,FlexOn*LeagueInfo!$F$2),"Starter","Bench"))</f>
        <v>Starter</v>
      </c>
      <c r="G4">
        <f ca="1">IF(H4&gt;I4,D4,0)</f>
        <v>0</v>
      </c>
      <c r="H4">
        <f ca="1">INDEX(INDIRECT(""&amp;C4&amp;"!A2:A489"),MATCH(B4,INDIRECT(""&amp;C4&amp;"!B2:B489"),0))</f>
        <v>3</v>
      </c>
      <c r="I4">
        <f>IF(C4="WR",LeagueInfo!$D$5*LeagueInfo!$F$2,LeagueInfo!$D$6*LeagueInfo!$F$2)</f>
        <v>24</v>
      </c>
    </row>
    <row r="5" spans="1:10" x14ac:dyDescent="0.25">
      <c r="A5">
        <f ca="1">RANK(E5,E$2:E$350)</f>
        <v>4</v>
      </c>
      <c r="B5" t="s">
        <v>125</v>
      </c>
      <c r="C5" t="s">
        <v>35</v>
      </c>
      <c r="D5">
        <f ca="1">INDEX(INDIRECT($C5&amp;"!P:P"),MATCH($B5,INDIRECT($C5&amp;"!B:B"),0))</f>
        <v>240.86</v>
      </c>
      <c r="E5" s="6">
        <f ca="1">D5-LARGE(D$2:D$284,TECount+WRCount)</f>
        <v>125.82000000000001</v>
      </c>
      <c r="F5" t="str">
        <f ca="1">IF(H5&lt;=I5,"Starter",IF(G5&gt;=LARGE(G:G,FlexOn*LeagueInfo!$F$2),"Starter","Bench"))</f>
        <v>Starter</v>
      </c>
      <c r="G5">
        <f ca="1">IF(H5&gt;I5,D5,0)</f>
        <v>0</v>
      </c>
      <c r="H5">
        <f ca="1">INDEX(INDIRECT(""&amp;C5&amp;"!A2:A489"),MATCH(B5,INDIRECT(""&amp;C5&amp;"!B2:B489"),0))</f>
        <v>4</v>
      </c>
      <c r="I5">
        <f>IF(C5="WR",LeagueInfo!$D$5*LeagueInfo!$F$2,LeagueInfo!$D$6*LeagueInfo!$F$2)</f>
        <v>24</v>
      </c>
    </row>
    <row r="6" spans="1:10" x14ac:dyDescent="0.25">
      <c r="A6">
        <f ca="1">RANK(E6,E$2:E$350)</f>
        <v>5</v>
      </c>
      <c r="B6" t="s">
        <v>702</v>
      </c>
      <c r="C6" t="s">
        <v>35</v>
      </c>
      <c r="D6">
        <f ca="1">INDEX(INDIRECT($C6&amp;"!P:P"),MATCH($B6,INDIRECT($C6&amp;"!B:B"),0))</f>
        <v>240.51</v>
      </c>
      <c r="E6" s="6">
        <f ca="1">D6-LARGE(D$2:D$284,TECount+WRCount)</f>
        <v>125.46999999999998</v>
      </c>
      <c r="F6" t="str">
        <f ca="1">IF(H6&lt;=I6,"Starter",IF(G6&gt;=LARGE(G:G,FlexOn*LeagueInfo!$F$2),"Starter","Bench"))</f>
        <v>Starter</v>
      </c>
      <c r="G6">
        <f ca="1">IF(H6&gt;I6,D6,0)</f>
        <v>0</v>
      </c>
      <c r="H6">
        <f ca="1">INDEX(INDIRECT(""&amp;C6&amp;"!A2:A489"),MATCH(B6,INDIRECT(""&amp;C6&amp;"!B2:B489"),0))</f>
        <v>5</v>
      </c>
      <c r="I6">
        <f>IF(C6="WR",LeagueInfo!$D$5*LeagueInfo!$F$2,LeagueInfo!$D$6*LeagueInfo!$F$2)</f>
        <v>24</v>
      </c>
    </row>
    <row r="7" spans="1:10" x14ac:dyDescent="0.25">
      <c r="A7">
        <f ca="1">RANK(E7,E$2:E$350)</f>
        <v>6</v>
      </c>
      <c r="B7" t="s">
        <v>169</v>
      </c>
      <c r="C7" t="s">
        <v>35</v>
      </c>
      <c r="D7">
        <f ca="1">INDEX(INDIRECT($C7&amp;"!P:P"),MATCH($B7,INDIRECT($C7&amp;"!B:B"),0))</f>
        <v>228.82000000000002</v>
      </c>
      <c r="E7" s="6">
        <f ca="1">D7-LARGE(D$2:D$284,TECount+WRCount)</f>
        <v>113.78000000000002</v>
      </c>
      <c r="F7" t="str">
        <f ca="1">IF(H7&lt;=I7,"Starter",IF(G7&gt;=LARGE(G:G,FlexOn*LeagueInfo!$F$2),"Starter","Bench"))</f>
        <v>Starter</v>
      </c>
      <c r="G7">
        <f ca="1">IF(H7&gt;I7,D7,0)</f>
        <v>0</v>
      </c>
      <c r="H7">
        <f ca="1">INDEX(INDIRECT(""&amp;C7&amp;"!A2:A489"),MATCH(B7,INDIRECT(""&amp;C7&amp;"!B2:B489"),0))</f>
        <v>6</v>
      </c>
      <c r="I7">
        <f>IF(C7="WR",LeagueInfo!$D$5*LeagueInfo!$F$2,LeagueInfo!$D$6*LeagueInfo!$F$2)</f>
        <v>24</v>
      </c>
    </row>
    <row r="8" spans="1:10" x14ac:dyDescent="0.25">
      <c r="A8">
        <f ca="1">RANK(E8,E$2:E$350)</f>
        <v>7</v>
      </c>
      <c r="B8" t="s">
        <v>121</v>
      </c>
      <c r="C8" t="s">
        <v>43</v>
      </c>
      <c r="D8">
        <f ca="1">INDEX(INDIRECT($C8&amp;"!P:P"),MATCH($B8,INDIRECT($C8&amp;"!B:B"),0))</f>
        <v>223.08</v>
      </c>
      <c r="E8" s="6">
        <f ca="1">D8-LARGE(D$2:D$284,TECount+WRCount)</f>
        <v>108.04</v>
      </c>
      <c r="F8" t="str">
        <f ca="1">IF(H8&lt;=I8,"Starter",IF(G8&gt;=LARGE(G:G,FlexOn*LeagueInfo!$F$2),"Starter","Bench"))</f>
        <v>Starter</v>
      </c>
      <c r="G8">
        <f ca="1">IF(H8&gt;I8,D8,0)</f>
        <v>0</v>
      </c>
      <c r="H8">
        <f ca="1">INDEX(INDIRECT(""&amp;C8&amp;"!A2:A489"),MATCH(B8,INDIRECT(""&amp;C8&amp;"!B2:B489"),0))</f>
        <v>1</v>
      </c>
      <c r="I8">
        <f>IF(C8="WR",LeagueInfo!$D$5*LeagueInfo!$F$2,LeagueInfo!$D$6*LeagueInfo!$F$2)</f>
        <v>12</v>
      </c>
    </row>
    <row r="9" spans="1:10" x14ac:dyDescent="0.25">
      <c r="A9">
        <f ca="1">RANK(E9,E$2:E$350)</f>
        <v>8</v>
      </c>
      <c r="B9" t="s">
        <v>591</v>
      </c>
      <c r="C9" t="s">
        <v>43</v>
      </c>
      <c r="D9">
        <f ca="1">INDEX(INDIRECT($C9&amp;"!P:P"),MATCH($B9,INDIRECT($C9&amp;"!B:B"),0))</f>
        <v>219.95000000000002</v>
      </c>
      <c r="E9" s="6">
        <f ca="1">D9-LARGE(D$2:D$284,TECount+WRCount)</f>
        <v>104.91000000000001</v>
      </c>
      <c r="F9" t="str">
        <f ca="1">IF(H9&lt;=I9,"Starter",IF(G9&gt;=LARGE(G:G,FlexOn*LeagueInfo!$F$2),"Starter","Bench"))</f>
        <v>Starter</v>
      </c>
      <c r="G9">
        <f ca="1">IF(H9&gt;I9,D9,0)</f>
        <v>0</v>
      </c>
      <c r="H9">
        <f ca="1">INDEX(INDIRECT(""&amp;C9&amp;"!A2:A489"),MATCH(B9,INDIRECT(""&amp;C9&amp;"!B2:B489"),0))</f>
        <v>2</v>
      </c>
      <c r="I9">
        <f>IF(C9="WR",LeagueInfo!$D$5*LeagueInfo!$F$2,LeagueInfo!$D$6*LeagueInfo!$F$2)</f>
        <v>12</v>
      </c>
    </row>
    <row r="10" spans="1:10" x14ac:dyDescent="0.25">
      <c r="A10">
        <f ca="1">RANK(E10,E$2:E$350)</f>
        <v>9</v>
      </c>
      <c r="B10" t="s">
        <v>832</v>
      </c>
      <c r="C10" t="s">
        <v>35</v>
      </c>
      <c r="D10">
        <f ca="1">INDEX(INDIRECT($C10&amp;"!P:P"),MATCH($B10,INDIRECT($C10&amp;"!B:B"),0))</f>
        <v>218.93</v>
      </c>
      <c r="E10" s="6">
        <f ca="1">D10-LARGE(D$2:D$284,TECount+WRCount)</f>
        <v>103.89</v>
      </c>
      <c r="F10" t="str">
        <f ca="1">IF(H10&lt;=I10,"Starter",IF(G10&gt;=LARGE(G:G,FlexOn*LeagueInfo!$F$2),"Starter","Bench"))</f>
        <v>Starter</v>
      </c>
      <c r="G10">
        <f ca="1">IF(H10&gt;I10,D10,0)</f>
        <v>0</v>
      </c>
      <c r="H10">
        <f ca="1">INDEX(INDIRECT(""&amp;C10&amp;"!A2:A489"),MATCH(B10,INDIRECT(""&amp;C10&amp;"!B2:B489"),0))</f>
        <v>7</v>
      </c>
      <c r="I10">
        <f>IF(C10="WR",LeagueInfo!$D$5*LeagueInfo!$F$2,LeagueInfo!$D$6*LeagueInfo!$F$2)</f>
        <v>24</v>
      </c>
    </row>
    <row r="11" spans="1:10" x14ac:dyDescent="0.25">
      <c r="A11">
        <f ca="1">RANK(E11,E$2:E$350)</f>
        <v>10</v>
      </c>
      <c r="B11" t="s">
        <v>132</v>
      </c>
      <c r="C11" t="s">
        <v>35</v>
      </c>
      <c r="D11">
        <f ca="1">INDEX(INDIRECT($C11&amp;"!P:P"),MATCH($B11,INDIRECT($C11&amp;"!B:B"),0))</f>
        <v>218.57</v>
      </c>
      <c r="E11" s="6">
        <f ca="1">D11-LARGE(D$2:D$284,TECount+WRCount)</f>
        <v>103.52999999999999</v>
      </c>
      <c r="F11" t="str">
        <f ca="1">IF(H11&lt;=I11,"Starter",IF(G11&gt;=LARGE(G:G,FlexOn*LeagueInfo!$F$2),"Starter","Bench"))</f>
        <v>Starter</v>
      </c>
      <c r="G11">
        <f ca="1">IF(H11&gt;I11,D11,0)</f>
        <v>0</v>
      </c>
      <c r="H11">
        <f ca="1">INDEX(INDIRECT(""&amp;C11&amp;"!A2:A489"),MATCH(B11,INDIRECT(""&amp;C11&amp;"!B2:B489"),0))</f>
        <v>8</v>
      </c>
      <c r="I11">
        <f>IF(C11="WR",LeagueInfo!$D$5*LeagueInfo!$F$2,LeagueInfo!$D$6*LeagueInfo!$F$2)</f>
        <v>24</v>
      </c>
    </row>
    <row r="12" spans="1:10" x14ac:dyDescent="0.25">
      <c r="A12">
        <f ca="1">RANK(E12,E$2:E$350)</f>
        <v>11</v>
      </c>
      <c r="B12" t="s">
        <v>97</v>
      </c>
      <c r="C12" t="s">
        <v>35</v>
      </c>
      <c r="D12">
        <f ca="1">INDEX(INDIRECT($C12&amp;"!P:P"),MATCH($B12,INDIRECT($C12&amp;"!B:B"),0))</f>
        <v>213.97</v>
      </c>
      <c r="E12" s="6">
        <f ca="1">D12-LARGE(D$2:D$284,TECount+WRCount)</f>
        <v>98.929999999999993</v>
      </c>
      <c r="F12" t="str">
        <f ca="1">IF(H12&lt;=I12,"Starter",IF(G12&gt;=LARGE(G:G,FlexOn*LeagueInfo!$F$2),"Starter","Bench"))</f>
        <v>Starter</v>
      </c>
      <c r="G12">
        <f ca="1">IF(H12&gt;I12,D12,0)</f>
        <v>0</v>
      </c>
      <c r="H12">
        <f ca="1">INDEX(INDIRECT(""&amp;C12&amp;"!A2:A489"),MATCH(B12,INDIRECT(""&amp;C12&amp;"!B2:B489"),0))</f>
        <v>9</v>
      </c>
      <c r="I12">
        <f>IF(C12="WR",LeagueInfo!$D$5*LeagueInfo!$F$2,LeagueInfo!$D$6*LeagueInfo!$F$2)</f>
        <v>24</v>
      </c>
    </row>
    <row r="13" spans="1:10" x14ac:dyDescent="0.25">
      <c r="A13">
        <f ca="1">RANK(E13,E$2:E$350)</f>
        <v>12</v>
      </c>
      <c r="B13" t="s">
        <v>839</v>
      </c>
      <c r="C13" t="s">
        <v>35</v>
      </c>
      <c r="D13">
        <f ca="1">INDEX(INDIRECT($C13&amp;"!P:P"),MATCH($B13,INDIRECT($C13&amp;"!B:B"),0))</f>
        <v>207.06</v>
      </c>
      <c r="E13" s="6">
        <f ca="1">D13-LARGE(D$2:D$284,TECount+WRCount)</f>
        <v>92.02</v>
      </c>
      <c r="F13" t="str">
        <f ca="1">IF(H13&lt;=I13,"Starter",IF(G13&gt;=LARGE(G:G,FlexOn*LeagueInfo!$F$2),"Starter","Bench"))</f>
        <v>Starter</v>
      </c>
      <c r="G13">
        <f ca="1">IF(H13&gt;I13,D13,0)</f>
        <v>0</v>
      </c>
      <c r="H13">
        <f ca="1">INDEX(INDIRECT(""&amp;C13&amp;"!A2:A489"),MATCH(B13,INDIRECT(""&amp;C13&amp;"!B2:B489"),0))</f>
        <v>10</v>
      </c>
      <c r="I13">
        <f>IF(C13="WR",LeagueInfo!$D$5*LeagueInfo!$F$2,LeagueInfo!$D$6*LeagueInfo!$F$2)</f>
        <v>24</v>
      </c>
    </row>
    <row r="14" spans="1:10" x14ac:dyDescent="0.25">
      <c r="A14">
        <f ca="1">RANK(E14,E$2:E$350)</f>
        <v>13</v>
      </c>
      <c r="B14" t="s">
        <v>836</v>
      </c>
      <c r="C14" t="s">
        <v>35</v>
      </c>
      <c r="D14">
        <f ca="1">INDEX(INDIRECT($C14&amp;"!P:P"),MATCH($B14,INDIRECT($C14&amp;"!B:B"),0))</f>
        <v>202.08999999999997</v>
      </c>
      <c r="E14" s="6">
        <f ca="1">D14-LARGE(D$2:D$284,TECount+WRCount)</f>
        <v>87.049999999999969</v>
      </c>
      <c r="F14" t="str">
        <f ca="1">IF(H14&lt;=I14,"Starter",IF(G14&gt;=LARGE(G:G,FlexOn*LeagueInfo!$F$2),"Starter","Bench"))</f>
        <v>Starter</v>
      </c>
      <c r="G14">
        <f ca="1">IF(H14&gt;I14,D14,0)</f>
        <v>0</v>
      </c>
      <c r="H14">
        <f ca="1">INDEX(INDIRECT(""&amp;C14&amp;"!A2:A489"),MATCH(B14,INDIRECT(""&amp;C14&amp;"!B2:B489"),0))</f>
        <v>11</v>
      </c>
      <c r="I14">
        <f>IF(C14="WR",LeagueInfo!$D$5*LeagueInfo!$F$2,LeagueInfo!$D$6*LeagueInfo!$F$2)</f>
        <v>24</v>
      </c>
    </row>
    <row r="15" spans="1:10" x14ac:dyDescent="0.25">
      <c r="A15">
        <f ca="1">RANK(E15,E$2:E$350)</f>
        <v>14</v>
      </c>
      <c r="B15" t="s">
        <v>701</v>
      </c>
      <c r="C15" t="s">
        <v>35</v>
      </c>
      <c r="D15">
        <f ca="1">INDEX(INDIRECT($C15&amp;"!P:P"),MATCH($B15,INDIRECT($C15&amp;"!B:B"),0))</f>
        <v>201.77</v>
      </c>
      <c r="E15" s="6">
        <f ca="1">D15-LARGE(D$2:D$284,TECount+WRCount)</f>
        <v>86.73</v>
      </c>
      <c r="F15" t="str">
        <f ca="1">IF(H15&lt;=I15,"Starter",IF(G15&gt;=LARGE(G:G,FlexOn*LeagueInfo!$F$2),"Starter","Bench"))</f>
        <v>Starter</v>
      </c>
      <c r="G15">
        <f ca="1">IF(H15&gt;I15,D15,0)</f>
        <v>0</v>
      </c>
      <c r="H15">
        <f ca="1">INDEX(INDIRECT(""&amp;C15&amp;"!A2:A489"),MATCH(B15,INDIRECT(""&amp;C15&amp;"!B2:B489"),0))</f>
        <v>12</v>
      </c>
      <c r="I15">
        <f>IF(C15="WR",LeagueInfo!$D$5*LeagueInfo!$F$2,LeagueInfo!$D$6*LeagueInfo!$F$2)</f>
        <v>24</v>
      </c>
    </row>
    <row r="16" spans="1:10" x14ac:dyDescent="0.25">
      <c r="A16">
        <f ca="1">RANK(E16,E$2:E$350)</f>
        <v>15</v>
      </c>
      <c r="B16" t="s">
        <v>129</v>
      </c>
      <c r="C16" t="s">
        <v>35</v>
      </c>
      <c r="D16">
        <f ca="1">INDEX(INDIRECT($C16&amp;"!P:P"),MATCH($B16,INDIRECT($C16&amp;"!B:B"),0))</f>
        <v>199.48000000000002</v>
      </c>
      <c r="E16" s="6">
        <f ca="1">D16-LARGE(D$2:D$284,TECount+WRCount)</f>
        <v>84.440000000000012</v>
      </c>
      <c r="F16" t="str">
        <f ca="1">IF(H16&lt;=I16,"Starter",IF(G16&gt;=LARGE(G:G,FlexOn*LeagueInfo!$F$2),"Starter","Bench"))</f>
        <v>Starter</v>
      </c>
      <c r="G16">
        <f ca="1">IF(H16&gt;I16,D16,0)</f>
        <v>0</v>
      </c>
      <c r="H16">
        <f ca="1">INDEX(INDIRECT(""&amp;C16&amp;"!A2:A489"),MATCH(B16,INDIRECT(""&amp;C16&amp;"!B2:B489"),0))</f>
        <v>13</v>
      </c>
      <c r="I16">
        <f>IF(C16="WR",LeagueInfo!$D$5*LeagueInfo!$F$2,LeagueInfo!$D$6*LeagueInfo!$F$2)</f>
        <v>24</v>
      </c>
    </row>
    <row r="17" spans="1:9" x14ac:dyDescent="0.25">
      <c r="A17">
        <f ca="1">RANK(E17,E$2:E$350)</f>
        <v>16</v>
      </c>
      <c r="B17" t="s">
        <v>113</v>
      </c>
      <c r="C17" t="s">
        <v>35</v>
      </c>
      <c r="D17">
        <f ca="1">INDEX(INDIRECT($C17&amp;"!P:P"),MATCH($B17,INDIRECT($C17&amp;"!B:B"),0))</f>
        <v>194.84</v>
      </c>
      <c r="E17" s="6">
        <f ca="1">D17-LARGE(D$2:D$284,TECount+WRCount)</f>
        <v>79.8</v>
      </c>
      <c r="F17" t="str">
        <f ca="1">IF(H17&lt;=I17,"Starter",IF(G17&gt;=LARGE(G:G,FlexOn*LeagueInfo!$F$2),"Starter","Bench"))</f>
        <v>Starter</v>
      </c>
      <c r="G17">
        <f ca="1">IF(H17&gt;I17,D17,0)</f>
        <v>0</v>
      </c>
      <c r="H17">
        <f ca="1">INDEX(INDIRECT(""&amp;C17&amp;"!A2:A489"),MATCH(B17,INDIRECT(""&amp;C17&amp;"!B2:B489"),0))</f>
        <v>14</v>
      </c>
      <c r="I17">
        <f>IF(C17="WR",LeagueInfo!$D$5*LeagueInfo!$F$2,LeagueInfo!$D$6*LeagueInfo!$F$2)</f>
        <v>24</v>
      </c>
    </row>
    <row r="18" spans="1:9" x14ac:dyDescent="0.25">
      <c r="A18">
        <f ca="1">RANK(E18,E$2:E$350)</f>
        <v>17</v>
      </c>
      <c r="B18" t="s">
        <v>185</v>
      </c>
      <c r="C18" t="s">
        <v>35</v>
      </c>
      <c r="D18">
        <f ca="1">INDEX(INDIRECT($C18&amp;"!P:P"),MATCH($B18,INDIRECT($C18&amp;"!B:B"),0))</f>
        <v>194.37</v>
      </c>
      <c r="E18" s="6">
        <f ca="1">D18-LARGE(D$2:D$284,TECount+WRCount)</f>
        <v>79.33</v>
      </c>
      <c r="F18" t="str">
        <f ca="1">IF(H18&lt;=I18,"Starter",IF(G18&gt;=LARGE(G:G,FlexOn*LeagueInfo!$F$2),"Starter","Bench"))</f>
        <v>Starter</v>
      </c>
      <c r="G18">
        <f ca="1">IF(H18&gt;I18,D18,0)</f>
        <v>0</v>
      </c>
      <c r="H18">
        <f ca="1">INDEX(INDIRECT(""&amp;C18&amp;"!A2:A489"),MATCH(B18,INDIRECT(""&amp;C18&amp;"!B2:B489"),0))</f>
        <v>15</v>
      </c>
      <c r="I18">
        <f>IF(C18="WR",LeagueInfo!$D$5*LeagueInfo!$F$2,LeagueInfo!$D$6*LeagueInfo!$F$2)</f>
        <v>24</v>
      </c>
    </row>
    <row r="19" spans="1:9" x14ac:dyDescent="0.25">
      <c r="A19">
        <f ca="1">RANK(E19,E$2:E$350)</f>
        <v>18</v>
      </c>
      <c r="B19" t="s">
        <v>2409</v>
      </c>
      <c r="C19" t="s">
        <v>35</v>
      </c>
      <c r="D19">
        <f ca="1">INDEX(INDIRECT($C19&amp;"!P:P"),MATCH($B19,INDIRECT($C19&amp;"!B:B"),0))</f>
        <v>193.79000000000002</v>
      </c>
      <c r="E19" s="6">
        <f ca="1">D19-LARGE(D$2:D$284,TECount+WRCount)</f>
        <v>78.750000000000014</v>
      </c>
      <c r="F19" t="str">
        <f ca="1">IF(H19&lt;=I19,"Starter",IF(G19&gt;=LARGE(G:G,FlexOn*LeagueInfo!$F$2),"Starter","Bench"))</f>
        <v>Starter</v>
      </c>
      <c r="G19">
        <f ca="1">IF(H19&gt;I19,D19,0)</f>
        <v>0</v>
      </c>
      <c r="H19">
        <f ca="1">INDEX(INDIRECT(""&amp;C19&amp;"!A2:A489"),MATCH(B19,INDIRECT(""&amp;C19&amp;"!B2:B489"),0))</f>
        <v>16</v>
      </c>
      <c r="I19">
        <f>IF(C19="WR",LeagueInfo!$D$5*LeagueInfo!$F$2,LeagueInfo!$D$6*LeagueInfo!$F$2)</f>
        <v>24</v>
      </c>
    </row>
    <row r="20" spans="1:9" x14ac:dyDescent="0.25">
      <c r="A20">
        <f ca="1">RANK(E20,E$2:E$350)</f>
        <v>19</v>
      </c>
      <c r="B20" t="s">
        <v>718</v>
      </c>
      <c r="C20" t="s">
        <v>35</v>
      </c>
      <c r="D20">
        <f ca="1">INDEX(INDIRECT($C20&amp;"!P:P"),MATCH($B20,INDIRECT($C20&amp;"!B:B"),0))</f>
        <v>191.09</v>
      </c>
      <c r="E20" s="6">
        <f ca="1">D20-LARGE(D$2:D$284,TECount+WRCount)</f>
        <v>76.05</v>
      </c>
      <c r="F20" t="str">
        <f ca="1">IF(H20&lt;=I20,"Starter",IF(G20&gt;=LARGE(G:G,FlexOn*LeagueInfo!$F$2),"Starter","Bench"))</f>
        <v>Starter</v>
      </c>
      <c r="G20">
        <f ca="1">IF(H20&gt;I20,D20,0)</f>
        <v>0</v>
      </c>
      <c r="H20">
        <f ca="1">INDEX(INDIRECT(""&amp;C20&amp;"!A2:A489"),MATCH(B20,INDIRECT(""&amp;C20&amp;"!B2:B489"),0))</f>
        <v>17</v>
      </c>
      <c r="I20">
        <f>IF(C20="WR",LeagueInfo!$D$5*LeagueInfo!$F$2,LeagueInfo!$D$6*LeagueInfo!$F$2)</f>
        <v>24</v>
      </c>
    </row>
    <row r="21" spans="1:9" x14ac:dyDescent="0.25">
      <c r="A21">
        <f ca="1">RANK(E21,E$2:E$350)</f>
        <v>20</v>
      </c>
      <c r="B21" t="s">
        <v>2410</v>
      </c>
      <c r="C21" t="s">
        <v>35</v>
      </c>
      <c r="D21">
        <f ca="1">INDEX(INDIRECT($C21&amp;"!P:P"),MATCH($B21,INDIRECT($C21&amp;"!B:B"),0))</f>
        <v>183.73000000000002</v>
      </c>
      <c r="E21" s="6">
        <f ca="1">D21-LARGE(D$2:D$284,TECount+WRCount)</f>
        <v>68.690000000000012</v>
      </c>
      <c r="F21" t="str">
        <f ca="1">IF(H21&lt;=I21,"Starter",IF(G21&gt;=LARGE(G:G,FlexOn*LeagueInfo!$F$2),"Starter","Bench"))</f>
        <v>Starter</v>
      </c>
      <c r="G21">
        <f ca="1">IF(H21&gt;I21,D21,0)</f>
        <v>0</v>
      </c>
      <c r="H21">
        <f ca="1">INDEX(INDIRECT(""&amp;C21&amp;"!A2:A489"),MATCH(B21,INDIRECT(""&amp;C21&amp;"!B2:B489"),0))</f>
        <v>18</v>
      </c>
      <c r="I21">
        <f>IF(C21="WR",LeagueInfo!$D$5*LeagueInfo!$F$2,LeagueInfo!$D$6*LeagueInfo!$F$2)</f>
        <v>24</v>
      </c>
    </row>
    <row r="22" spans="1:9" x14ac:dyDescent="0.25">
      <c r="A22">
        <f ca="1">RANK(E22,E$2:E$350)</f>
        <v>21</v>
      </c>
      <c r="B22" t="s">
        <v>948</v>
      </c>
      <c r="C22" t="s">
        <v>35</v>
      </c>
      <c r="D22">
        <f ca="1">INDEX(INDIRECT($C22&amp;"!P:P"),MATCH($B22,INDIRECT($C22&amp;"!B:B"),0))</f>
        <v>182.84</v>
      </c>
      <c r="E22" s="6">
        <f ca="1">D22-LARGE(D$2:D$284,TECount+WRCount)</f>
        <v>67.8</v>
      </c>
      <c r="F22" t="str">
        <f ca="1">IF(H22&lt;=I22,"Starter",IF(G22&gt;=LARGE(G:G,FlexOn*LeagueInfo!$F$2),"Starter","Bench"))</f>
        <v>Starter</v>
      </c>
      <c r="G22">
        <f ca="1">IF(H22&gt;I22,D22,0)</f>
        <v>0</v>
      </c>
      <c r="H22">
        <f ca="1">INDEX(INDIRECT(""&amp;C22&amp;"!A2:A489"),MATCH(B22,INDIRECT(""&amp;C22&amp;"!B2:B489"),0))</f>
        <v>19</v>
      </c>
      <c r="I22">
        <f>IF(C22="WR",LeagueInfo!$D$5*LeagueInfo!$F$2,LeagueInfo!$D$6*LeagueInfo!$F$2)</f>
        <v>24</v>
      </c>
    </row>
    <row r="23" spans="1:9" x14ac:dyDescent="0.25">
      <c r="A23">
        <f ca="1">RANK(E23,E$2:E$350)</f>
        <v>22</v>
      </c>
      <c r="B23" t="s">
        <v>953</v>
      </c>
      <c r="C23" t="s">
        <v>35</v>
      </c>
      <c r="D23">
        <f ca="1">INDEX(INDIRECT($C23&amp;"!P:P"),MATCH($B23,INDIRECT($C23&amp;"!B:B"),0))</f>
        <v>181.39</v>
      </c>
      <c r="E23" s="6">
        <f ca="1">D23-LARGE(D$2:D$284,TECount+WRCount)</f>
        <v>66.34999999999998</v>
      </c>
      <c r="F23" t="str">
        <f ca="1">IF(H23&lt;=I23,"Starter",IF(G23&gt;=LARGE(G:G,FlexOn*LeagueInfo!$F$2),"Starter","Bench"))</f>
        <v>Starter</v>
      </c>
      <c r="G23">
        <f ca="1">IF(H23&gt;I23,D23,0)</f>
        <v>0</v>
      </c>
      <c r="H23">
        <f ca="1">INDEX(INDIRECT(""&amp;C23&amp;"!A2:A489"),MATCH(B23,INDIRECT(""&amp;C23&amp;"!B2:B489"),0))</f>
        <v>20</v>
      </c>
      <c r="I23">
        <f>IF(C23="WR",LeagueInfo!$D$5*LeagueInfo!$F$2,LeagueInfo!$D$6*LeagueInfo!$F$2)</f>
        <v>24</v>
      </c>
    </row>
    <row r="24" spans="1:9" x14ac:dyDescent="0.25">
      <c r="A24">
        <f ca="1">RANK(E24,E$2:E$350)</f>
        <v>23</v>
      </c>
      <c r="B24" t="s">
        <v>708</v>
      </c>
      <c r="C24" t="s">
        <v>35</v>
      </c>
      <c r="D24">
        <f ca="1">INDEX(INDIRECT($C24&amp;"!P:P"),MATCH($B24,INDIRECT($C24&amp;"!B:B"),0))</f>
        <v>180.60000000000002</v>
      </c>
      <c r="E24" s="6">
        <f ca="1">D24-LARGE(D$2:D$284,TECount+WRCount)</f>
        <v>65.560000000000016</v>
      </c>
      <c r="F24" t="str">
        <f ca="1">IF(H24&lt;=I24,"Starter",IF(G24&gt;=LARGE(G:G,FlexOn*LeagueInfo!$F$2),"Starter","Bench"))</f>
        <v>Starter</v>
      </c>
      <c r="G24">
        <f ca="1">IF(H24&gt;I24,D24,0)</f>
        <v>0</v>
      </c>
      <c r="H24">
        <f ca="1">INDEX(INDIRECT(""&amp;C24&amp;"!A2:A489"),MATCH(B24,INDIRECT(""&amp;C24&amp;"!B2:B489"),0))</f>
        <v>21</v>
      </c>
      <c r="I24">
        <f>IF(C24="WR",LeagueInfo!$D$5*LeagueInfo!$F$2,LeagueInfo!$D$6*LeagueInfo!$F$2)</f>
        <v>24</v>
      </c>
    </row>
    <row r="25" spans="1:9" x14ac:dyDescent="0.25">
      <c r="A25">
        <f ca="1">RANK(E25,E$2:E$350)</f>
        <v>24</v>
      </c>
      <c r="B25" t="s">
        <v>854</v>
      </c>
      <c r="C25" t="s">
        <v>35</v>
      </c>
      <c r="D25">
        <f ca="1">INDEX(INDIRECT($C25&amp;"!P:P"),MATCH($B25,INDIRECT($C25&amp;"!B:B"),0))</f>
        <v>180.29000000000002</v>
      </c>
      <c r="E25" s="6">
        <f ca="1">D25-LARGE(D$2:D$284,TECount+WRCount)</f>
        <v>65.250000000000014</v>
      </c>
      <c r="F25" t="str">
        <f ca="1">IF(H25&lt;=I25,"Starter",IF(G25&gt;=LARGE(G:G,FlexOn*LeagueInfo!$F$2),"Starter","Bench"))</f>
        <v>Starter</v>
      </c>
      <c r="G25">
        <f ca="1">IF(H25&gt;I25,D25,0)</f>
        <v>0</v>
      </c>
      <c r="H25">
        <f ca="1">INDEX(INDIRECT(""&amp;C25&amp;"!A2:A489"),MATCH(B25,INDIRECT(""&amp;C25&amp;"!B2:B489"),0))</f>
        <v>22</v>
      </c>
      <c r="I25">
        <f>IF(C25="WR",LeagueInfo!$D$5*LeagueInfo!$F$2,LeagueInfo!$D$6*LeagueInfo!$F$2)</f>
        <v>24</v>
      </c>
    </row>
    <row r="26" spans="1:9" x14ac:dyDescent="0.25">
      <c r="A26">
        <f ca="1">RANK(E26,E$2:E$350)</f>
        <v>25</v>
      </c>
      <c r="B26" t="s">
        <v>103</v>
      </c>
      <c r="C26" t="s">
        <v>35</v>
      </c>
      <c r="D26">
        <f ca="1">INDEX(INDIRECT($C26&amp;"!P:P"),MATCH($B26,INDIRECT($C26&amp;"!B:B"),0))</f>
        <v>179.28</v>
      </c>
      <c r="E26" s="6">
        <f ca="1">D26-LARGE(D$2:D$284,TECount+WRCount)</f>
        <v>64.239999999999995</v>
      </c>
      <c r="F26" t="str">
        <f ca="1">IF(H26&lt;=I26,"Starter",IF(G26&gt;=LARGE(G:G,FlexOn*LeagueInfo!$F$2),"Starter","Bench"))</f>
        <v>Starter</v>
      </c>
      <c r="G26">
        <f ca="1">IF(H26&gt;I26,D26,0)</f>
        <v>0</v>
      </c>
      <c r="H26">
        <f ca="1">INDEX(INDIRECT(""&amp;C26&amp;"!A2:A489"),MATCH(B26,INDIRECT(""&amp;C26&amp;"!B2:B489"),0))</f>
        <v>23</v>
      </c>
      <c r="I26">
        <f>IF(C26="WR",LeagueInfo!$D$5*LeagueInfo!$F$2,LeagueInfo!$D$6*LeagueInfo!$F$2)</f>
        <v>24</v>
      </c>
    </row>
    <row r="27" spans="1:9" x14ac:dyDescent="0.25">
      <c r="A27">
        <f ca="1">RANK(E27,E$2:E$350)</f>
        <v>26</v>
      </c>
      <c r="B27" t="s">
        <v>700</v>
      </c>
      <c r="C27" t="s">
        <v>35</v>
      </c>
      <c r="D27">
        <f ca="1">INDEX(INDIRECT($C27&amp;"!P:P"),MATCH($B27,INDIRECT($C27&amp;"!B:B"),0))</f>
        <v>176.09000000000003</v>
      </c>
      <c r="E27" s="6">
        <f ca="1">D27-LARGE(D$2:D$284,TECount+WRCount)</f>
        <v>61.050000000000026</v>
      </c>
      <c r="F27" t="str">
        <f ca="1">IF(H27&lt;=I27,"Starter",IF(G27&gt;=LARGE(G:G,FlexOn*LeagueInfo!$F$2),"Starter","Bench"))</f>
        <v>Starter</v>
      </c>
      <c r="G27">
        <f ca="1">IF(H27&gt;I27,D27,0)</f>
        <v>0</v>
      </c>
      <c r="H27">
        <f ca="1">INDEX(INDIRECT(""&amp;C27&amp;"!A2:A489"),MATCH(B27,INDIRECT(""&amp;C27&amp;"!B2:B489"),0))</f>
        <v>24</v>
      </c>
      <c r="I27">
        <f>IF(C27="WR",LeagueInfo!$D$5*LeagueInfo!$F$2,LeagueInfo!$D$6*LeagueInfo!$F$2)</f>
        <v>24</v>
      </c>
    </row>
    <row r="28" spans="1:9" x14ac:dyDescent="0.25">
      <c r="A28">
        <f ca="1">RANK(E28,E$2:E$350)</f>
        <v>27</v>
      </c>
      <c r="B28" t="s">
        <v>565</v>
      </c>
      <c r="C28" t="s">
        <v>35</v>
      </c>
      <c r="D28">
        <f ca="1">INDEX(INDIRECT($C28&amp;"!P:P"),MATCH($B28,INDIRECT($C28&amp;"!B:B"),0))</f>
        <v>175.68</v>
      </c>
      <c r="E28" s="6">
        <f ca="1">D28-LARGE(D$2:D$284,TECount+WRCount)</f>
        <v>60.64</v>
      </c>
      <c r="F28" t="str">
        <f ca="1">IF(H28&lt;=I28,"Starter",IF(G28&gt;=LARGE(G:G,FlexOn*LeagueInfo!$F$2),"Starter","Bench"))</f>
        <v>Starter</v>
      </c>
      <c r="G28">
        <f ca="1">IF(H28&gt;I28,D28,0)</f>
        <v>175.68</v>
      </c>
      <c r="H28">
        <f ca="1">INDEX(INDIRECT(""&amp;C28&amp;"!A2:A489"),MATCH(B28,INDIRECT(""&amp;C28&amp;"!B2:B489"),0))</f>
        <v>25</v>
      </c>
      <c r="I28">
        <f>IF(C28="WR",LeagueInfo!$D$5*LeagueInfo!$F$2,LeagueInfo!$D$6*LeagueInfo!$F$2)</f>
        <v>24</v>
      </c>
    </row>
    <row r="29" spans="1:9" x14ac:dyDescent="0.25">
      <c r="A29">
        <f ca="1">RANK(E29,E$2:E$350)</f>
        <v>28</v>
      </c>
      <c r="B29" t="s">
        <v>859</v>
      </c>
      <c r="C29" t="s">
        <v>35</v>
      </c>
      <c r="D29">
        <f ca="1">INDEX(INDIRECT($C29&amp;"!P:P"),MATCH($B29,INDIRECT($C29&amp;"!B:B"),0))</f>
        <v>174.31</v>
      </c>
      <c r="E29" s="6">
        <f ca="1">D29-LARGE(D$2:D$284,TECount+WRCount)</f>
        <v>59.269999999999996</v>
      </c>
      <c r="F29" t="str">
        <f ca="1">IF(H29&lt;=I29,"Starter",IF(G29&gt;=LARGE(G:G,FlexOn*LeagueInfo!$F$2),"Starter","Bench"))</f>
        <v>Starter</v>
      </c>
      <c r="G29">
        <f ca="1">IF(H29&gt;I29,D29,0)</f>
        <v>174.31</v>
      </c>
      <c r="H29">
        <f ca="1">INDEX(INDIRECT(""&amp;C29&amp;"!A2:A489"),MATCH(B29,INDIRECT(""&amp;C29&amp;"!B2:B489"),0))</f>
        <v>26</v>
      </c>
      <c r="I29">
        <f>IF(C29="WR",LeagueInfo!$D$5*LeagueInfo!$F$2,LeagueInfo!$D$6*LeagueInfo!$F$2)</f>
        <v>24</v>
      </c>
    </row>
    <row r="30" spans="1:9" x14ac:dyDescent="0.25">
      <c r="A30">
        <f ca="1">RANK(E30,E$2:E$350)</f>
        <v>29</v>
      </c>
      <c r="B30" t="s">
        <v>834</v>
      </c>
      <c r="C30" t="s">
        <v>35</v>
      </c>
      <c r="D30">
        <f ca="1">INDEX(INDIRECT($C30&amp;"!P:P"),MATCH($B30,INDIRECT($C30&amp;"!B:B"),0))</f>
        <v>174.26</v>
      </c>
      <c r="E30" s="6">
        <f ca="1">D30-LARGE(D$2:D$284,TECount+WRCount)</f>
        <v>59.219999999999985</v>
      </c>
      <c r="F30" t="str">
        <f ca="1">IF(H30&lt;=I30,"Starter",IF(G30&gt;=LARGE(G:G,FlexOn*LeagueInfo!$F$2),"Starter","Bench"))</f>
        <v>Starter</v>
      </c>
      <c r="G30">
        <f ca="1">IF(H30&gt;I30,D30,0)</f>
        <v>174.26</v>
      </c>
      <c r="H30">
        <f ca="1">INDEX(INDIRECT(""&amp;C30&amp;"!A2:A489"),MATCH(B30,INDIRECT(""&amp;C30&amp;"!B2:B489"),0))</f>
        <v>27</v>
      </c>
      <c r="I30">
        <f>IF(C30="WR",LeagueInfo!$D$5*LeagueInfo!$F$2,LeagueInfo!$D$6*LeagueInfo!$F$2)</f>
        <v>24</v>
      </c>
    </row>
    <row r="31" spans="1:9" x14ac:dyDescent="0.25">
      <c r="A31">
        <f ca="1">RANK(E31,E$2:E$350)</f>
        <v>30</v>
      </c>
      <c r="B31" t="s">
        <v>381</v>
      </c>
      <c r="C31" t="s">
        <v>35</v>
      </c>
      <c r="D31">
        <f ca="1">INDEX(INDIRECT($C31&amp;"!P:P"),MATCH($B31,INDIRECT($C31&amp;"!B:B"),0))</f>
        <v>173.44</v>
      </c>
      <c r="E31" s="6">
        <f ca="1">D31-LARGE(D$2:D$284,TECount+WRCount)</f>
        <v>58.399999999999991</v>
      </c>
      <c r="F31" t="str">
        <f ca="1">IF(H31&lt;=I31,"Starter",IF(G31&gt;=LARGE(G:G,FlexOn*LeagueInfo!$F$2),"Starter","Bench"))</f>
        <v>Starter</v>
      </c>
      <c r="G31">
        <f ca="1">IF(H31&gt;I31,D31,0)</f>
        <v>173.44</v>
      </c>
      <c r="H31">
        <f ca="1">INDEX(INDIRECT(""&amp;C31&amp;"!A2:A489"),MATCH(B31,INDIRECT(""&amp;C31&amp;"!B2:B489"),0))</f>
        <v>28</v>
      </c>
      <c r="I31">
        <f>IF(C31="WR",LeagueInfo!$D$5*LeagueInfo!$F$2,LeagueInfo!$D$6*LeagueInfo!$F$2)</f>
        <v>24</v>
      </c>
    </row>
    <row r="32" spans="1:9" x14ac:dyDescent="0.25">
      <c r="A32">
        <f ca="1">RANK(E32,E$2:E$350)</f>
        <v>31</v>
      </c>
      <c r="B32" t="s">
        <v>213</v>
      </c>
      <c r="C32" t="s">
        <v>35</v>
      </c>
      <c r="D32">
        <f ca="1">INDEX(INDIRECT($C32&amp;"!P:P"),MATCH($B32,INDIRECT($C32&amp;"!B:B"),0))</f>
        <v>169.47</v>
      </c>
      <c r="E32" s="6">
        <f ca="1">D32-LARGE(D$2:D$284,TECount+WRCount)</f>
        <v>54.429999999999993</v>
      </c>
      <c r="F32" t="str">
        <f ca="1">IF(H32&lt;=I32,"Starter",IF(G32&gt;=LARGE(G:G,FlexOn*LeagueInfo!$F$2),"Starter","Bench"))</f>
        <v>Starter</v>
      </c>
      <c r="G32">
        <f ca="1">IF(H32&gt;I32,D32,0)</f>
        <v>169.47</v>
      </c>
      <c r="H32">
        <f ca="1">INDEX(INDIRECT(""&amp;C32&amp;"!A2:A489"),MATCH(B32,INDIRECT(""&amp;C32&amp;"!B2:B489"),0))</f>
        <v>29</v>
      </c>
      <c r="I32">
        <f>IF(C32="WR",LeagueInfo!$D$5*LeagueInfo!$F$2,LeagueInfo!$D$6*LeagueInfo!$F$2)</f>
        <v>24</v>
      </c>
    </row>
    <row r="33" spans="1:9" x14ac:dyDescent="0.25">
      <c r="A33">
        <f ca="1">RANK(E33,E$2:E$350)</f>
        <v>32</v>
      </c>
      <c r="B33" t="s">
        <v>950</v>
      </c>
      <c r="C33" t="s">
        <v>35</v>
      </c>
      <c r="D33">
        <f ca="1">INDEX(INDIRECT($C33&amp;"!P:P"),MATCH($B33,INDIRECT($C33&amp;"!B:B"),0))</f>
        <v>169.06</v>
      </c>
      <c r="E33" s="6">
        <f ca="1">D33-LARGE(D$2:D$284,TECount+WRCount)</f>
        <v>54.019999999999996</v>
      </c>
      <c r="F33" t="str">
        <f ca="1">IF(H33&lt;=I33,"Starter",IF(G33&gt;=LARGE(G:G,FlexOn*LeagueInfo!$F$2),"Starter","Bench"))</f>
        <v>Starter</v>
      </c>
      <c r="G33">
        <f ca="1">IF(H33&gt;I33,D33,0)</f>
        <v>169.06</v>
      </c>
      <c r="H33">
        <f ca="1">INDEX(INDIRECT(""&amp;C33&amp;"!A2:A489"),MATCH(B33,INDIRECT(""&amp;C33&amp;"!B2:B489"),0))</f>
        <v>30</v>
      </c>
      <c r="I33">
        <f>IF(C33="WR",LeagueInfo!$D$5*LeagueInfo!$F$2,LeagueInfo!$D$6*LeagueInfo!$F$2)</f>
        <v>24</v>
      </c>
    </row>
    <row r="34" spans="1:9" x14ac:dyDescent="0.25">
      <c r="A34">
        <f ca="1">RANK(E34,E$2:E$350)</f>
        <v>33</v>
      </c>
      <c r="B34" t="s">
        <v>709</v>
      </c>
      <c r="C34" t="s">
        <v>35</v>
      </c>
      <c r="D34">
        <f ca="1">INDEX(INDIRECT($C34&amp;"!P:P"),MATCH($B34,INDIRECT($C34&amp;"!B:B"),0))</f>
        <v>168.32999999999998</v>
      </c>
      <c r="E34" s="6">
        <f ca="1">D34-LARGE(D$2:D$284,TECount+WRCount)</f>
        <v>53.289999999999978</v>
      </c>
      <c r="F34" t="str">
        <f ca="1">IF(H34&lt;=I34,"Starter",IF(G34&gt;=LARGE(G:G,FlexOn*LeagueInfo!$F$2),"Starter","Bench"))</f>
        <v>Starter</v>
      </c>
      <c r="G34">
        <f ca="1">IF(H34&gt;I34,D34,0)</f>
        <v>168.32999999999998</v>
      </c>
      <c r="H34">
        <f ca="1">INDEX(INDIRECT(""&amp;C34&amp;"!A2:A489"),MATCH(B34,INDIRECT(""&amp;C34&amp;"!B2:B489"),0))</f>
        <v>31</v>
      </c>
      <c r="I34">
        <f>IF(C34="WR",LeagueInfo!$D$5*LeagueInfo!$F$2,LeagueInfo!$D$6*LeagueInfo!$F$2)</f>
        <v>24</v>
      </c>
    </row>
    <row r="35" spans="1:9" x14ac:dyDescent="0.25">
      <c r="A35">
        <f ca="1">RANK(E35,E$2:E$350)</f>
        <v>34</v>
      </c>
      <c r="B35" t="s">
        <v>384</v>
      </c>
      <c r="C35" t="s">
        <v>35</v>
      </c>
      <c r="D35">
        <f ca="1">INDEX(INDIRECT($C35&amp;"!P:P"),MATCH($B35,INDIRECT($C35&amp;"!B:B"),0))</f>
        <v>166.78</v>
      </c>
      <c r="E35" s="6">
        <f ca="1">D35-LARGE(D$2:D$284,TECount+WRCount)</f>
        <v>51.739999999999995</v>
      </c>
      <c r="F35" t="str">
        <f ca="1">IF(H35&lt;=I35,"Starter",IF(G35&gt;=LARGE(G:G,FlexOn*LeagueInfo!$F$2),"Starter","Bench"))</f>
        <v>Starter</v>
      </c>
      <c r="G35">
        <f ca="1">IF(H35&gt;I35,D35,0)</f>
        <v>166.78</v>
      </c>
      <c r="H35">
        <f ca="1">INDEX(INDIRECT(""&amp;C35&amp;"!A2:A489"),MATCH(B35,INDIRECT(""&amp;C35&amp;"!B2:B489"),0))</f>
        <v>32</v>
      </c>
      <c r="I35">
        <f>IF(C35="WR",LeagueInfo!$D$5*LeagueInfo!$F$2,LeagueInfo!$D$6*LeagueInfo!$F$2)</f>
        <v>24</v>
      </c>
    </row>
    <row r="36" spans="1:9" x14ac:dyDescent="0.25">
      <c r="A36">
        <f ca="1">RANK(E36,E$2:E$350)</f>
        <v>35</v>
      </c>
      <c r="B36" t="s">
        <v>944</v>
      </c>
      <c r="C36" t="s">
        <v>35</v>
      </c>
      <c r="D36">
        <f ca="1">INDEX(INDIRECT($C36&amp;"!P:P"),MATCH($B36,INDIRECT($C36&amp;"!B:B"),0))</f>
        <v>165.92000000000002</v>
      </c>
      <c r="E36" s="6">
        <f ca="1">D36-LARGE(D$2:D$284,TECount+WRCount)</f>
        <v>50.88000000000001</v>
      </c>
      <c r="F36" t="str">
        <f ca="1">IF(H36&lt;=I36,"Starter",IF(G36&gt;=LARGE(G:G,FlexOn*LeagueInfo!$F$2),"Starter","Bench"))</f>
        <v>Starter</v>
      </c>
      <c r="G36">
        <f ca="1">IF(H36&gt;I36,D36,0)</f>
        <v>165.92000000000002</v>
      </c>
      <c r="H36">
        <f ca="1">INDEX(INDIRECT(""&amp;C36&amp;"!A2:A489"),MATCH(B36,INDIRECT(""&amp;C36&amp;"!B2:B489"),0))</f>
        <v>33</v>
      </c>
      <c r="I36">
        <f>IF(C36="WR",LeagueInfo!$D$5*LeagueInfo!$F$2,LeagueInfo!$D$6*LeagueInfo!$F$2)</f>
        <v>24</v>
      </c>
    </row>
    <row r="37" spans="1:9" x14ac:dyDescent="0.25">
      <c r="A37">
        <f ca="1">RANK(E37,E$2:E$350)</f>
        <v>36</v>
      </c>
      <c r="B37" t="s">
        <v>210</v>
      </c>
      <c r="C37" t="s">
        <v>35</v>
      </c>
      <c r="D37">
        <f ca="1">INDEX(INDIRECT($C37&amp;"!P:P"),MATCH($B37,INDIRECT($C37&amp;"!B:B"),0))</f>
        <v>165.88</v>
      </c>
      <c r="E37" s="6">
        <f ca="1">D37-LARGE(D$2:D$284,TECount+WRCount)</f>
        <v>50.839999999999989</v>
      </c>
      <c r="F37" t="str">
        <f ca="1">IF(H37&lt;=I37,"Starter",IF(G37&gt;=LARGE(G:G,FlexOn*LeagueInfo!$F$2),"Starter","Bench"))</f>
        <v>Starter</v>
      </c>
      <c r="G37">
        <f ca="1">IF(H37&gt;I37,D37,0)</f>
        <v>165.88</v>
      </c>
      <c r="H37">
        <f ca="1">INDEX(INDIRECT(""&amp;C37&amp;"!A2:A489"),MATCH(B37,INDIRECT(""&amp;C37&amp;"!B2:B489"),0))</f>
        <v>34</v>
      </c>
      <c r="I37">
        <f>IF(C37="WR",LeagueInfo!$D$5*LeagueInfo!$F$2,LeagueInfo!$D$6*LeagueInfo!$F$2)</f>
        <v>24</v>
      </c>
    </row>
    <row r="38" spans="1:9" x14ac:dyDescent="0.25">
      <c r="A38">
        <f ca="1">RANK(E38,E$2:E$350)</f>
        <v>37</v>
      </c>
      <c r="B38" t="s">
        <v>105</v>
      </c>
      <c r="C38" t="s">
        <v>35</v>
      </c>
      <c r="D38">
        <f ca="1">INDEX(INDIRECT($C38&amp;"!P:P"),MATCH($B38,INDIRECT($C38&amp;"!B:B"),0))</f>
        <v>165.2</v>
      </c>
      <c r="E38" s="6">
        <f ca="1">D38-LARGE(D$2:D$284,TECount+WRCount)</f>
        <v>50.159999999999982</v>
      </c>
      <c r="F38" t="str">
        <f ca="1">IF(H38&lt;=I38,"Starter",IF(G38&gt;=LARGE(G:G,FlexOn*LeagueInfo!$F$2),"Starter","Bench"))</f>
        <v>Starter</v>
      </c>
      <c r="G38">
        <f ca="1">IF(H38&gt;I38,D38,0)</f>
        <v>165.2</v>
      </c>
      <c r="H38">
        <f ca="1">INDEX(INDIRECT(""&amp;C38&amp;"!A2:A489"),MATCH(B38,INDIRECT(""&amp;C38&amp;"!B2:B489"),0))</f>
        <v>35</v>
      </c>
      <c r="I38">
        <f>IF(C38="WR",LeagueInfo!$D$5*LeagueInfo!$F$2,LeagueInfo!$D$6*LeagueInfo!$F$2)</f>
        <v>24</v>
      </c>
    </row>
    <row r="39" spans="1:9" x14ac:dyDescent="0.25">
      <c r="A39">
        <f ca="1">RANK(E39,E$2:E$350)</f>
        <v>38</v>
      </c>
      <c r="B39" t="s">
        <v>364</v>
      </c>
      <c r="C39" t="s">
        <v>35</v>
      </c>
      <c r="D39">
        <f ca="1">INDEX(INDIRECT($C39&amp;"!P:P"),MATCH($B39,INDIRECT($C39&amp;"!B:B"),0))</f>
        <v>163.59000000000003</v>
      </c>
      <c r="E39" s="6">
        <f ca="1">D39-LARGE(D$2:D$284,TECount+WRCount)</f>
        <v>48.550000000000026</v>
      </c>
      <c r="F39" t="str">
        <f ca="1">IF(H39&lt;=I39,"Starter",IF(G39&gt;=LARGE(G:G,FlexOn*LeagueInfo!$F$2),"Starter","Bench"))</f>
        <v>Starter</v>
      </c>
      <c r="G39">
        <f ca="1">IF(H39&gt;I39,D39,0)</f>
        <v>163.59000000000003</v>
      </c>
      <c r="H39">
        <f ca="1">INDEX(INDIRECT(""&amp;C39&amp;"!A2:A489"),MATCH(B39,INDIRECT(""&amp;C39&amp;"!B2:B489"),0))</f>
        <v>36</v>
      </c>
      <c r="I39">
        <f>IF(C39="WR",LeagueInfo!$D$5*LeagueInfo!$F$2,LeagueInfo!$D$6*LeagueInfo!$F$2)</f>
        <v>24</v>
      </c>
    </row>
    <row r="40" spans="1:9" x14ac:dyDescent="0.25">
      <c r="A40">
        <f ca="1">RANK(E40,E$2:E$350)</f>
        <v>39</v>
      </c>
      <c r="B40" t="s">
        <v>973</v>
      </c>
      <c r="C40" t="s">
        <v>43</v>
      </c>
      <c r="D40">
        <f ca="1">INDEX(INDIRECT($C40&amp;"!P:P"),MATCH($B40,INDIRECT($C40&amp;"!B:B"),0))</f>
        <v>163.48000000000002</v>
      </c>
      <c r="E40" s="6">
        <f ca="1">D40-LARGE(D$2:D$284,TECount+WRCount)</f>
        <v>48.440000000000012</v>
      </c>
      <c r="F40" t="str">
        <f ca="1">IF(H40&lt;=I40,"Starter",IF(G40&gt;=LARGE(G:G,FlexOn*LeagueInfo!$F$2),"Starter","Bench"))</f>
        <v>Starter</v>
      </c>
      <c r="G40">
        <f ca="1">IF(H40&gt;I40,D40,0)</f>
        <v>0</v>
      </c>
      <c r="H40">
        <f ca="1">INDEX(INDIRECT(""&amp;C40&amp;"!A2:A489"),MATCH(B40,INDIRECT(""&amp;C40&amp;"!B2:B489"),0))</f>
        <v>3</v>
      </c>
      <c r="I40">
        <f>IF(C40="WR",LeagueInfo!$D$5*LeagueInfo!$F$2,LeagueInfo!$D$6*LeagueInfo!$F$2)</f>
        <v>12</v>
      </c>
    </row>
    <row r="41" spans="1:9" x14ac:dyDescent="0.25">
      <c r="A41">
        <f ca="1">RANK(E41,E$2:E$350)</f>
        <v>40</v>
      </c>
      <c r="B41" t="s">
        <v>949</v>
      </c>
      <c r="C41" t="s">
        <v>35</v>
      </c>
      <c r="D41">
        <f ca="1">INDEX(INDIRECT($C41&amp;"!P:P"),MATCH($B41,INDIRECT($C41&amp;"!B:B"),0))</f>
        <v>161.59000000000003</v>
      </c>
      <c r="E41" s="6">
        <f ca="1">D41-LARGE(D$2:D$284,TECount+WRCount)</f>
        <v>46.550000000000026</v>
      </c>
      <c r="F41" t="str">
        <f ca="1">IF(H41&lt;=I41,"Starter",IF(G41&gt;=LARGE(G:G,FlexOn*LeagueInfo!$F$2),"Starter","Bench"))</f>
        <v>Bench</v>
      </c>
      <c r="G41">
        <f ca="1">IF(H41&gt;I41,D41,0)</f>
        <v>161.59000000000003</v>
      </c>
      <c r="H41">
        <f ca="1">INDEX(INDIRECT(""&amp;C41&amp;"!A2:A489"),MATCH(B41,INDIRECT(""&amp;C41&amp;"!B2:B489"),0))</f>
        <v>37</v>
      </c>
      <c r="I41">
        <f>IF(C41="WR",LeagueInfo!$D$5*LeagueInfo!$F$2,LeagueInfo!$D$6*LeagueInfo!$F$2)</f>
        <v>24</v>
      </c>
    </row>
    <row r="42" spans="1:9" x14ac:dyDescent="0.25">
      <c r="A42">
        <f ca="1">RANK(E42,E$2:E$350)</f>
        <v>41</v>
      </c>
      <c r="B42" t="s">
        <v>743</v>
      </c>
      <c r="C42" t="s">
        <v>43</v>
      </c>
      <c r="D42">
        <f ca="1">INDEX(INDIRECT($C42&amp;"!P:P"),MATCH($B42,INDIRECT($C42&amp;"!B:B"),0))</f>
        <v>161.47999999999999</v>
      </c>
      <c r="E42" s="6">
        <f ca="1">D42-LARGE(D$2:D$284,TECount+WRCount)</f>
        <v>46.439999999999984</v>
      </c>
      <c r="F42" t="str">
        <f ca="1">IF(H42&lt;=I42,"Starter",IF(G42&gt;=LARGE(G:G,FlexOn*LeagueInfo!$F$2),"Starter","Bench"))</f>
        <v>Starter</v>
      </c>
      <c r="G42">
        <f ca="1">IF(H42&gt;I42,D42,0)</f>
        <v>0</v>
      </c>
      <c r="H42">
        <f ca="1">INDEX(INDIRECT(""&amp;C42&amp;"!A2:A489"),MATCH(B42,INDIRECT(""&amp;C42&amp;"!B2:B489"),0))</f>
        <v>4</v>
      </c>
      <c r="I42">
        <f>IF(C42="WR",LeagueInfo!$D$5*LeagueInfo!$F$2,LeagueInfo!$D$6*LeagueInfo!$F$2)</f>
        <v>12</v>
      </c>
    </row>
    <row r="43" spans="1:9" x14ac:dyDescent="0.25">
      <c r="A43">
        <f ca="1">RANK(E43,E$2:E$350)</f>
        <v>42</v>
      </c>
      <c r="B43" t="s">
        <v>570</v>
      </c>
      <c r="C43" t="s">
        <v>35</v>
      </c>
      <c r="D43">
        <f ca="1">INDEX(INDIRECT($C43&amp;"!P:P"),MATCH($B43,INDIRECT($C43&amp;"!B:B"),0))</f>
        <v>156.94</v>
      </c>
      <c r="E43" s="6">
        <f ca="1">D43-LARGE(D$2:D$284,TECount+WRCount)</f>
        <v>41.899999999999991</v>
      </c>
      <c r="F43" t="str">
        <f ca="1">IF(H43&lt;=I43,"Starter",IF(G43&gt;=LARGE(G:G,FlexOn*LeagueInfo!$F$2),"Starter","Bench"))</f>
        <v>Bench</v>
      </c>
      <c r="G43">
        <f ca="1">IF(H43&gt;I43,D43,0)</f>
        <v>156.94</v>
      </c>
      <c r="H43">
        <f ca="1">INDEX(INDIRECT(""&amp;C43&amp;"!A2:A489"),MATCH(B43,INDIRECT(""&amp;C43&amp;"!B2:B489"),0))</f>
        <v>38</v>
      </c>
      <c r="I43">
        <f>IF(C43="WR",LeagueInfo!$D$5*LeagueInfo!$F$2,LeagueInfo!$D$6*LeagueInfo!$F$2)</f>
        <v>24</v>
      </c>
    </row>
    <row r="44" spans="1:9" x14ac:dyDescent="0.25">
      <c r="A44">
        <f ca="1">RANK(E44,E$2:E$350)</f>
        <v>43</v>
      </c>
      <c r="B44" t="s">
        <v>597</v>
      </c>
      <c r="C44" t="s">
        <v>43</v>
      </c>
      <c r="D44">
        <f ca="1">INDEX(INDIRECT($C44&amp;"!P:P"),MATCH($B44,INDIRECT($C44&amp;"!B:B"),0))</f>
        <v>155.12</v>
      </c>
      <c r="E44" s="6">
        <f ca="1">D44-LARGE(D$2:D$284,TECount+WRCount)</f>
        <v>40.08</v>
      </c>
      <c r="F44" t="str">
        <f ca="1">IF(H44&lt;=I44,"Starter",IF(G44&gt;=LARGE(G:G,FlexOn*LeagueInfo!$F$2),"Starter","Bench"))</f>
        <v>Starter</v>
      </c>
      <c r="G44">
        <f ca="1">IF(H44&gt;I44,D44,0)</f>
        <v>0</v>
      </c>
      <c r="H44">
        <f ca="1">INDEX(INDIRECT(""&amp;C44&amp;"!A2:A489"),MATCH(B44,INDIRECT(""&amp;C44&amp;"!B2:B489"),0))</f>
        <v>5</v>
      </c>
      <c r="I44">
        <f>IF(C44="WR",LeagueInfo!$D$5*LeagueInfo!$F$2,LeagueInfo!$D$6*LeagueInfo!$F$2)</f>
        <v>12</v>
      </c>
    </row>
    <row r="45" spans="1:9" x14ac:dyDescent="0.25">
      <c r="A45">
        <f ca="1">RANK(E45,E$2:E$350)</f>
        <v>44</v>
      </c>
      <c r="B45" t="s">
        <v>420</v>
      </c>
      <c r="C45" t="s">
        <v>43</v>
      </c>
      <c r="D45">
        <f ca="1">INDEX(INDIRECT($C45&amp;"!P:P"),MATCH($B45,INDIRECT($C45&amp;"!B:B"),0))</f>
        <v>154.33000000000001</v>
      </c>
      <c r="E45" s="6">
        <f ca="1">D45-LARGE(D$2:D$284,TECount+WRCount)</f>
        <v>39.290000000000006</v>
      </c>
      <c r="F45" t="str">
        <f ca="1">IF(H45&lt;=I45,"Starter",IF(G45&gt;=LARGE(G:G,FlexOn*LeagueInfo!$F$2),"Starter","Bench"))</f>
        <v>Starter</v>
      </c>
      <c r="G45">
        <f ca="1">IF(H45&gt;I45,D45,0)</f>
        <v>0</v>
      </c>
      <c r="H45">
        <f ca="1">INDEX(INDIRECT(""&amp;C45&amp;"!A2:A489"),MATCH(B45,INDIRECT(""&amp;C45&amp;"!B2:B489"),0))</f>
        <v>6</v>
      </c>
      <c r="I45">
        <f>IF(C45="WR",LeagueInfo!$D$5*LeagueInfo!$F$2,LeagueInfo!$D$6*LeagueInfo!$F$2)</f>
        <v>12</v>
      </c>
    </row>
    <row r="46" spans="1:9" x14ac:dyDescent="0.25">
      <c r="A46">
        <f ca="1">RANK(E46,E$2:E$350)</f>
        <v>45</v>
      </c>
      <c r="B46" t="s">
        <v>946</v>
      </c>
      <c r="C46" t="s">
        <v>35</v>
      </c>
      <c r="D46">
        <f ca="1">INDEX(INDIRECT($C46&amp;"!P:P"),MATCH($B46,INDIRECT($C46&amp;"!B:B"),0))</f>
        <v>152.03</v>
      </c>
      <c r="E46" s="6">
        <f ca="1">D46-LARGE(D$2:D$284,TECount+WRCount)</f>
        <v>36.989999999999995</v>
      </c>
      <c r="F46" t="str">
        <f ca="1">IF(H46&lt;=I46,"Starter",IF(G46&gt;=LARGE(G:G,FlexOn*LeagueInfo!$F$2),"Starter","Bench"))</f>
        <v>Bench</v>
      </c>
      <c r="G46">
        <f ca="1">IF(H46&gt;I46,D46,0)</f>
        <v>152.03</v>
      </c>
      <c r="H46">
        <f ca="1">INDEX(INDIRECT(""&amp;C46&amp;"!A2:A489"),MATCH(B46,INDIRECT(""&amp;C46&amp;"!B2:B489"),0))</f>
        <v>39</v>
      </c>
      <c r="I46">
        <f>IF(C46="WR",LeagueInfo!$D$5*LeagueInfo!$F$2,LeagueInfo!$D$6*LeagueInfo!$F$2)</f>
        <v>24</v>
      </c>
    </row>
    <row r="47" spans="1:9" x14ac:dyDescent="0.25">
      <c r="A47">
        <f ca="1">RANK(E47,E$2:E$350)</f>
        <v>46</v>
      </c>
      <c r="B47" t="s">
        <v>840</v>
      </c>
      <c r="C47" t="s">
        <v>35</v>
      </c>
      <c r="D47">
        <f ca="1">INDEX(INDIRECT($C47&amp;"!P:P"),MATCH($B47,INDIRECT($C47&amp;"!B:B"),0))</f>
        <v>150.4</v>
      </c>
      <c r="E47" s="6">
        <f ca="1">D47-LARGE(D$2:D$284,TECount+WRCount)</f>
        <v>35.36</v>
      </c>
      <c r="F47" t="str">
        <f ca="1">IF(H47&lt;=I47,"Starter",IF(G47&gt;=LARGE(G:G,FlexOn*LeagueInfo!$F$2),"Starter","Bench"))</f>
        <v>Bench</v>
      </c>
      <c r="G47">
        <f ca="1">IF(H47&gt;I47,D47,0)</f>
        <v>150.4</v>
      </c>
      <c r="H47">
        <f ca="1">INDEX(INDIRECT(""&amp;C47&amp;"!A2:A489"),MATCH(B47,INDIRECT(""&amp;C47&amp;"!B2:B489"),0))</f>
        <v>40</v>
      </c>
      <c r="I47">
        <f>IF(C47="WR",LeagueInfo!$D$5*LeagueInfo!$F$2,LeagueInfo!$D$6*LeagueInfo!$F$2)</f>
        <v>24</v>
      </c>
    </row>
    <row r="48" spans="1:9" x14ac:dyDescent="0.25">
      <c r="A48">
        <f ca="1">RANK(E48,E$2:E$350)</f>
        <v>47</v>
      </c>
      <c r="B48" t="s">
        <v>837</v>
      </c>
      <c r="C48" t="s">
        <v>35</v>
      </c>
      <c r="D48">
        <f ca="1">INDEX(INDIRECT($C48&amp;"!P:P"),MATCH($B48,INDIRECT($C48&amp;"!B:B"),0))</f>
        <v>148.93</v>
      </c>
      <c r="E48" s="6">
        <f ca="1">D48-LARGE(D$2:D$284,TECount+WRCount)</f>
        <v>33.89</v>
      </c>
      <c r="F48" t="str">
        <f ca="1">IF(H48&lt;=I48,"Starter",IF(G48&gt;=LARGE(G:G,FlexOn*LeagueInfo!$F$2),"Starter","Bench"))</f>
        <v>Bench</v>
      </c>
      <c r="G48">
        <f ca="1">IF(H48&gt;I48,D48,0)</f>
        <v>148.93</v>
      </c>
      <c r="H48">
        <f ca="1">INDEX(INDIRECT(""&amp;C48&amp;"!A2:A489"),MATCH(B48,INDIRECT(""&amp;C48&amp;"!B2:B489"),0))</f>
        <v>41</v>
      </c>
      <c r="I48">
        <f>IF(C48="WR",LeagueInfo!$D$5*LeagueInfo!$F$2,LeagueInfo!$D$6*LeagueInfo!$F$2)</f>
        <v>24</v>
      </c>
    </row>
    <row r="49" spans="1:9" x14ac:dyDescent="0.25">
      <c r="A49">
        <f ca="1">RANK(E49,E$2:E$350)</f>
        <v>48</v>
      </c>
      <c r="B49" t="s">
        <v>2412</v>
      </c>
      <c r="C49" t="s">
        <v>35</v>
      </c>
      <c r="D49">
        <f ca="1">INDEX(INDIRECT($C49&amp;"!P:P"),MATCH($B49,INDIRECT($C49&amp;"!B:B"),0))</f>
        <v>147.61000000000001</v>
      </c>
      <c r="E49" s="6">
        <f ca="1">D49-LARGE(D$2:D$284,TECount+WRCount)</f>
        <v>32.570000000000007</v>
      </c>
      <c r="F49" t="str">
        <f ca="1">IF(H49&lt;=I49,"Starter",IF(G49&gt;=LARGE(G:G,FlexOn*LeagueInfo!$F$2),"Starter","Bench"))</f>
        <v>Bench</v>
      </c>
      <c r="G49">
        <f ca="1">IF(H49&gt;I49,D49,0)</f>
        <v>147.61000000000001</v>
      </c>
      <c r="H49">
        <f ca="1">INDEX(INDIRECT(""&amp;C49&amp;"!A2:A489"),MATCH(B49,INDIRECT(""&amp;C49&amp;"!B2:B489"),0))</f>
        <v>42</v>
      </c>
      <c r="I49">
        <f>IF(C49="WR",LeagueInfo!$D$5*LeagueInfo!$F$2,LeagueInfo!$D$6*LeagueInfo!$F$2)</f>
        <v>24</v>
      </c>
    </row>
    <row r="50" spans="1:9" x14ac:dyDescent="0.25">
      <c r="A50">
        <f ca="1">RANK(E50,E$2:E$350)</f>
        <v>49</v>
      </c>
      <c r="B50" t="s">
        <v>730</v>
      </c>
      <c r="C50" t="s">
        <v>35</v>
      </c>
      <c r="D50">
        <f ca="1">INDEX(INDIRECT($C50&amp;"!P:P"),MATCH($B50,INDIRECT($C50&amp;"!B:B"),0))</f>
        <v>147.13</v>
      </c>
      <c r="E50" s="6">
        <f ca="1">D50-LARGE(D$2:D$284,TECount+WRCount)</f>
        <v>32.089999999999989</v>
      </c>
      <c r="F50" t="str">
        <f ca="1">IF(H50&lt;=I50,"Starter",IF(G50&gt;=LARGE(G:G,FlexOn*LeagueInfo!$F$2),"Starter","Bench"))</f>
        <v>Bench</v>
      </c>
      <c r="G50">
        <f ca="1">IF(H50&gt;I50,D50,0)</f>
        <v>147.13</v>
      </c>
      <c r="H50">
        <f ca="1">INDEX(INDIRECT(""&amp;C50&amp;"!A2:A489"),MATCH(B50,INDIRECT(""&amp;C50&amp;"!B2:B489"),0))</f>
        <v>43</v>
      </c>
      <c r="I50">
        <f>IF(C50="WR",LeagueInfo!$D$5*LeagueInfo!$F$2,LeagueInfo!$D$6*LeagueInfo!$F$2)</f>
        <v>24</v>
      </c>
    </row>
    <row r="51" spans="1:9" x14ac:dyDescent="0.25">
      <c r="A51">
        <f ca="1">RANK(E51,E$2:E$350)</f>
        <v>50</v>
      </c>
      <c r="B51" t="s">
        <v>796</v>
      </c>
      <c r="C51" t="s">
        <v>35</v>
      </c>
      <c r="D51">
        <f ca="1">INDEX(INDIRECT($C51&amp;"!P:P"),MATCH($B51,INDIRECT($C51&amp;"!B:B"),0))</f>
        <v>141.97000000000003</v>
      </c>
      <c r="E51" s="6">
        <f ca="1">D51-LARGE(D$2:D$284,TECount+WRCount)</f>
        <v>26.930000000000021</v>
      </c>
      <c r="F51" t="str">
        <f ca="1">IF(H51&lt;=I51,"Starter",IF(G51&gt;=LARGE(G:G,FlexOn*LeagueInfo!$F$2),"Starter","Bench"))</f>
        <v>Bench</v>
      </c>
      <c r="G51">
        <f ca="1">IF(H51&gt;I51,D51,0)</f>
        <v>141.97000000000003</v>
      </c>
      <c r="H51">
        <f ca="1">INDEX(INDIRECT(""&amp;C51&amp;"!A2:A489"),MATCH(B51,INDIRECT(""&amp;C51&amp;"!B2:B489"),0))</f>
        <v>44</v>
      </c>
      <c r="I51">
        <f>IF(C51="WR",LeagueInfo!$D$5*LeagueInfo!$F$2,LeagueInfo!$D$6*LeagueInfo!$F$2)</f>
        <v>24</v>
      </c>
    </row>
    <row r="52" spans="1:9" x14ac:dyDescent="0.25">
      <c r="A52">
        <f ca="1">RANK(E52,E$2:E$350)</f>
        <v>51</v>
      </c>
      <c r="B52" t="s">
        <v>2411</v>
      </c>
      <c r="C52" t="s">
        <v>35</v>
      </c>
      <c r="D52">
        <f ca="1">INDEX(INDIRECT($C52&amp;"!P:P"),MATCH($B52,INDIRECT($C52&amp;"!B:B"),0))</f>
        <v>141.42000000000002</v>
      </c>
      <c r="E52" s="6">
        <f ca="1">D52-LARGE(D$2:D$284,TECount+WRCount)</f>
        <v>26.38000000000001</v>
      </c>
      <c r="F52" t="str">
        <f ca="1">IF(H52&lt;=I52,"Starter",IF(G52&gt;=LARGE(G:G,FlexOn*LeagueInfo!$F$2),"Starter","Bench"))</f>
        <v>Bench</v>
      </c>
      <c r="G52">
        <f ca="1">IF(H52&gt;I52,D52,0)</f>
        <v>141.42000000000002</v>
      </c>
      <c r="H52">
        <f ca="1">INDEX(INDIRECT(""&amp;C52&amp;"!A2:A489"),MATCH(B52,INDIRECT(""&amp;C52&amp;"!B2:B489"),0))</f>
        <v>45</v>
      </c>
      <c r="I52">
        <f>IF(C52="WR",LeagueInfo!$D$5*LeagueInfo!$F$2,LeagueInfo!$D$6*LeagueInfo!$F$2)</f>
        <v>24</v>
      </c>
    </row>
    <row r="53" spans="1:9" x14ac:dyDescent="0.25">
      <c r="A53">
        <f ca="1">RANK(E53,E$2:E$350)</f>
        <v>52</v>
      </c>
      <c r="B53" t="s">
        <v>109</v>
      </c>
      <c r="C53" t="s">
        <v>35</v>
      </c>
      <c r="D53">
        <f ca="1">INDEX(INDIRECT($C53&amp;"!P:P"),MATCH($B53,INDIRECT($C53&amp;"!B:B"),0))</f>
        <v>141.21</v>
      </c>
      <c r="E53" s="6">
        <f ca="1">D53-LARGE(D$2:D$284,TECount+WRCount)</f>
        <v>26.17</v>
      </c>
      <c r="F53" t="str">
        <f ca="1">IF(H53&lt;=I53,"Starter",IF(G53&gt;=LARGE(G:G,FlexOn*LeagueInfo!$F$2),"Starter","Bench"))</f>
        <v>Bench</v>
      </c>
      <c r="G53">
        <f ca="1">IF(H53&gt;I53,D53,0)</f>
        <v>141.21</v>
      </c>
      <c r="H53">
        <f ca="1">INDEX(INDIRECT(""&amp;C53&amp;"!A2:A489"),MATCH(B53,INDIRECT(""&amp;C53&amp;"!B2:B489"),0))</f>
        <v>46</v>
      </c>
      <c r="I53">
        <f>IF(C53="WR",LeagueInfo!$D$5*LeagueInfo!$F$2,LeagueInfo!$D$6*LeagueInfo!$F$2)</f>
        <v>24</v>
      </c>
    </row>
    <row r="54" spans="1:9" x14ac:dyDescent="0.25">
      <c r="A54">
        <f ca="1">RANK(E54,E$2:E$350)</f>
        <v>53</v>
      </c>
      <c r="B54" t="s">
        <v>590</v>
      </c>
      <c r="C54" t="s">
        <v>43</v>
      </c>
      <c r="D54">
        <f ca="1">INDEX(INDIRECT($C54&amp;"!P:P"),MATCH($B54,INDIRECT($C54&amp;"!B:B"),0))</f>
        <v>140.07999999999998</v>
      </c>
      <c r="E54" s="6">
        <f ca="1">D54-LARGE(D$2:D$284,TECount+WRCount)</f>
        <v>25.039999999999978</v>
      </c>
      <c r="F54" t="str">
        <f ca="1">IF(H54&lt;=I54,"Starter",IF(G54&gt;=LARGE(G:G,FlexOn*LeagueInfo!$F$2),"Starter","Bench"))</f>
        <v>Starter</v>
      </c>
      <c r="G54">
        <f ca="1">IF(H54&gt;I54,D54,0)</f>
        <v>0</v>
      </c>
      <c r="H54">
        <f ca="1">INDEX(INDIRECT(""&amp;C54&amp;"!A2:A489"),MATCH(B54,INDIRECT(""&amp;C54&amp;"!B2:B489"),0))</f>
        <v>7</v>
      </c>
      <c r="I54">
        <f>IF(C54="WR",LeagueInfo!$D$5*LeagueInfo!$F$2,LeagueInfo!$D$6*LeagueInfo!$F$2)</f>
        <v>12</v>
      </c>
    </row>
    <row r="55" spans="1:9" x14ac:dyDescent="0.25">
      <c r="A55">
        <f ca="1">RANK(E55,E$2:E$350)</f>
        <v>54</v>
      </c>
      <c r="B55" t="s">
        <v>954</v>
      </c>
      <c r="C55" t="s">
        <v>35</v>
      </c>
      <c r="D55">
        <f ca="1">INDEX(INDIRECT($C55&amp;"!P:P"),MATCH($B55,INDIRECT($C55&amp;"!B:B"),0))</f>
        <v>139.66</v>
      </c>
      <c r="E55" s="6">
        <f ca="1">D55-LARGE(D$2:D$284,TECount+WRCount)</f>
        <v>24.61999999999999</v>
      </c>
      <c r="F55" t="str">
        <f ca="1">IF(H55&lt;=I55,"Starter",IF(G55&gt;=LARGE(G:G,FlexOn*LeagueInfo!$F$2),"Starter","Bench"))</f>
        <v>Bench</v>
      </c>
      <c r="G55">
        <f ca="1">IF(H55&gt;I55,D55,0)</f>
        <v>139.66</v>
      </c>
      <c r="H55">
        <f ca="1">INDEX(INDIRECT(""&amp;C55&amp;"!A2:A489"),MATCH(B55,INDIRECT(""&amp;C55&amp;"!B2:B489"),0))</f>
        <v>47</v>
      </c>
      <c r="I55">
        <f>IF(C55="WR",LeagueInfo!$D$5*LeagueInfo!$F$2,LeagueInfo!$D$6*LeagueInfo!$F$2)</f>
        <v>24</v>
      </c>
    </row>
    <row r="56" spans="1:9" x14ac:dyDescent="0.25">
      <c r="A56">
        <f ca="1">RANK(E56,E$2:E$350)</f>
        <v>55</v>
      </c>
      <c r="B56" t="s">
        <v>583</v>
      </c>
      <c r="C56" t="s">
        <v>35</v>
      </c>
      <c r="D56">
        <f ca="1">INDEX(INDIRECT($C56&amp;"!P:P"),MATCH($B56,INDIRECT($C56&amp;"!B:B"),0))</f>
        <v>136.86999999999998</v>
      </c>
      <c r="E56" s="6">
        <f ca="1">D56-LARGE(D$2:D$284,TECount+WRCount)</f>
        <v>21.82999999999997</v>
      </c>
      <c r="F56" t="str">
        <f ca="1">IF(H56&lt;=I56,"Starter",IF(G56&gt;=LARGE(G:G,FlexOn*LeagueInfo!$F$2),"Starter","Bench"))</f>
        <v>Bench</v>
      </c>
      <c r="G56">
        <f ca="1">IF(H56&gt;I56,D56,0)</f>
        <v>136.86999999999998</v>
      </c>
      <c r="H56">
        <f ca="1">INDEX(INDIRECT(""&amp;C56&amp;"!A2:A489"),MATCH(B56,INDIRECT(""&amp;C56&amp;"!B2:B489"),0))</f>
        <v>48</v>
      </c>
      <c r="I56">
        <f>IF(C56="WR",LeagueInfo!$D$5*LeagueInfo!$F$2,LeagueInfo!$D$6*LeagueInfo!$F$2)</f>
        <v>24</v>
      </c>
    </row>
    <row r="57" spans="1:9" x14ac:dyDescent="0.25">
      <c r="A57">
        <f ca="1">RANK(E57,E$2:E$350)</f>
        <v>56</v>
      </c>
      <c r="B57" t="s">
        <v>705</v>
      </c>
      <c r="C57" t="s">
        <v>35</v>
      </c>
      <c r="D57">
        <f ca="1">INDEX(INDIRECT($C57&amp;"!P:P"),MATCH($B57,INDIRECT($C57&amp;"!B:B"),0))</f>
        <v>135.34</v>
      </c>
      <c r="E57" s="6">
        <f ca="1">D57-LARGE(D$2:D$284,TECount+WRCount)</f>
        <v>20.299999999999997</v>
      </c>
      <c r="F57" t="str">
        <f ca="1">IF(H57&lt;=I57,"Starter",IF(G57&gt;=LARGE(G:G,FlexOn*LeagueInfo!$F$2),"Starter","Bench"))</f>
        <v>Bench</v>
      </c>
      <c r="G57">
        <f ca="1">IF(H57&gt;I57,D57,0)</f>
        <v>135.34</v>
      </c>
      <c r="H57">
        <f ca="1">INDEX(INDIRECT(""&amp;C57&amp;"!A2:A489"),MATCH(B57,INDIRECT(""&amp;C57&amp;"!B2:B489"),0))</f>
        <v>49</v>
      </c>
      <c r="I57">
        <f>IF(C57="WR",LeagueInfo!$D$5*LeagueInfo!$F$2,LeagueInfo!$D$6*LeagueInfo!$F$2)</f>
        <v>24</v>
      </c>
    </row>
    <row r="58" spans="1:9" x14ac:dyDescent="0.25">
      <c r="A58">
        <f ca="1">RANK(E58,E$2:E$350)</f>
        <v>57</v>
      </c>
      <c r="B58" t="s">
        <v>741</v>
      </c>
      <c r="C58" t="s">
        <v>43</v>
      </c>
      <c r="D58">
        <f ca="1">INDEX(INDIRECT($C58&amp;"!P:P"),MATCH($B58,INDIRECT($C58&amp;"!B:B"),0))</f>
        <v>134.04999999999998</v>
      </c>
      <c r="E58" s="6">
        <f ca="1">D58-LARGE(D$2:D$284,TECount+WRCount)</f>
        <v>19.009999999999977</v>
      </c>
      <c r="F58" t="str">
        <f ca="1">IF(H58&lt;=I58,"Starter",IF(G58&gt;=LARGE(G:G,FlexOn*LeagueInfo!$F$2),"Starter","Bench"))</f>
        <v>Starter</v>
      </c>
      <c r="G58">
        <f ca="1">IF(H58&gt;I58,D58,0)</f>
        <v>0</v>
      </c>
      <c r="H58">
        <f ca="1">INDEX(INDIRECT(""&amp;C58&amp;"!A2:A489"),MATCH(B58,INDIRECT(""&amp;C58&amp;"!B2:B489"),0))</f>
        <v>8</v>
      </c>
      <c r="I58">
        <f>IF(C58="WR",LeagueInfo!$D$5*LeagueInfo!$F$2,LeagueInfo!$D$6*LeagueInfo!$F$2)</f>
        <v>12</v>
      </c>
    </row>
    <row r="59" spans="1:9" x14ac:dyDescent="0.25">
      <c r="A59">
        <f ca="1">RANK(E59,E$2:E$350)</f>
        <v>58</v>
      </c>
      <c r="B59" t="s">
        <v>770</v>
      </c>
      <c r="C59" t="s">
        <v>35</v>
      </c>
      <c r="D59">
        <f ca="1">INDEX(INDIRECT($C59&amp;"!P:P"),MATCH($B59,INDIRECT($C59&amp;"!B:B"),0))</f>
        <v>133.27999999999997</v>
      </c>
      <c r="E59" s="6">
        <f ca="1">D59-LARGE(D$2:D$284,TECount+WRCount)</f>
        <v>18.239999999999966</v>
      </c>
      <c r="F59" t="str">
        <f ca="1">IF(H59&lt;=I59,"Starter",IF(G59&gt;=LARGE(G:G,FlexOn*LeagueInfo!$F$2),"Starter","Bench"))</f>
        <v>Bench</v>
      </c>
      <c r="G59">
        <f ca="1">IF(H59&gt;I59,D59,0)</f>
        <v>133.27999999999997</v>
      </c>
      <c r="H59">
        <f ca="1">INDEX(INDIRECT(""&amp;C59&amp;"!A2:A489"),MATCH(B59,INDIRECT(""&amp;C59&amp;"!B2:B489"),0))</f>
        <v>50</v>
      </c>
      <c r="I59">
        <f>IF(C59="WR",LeagueInfo!$D$5*LeagueInfo!$F$2,LeagueInfo!$D$6*LeagueInfo!$F$2)</f>
        <v>24</v>
      </c>
    </row>
    <row r="60" spans="1:9" x14ac:dyDescent="0.25">
      <c r="A60">
        <f ca="1">RANK(E60,E$2:E$350)</f>
        <v>59</v>
      </c>
      <c r="B60" t="s">
        <v>579</v>
      </c>
      <c r="C60" t="s">
        <v>35</v>
      </c>
      <c r="D60">
        <f ca="1">INDEX(INDIRECT($C60&amp;"!P:P"),MATCH($B60,INDIRECT($C60&amp;"!B:B"),0))</f>
        <v>131.96</v>
      </c>
      <c r="E60" s="6">
        <f ca="1">D60-LARGE(D$2:D$284,TECount+WRCount)</f>
        <v>16.920000000000002</v>
      </c>
      <c r="F60" t="str">
        <f ca="1">IF(H60&lt;=I60,"Starter",IF(G60&gt;=LARGE(G:G,FlexOn*LeagueInfo!$F$2),"Starter","Bench"))</f>
        <v>Bench</v>
      </c>
      <c r="G60">
        <f ca="1">IF(H60&gt;I60,D60,0)</f>
        <v>131.96</v>
      </c>
      <c r="H60">
        <f ca="1">INDEX(INDIRECT(""&amp;C60&amp;"!A2:A489"),MATCH(B60,INDIRECT(""&amp;C60&amp;"!B2:B489"),0))</f>
        <v>51</v>
      </c>
      <c r="I60">
        <f>IF(C60="WR",LeagueInfo!$D$5*LeagueInfo!$F$2,LeagueInfo!$D$6*LeagueInfo!$F$2)</f>
        <v>24</v>
      </c>
    </row>
    <row r="61" spans="1:9" x14ac:dyDescent="0.25">
      <c r="A61">
        <f ca="1">RANK(E61,E$2:E$350)</f>
        <v>60</v>
      </c>
      <c r="B61" t="s">
        <v>372</v>
      </c>
      <c r="C61" t="s">
        <v>35</v>
      </c>
      <c r="D61">
        <f ca="1">INDEX(INDIRECT($C61&amp;"!P:P"),MATCH($B61,INDIRECT($C61&amp;"!B:B"),0))</f>
        <v>131.04000000000002</v>
      </c>
      <c r="E61" s="6">
        <f ca="1">D61-LARGE(D$2:D$284,TECount+WRCount)</f>
        <v>16.000000000000014</v>
      </c>
      <c r="F61" t="str">
        <f ca="1">IF(H61&lt;=I61,"Starter",IF(G61&gt;=LARGE(G:G,FlexOn*LeagueInfo!$F$2),"Starter","Bench"))</f>
        <v>Bench</v>
      </c>
      <c r="G61">
        <f ca="1">IF(H61&gt;I61,D61,0)</f>
        <v>131.04000000000002</v>
      </c>
      <c r="H61">
        <f ca="1">INDEX(INDIRECT(""&amp;C61&amp;"!A2:A489"),MATCH(B61,INDIRECT(""&amp;C61&amp;"!B2:B489"),0))</f>
        <v>52</v>
      </c>
      <c r="I61">
        <f>IF(C61="WR",LeagueInfo!$D$5*LeagueInfo!$F$2,LeagueInfo!$D$6*LeagueInfo!$F$2)</f>
        <v>24</v>
      </c>
    </row>
    <row r="62" spans="1:9" x14ac:dyDescent="0.25">
      <c r="A62">
        <f ca="1">RANK(E62,E$2:E$350)</f>
        <v>61</v>
      </c>
      <c r="B62" t="s">
        <v>370</v>
      </c>
      <c r="C62" t="s">
        <v>35</v>
      </c>
      <c r="D62">
        <f ca="1">INDEX(INDIRECT($C62&amp;"!P:P"),MATCH($B62,INDIRECT($C62&amp;"!B:B"),0))</f>
        <v>128.63999999999999</v>
      </c>
      <c r="E62" s="6">
        <f ca="1">D62-LARGE(D$2:D$284,TECount+WRCount)</f>
        <v>13.59999999999998</v>
      </c>
      <c r="F62" t="str">
        <f ca="1">IF(H62&lt;=I62,"Starter",IF(G62&gt;=LARGE(G:G,FlexOn*LeagueInfo!$F$2),"Starter","Bench"))</f>
        <v>Bench</v>
      </c>
      <c r="G62">
        <f ca="1">IF(H62&gt;I62,D62,0)</f>
        <v>128.63999999999999</v>
      </c>
      <c r="H62">
        <f ca="1">INDEX(INDIRECT(""&amp;C62&amp;"!A2:A489"),MATCH(B62,INDIRECT(""&amp;C62&amp;"!B2:B489"),0))</f>
        <v>53</v>
      </c>
      <c r="I62">
        <f>IF(C62="WR",LeagueInfo!$D$5*LeagueInfo!$F$2,LeagueInfo!$D$6*LeagueInfo!$F$2)</f>
        <v>24</v>
      </c>
    </row>
    <row r="63" spans="1:9" x14ac:dyDescent="0.25">
      <c r="A63">
        <f ca="1">RANK(E63,E$2:E$350)</f>
        <v>62</v>
      </c>
      <c r="B63" t="s">
        <v>947</v>
      </c>
      <c r="C63" t="s">
        <v>35</v>
      </c>
      <c r="D63">
        <f ca="1">INDEX(INDIRECT($C63&amp;"!P:P"),MATCH($B63,INDIRECT($C63&amp;"!B:B"),0))</f>
        <v>128.1</v>
      </c>
      <c r="E63" s="6">
        <f ca="1">D63-LARGE(D$2:D$284,TECount+WRCount)</f>
        <v>13.059999999999988</v>
      </c>
      <c r="F63" t="str">
        <f ca="1">IF(H63&lt;=I63,"Starter",IF(G63&gt;=LARGE(G:G,FlexOn*LeagueInfo!$F$2),"Starter","Bench"))</f>
        <v>Bench</v>
      </c>
      <c r="G63">
        <f ca="1">IF(H63&gt;I63,D63,0)</f>
        <v>128.1</v>
      </c>
      <c r="H63">
        <f ca="1">INDEX(INDIRECT(""&amp;C63&amp;"!A2:A489"),MATCH(B63,INDIRECT(""&amp;C63&amp;"!B2:B489"),0))</f>
        <v>54</v>
      </c>
      <c r="I63">
        <f>IF(C63="WR",LeagueInfo!$D$5*LeagueInfo!$F$2,LeagueInfo!$D$6*LeagueInfo!$F$2)</f>
        <v>24</v>
      </c>
    </row>
    <row r="64" spans="1:9" x14ac:dyDescent="0.25">
      <c r="A64">
        <f ca="1">RANK(E64,E$2:E$350)</f>
        <v>63</v>
      </c>
      <c r="B64" t="s">
        <v>567</v>
      </c>
      <c r="C64" t="s">
        <v>35</v>
      </c>
      <c r="D64">
        <f ca="1">INDEX(INDIRECT($C64&amp;"!P:P"),MATCH($B64,INDIRECT($C64&amp;"!B:B"),0))</f>
        <v>127.57000000000001</v>
      </c>
      <c r="E64" s="6">
        <f ca="1">D64-LARGE(D$2:D$284,TECount+WRCount)</f>
        <v>12.530000000000001</v>
      </c>
      <c r="F64" t="str">
        <f ca="1">IF(H64&lt;=I64,"Starter",IF(G64&gt;=LARGE(G:G,FlexOn*LeagueInfo!$F$2),"Starter","Bench"))</f>
        <v>Bench</v>
      </c>
      <c r="G64">
        <f ca="1">IF(H64&gt;I64,D64,0)</f>
        <v>127.57000000000001</v>
      </c>
      <c r="H64">
        <f ca="1">INDEX(INDIRECT(""&amp;C64&amp;"!A2:A489"),MATCH(B64,INDIRECT(""&amp;C64&amp;"!B2:B489"),0))</f>
        <v>55</v>
      </c>
      <c r="I64">
        <f>IF(C64="WR",LeagueInfo!$D$5*LeagueInfo!$F$2,LeagueInfo!$D$6*LeagueInfo!$F$2)</f>
        <v>24</v>
      </c>
    </row>
    <row r="65" spans="1:9" x14ac:dyDescent="0.25">
      <c r="A65">
        <f ca="1">RANK(E65,E$2:E$350)</f>
        <v>64</v>
      </c>
      <c r="B65" t="s">
        <v>186</v>
      </c>
      <c r="C65" t="s">
        <v>43</v>
      </c>
      <c r="D65">
        <f ca="1">INDEX(INDIRECT($C65&amp;"!P:P"),MATCH($B65,INDIRECT($C65&amp;"!B:B"),0))</f>
        <v>126.37</v>
      </c>
      <c r="E65" s="6">
        <f ca="1">D65-LARGE(D$2:D$284,TECount+WRCount)</f>
        <v>11.329999999999998</v>
      </c>
      <c r="F65" t="str">
        <f ca="1">IF(H65&lt;=I65,"Starter",IF(G65&gt;=LARGE(G:G,FlexOn*LeagueInfo!$F$2),"Starter","Bench"))</f>
        <v>Starter</v>
      </c>
      <c r="G65">
        <f ca="1">IF(H65&gt;I65,D65,0)</f>
        <v>0</v>
      </c>
      <c r="H65">
        <f ca="1">INDEX(INDIRECT(""&amp;C65&amp;"!A2:A489"),MATCH(B65,INDIRECT(""&amp;C65&amp;"!B2:B489"),0))</f>
        <v>9</v>
      </c>
      <c r="I65">
        <f>IF(C65="WR",LeagueInfo!$D$5*LeagueInfo!$F$2,LeagueInfo!$D$6*LeagueInfo!$F$2)</f>
        <v>12</v>
      </c>
    </row>
    <row r="66" spans="1:9" x14ac:dyDescent="0.25">
      <c r="A66">
        <f ca="1">RANK(E66,E$2:E$350)</f>
        <v>65</v>
      </c>
      <c r="B66" t="s">
        <v>135</v>
      </c>
      <c r="C66" t="s">
        <v>35</v>
      </c>
      <c r="D66">
        <f ca="1">INDEX(INDIRECT($C66&amp;"!P:P"),MATCH($B66,INDIRECT($C66&amp;"!B:B"),0))</f>
        <v>125.80000000000001</v>
      </c>
      <c r="E66" s="6">
        <f ca="1">D66-LARGE(D$2:D$284,TECount+WRCount)</f>
        <v>10.760000000000005</v>
      </c>
      <c r="F66" t="str">
        <f ca="1">IF(H66&lt;=I66,"Starter",IF(G66&gt;=LARGE(G:G,FlexOn*LeagueInfo!$F$2),"Starter","Bench"))</f>
        <v>Bench</v>
      </c>
      <c r="G66">
        <f ca="1">IF(H66&gt;I66,D66,0)</f>
        <v>125.80000000000001</v>
      </c>
      <c r="H66">
        <f ca="1">INDEX(INDIRECT(""&amp;C66&amp;"!A2:A489"),MATCH(B66,INDIRECT(""&amp;C66&amp;"!B2:B489"),0))</f>
        <v>56</v>
      </c>
      <c r="I66">
        <f>IF(C66="WR",LeagueInfo!$D$5*LeagueInfo!$F$2,LeagueInfo!$D$6*LeagueInfo!$F$2)</f>
        <v>24</v>
      </c>
    </row>
    <row r="67" spans="1:9" x14ac:dyDescent="0.25">
      <c r="A67">
        <f ca="1">RANK(E67,E$2:E$350)</f>
        <v>66</v>
      </c>
      <c r="B67" t="s">
        <v>2413</v>
      </c>
      <c r="C67" t="s">
        <v>35</v>
      </c>
      <c r="D67">
        <f ca="1">INDEX(INDIRECT($C67&amp;"!P:P"),MATCH($B67,INDIRECT($C67&amp;"!B:B"),0))</f>
        <v>124.75</v>
      </c>
      <c r="E67" s="6">
        <f ca="1">D67-LARGE(D$2:D$284,TECount+WRCount)</f>
        <v>9.7099999999999937</v>
      </c>
      <c r="F67" t="str">
        <f ca="1">IF(H67&lt;=I67,"Starter",IF(G67&gt;=LARGE(G:G,FlexOn*LeagueInfo!$F$2),"Starter","Bench"))</f>
        <v>Bench</v>
      </c>
      <c r="G67">
        <f ca="1">IF(H67&gt;I67,D67,0)</f>
        <v>124.75</v>
      </c>
      <c r="H67">
        <f ca="1">INDEX(INDIRECT(""&amp;C67&amp;"!A2:A489"),MATCH(B67,INDIRECT(""&amp;C67&amp;"!B2:B489"),0))</f>
        <v>57</v>
      </c>
      <c r="I67">
        <f>IF(C67="WR",LeagueInfo!$D$5*LeagueInfo!$F$2,LeagueInfo!$D$6*LeagueInfo!$F$2)</f>
        <v>24</v>
      </c>
    </row>
    <row r="68" spans="1:9" x14ac:dyDescent="0.25">
      <c r="A68">
        <f ca="1">RANK(E68,E$2:E$350)</f>
        <v>67</v>
      </c>
      <c r="B68" t="s">
        <v>739</v>
      </c>
      <c r="C68" t="s">
        <v>43</v>
      </c>
      <c r="D68">
        <f ca="1">INDEX(INDIRECT($C68&amp;"!P:P"),MATCH($B68,INDIRECT($C68&amp;"!B:B"),0))</f>
        <v>124.61</v>
      </c>
      <c r="E68" s="6">
        <f ca="1">D68-LARGE(D$2:D$284,TECount+WRCount)</f>
        <v>9.5699999999999932</v>
      </c>
      <c r="F68" t="str">
        <f ca="1">IF(H68&lt;=I68,"Starter",IF(G68&gt;=LARGE(G:G,FlexOn*LeagueInfo!$F$2),"Starter","Bench"))</f>
        <v>Starter</v>
      </c>
      <c r="G68">
        <f ca="1">IF(H68&gt;I68,D68,0)</f>
        <v>0</v>
      </c>
      <c r="H68">
        <f ca="1">INDEX(INDIRECT(""&amp;C68&amp;"!A2:A489"),MATCH(B68,INDIRECT(""&amp;C68&amp;"!B2:B489"),0))</f>
        <v>10</v>
      </c>
      <c r="I68">
        <f>IF(C68="WR",LeagueInfo!$D$5*LeagueInfo!$F$2,LeagueInfo!$D$6*LeagueInfo!$F$2)</f>
        <v>12</v>
      </c>
    </row>
    <row r="69" spans="1:9" x14ac:dyDescent="0.25">
      <c r="A69">
        <f ca="1">RANK(E69,E$2:E$350)</f>
        <v>68</v>
      </c>
      <c r="B69" t="s">
        <v>2414</v>
      </c>
      <c r="C69" t="s">
        <v>35</v>
      </c>
      <c r="D69">
        <f ca="1">INDEX(INDIRECT($C69&amp;"!P:P"),MATCH($B69,INDIRECT($C69&amp;"!B:B"),0))</f>
        <v>123.60999999999999</v>
      </c>
      <c r="E69" s="6">
        <f ca="1">D69-LARGE(D$2:D$284,TECount+WRCount)</f>
        <v>8.569999999999979</v>
      </c>
      <c r="F69" t="str">
        <f ca="1">IF(H69&lt;=I69,"Starter",IF(G69&gt;=LARGE(G:G,FlexOn*LeagueInfo!$F$2),"Starter","Bench"))</f>
        <v>Bench</v>
      </c>
      <c r="G69">
        <f ca="1">IF(H69&gt;I69,D69,0)</f>
        <v>123.60999999999999</v>
      </c>
      <c r="H69">
        <f ca="1">INDEX(INDIRECT(""&amp;C69&amp;"!A2:A489"),MATCH(B69,INDIRECT(""&amp;C69&amp;"!B2:B489"),0))</f>
        <v>58</v>
      </c>
      <c r="I69">
        <f>IF(C69="WR",LeagueInfo!$D$5*LeagueInfo!$F$2,LeagueInfo!$D$6*LeagueInfo!$F$2)</f>
        <v>24</v>
      </c>
    </row>
    <row r="70" spans="1:9" x14ac:dyDescent="0.25">
      <c r="A70">
        <f ca="1">RANK(E70,E$2:E$350)</f>
        <v>69</v>
      </c>
      <c r="B70" t="s">
        <v>749</v>
      </c>
      <c r="C70" t="s">
        <v>43</v>
      </c>
      <c r="D70">
        <f ca="1">INDEX(INDIRECT($C70&amp;"!P:P"),MATCH($B70,INDIRECT($C70&amp;"!B:B"),0))</f>
        <v>123.57</v>
      </c>
      <c r="E70" s="6">
        <f ca="1">D70-LARGE(D$2:D$284,TECount+WRCount)</f>
        <v>8.5299999999999869</v>
      </c>
      <c r="F70" t="str">
        <f ca="1">IF(H70&lt;=I70,"Starter",IF(G70&gt;=LARGE(G:G,FlexOn*LeagueInfo!$F$2),"Starter","Bench"))</f>
        <v>Starter</v>
      </c>
      <c r="G70">
        <f ca="1">IF(H70&gt;I70,D70,0)</f>
        <v>0</v>
      </c>
      <c r="H70">
        <f ca="1">INDEX(INDIRECT(""&amp;C70&amp;"!A2:A489"),MATCH(B70,INDIRECT(""&amp;C70&amp;"!B2:B489"),0))</f>
        <v>11</v>
      </c>
      <c r="I70">
        <f>IF(C70="WR",LeagueInfo!$D$5*LeagueInfo!$F$2,LeagueInfo!$D$6*LeagueInfo!$F$2)</f>
        <v>12</v>
      </c>
    </row>
    <row r="71" spans="1:9" x14ac:dyDescent="0.25">
      <c r="A71">
        <f ca="1">RANK(E71,E$2:E$350)</f>
        <v>70</v>
      </c>
      <c r="B71" t="s">
        <v>2415</v>
      </c>
      <c r="C71" t="s">
        <v>35</v>
      </c>
      <c r="D71">
        <f ca="1">INDEX(INDIRECT($C71&amp;"!P:P"),MATCH($B71,INDIRECT($C71&amp;"!B:B"),0))</f>
        <v>121.46000000000001</v>
      </c>
      <c r="E71" s="6">
        <f ca="1">D71-LARGE(D$2:D$284,TECount+WRCount)</f>
        <v>6.4200000000000017</v>
      </c>
      <c r="F71" t="str">
        <f ca="1">IF(H71&lt;=I71,"Starter",IF(G71&gt;=LARGE(G:G,FlexOn*LeagueInfo!$F$2),"Starter","Bench"))</f>
        <v>Bench</v>
      </c>
      <c r="G71">
        <f ca="1">IF(H71&gt;I71,D71,0)</f>
        <v>121.46000000000001</v>
      </c>
      <c r="H71">
        <f ca="1">INDEX(INDIRECT(""&amp;C71&amp;"!A2:A489"),MATCH(B71,INDIRECT(""&amp;C71&amp;"!B2:B489"),0))</f>
        <v>59</v>
      </c>
      <c r="I71">
        <f>IF(C71="WR",LeagueInfo!$D$5*LeagueInfo!$F$2,LeagueInfo!$D$6*LeagueInfo!$F$2)</f>
        <v>24</v>
      </c>
    </row>
    <row r="72" spans="1:9" x14ac:dyDescent="0.25">
      <c r="A72">
        <f ca="1">RANK(E72,E$2:E$350)</f>
        <v>71</v>
      </c>
      <c r="B72" t="s">
        <v>2416</v>
      </c>
      <c r="C72" t="s">
        <v>35</v>
      </c>
      <c r="D72">
        <f ca="1">INDEX(INDIRECT($C72&amp;"!P:P"),MATCH($B72,INDIRECT($C72&amp;"!B:B"),0))</f>
        <v>119.14</v>
      </c>
      <c r="E72" s="6">
        <f ca="1">D72-LARGE(D$2:D$284,TECount+WRCount)</f>
        <v>4.0999999999999943</v>
      </c>
      <c r="F72" t="str">
        <f ca="1">IF(H72&lt;=I72,"Starter",IF(G72&gt;=LARGE(G:G,FlexOn*LeagueInfo!$F$2),"Starter","Bench"))</f>
        <v>Bench</v>
      </c>
      <c r="G72">
        <f ca="1">IF(H72&gt;I72,D72,0)</f>
        <v>119.14</v>
      </c>
      <c r="H72">
        <f ca="1">INDEX(INDIRECT(""&amp;C72&amp;"!A2:A489"),MATCH(B72,INDIRECT(""&amp;C72&amp;"!B2:B489"),0))</f>
        <v>60</v>
      </c>
      <c r="I72">
        <f>IF(C72="WR",LeagueInfo!$D$5*LeagueInfo!$F$2,LeagueInfo!$D$6*LeagueInfo!$F$2)</f>
        <v>24</v>
      </c>
    </row>
    <row r="73" spans="1:9" x14ac:dyDescent="0.25">
      <c r="A73">
        <f ca="1">RANK(E73,E$2:E$350)</f>
        <v>72</v>
      </c>
      <c r="B73" t="s">
        <v>587</v>
      </c>
      <c r="C73" t="s">
        <v>43</v>
      </c>
      <c r="D73">
        <f ca="1">INDEX(INDIRECT($C73&amp;"!P:P"),MATCH($B73,INDIRECT($C73&amp;"!B:B"),0))</f>
        <v>118.98</v>
      </c>
      <c r="E73" s="6">
        <f ca="1">D73-LARGE(D$2:D$284,TECount+WRCount)</f>
        <v>3.9399999999999977</v>
      </c>
      <c r="F73" t="str">
        <f ca="1">IF(H73&lt;=I73,"Starter",IF(G73&gt;=LARGE(G:G,FlexOn*LeagueInfo!$F$2),"Starter","Bench"))</f>
        <v>Starter</v>
      </c>
      <c r="G73">
        <f ca="1">IF(H73&gt;I73,D73,0)</f>
        <v>0</v>
      </c>
      <c r="H73">
        <f ca="1">INDEX(INDIRECT(""&amp;C73&amp;"!A2:A489"),MATCH(B73,INDIRECT(""&amp;C73&amp;"!B2:B489"),0))</f>
        <v>12</v>
      </c>
      <c r="I73">
        <f>IF(C73="WR",LeagueInfo!$D$5*LeagueInfo!$F$2,LeagueInfo!$D$6*LeagueInfo!$F$2)</f>
        <v>12</v>
      </c>
    </row>
    <row r="74" spans="1:9" x14ac:dyDescent="0.25">
      <c r="A74">
        <f ca="1">RANK(E74,E$2:E$350)</f>
        <v>73</v>
      </c>
      <c r="B74" t="s">
        <v>955</v>
      </c>
      <c r="C74" t="s">
        <v>35</v>
      </c>
      <c r="D74">
        <f ca="1">INDEX(INDIRECT($C74&amp;"!P:P"),MATCH($B74,INDIRECT($C74&amp;"!B:B"),0))</f>
        <v>118.26</v>
      </c>
      <c r="E74" s="6">
        <f ca="1">D74-LARGE(D$2:D$284,TECount+WRCount)</f>
        <v>3.2199999999999989</v>
      </c>
      <c r="F74" t="str">
        <f ca="1">IF(H74&lt;=I74,"Starter",IF(G74&gt;=LARGE(G:G,FlexOn*LeagueInfo!$F$2),"Starter","Bench"))</f>
        <v>Bench</v>
      </c>
      <c r="G74">
        <f ca="1">IF(H74&gt;I74,D74,0)</f>
        <v>118.26</v>
      </c>
      <c r="H74">
        <f ca="1">INDEX(INDIRECT(""&amp;C74&amp;"!A2:A489"),MATCH(B74,INDIRECT(""&amp;C74&amp;"!B2:B489"),0))</f>
        <v>61</v>
      </c>
      <c r="I74">
        <f>IF(C74="WR",LeagueInfo!$D$5*LeagueInfo!$F$2,LeagueInfo!$D$6*LeagueInfo!$F$2)</f>
        <v>24</v>
      </c>
    </row>
    <row r="75" spans="1:9" x14ac:dyDescent="0.25">
      <c r="A75">
        <f ca="1">RANK(E75,E$2:E$350)</f>
        <v>74</v>
      </c>
      <c r="B75" t="s">
        <v>2422</v>
      </c>
      <c r="C75" t="s">
        <v>35</v>
      </c>
      <c r="D75">
        <f ca="1">INDEX(INDIRECT($C75&amp;"!P:P"),MATCH($B75,INDIRECT($C75&amp;"!B:B"),0))</f>
        <v>117.79</v>
      </c>
      <c r="E75" s="6">
        <f ca="1">D75-LARGE(D$2:D$284,TECount+WRCount)</f>
        <v>2.75</v>
      </c>
      <c r="F75" t="str">
        <f ca="1">IF(H75&lt;=I75,"Starter",IF(G75&gt;=LARGE(G:G,FlexOn*LeagueInfo!$F$2),"Starter","Bench"))</f>
        <v>Bench</v>
      </c>
      <c r="G75">
        <f ca="1">IF(H75&gt;I75,D75,0)</f>
        <v>117.79</v>
      </c>
      <c r="H75">
        <f ca="1">INDEX(INDIRECT(""&amp;C75&amp;"!A2:A489"),MATCH(B75,INDIRECT(""&amp;C75&amp;"!B2:B489"),0))</f>
        <v>62</v>
      </c>
      <c r="I75">
        <f>IF(C75="WR",LeagueInfo!$D$5*LeagueInfo!$F$2,LeagueInfo!$D$6*LeagueInfo!$F$2)</f>
        <v>24</v>
      </c>
    </row>
    <row r="76" spans="1:9" x14ac:dyDescent="0.25">
      <c r="A76">
        <f ca="1">RANK(E76,E$2:E$350)</f>
        <v>75</v>
      </c>
      <c r="B76" t="s">
        <v>170</v>
      </c>
      <c r="C76" t="s">
        <v>35</v>
      </c>
      <c r="D76">
        <f ca="1">INDEX(INDIRECT($C76&amp;"!P:P"),MATCH($B76,INDIRECT($C76&amp;"!B:B"),0))</f>
        <v>117.17999999999999</v>
      </c>
      <c r="E76" s="6">
        <f ca="1">D76-LARGE(D$2:D$284,TECount+WRCount)</f>
        <v>2.1399999999999864</v>
      </c>
      <c r="F76" t="str">
        <f ca="1">IF(H76&lt;=I76,"Starter",IF(G76&gt;=LARGE(G:G,FlexOn*LeagueInfo!$F$2),"Starter","Bench"))</f>
        <v>Bench</v>
      </c>
      <c r="G76">
        <f ca="1">IF(H76&gt;I76,D76,0)</f>
        <v>117.17999999999999</v>
      </c>
      <c r="H76">
        <f ca="1">INDEX(INDIRECT(""&amp;C76&amp;"!A2:A489"),MATCH(B76,INDIRECT(""&amp;C76&amp;"!B2:B489"),0))</f>
        <v>63</v>
      </c>
      <c r="I76">
        <f>IF(C76="WR",LeagueInfo!$D$5*LeagueInfo!$F$2,LeagueInfo!$D$6*LeagueInfo!$F$2)</f>
        <v>24</v>
      </c>
    </row>
    <row r="77" spans="1:9" x14ac:dyDescent="0.25">
      <c r="A77">
        <f ca="1">RANK(E77,E$2:E$350)</f>
        <v>76</v>
      </c>
      <c r="B77" t="s">
        <v>416</v>
      </c>
      <c r="C77" t="s">
        <v>43</v>
      </c>
      <c r="D77">
        <f ca="1">INDEX(INDIRECT($C77&amp;"!P:P"),MATCH($B77,INDIRECT($C77&amp;"!B:B"),0))</f>
        <v>116.51000000000002</v>
      </c>
      <c r="E77" s="6">
        <f ca="1">D77-LARGE(D$2:D$284,TECount+WRCount)</f>
        <v>1.4700000000000131</v>
      </c>
      <c r="F77" t="str">
        <f ca="1">IF(H77&lt;=I77,"Starter",IF(G77&gt;=LARGE(G:G,FlexOn*LeagueInfo!$F$2),"Starter","Bench"))</f>
        <v>Bench</v>
      </c>
      <c r="G77">
        <f ca="1">IF(H77&gt;I77,D77,0)</f>
        <v>116.51000000000002</v>
      </c>
      <c r="H77">
        <f ca="1">INDEX(INDIRECT(""&amp;C77&amp;"!A2:A489"),MATCH(B77,INDIRECT(""&amp;C77&amp;"!B2:B489"),0))</f>
        <v>13</v>
      </c>
      <c r="I77">
        <f>IF(C77="WR",LeagueInfo!$D$5*LeagueInfo!$F$2,LeagueInfo!$D$6*LeagueInfo!$F$2)</f>
        <v>12</v>
      </c>
    </row>
    <row r="78" spans="1:9" x14ac:dyDescent="0.25">
      <c r="A78">
        <f ca="1">RANK(E78,E$2:E$350)</f>
        <v>77</v>
      </c>
      <c r="B78" t="s">
        <v>975</v>
      </c>
      <c r="C78" t="s">
        <v>43</v>
      </c>
      <c r="D78">
        <f ca="1">INDEX(INDIRECT($C78&amp;"!P:P"),MATCH($B78,INDIRECT($C78&amp;"!B:B"),0))</f>
        <v>116.51</v>
      </c>
      <c r="E78" s="6">
        <f ca="1">D78-LARGE(D$2:D$284,TECount+WRCount)</f>
        <v>1.4699999999999989</v>
      </c>
      <c r="F78" t="str">
        <f ca="1">IF(H78&lt;=I78,"Starter",IF(G78&gt;=LARGE(G:G,FlexOn*LeagueInfo!$F$2),"Starter","Bench"))</f>
        <v>Bench</v>
      </c>
      <c r="G78">
        <f ca="1">IF(H78&gt;I78,D78,0)</f>
        <v>116.51</v>
      </c>
      <c r="H78">
        <f ca="1">INDEX(INDIRECT(""&amp;C78&amp;"!A2:A489"),MATCH(B78,INDIRECT(""&amp;C78&amp;"!B2:B489"),0))</f>
        <v>14</v>
      </c>
      <c r="I78">
        <f>IF(C78="WR",LeagueInfo!$D$5*LeagueInfo!$F$2,LeagueInfo!$D$6*LeagueInfo!$F$2)</f>
        <v>12</v>
      </c>
    </row>
    <row r="79" spans="1:9" x14ac:dyDescent="0.25">
      <c r="A79">
        <f ca="1">RANK(E79,E$2:E$350)</f>
        <v>78</v>
      </c>
      <c r="B79" t="s">
        <v>2419</v>
      </c>
      <c r="C79" t="s">
        <v>35</v>
      </c>
      <c r="D79">
        <f ca="1">INDEX(INDIRECT($C79&amp;"!P:P"),MATCH($B79,INDIRECT($C79&amp;"!B:B"),0))</f>
        <v>116.41000000000001</v>
      </c>
      <c r="E79" s="6">
        <f ca="1">D79-LARGE(D$2:D$284,TECount+WRCount)</f>
        <v>1.3700000000000045</v>
      </c>
      <c r="F79" t="str">
        <f ca="1">IF(H79&lt;=I79,"Starter",IF(G79&gt;=LARGE(G:G,FlexOn*LeagueInfo!$F$2),"Starter","Bench"))</f>
        <v>Bench</v>
      </c>
      <c r="G79">
        <f ca="1">IF(H79&gt;I79,D79,0)</f>
        <v>116.41000000000001</v>
      </c>
      <c r="H79">
        <f ca="1">INDEX(INDIRECT(""&amp;C79&amp;"!A2:A489"),MATCH(B79,INDIRECT(""&amp;C79&amp;"!B2:B489"),0))</f>
        <v>64</v>
      </c>
      <c r="I79">
        <f>IF(C79="WR",LeagueInfo!$D$5*LeagueInfo!$F$2,LeagueInfo!$D$6*LeagueInfo!$F$2)</f>
        <v>24</v>
      </c>
    </row>
    <row r="80" spans="1:9" x14ac:dyDescent="0.25">
      <c r="A80">
        <f ca="1">RANK(E80,E$2:E$350)</f>
        <v>79</v>
      </c>
      <c r="B80" t="s">
        <v>817</v>
      </c>
      <c r="C80" t="s">
        <v>43</v>
      </c>
      <c r="D80">
        <f ca="1">INDEX(INDIRECT($C80&amp;"!P:P"),MATCH($B80,INDIRECT($C80&amp;"!B:B"),0))</f>
        <v>115.75</v>
      </c>
      <c r="E80" s="6">
        <f ca="1">D80-LARGE(D$2:D$284,TECount+WRCount)</f>
        <v>0.70999999999999375</v>
      </c>
      <c r="F80" t="str">
        <f ca="1">IF(H80&lt;=I80,"Starter",IF(G80&gt;=LARGE(G:G,FlexOn*LeagueInfo!$F$2),"Starter","Bench"))</f>
        <v>Bench</v>
      </c>
      <c r="G80">
        <f ca="1">IF(H80&gt;I80,D80,0)</f>
        <v>115.75</v>
      </c>
      <c r="H80">
        <f ca="1">INDEX(INDIRECT(""&amp;C80&amp;"!A2:A489"),MATCH(B80,INDIRECT(""&amp;C80&amp;"!B2:B489"),0))</f>
        <v>15</v>
      </c>
      <c r="I80">
        <f>IF(C80="WR",LeagueInfo!$D$5*LeagueInfo!$F$2,LeagueInfo!$D$6*LeagueInfo!$F$2)</f>
        <v>12</v>
      </c>
    </row>
    <row r="81" spans="1:9" x14ac:dyDescent="0.25">
      <c r="A81">
        <f ca="1">RANK(E81,E$2:E$350)</f>
        <v>80</v>
      </c>
      <c r="B81" t="s">
        <v>740</v>
      </c>
      <c r="C81" t="s">
        <v>43</v>
      </c>
      <c r="D81">
        <f ca="1">INDEX(INDIRECT($C81&amp;"!P:P"),MATCH($B81,INDIRECT($C81&amp;"!B:B"),0))</f>
        <v>115.04</v>
      </c>
      <c r="E81" s="6">
        <f ca="1">D81-LARGE(D$2:D$284,TECount+WRCount)</f>
        <v>0</v>
      </c>
      <c r="F81" t="str">
        <f ca="1">IF(H81&lt;=I81,"Starter",IF(G81&gt;=LARGE(G:G,FlexOn*LeagueInfo!$F$2),"Starter","Bench"))</f>
        <v>Bench</v>
      </c>
      <c r="G81">
        <f ca="1">IF(H81&gt;I81,D81,0)</f>
        <v>115.04</v>
      </c>
      <c r="H81">
        <f ca="1">INDEX(INDIRECT(""&amp;C81&amp;"!A2:A489"),MATCH(B81,INDIRECT(""&amp;C81&amp;"!B2:B489"),0))</f>
        <v>16</v>
      </c>
      <c r="I81">
        <f>IF(C81="WR",LeagueInfo!$D$5*LeagueInfo!$F$2,LeagueInfo!$D$6*LeagueInfo!$F$2)</f>
        <v>12</v>
      </c>
    </row>
    <row r="82" spans="1:9" x14ac:dyDescent="0.25">
      <c r="A82">
        <f ca="1">RANK(E82,E$2:E$350)</f>
        <v>81</v>
      </c>
      <c r="B82" t="s">
        <v>2417</v>
      </c>
      <c r="C82" t="s">
        <v>35</v>
      </c>
      <c r="D82">
        <f ca="1">INDEX(INDIRECT($C82&amp;"!P:P"),MATCH($B82,INDIRECT($C82&amp;"!B:B"),0))</f>
        <v>111.31</v>
      </c>
      <c r="E82" s="6">
        <f ca="1">D82-LARGE(D$2:D$284,TECount+WRCount)</f>
        <v>-3.730000000000004</v>
      </c>
      <c r="F82" t="str">
        <f ca="1">IF(H82&lt;=I82,"Starter",IF(G82&gt;=LARGE(G:G,FlexOn*LeagueInfo!$F$2),"Starter","Bench"))</f>
        <v>Bench</v>
      </c>
      <c r="G82">
        <f ca="1">IF(H82&gt;I82,D82,0)</f>
        <v>111.31</v>
      </c>
      <c r="H82">
        <f ca="1">INDEX(INDIRECT(""&amp;C82&amp;"!A2:A489"),MATCH(B82,INDIRECT(""&amp;C82&amp;"!B2:B489"),0))</f>
        <v>65</v>
      </c>
      <c r="I82">
        <f>IF(C82="WR",LeagueInfo!$D$5*LeagueInfo!$F$2,LeagueInfo!$D$6*LeagueInfo!$F$2)</f>
        <v>24</v>
      </c>
    </row>
    <row r="83" spans="1:9" x14ac:dyDescent="0.25">
      <c r="A83">
        <f ca="1">RANK(E83,E$2:E$350)</f>
        <v>82</v>
      </c>
      <c r="B83" t="s">
        <v>951</v>
      </c>
      <c r="C83" t="s">
        <v>35</v>
      </c>
      <c r="D83">
        <f ca="1">INDEX(INDIRECT($C83&amp;"!P:P"),MATCH($B83,INDIRECT($C83&amp;"!B:B"),0))</f>
        <v>111.2</v>
      </c>
      <c r="E83" s="6">
        <f ca="1">D83-LARGE(D$2:D$284,TECount+WRCount)</f>
        <v>-3.8400000000000034</v>
      </c>
      <c r="F83" t="str">
        <f ca="1">IF(H83&lt;=I83,"Starter",IF(G83&gt;=LARGE(G:G,FlexOn*LeagueInfo!$F$2),"Starter","Bench"))</f>
        <v>Bench</v>
      </c>
      <c r="G83">
        <f ca="1">IF(H83&gt;I83,D83,0)</f>
        <v>111.2</v>
      </c>
      <c r="H83">
        <f ca="1">INDEX(INDIRECT(""&amp;C83&amp;"!A2:A489"),MATCH(B83,INDIRECT(""&amp;C83&amp;"!B2:B489"),0))</f>
        <v>66</v>
      </c>
      <c r="I83">
        <f>IF(C83="WR",LeagueInfo!$D$5*LeagueInfo!$F$2,LeagueInfo!$D$6*LeagueInfo!$F$2)</f>
        <v>24</v>
      </c>
    </row>
    <row r="84" spans="1:9" x14ac:dyDescent="0.25">
      <c r="A84">
        <f ca="1">RANK(E84,E$2:E$350)</f>
        <v>83</v>
      </c>
      <c r="B84" t="s">
        <v>217</v>
      </c>
      <c r="C84" t="s">
        <v>43</v>
      </c>
      <c r="D84">
        <f ca="1">INDEX(INDIRECT($C84&amp;"!P:P"),MATCH($B84,INDIRECT($C84&amp;"!B:B"),0))</f>
        <v>110.52000000000001</v>
      </c>
      <c r="E84" s="6">
        <f ca="1">D84-LARGE(D$2:D$284,TECount+WRCount)</f>
        <v>-4.519999999999996</v>
      </c>
      <c r="F84" t="str">
        <f ca="1">IF(H84&lt;=I84,"Starter",IF(G84&gt;=LARGE(G:G,FlexOn*LeagueInfo!$F$2),"Starter","Bench"))</f>
        <v>Bench</v>
      </c>
      <c r="G84">
        <f ca="1">IF(H84&gt;I84,D84,0)</f>
        <v>110.52000000000001</v>
      </c>
      <c r="H84">
        <f ca="1">INDEX(INDIRECT(""&amp;C84&amp;"!A2:A489"),MATCH(B84,INDIRECT(""&amp;C84&amp;"!B2:B489"),0))</f>
        <v>17</v>
      </c>
      <c r="I84">
        <f>IF(C84="WR",LeagueInfo!$D$5*LeagueInfo!$F$2,LeagueInfo!$D$6*LeagueInfo!$F$2)</f>
        <v>12</v>
      </c>
    </row>
    <row r="85" spans="1:9" x14ac:dyDescent="0.25">
      <c r="A85">
        <f ca="1">RANK(E85,E$2:E$350)</f>
        <v>84</v>
      </c>
      <c r="B85" t="s">
        <v>844</v>
      </c>
      <c r="C85" t="s">
        <v>35</v>
      </c>
      <c r="D85">
        <f ca="1">INDEX(INDIRECT($C85&amp;"!P:P"),MATCH($B85,INDIRECT($C85&amp;"!B:B"),0))</f>
        <v>110.28999999999999</v>
      </c>
      <c r="E85" s="6">
        <f ca="1">D85-LARGE(D$2:D$284,TECount+WRCount)</f>
        <v>-4.7500000000000142</v>
      </c>
      <c r="F85" t="str">
        <f ca="1">IF(H85&lt;=I85,"Starter",IF(G85&gt;=LARGE(G:G,FlexOn*LeagueInfo!$F$2),"Starter","Bench"))</f>
        <v>Bench</v>
      </c>
      <c r="G85">
        <f ca="1">IF(H85&gt;I85,D85,0)</f>
        <v>110.28999999999999</v>
      </c>
      <c r="H85">
        <f ca="1">INDEX(INDIRECT(""&amp;C85&amp;"!A2:A489"),MATCH(B85,INDIRECT(""&amp;C85&amp;"!B2:B489"),0))</f>
        <v>67</v>
      </c>
      <c r="I85">
        <f>IF(C85="WR",LeagueInfo!$D$5*LeagueInfo!$F$2,LeagueInfo!$D$6*LeagueInfo!$F$2)</f>
        <v>24</v>
      </c>
    </row>
    <row r="86" spans="1:9" x14ac:dyDescent="0.25">
      <c r="A86">
        <f ca="1">RANK(E86,E$2:E$350)</f>
        <v>85</v>
      </c>
      <c r="B86" t="s">
        <v>419</v>
      </c>
      <c r="C86" t="s">
        <v>43</v>
      </c>
      <c r="D86">
        <f ca="1">INDEX(INDIRECT($C86&amp;"!P:P"),MATCH($B86,INDIRECT($C86&amp;"!B:B"),0))</f>
        <v>108.9</v>
      </c>
      <c r="E86" s="6">
        <f ca="1">D86-LARGE(D$2:D$284,TECount+WRCount)</f>
        <v>-6.1400000000000006</v>
      </c>
      <c r="F86" t="str">
        <f ca="1">IF(H86&lt;=I86,"Starter",IF(G86&gt;=LARGE(G:G,FlexOn*LeagueInfo!$F$2),"Starter","Bench"))</f>
        <v>Bench</v>
      </c>
      <c r="G86">
        <f ca="1">IF(H86&gt;I86,D86,0)</f>
        <v>108.9</v>
      </c>
      <c r="H86">
        <f ca="1">INDEX(INDIRECT(""&amp;C86&amp;"!A2:A489"),MATCH(B86,INDIRECT(""&amp;C86&amp;"!B2:B489"),0))</f>
        <v>18</v>
      </c>
      <c r="I86">
        <f>IF(C86="WR",LeagueInfo!$D$5*LeagueInfo!$F$2,LeagueInfo!$D$6*LeagueInfo!$F$2)</f>
        <v>12</v>
      </c>
    </row>
    <row r="87" spans="1:9" x14ac:dyDescent="0.25">
      <c r="A87">
        <f ca="1">RANK(E87,E$2:E$350)</f>
        <v>86</v>
      </c>
      <c r="B87" t="s">
        <v>857</v>
      </c>
      <c r="C87" t="s">
        <v>35</v>
      </c>
      <c r="D87">
        <f ca="1">INDEX(INDIRECT($C87&amp;"!P:P"),MATCH($B87,INDIRECT($C87&amp;"!B:B"),0))</f>
        <v>108.7</v>
      </c>
      <c r="E87" s="6">
        <f ca="1">D87-LARGE(D$2:D$284,TECount+WRCount)</f>
        <v>-6.3400000000000034</v>
      </c>
      <c r="F87" t="str">
        <f ca="1">IF(H87&lt;=I87,"Starter",IF(G87&gt;=LARGE(G:G,FlexOn*LeagueInfo!$F$2),"Starter","Bench"))</f>
        <v>Bench</v>
      </c>
      <c r="G87">
        <f ca="1">IF(H87&gt;I87,D87,0)</f>
        <v>108.7</v>
      </c>
      <c r="H87">
        <f ca="1">INDEX(INDIRECT(""&amp;C87&amp;"!A2:A489"),MATCH(B87,INDIRECT(""&amp;C87&amp;"!B2:B489"),0))</f>
        <v>68</v>
      </c>
      <c r="I87">
        <f>IF(C87="WR",LeagueInfo!$D$5*LeagueInfo!$F$2,LeagueInfo!$D$6*LeagueInfo!$F$2)</f>
        <v>24</v>
      </c>
    </row>
    <row r="88" spans="1:9" x14ac:dyDescent="0.25">
      <c r="A88">
        <f ca="1">RANK(E88,E$2:E$350)</f>
        <v>87</v>
      </c>
      <c r="B88" t="s">
        <v>215</v>
      </c>
      <c r="C88" t="s">
        <v>35</v>
      </c>
      <c r="D88">
        <f ca="1">INDEX(INDIRECT($C88&amp;"!P:P"),MATCH($B88,INDIRECT($C88&amp;"!B:B"),0))</f>
        <v>108.55000000000001</v>
      </c>
      <c r="E88" s="6">
        <f ca="1">D88-LARGE(D$2:D$284,TECount+WRCount)</f>
        <v>-6.4899999999999949</v>
      </c>
      <c r="F88" t="str">
        <f ca="1">IF(H88&lt;=I88,"Starter",IF(G88&gt;=LARGE(G:G,FlexOn*LeagueInfo!$F$2),"Starter","Bench"))</f>
        <v>Bench</v>
      </c>
      <c r="G88">
        <f ca="1">IF(H88&gt;I88,D88,0)</f>
        <v>108.55000000000001</v>
      </c>
      <c r="H88">
        <f ca="1">INDEX(INDIRECT(""&amp;C88&amp;"!A2:A489"),MATCH(B88,INDIRECT(""&amp;C88&amp;"!B2:B489"),0))</f>
        <v>69</v>
      </c>
      <c r="I88">
        <f>IF(C88="WR",LeagueInfo!$D$5*LeagueInfo!$F$2,LeagueInfo!$D$6*LeagueInfo!$F$2)</f>
        <v>24</v>
      </c>
    </row>
    <row r="89" spans="1:9" x14ac:dyDescent="0.25">
      <c r="A89">
        <f ca="1">RANK(E89,E$2:E$350)</f>
        <v>88</v>
      </c>
      <c r="B89" t="s">
        <v>96</v>
      </c>
      <c r="C89" t="s">
        <v>35</v>
      </c>
      <c r="D89">
        <f ca="1">INDEX(INDIRECT($C89&amp;"!P:P"),MATCH($B89,INDIRECT($C89&amp;"!B:B"),0))</f>
        <v>108.21000000000001</v>
      </c>
      <c r="E89" s="6">
        <f ca="1">D89-LARGE(D$2:D$284,TECount+WRCount)</f>
        <v>-6.8299999999999983</v>
      </c>
      <c r="F89" t="str">
        <f ca="1">IF(H89&lt;=I89,"Starter",IF(G89&gt;=LARGE(G:G,FlexOn*LeagueInfo!$F$2),"Starter","Bench"))</f>
        <v>Bench</v>
      </c>
      <c r="G89">
        <f ca="1">IF(H89&gt;I89,D89,0)</f>
        <v>108.21000000000001</v>
      </c>
      <c r="H89">
        <f ca="1">INDEX(INDIRECT(""&amp;C89&amp;"!A2:A489"),MATCH(B89,INDIRECT(""&amp;C89&amp;"!B2:B489"),0))</f>
        <v>70</v>
      </c>
      <c r="I89">
        <f>IF(C89="WR",LeagueInfo!$D$5*LeagueInfo!$F$2,LeagueInfo!$D$6*LeagueInfo!$F$2)</f>
        <v>24</v>
      </c>
    </row>
    <row r="90" spans="1:9" x14ac:dyDescent="0.25">
      <c r="A90">
        <f ca="1">RANK(E90,E$2:E$350)</f>
        <v>89</v>
      </c>
      <c r="B90" t="s">
        <v>747</v>
      </c>
      <c r="C90" t="s">
        <v>43</v>
      </c>
      <c r="D90">
        <f ca="1">INDEX(INDIRECT($C90&amp;"!P:P"),MATCH($B90,INDIRECT($C90&amp;"!B:B"),0))</f>
        <v>107.76</v>
      </c>
      <c r="E90" s="6">
        <f ca="1">D90-LARGE(D$2:D$284,TECount+WRCount)</f>
        <v>-7.2800000000000011</v>
      </c>
      <c r="F90" t="str">
        <f ca="1">IF(H90&lt;=I90,"Starter",IF(G90&gt;=LARGE(G:G,FlexOn*LeagueInfo!$F$2),"Starter","Bench"))</f>
        <v>Bench</v>
      </c>
      <c r="G90">
        <f ca="1">IF(H90&gt;I90,D90,0)</f>
        <v>107.76</v>
      </c>
      <c r="H90">
        <f ca="1">INDEX(INDIRECT(""&amp;C90&amp;"!A2:A489"),MATCH(B90,INDIRECT(""&amp;C90&amp;"!B2:B489"),0))</f>
        <v>19</v>
      </c>
      <c r="I90">
        <f>IF(C90="WR",LeagueInfo!$D$5*LeagueInfo!$F$2,LeagueInfo!$D$6*LeagueInfo!$F$2)</f>
        <v>12</v>
      </c>
    </row>
    <row r="91" spans="1:9" x14ac:dyDescent="0.25">
      <c r="A91">
        <f ca="1">RANK(E91,E$2:E$350)</f>
        <v>90</v>
      </c>
      <c r="B91" t="s">
        <v>699</v>
      </c>
      <c r="C91" t="s">
        <v>35</v>
      </c>
      <c r="D91">
        <f ca="1">INDEX(INDIRECT($C91&amp;"!P:P"),MATCH($B91,INDIRECT($C91&amp;"!B:B"),0))</f>
        <v>106.69</v>
      </c>
      <c r="E91" s="6">
        <f ca="1">D91-LARGE(D$2:D$284,TECount+WRCount)</f>
        <v>-8.3500000000000085</v>
      </c>
      <c r="F91" t="str">
        <f ca="1">IF(H91&lt;=I91,"Starter",IF(G91&gt;=LARGE(G:G,FlexOn*LeagueInfo!$F$2),"Starter","Bench"))</f>
        <v>Bench</v>
      </c>
      <c r="G91">
        <f ca="1">IF(H91&gt;I91,D91,0)</f>
        <v>106.69</v>
      </c>
      <c r="H91">
        <f ca="1">INDEX(INDIRECT(""&amp;C91&amp;"!A2:A489"),MATCH(B91,INDIRECT(""&amp;C91&amp;"!B2:B489"),0))</f>
        <v>71</v>
      </c>
      <c r="I91">
        <f>IF(C91="WR",LeagueInfo!$D$5*LeagueInfo!$F$2,LeagueInfo!$D$6*LeagueInfo!$F$2)</f>
        <v>24</v>
      </c>
    </row>
    <row r="92" spans="1:9" x14ac:dyDescent="0.25">
      <c r="A92">
        <f ca="1">RANK(E92,E$2:E$350)</f>
        <v>91</v>
      </c>
      <c r="B92" t="s">
        <v>2418</v>
      </c>
      <c r="C92" t="s">
        <v>35</v>
      </c>
      <c r="D92">
        <f ca="1">INDEX(INDIRECT($C92&amp;"!P:P"),MATCH($B92,INDIRECT($C92&amp;"!B:B"),0))</f>
        <v>106.19000000000001</v>
      </c>
      <c r="E92" s="6">
        <f ca="1">D92-LARGE(D$2:D$284,TECount+WRCount)</f>
        <v>-8.8499999999999943</v>
      </c>
      <c r="F92" t="str">
        <f ca="1">IF(H92&lt;=I92,"Starter",IF(G92&gt;=LARGE(G:G,FlexOn*LeagueInfo!$F$2),"Starter","Bench"))</f>
        <v>Bench</v>
      </c>
      <c r="G92">
        <f ca="1">IF(H92&gt;I92,D92,0)</f>
        <v>106.19000000000001</v>
      </c>
      <c r="H92">
        <f ca="1">INDEX(INDIRECT(""&amp;C92&amp;"!A2:A489"),MATCH(B92,INDIRECT(""&amp;C92&amp;"!B2:B489"),0))</f>
        <v>72</v>
      </c>
      <c r="I92">
        <f>IF(C92="WR",LeagueInfo!$D$5*LeagueInfo!$F$2,LeagueInfo!$D$6*LeagueInfo!$F$2)</f>
        <v>24</v>
      </c>
    </row>
    <row r="93" spans="1:9" x14ac:dyDescent="0.25">
      <c r="A93">
        <f ca="1">RANK(E93,E$2:E$350)</f>
        <v>92</v>
      </c>
      <c r="B93" t="s">
        <v>368</v>
      </c>
      <c r="C93" t="s">
        <v>35</v>
      </c>
      <c r="D93">
        <f ca="1">INDEX(INDIRECT($C93&amp;"!P:P"),MATCH($B93,INDIRECT($C93&amp;"!B:B"),0))</f>
        <v>105.55000000000001</v>
      </c>
      <c r="E93" s="6">
        <f ca="1">D93-LARGE(D$2:D$284,TECount+WRCount)</f>
        <v>-9.4899999999999949</v>
      </c>
      <c r="F93" t="str">
        <f ca="1">IF(H93&lt;=I93,"Starter",IF(G93&gt;=LARGE(G:G,FlexOn*LeagueInfo!$F$2),"Starter","Bench"))</f>
        <v>Bench</v>
      </c>
      <c r="G93">
        <f ca="1">IF(H93&gt;I93,D93,0)</f>
        <v>105.55000000000001</v>
      </c>
      <c r="H93">
        <f ca="1">INDEX(INDIRECT(""&amp;C93&amp;"!A2:A489"),MATCH(B93,INDIRECT(""&amp;C93&amp;"!B2:B489"),0))</f>
        <v>73</v>
      </c>
      <c r="I93">
        <f>IF(C93="WR",LeagueInfo!$D$5*LeagueInfo!$F$2,LeagueInfo!$D$6*LeagueInfo!$F$2)</f>
        <v>24</v>
      </c>
    </row>
    <row r="94" spans="1:9" x14ac:dyDescent="0.25">
      <c r="A94">
        <f ca="1">RANK(E94,E$2:E$350)</f>
        <v>93</v>
      </c>
      <c r="B94" t="s">
        <v>992</v>
      </c>
      <c r="C94" t="s">
        <v>35</v>
      </c>
      <c r="D94">
        <f ca="1">INDEX(INDIRECT($C94&amp;"!P:P"),MATCH($B94,INDIRECT($C94&amp;"!B:B"),0))</f>
        <v>103.92</v>
      </c>
      <c r="E94" s="6">
        <f ca="1">D94-LARGE(D$2:D$284,TECount+WRCount)</f>
        <v>-11.120000000000005</v>
      </c>
      <c r="F94" t="str">
        <f ca="1">IF(H94&lt;=I94,"Starter",IF(G94&gt;=LARGE(G:G,FlexOn*LeagueInfo!$F$2),"Starter","Bench"))</f>
        <v>Bench</v>
      </c>
      <c r="G94">
        <f ca="1">IF(H94&gt;I94,D94,0)</f>
        <v>103.92</v>
      </c>
      <c r="H94">
        <f ca="1">INDEX(INDIRECT(""&amp;C94&amp;"!A2:A489"),MATCH(B94,INDIRECT(""&amp;C94&amp;"!B2:B489"),0))</f>
        <v>74</v>
      </c>
      <c r="I94">
        <f>IF(C94="WR",LeagueInfo!$D$5*LeagueInfo!$F$2,LeagueInfo!$D$6*LeagueInfo!$F$2)</f>
        <v>24</v>
      </c>
    </row>
    <row r="95" spans="1:9" x14ac:dyDescent="0.25">
      <c r="A95">
        <f ca="1">RANK(E95,E$2:E$350)</f>
        <v>94</v>
      </c>
      <c r="B95" t="s">
        <v>860</v>
      </c>
      <c r="C95" t="s">
        <v>35</v>
      </c>
      <c r="D95">
        <f ca="1">INDEX(INDIRECT($C95&amp;"!P:P"),MATCH($B95,INDIRECT($C95&amp;"!B:B"),0))</f>
        <v>103.26000000000002</v>
      </c>
      <c r="E95" s="6">
        <f ca="1">D95-LARGE(D$2:D$284,TECount+WRCount)</f>
        <v>-11.779999999999987</v>
      </c>
      <c r="F95" t="str">
        <f ca="1">IF(H95&lt;=I95,"Starter",IF(G95&gt;=LARGE(G:G,FlexOn*LeagueInfo!$F$2),"Starter","Bench"))</f>
        <v>Bench</v>
      </c>
      <c r="G95">
        <f ca="1">IF(H95&gt;I95,D95,0)</f>
        <v>103.26000000000002</v>
      </c>
      <c r="H95">
        <f ca="1">INDEX(INDIRECT(""&amp;C95&amp;"!A2:A489"),MATCH(B95,INDIRECT(""&amp;C95&amp;"!B2:B489"),0))</f>
        <v>75</v>
      </c>
      <c r="I95">
        <f>IF(C95="WR",LeagueInfo!$D$5*LeagueInfo!$F$2,LeagueInfo!$D$6*LeagueInfo!$F$2)</f>
        <v>24</v>
      </c>
    </row>
    <row r="96" spans="1:9" x14ac:dyDescent="0.25">
      <c r="A96">
        <f ca="1">RANK(E96,E$2:E$350)</f>
        <v>95</v>
      </c>
      <c r="B96" t="s">
        <v>437</v>
      </c>
      <c r="C96" t="s">
        <v>43</v>
      </c>
      <c r="D96">
        <f ca="1">INDEX(INDIRECT($C96&amp;"!P:P"),MATCH($B96,INDIRECT($C96&amp;"!B:B"),0))</f>
        <v>103.04</v>
      </c>
      <c r="E96" s="6">
        <f ca="1">D96-LARGE(D$2:D$284,TECount+WRCount)</f>
        <v>-12</v>
      </c>
      <c r="F96" t="str">
        <f ca="1">IF(H96&lt;=I96,"Starter",IF(G96&gt;=LARGE(G:G,FlexOn*LeagueInfo!$F$2),"Starter","Bench"))</f>
        <v>Bench</v>
      </c>
      <c r="G96">
        <f ca="1">IF(H96&gt;I96,D96,0)</f>
        <v>103.04</v>
      </c>
      <c r="H96">
        <f ca="1">INDEX(INDIRECT(""&amp;C96&amp;"!A2:A489"),MATCH(B96,INDIRECT(""&amp;C96&amp;"!B2:B489"),0))</f>
        <v>20</v>
      </c>
      <c r="I96">
        <f>IF(C96="WR",LeagueInfo!$D$5*LeagueInfo!$F$2,LeagueInfo!$D$6*LeagueInfo!$F$2)</f>
        <v>12</v>
      </c>
    </row>
    <row r="97" spans="1:9" x14ac:dyDescent="0.25">
      <c r="A97">
        <f ca="1">RANK(E97,E$2:E$350)</f>
        <v>96</v>
      </c>
      <c r="B97" t="s">
        <v>826</v>
      </c>
      <c r="C97" t="s">
        <v>43</v>
      </c>
      <c r="D97">
        <f ca="1">INDEX(INDIRECT($C97&amp;"!P:P"),MATCH($B97,INDIRECT($C97&amp;"!B:B"),0))</f>
        <v>102.99000000000001</v>
      </c>
      <c r="E97" s="6">
        <f ca="1">D97-LARGE(D$2:D$284,TECount+WRCount)</f>
        <v>-12.049999999999997</v>
      </c>
      <c r="F97" t="str">
        <f ca="1">IF(H97&lt;=I97,"Starter",IF(G97&gt;=LARGE(G:G,FlexOn*LeagueInfo!$F$2),"Starter","Bench"))</f>
        <v>Bench</v>
      </c>
      <c r="G97">
        <f ca="1">IF(H97&gt;I97,D97,0)</f>
        <v>102.99000000000001</v>
      </c>
      <c r="H97">
        <f ca="1">INDEX(INDIRECT(""&amp;C97&amp;"!A2:A489"),MATCH(B97,INDIRECT(""&amp;C97&amp;"!B2:B489"),0))</f>
        <v>21</v>
      </c>
      <c r="I97">
        <f>IF(C97="WR",LeagueInfo!$D$5*LeagueInfo!$F$2,LeagueInfo!$D$6*LeagueInfo!$F$2)</f>
        <v>12</v>
      </c>
    </row>
    <row r="98" spans="1:9" x14ac:dyDescent="0.25">
      <c r="A98">
        <f ca="1">RANK(E98,E$2:E$350)</f>
        <v>97</v>
      </c>
      <c r="B98" t="s">
        <v>757</v>
      </c>
      <c r="C98" t="s">
        <v>43</v>
      </c>
      <c r="D98">
        <f ca="1">INDEX(INDIRECT($C98&amp;"!P:P"),MATCH($B98,INDIRECT($C98&amp;"!B:B"),0))</f>
        <v>102.71</v>
      </c>
      <c r="E98" s="6">
        <f ca="1">D98-LARGE(D$2:D$284,TECount+WRCount)</f>
        <v>-12.330000000000013</v>
      </c>
      <c r="F98" t="str">
        <f ca="1">IF(H98&lt;=I98,"Starter",IF(G98&gt;=LARGE(G:G,FlexOn*LeagueInfo!$F$2),"Starter","Bench"))</f>
        <v>Bench</v>
      </c>
      <c r="G98">
        <f ca="1">IF(H98&gt;I98,D98,0)</f>
        <v>102.71</v>
      </c>
      <c r="H98">
        <f ca="1">INDEX(INDIRECT(""&amp;C98&amp;"!A2:A489"),MATCH(B98,INDIRECT(""&amp;C98&amp;"!B2:B489"),0))</f>
        <v>22</v>
      </c>
      <c r="I98">
        <f>IF(C98="WR",LeagueInfo!$D$5*LeagueInfo!$F$2,LeagueInfo!$D$6*LeagueInfo!$F$2)</f>
        <v>12</v>
      </c>
    </row>
    <row r="99" spans="1:9" x14ac:dyDescent="0.25">
      <c r="A99">
        <f ca="1">RANK(E99,E$2:E$350)</f>
        <v>98</v>
      </c>
      <c r="B99" t="s">
        <v>223</v>
      </c>
      <c r="C99" t="s">
        <v>43</v>
      </c>
      <c r="D99">
        <f ca="1">INDEX(INDIRECT($C99&amp;"!P:P"),MATCH($B99,INDIRECT($C99&amp;"!B:B"),0))</f>
        <v>102.66000000000001</v>
      </c>
      <c r="E99" s="6">
        <f ca="1">D99-LARGE(D$2:D$284,TECount+WRCount)</f>
        <v>-12.379999999999995</v>
      </c>
      <c r="F99" t="str">
        <f ca="1">IF(H99&lt;=I99,"Starter",IF(G99&gt;=LARGE(G:G,FlexOn*LeagueInfo!$F$2),"Starter","Bench"))</f>
        <v>Bench</v>
      </c>
      <c r="G99">
        <f ca="1">IF(H99&gt;I99,D99,0)</f>
        <v>102.66000000000001</v>
      </c>
      <c r="H99">
        <f ca="1">INDEX(INDIRECT(""&amp;C99&amp;"!A2:A489"),MATCH(B99,INDIRECT(""&amp;C99&amp;"!B2:B489"),0))</f>
        <v>23</v>
      </c>
      <c r="I99">
        <f>IF(C99="WR",LeagueInfo!$D$5*LeagueInfo!$F$2,LeagueInfo!$D$6*LeagueInfo!$F$2)</f>
        <v>12</v>
      </c>
    </row>
    <row r="100" spans="1:9" x14ac:dyDescent="0.25">
      <c r="A100">
        <f ca="1">RANK(E100,E$2:E$350)</f>
        <v>99</v>
      </c>
      <c r="B100" t="s">
        <v>841</v>
      </c>
      <c r="C100" t="s">
        <v>35</v>
      </c>
      <c r="D100">
        <f ca="1">INDEX(INDIRECT($C100&amp;"!P:P"),MATCH($B100,INDIRECT($C100&amp;"!B:B"),0))</f>
        <v>99.74</v>
      </c>
      <c r="E100" s="6">
        <f ca="1">D100-LARGE(D$2:D$284,TECount+WRCount)</f>
        <v>-15.300000000000011</v>
      </c>
      <c r="F100" t="str">
        <f ca="1">IF(H100&lt;=I100,"Starter",IF(G100&gt;=LARGE(G:G,FlexOn*LeagueInfo!$F$2),"Starter","Bench"))</f>
        <v>Bench</v>
      </c>
      <c r="G100">
        <f ca="1">IF(H100&gt;I100,D100,0)</f>
        <v>99.74</v>
      </c>
      <c r="H100">
        <f ca="1">INDEX(INDIRECT(""&amp;C100&amp;"!A2:A489"),MATCH(B100,INDIRECT(""&amp;C100&amp;"!B2:B489"),0))</f>
        <v>76</v>
      </c>
      <c r="I100">
        <f>IF(C100="WR",LeagueInfo!$D$5*LeagueInfo!$F$2,LeagueInfo!$D$6*LeagueInfo!$F$2)</f>
        <v>24</v>
      </c>
    </row>
    <row r="101" spans="1:9" x14ac:dyDescent="0.25">
      <c r="A101">
        <f ca="1">RANK(E101,E$2:E$350)</f>
        <v>100</v>
      </c>
      <c r="B101" t="s">
        <v>228</v>
      </c>
      <c r="C101" t="s">
        <v>43</v>
      </c>
      <c r="D101">
        <f ca="1">INDEX(INDIRECT($C101&amp;"!P:P"),MATCH($B101,INDIRECT($C101&amp;"!B:B"),0))</f>
        <v>99.03</v>
      </c>
      <c r="E101" s="6">
        <f ca="1">D101-LARGE(D$2:D$284,TECount+WRCount)</f>
        <v>-16.010000000000005</v>
      </c>
      <c r="F101" t="str">
        <f ca="1">IF(H101&lt;=I101,"Starter",IF(G101&gt;=LARGE(G:G,FlexOn*LeagueInfo!$F$2),"Starter","Bench"))</f>
        <v>Bench</v>
      </c>
      <c r="G101">
        <f ca="1">IF(H101&gt;I101,D101,0)</f>
        <v>99.03</v>
      </c>
      <c r="H101">
        <f ca="1">INDEX(INDIRECT(""&amp;C101&amp;"!A2:A489"),MATCH(B101,INDIRECT(""&amp;C101&amp;"!B2:B489"),0))</f>
        <v>24</v>
      </c>
      <c r="I101">
        <f>IF(C101="WR",LeagueInfo!$D$5*LeagueInfo!$F$2,LeagueInfo!$D$6*LeagueInfo!$F$2)</f>
        <v>12</v>
      </c>
    </row>
    <row r="102" spans="1:9" x14ac:dyDescent="0.25">
      <c r="A102">
        <f ca="1">RANK(E102,E$2:E$350)</f>
        <v>101</v>
      </c>
      <c r="B102" t="s">
        <v>2423</v>
      </c>
      <c r="C102" t="s">
        <v>35</v>
      </c>
      <c r="D102">
        <f ca="1">INDEX(INDIRECT($C102&amp;"!P:P"),MATCH($B102,INDIRECT($C102&amp;"!B:B"),0))</f>
        <v>98.350000000000009</v>
      </c>
      <c r="E102" s="6">
        <f ca="1">D102-LARGE(D$2:D$284,TECount+WRCount)</f>
        <v>-16.689999999999998</v>
      </c>
      <c r="F102" t="str">
        <f ca="1">IF(H102&lt;=I102,"Starter",IF(G102&gt;=LARGE(G:G,FlexOn*LeagueInfo!$F$2),"Starter","Bench"))</f>
        <v>Bench</v>
      </c>
      <c r="G102">
        <f ca="1">IF(H102&gt;I102,D102,0)</f>
        <v>98.350000000000009</v>
      </c>
      <c r="H102">
        <f ca="1">INDEX(INDIRECT(""&amp;C102&amp;"!A2:A489"),MATCH(B102,INDIRECT(""&amp;C102&amp;"!B2:B489"),0))</f>
        <v>77</v>
      </c>
      <c r="I102">
        <f>IF(C102="WR",LeagueInfo!$D$5*LeagueInfo!$F$2,LeagueInfo!$D$6*LeagueInfo!$F$2)</f>
        <v>24</v>
      </c>
    </row>
    <row r="103" spans="1:9" x14ac:dyDescent="0.25">
      <c r="A103">
        <f ca="1">RANK(E103,E$2:E$350)</f>
        <v>102</v>
      </c>
      <c r="B103" t="s">
        <v>188</v>
      </c>
      <c r="C103" t="s">
        <v>35</v>
      </c>
      <c r="D103">
        <f ca="1">INDEX(INDIRECT($C103&amp;"!P:P"),MATCH($B103,INDIRECT($C103&amp;"!B:B"),0))</f>
        <v>97.91</v>
      </c>
      <c r="E103" s="6">
        <f ca="1">D103-LARGE(D$2:D$284,TECount+WRCount)</f>
        <v>-17.13000000000001</v>
      </c>
      <c r="F103" t="str">
        <f ca="1">IF(H103&lt;=I103,"Starter",IF(G103&gt;=LARGE(G:G,FlexOn*LeagueInfo!$F$2),"Starter","Bench"))</f>
        <v>Bench</v>
      </c>
      <c r="G103">
        <f ca="1">IF(H103&gt;I103,D103,0)</f>
        <v>97.91</v>
      </c>
      <c r="H103">
        <f ca="1">INDEX(INDIRECT(""&amp;C103&amp;"!A2:A489"),MATCH(B103,INDIRECT(""&amp;C103&amp;"!B2:B489"),0))</f>
        <v>78</v>
      </c>
      <c r="I103">
        <f>IF(C103="WR",LeagueInfo!$D$5*LeagueInfo!$F$2,LeagueInfo!$D$6*LeagueInfo!$F$2)</f>
        <v>24</v>
      </c>
    </row>
    <row r="104" spans="1:9" x14ac:dyDescent="0.25">
      <c r="A104">
        <f ca="1">RANK(E104,E$2:E$350)</f>
        <v>103</v>
      </c>
      <c r="B104" t="s">
        <v>578</v>
      </c>
      <c r="C104" t="s">
        <v>35</v>
      </c>
      <c r="D104">
        <f ca="1">INDEX(INDIRECT($C104&amp;"!P:P"),MATCH($B104,INDIRECT($C104&amp;"!B:B"),0))</f>
        <v>97.4</v>
      </c>
      <c r="E104" s="6">
        <f ca="1">D104-LARGE(D$2:D$284,TECount+WRCount)</f>
        <v>-17.64</v>
      </c>
      <c r="F104" t="str">
        <f ca="1">IF(H104&lt;=I104,"Starter",IF(G104&gt;=LARGE(G:G,FlexOn*LeagueInfo!$F$2),"Starter","Bench"))</f>
        <v>Bench</v>
      </c>
      <c r="G104">
        <f ca="1">IF(H104&gt;I104,D104,0)</f>
        <v>97.4</v>
      </c>
      <c r="H104">
        <f ca="1">INDEX(INDIRECT(""&amp;C104&amp;"!A2:A489"),MATCH(B104,INDIRECT(""&amp;C104&amp;"!B2:B489"),0))</f>
        <v>79</v>
      </c>
      <c r="I104">
        <f>IF(C104="WR",LeagueInfo!$D$5*LeagueInfo!$F$2,LeagueInfo!$D$6*LeagueInfo!$F$2)</f>
        <v>24</v>
      </c>
    </row>
    <row r="105" spans="1:9" x14ac:dyDescent="0.25">
      <c r="A105">
        <f ca="1">RANK(E105,E$2:E$350)</f>
        <v>104</v>
      </c>
      <c r="B105" t="s">
        <v>218</v>
      </c>
      <c r="C105" t="s">
        <v>35</v>
      </c>
      <c r="D105">
        <f ca="1">INDEX(INDIRECT($C105&amp;"!P:P"),MATCH($B105,INDIRECT($C105&amp;"!B:B"),0))</f>
        <v>91.160000000000011</v>
      </c>
      <c r="E105" s="6">
        <f ca="1">D105-LARGE(D$2:D$284,TECount+WRCount)</f>
        <v>-23.879999999999995</v>
      </c>
      <c r="F105" t="str">
        <f ca="1">IF(H105&lt;=I105,"Starter",IF(G105&gt;=LARGE(G:G,FlexOn*LeagueInfo!$F$2),"Starter","Bench"))</f>
        <v>Bench</v>
      </c>
      <c r="G105">
        <f ca="1">IF(H105&gt;I105,D105,0)</f>
        <v>91.160000000000011</v>
      </c>
      <c r="H105">
        <f ca="1">INDEX(INDIRECT(""&amp;C105&amp;"!A2:A489"),MATCH(B105,INDIRECT(""&amp;C105&amp;"!B2:B489"),0))</f>
        <v>80</v>
      </c>
      <c r="I105">
        <f>IF(C105="WR",LeagueInfo!$D$5*LeagueInfo!$F$2,LeagueInfo!$D$6*LeagueInfo!$F$2)</f>
        <v>24</v>
      </c>
    </row>
    <row r="106" spans="1:9" x14ac:dyDescent="0.25">
      <c r="A106">
        <f ca="1">RANK(E106,E$2:E$350)</f>
        <v>105</v>
      </c>
      <c r="B106" t="s">
        <v>2424</v>
      </c>
      <c r="C106" t="s">
        <v>35</v>
      </c>
      <c r="D106">
        <f ca="1">INDEX(INDIRECT($C106&amp;"!P:P"),MATCH($B106,INDIRECT($C106&amp;"!B:B"),0))</f>
        <v>90.699999999999989</v>
      </c>
      <c r="E106" s="6">
        <f ca="1">D106-LARGE(D$2:D$284,TECount+WRCount)</f>
        <v>-24.340000000000018</v>
      </c>
      <c r="F106" t="str">
        <f ca="1">IF(H106&lt;=I106,"Starter",IF(G106&gt;=LARGE(G:G,FlexOn*LeagueInfo!$F$2),"Starter","Bench"))</f>
        <v>Bench</v>
      </c>
      <c r="G106">
        <f ca="1">IF(H106&gt;I106,D106,0)</f>
        <v>90.699999999999989</v>
      </c>
      <c r="H106">
        <f ca="1">INDEX(INDIRECT(""&amp;C106&amp;"!A2:A489"),MATCH(B106,INDIRECT(""&amp;C106&amp;"!B2:B489"),0))</f>
        <v>81</v>
      </c>
      <c r="I106">
        <f>IF(C106="WR",LeagueInfo!$D$5*LeagueInfo!$F$2,LeagueInfo!$D$6*LeagueInfo!$F$2)</f>
        <v>24</v>
      </c>
    </row>
    <row r="107" spans="1:9" x14ac:dyDescent="0.25">
      <c r="A107">
        <f ca="1">RANK(E107,E$2:E$350)</f>
        <v>106</v>
      </c>
      <c r="B107" t="s">
        <v>964</v>
      </c>
      <c r="C107" t="s">
        <v>35</v>
      </c>
      <c r="D107">
        <f ca="1">INDEX(INDIRECT($C107&amp;"!P:P"),MATCH($B107,INDIRECT($C107&amp;"!B:B"),0))</f>
        <v>89.04</v>
      </c>
      <c r="E107" s="6">
        <f ca="1">D107-LARGE(D$2:D$284,TECount+WRCount)</f>
        <v>-26</v>
      </c>
      <c r="F107" t="str">
        <f ca="1">IF(H107&lt;=I107,"Starter",IF(G107&gt;=LARGE(G:G,FlexOn*LeagueInfo!$F$2),"Starter","Bench"))</f>
        <v>Bench</v>
      </c>
      <c r="G107">
        <f ca="1">IF(H107&gt;I107,D107,0)</f>
        <v>89.04</v>
      </c>
      <c r="H107">
        <f ca="1">INDEX(INDIRECT(""&amp;C107&amp;"!A2:A489"),MATCH(B107,INDIRECT(""&amp;C107&amp;"!B2:B489"),0))</f>
        <v>82</v>
      </c>
      <c r="I107">
        <f>IF(C107="WR",LeagueInfo!$D$5*LeagueInfo!$F$2,LeagueInfo!$D$6*LeagueInfo!$F$2)</f>
        <v>24</v>
      </c>
    </row>
    <row r="108" spans="1:9" x14ac:dyDescent="0.25">
      <c r="A108">
        <f ca="1">RANK(E108,E$2:E$350)</f>
        <v>107</v>
      </c>
      <c r="B108" t="s">
        <v>588</v>
      </c>
      <c r="C108" t="s">
        <v>43</v>
      </c>
      <c r="D108">
        <f ca="1">INDEX(INDIRECT($C108&amp;"!P:P"),MATCH($B108,INDIRECT($C108&amp;"!B:B"),0))</f>
        <v>88.01</v>
      </c>
      <c r="E108" s="6">
        <f ca="1">D108-LARGE(D$2:D$284,TECount+WRCount)</f>
        <v>-27.03</v>
      </c>
      <c r="F108" t="str">
        <f ca="1">IF(H108&lt;=I108,"Starter",IF(G108&gt;=LARGE(G:G,FlexOn*LeagueInfo!$F$2),"Starter","Bench"))</f>
        <v>Bench</v>
      </c>
      <c r="G108">
        <f ca="1">IF(H108&gt;I108,D108,0)</f>
        <v>88.01</v>
      </c>
      <c r="H108">
        <f ca="1">INDEX(INDIRECT(""&amp;C108&amp;"!A2:A489"),MATCH(B108,INDIRECT(""&amp;C108&amp;"!B2:B489"),0))</f>
        <v>25</v>
      </c>
      <c r="I108">
        <f>IF(C108="WR",LeagueInfo!$D$5*LeagueInfo!$F$2,LeagueInfo!$D$6*LeagueInfo!$F$2)</f>
        <v>12</v>
      </c>
    </row>
    <row r="109" spans="1:9" x14ac:dyDescent="0.25">
      <c r="A109">
        <f ca="1">RANK(E109,E$2:E$350)</f>
        <v>108</v>
      </c>
      <c r="B109" t="s">
        <v>101</v>
      </c>
      <c r="C109" t="s">
        <v>35</v>
      </c>
      <c r="D109">
        <f ca="1">INDEX(INDIRECT($C109&amp;"!P:P"),MATCH($B109,INDIRECT($C109&amp;"!B:B"),0))</f>
        <v>87.28</v>
      </c>
      <c r="E109" s="6">
        <f ca="1">D109-LARGE(D$2:D$284,TECount+WRCount)</f>
        <v>-27.760000000000005</v>
      </c>
      <c r="F109" t="str">
        <f ca="1">IF(H109&lt;=I109,"Starter",IF(G109&gt;=LARGE(G:G,FlexOn*LeagueInfo!$F$2),"Starter","Bench"))</f>
        <v>Bench</v>
      </c>
      <c r="G109">
        <f ca="1">IF(H109&gt;I109,D109,0)</f>
        <v>87.28</v>
      </c>
      <c r="H109">
        <f ca="1">INDEX(INDIRECT(""&amp;C109&amp;"!A2:A489"),MATCH(B109,INDIRECT(""&amp;C109&amp;"!B2:B489"),0))</f>
        <v>83</v>
      </c>
      <c r="I109">
        <f>IF(C109="WR",LeagueInfo!$D$5*LeagueInfo!$F$2,LeagueInfo!$D$6*LeagueInfo!$F$2)</f>
        <v>24</v>
      </c>
    </row>
    <row r="110" spans="1:9" x14ac:dyDescent="0.25">
      <c r="A110">
        <f ca="1">RANK(E110,E$2:E$350)</f>
        <v>109</v>
      </c>
      <c r="B110" t="s">
        <v>849</v>
      </c>
      <c r="C110" t="s">
        <v>35</v>
      </c>
      <c r="D110">
        <f ca="1">INDEX(INDIRECT($C110&amp;"!P:P"),MATCH($B110,INDIRECT($C110&amp;"!B:B"),0))</f>
        <v>86.27</v>
      </c>
      <c r="E110" s="6">
        <f ca="1">D110-LARGE(D$2:D$284,TECount+WRCount)</f>
        <v>-28.77000000000001</v>
      </c>
      <c r="F110" t="str">
        <f ca="1">IF(H110&lt;=I110,"Starter",IF(G110&gt;=LARGE(G:G,FlexOn*LeagueInfo!$F$2),"Starter","Bench"))</f>
        <v>Bench</v>
      </c>
      <c r="G110">
        <f ca="1">IF(H110&gt;I110,D110,0)</f>
        <v>86.27</v>
      </c>
      <c r="H110">
        <f ca="1">INDEX(INDIRECT(""&amp;C110&amp;"!A2:A489"),MATCH(B110,INDIRECT(""&amp;C110&amp;"!B2:B489"),0))</f>
        <v>84</v>
      </c>
      <c r="I110">
        <f>IF(C110="WR",LeagueInfo!$D$5*LeagueInfo!$F$2,LeagueInfo!$D$6*LeagueInfo!$F$2)</f>
        <v>24</v>
      </c>
    </row>
    <row r="111" spans="1:9" x14ac:dyDescent="0.25">
      <c r="A111">
        <f ca="1">RANK(E111,E$2:E$350)</f>
        <v>110</v>
      </c>
      <c r="B111" t="s">
        <v>408</v>
      </c>
      <c r="C111" t="s">
        <v>35</v>
      </c>
      <c r="D111">
        <f ca="1">INDEX(INDIRECT($C111&amp;"!P:P"),MATCH($B111,INDIRECT($C111&amp;"!B:B"),0))</f>
        <v>85.710000000000008</v>
      </c>
      <c r="E111" s="6">
        <f ca="1">D111-LARGE(D$2:D$284,TECount+WRCount)</f>
        <v>-29.33</v>
      </c>
      <c r="F111" t="str">
        <f ca="1">IF(H111&lt;=I111,"Starter",IF(G111&gt;=LARGE(G:G,FlexOn*LeagueInfo!$F$2),"Starter","Bench"))</f>
        <v>Bench</v>
      </c>
      <c r="G111">
        <f ca="1">IF(H111&gt;I111,D111,0)</f>
        <v>85.710000000000008</v>
      </c>
      <c r="H111">
        <f ca="1">INDEX(INDIRECT(""&amp;C111&amp;"!A2:A489"),MATCH(B111,INDIRECT(""&amp;C111&amp;"!B2:B489"),0))</f>
        <v>85</v>
      </c>
      <c r="I111">
        <f>IF(C111="WR",LeagueInfo!$D$5*LeagueInfo!$F$2,LeagueInfo!$D$6*LeagueInfo!$F$2)</f>
        <v>24</v>
      </c>
    </row>
    <row r="112" spans="1:9" x14ac:dyDescent="0.25">
      <c r="A112">
        <f ca="1">RANK(E112,E$2:E$350)</f>
        <v>111</v>
      </c>
      <c r="B112" t="s">
        <v>2427</v>
      </c>
      <c r="C112" t="s">
        <v>35</v>
      </c>
      <c r="D112">
        <f ca="1">INDEX(INDIRECT($C112&amp;"!P:P"),MATCH($B112,INDIRECT($C112&amp;"!B:B"),0))</f>
        <v>84.82</v>
      </c>
      <c r="E112" s="6">
        <f ca="1">D112-LARGE(D$2:D$284,TECount+WRCount)</f>
        <v>-30.220000000000013</v>
      </c>
      <c r="F112" t="str">
        <f ca="1">IF(H112&lt;=I112,"Starter",IF(G112&gt;=LARGE(G:G,FlexOn*LeagueInfo!$F$2),"Starter","Bench"))</f>
        <v>Bench</v>
      </c>
      <c r="G112">
        <f ca="1">IF(H112&gt;I112,D112,0)</f>
        <v>84.82</v>
      </c>
      <c r="H112">
        <f ca="1">INDEX(INDIRECT(""&amp;C112&amp;"!A2:A489"),MATCH(B112,INDIRECT(""&amp;C112&amp;"!B2:B489"),0))</f>
        <v>86</v>
      </c>
      <c r="I112">
        <f>IF(C112="WR",LeagueInfo!$D$5*LeagueInfo!$F$2,LeagueInfo!$D$6*LeagueInfo!$F$2)</f>
        <v>24</v>
      </c>
    </row>
    <row r="113" spans="1:9" x14ac:dyDescent="0.25">
      <c r="A113">
        <f ca="1">RANK(E113,E$2:E$350)</f>
        <v>112</v>
      </c>
      <c r="B113" t="s">
        <v>748</v>
      </c>
      <c r="C113" t="s">
        <v>43</v>
      </c>
      <c r="D113">
        <f ca="1">INDEX(INDIRECT($C113&amp;"!P:P"),MATCH($B113,INDIRECT($C113&amp;"!B:B"),0))</f>
        <v>82.99</v>
      </c>
      <c r="E113" s="6">
        <f ca="1">D113-LARGE(D$2:D$284,TECount+WRCount)</f>
        <v>-32.050000000000011</v>
      </c>
      <c r="F113" t="str">
        <f ca="1">IF(H113&lt;=I113,"Starter",IF(G113&gt;=LARGE(G:G,FlexOn*LeagueInfo!$F$2),"Starter","Bench"))</f>
        <v>Bench</v>
      </c>
      <c r="G113">
        <f ca="1">IF(H113&gt;I113,D113,0)</f>
        <v>82.99</v>
      </c>
      <c r="H113">
        <f ca="1">INDEX(INDIRECT(""&amp;C113&amp;"!A2:A489"),MATCH(B113,INDIRECT(""&amp;C113&amp;"!B2:B489"),0))</f>
        <v>26</v>
      </c>
      <c r="I113">
        <f>IF(C113="WR",LeagueInfo!$D$5*LeagueInfo!$F$2,LeagueInfo!$D$6*LeagueInfo!$F$2)</f>
        <v>12</v>
      </c>
    </row>
    <row r="114" spans="1:9" x14ac:dyDescent="0.25">
      <c r="A114">
        <f ca="1">RANK(E114,E$2:E$350)</f>
        <v>113</v>
      </c>
      <c r="B114" t="s">
        <v>2429</v>
      </c>
      <c r="C114" t="s">
        <v>35</v>
      </c>
      <c r="D114">
        <f ca="1">INDEX(INDIRECT($C114&amp;"!P:P"),MATCH($B114,INDIRECT($C114&amp;"!B:B"),0))</f>
        <v>82.64</v>
      </c>
      <c r="E114" s="6">
        <f ca="1">D114-LARGE(D$2:D$284,TECount+WRCount)</f>
        <v>-32.400000000000006</v>
      </c>
      <c r="F114" t="str">
        <f ca="1">IF(H114&lt;=I114,"Starter",IF(G114&gt;=LARGE(G:G,FlexOn*LeagueInfo!$F$2),"Starter","Bench"))</f>
        <v>Bench</v>
      </c>
      <c r="G114">
        <f ca="1">IF(H114&gt;I114,D114,0)</f>
        <v>82.64</v>
      </c>
      <c r="H114">
        <f ca="1">INDEX(INDIRECT(""&amp;C114&amp;"!A2:A489"),MATCH(B114,INDIRECT(""&amp;C114&amp;"!B2:B489"),0))</f>
        <v>87</v>
      </c>
      <c r="I114">
        <f>IF(C114="WR",LeagueInfo!$D$5*LeagueInfo!$F$2,LeagueInfo!$D$6*LeagueInfo!$F$2)</f>
        <v>24</v>
      </c>
    </row>
    <row r="115" spans="1:9" x14ac:dyDescent="0.25">
      <c r="A115">
        <f ca="1">RANK(E115,E$2:E$350)</f>
        <v>114</v>
      </c>
      <c r="B115" t="s">
        <v>843</v>
      </c>
      <c r="C115" t="s">
        <v>35</v>
      </c>
      <c r="D115">
        <f ca="1">INDEX(INDIRECT($C115&amp;"!P:P"),MATCH($B115,INDIRECT($C115&amp;"!B:B"),0))</f>
        <v>82.28</v>
      </c>
      <c r="E115" s="6">
        <f ca="1">D115-LARGE(D$2:D$284,TECount+WRCount)</f>
        <v>-32.760000000000005</v>
      </c>
      <c r="F115" t="str">
        <f ca="1">IF(H115&lt;=I115,"Starter",IF(G115&gt;=LARGE(G:G,FlexOn*LeagueInfo!$F$2),"Starter","Bench"))</f>
        <v>Bench</v>
      </c>
      <c r="G115">
        <f ca="1">IF(H115&gt;I115,D115,0)</f>
        <v>82.28</v>
      </c>
      <c r="H115">
        <f ca="1">INDEX(INDIRECT(""&amp;C115&amp;"!A2:A489"),MATCH(B115,INDIRECT(""&amp;C115&amp;"!B2:B489"),0))</f>
        <v>88</v>
      </c>
      <c r="I115">
        <f>IF(C115="WR",LeagueInfo!$D$5*LeagueInfo!$F$2,LeagueInfo!$D$6*LeagueInfo!$F$2)</f>
        <v>24</v>
      </c>
    </row>
    <row r="116" spans="1:9" x14ac:dyDescent="0.25">
      <c r="A116">
        <f ca="1">RANK(E116,E$2:E$350)</f>
        <v>115</v>
      </c>
      <c r="B116" t="s">
        <v>979</v>
      </c>
      <c r="C116" t="s">
        <v>43</v>
      </c>
      <c r="D116">
        <f ca="1">INDEX(INDIRECT($C116&amp;"!P:P"),MATCH($B116,INDIRECT($C116&amp;"!B:B"),0))</f>
        <v>80.36</v>
      </c>
      <c r="E116" s="6">
        <f ca="1">D116-LARGE(D$2:D$284,TECount+WRCount)</f>
        <v>-34.680000000000007</v>
      </c>
      <c r="F116" t="str">
        <f ca="1">IF(H116&lt;=I116,"Starter",IF(G116&gt;=LARGE(G:G,FlexOn*LeagueInfo!$F$2),"Starter","Bench"))</f>
        <v>Bench</v>
      </c>
      <c r="G116">
        <f ca="1">IF(H116&gt;I116,D116,0)</f>
        <v>80.36</v>
      </c>
      <c r="H116">
        <f ca="1">INDEX(INDIRECT(""&amp;C116&amp;"!A2:A489"),MATCH(B116,INDIRECT(""&amp;C116&amp;"!B2:B489"),0))</f>
        <v>27</v>
      </c>
      <c r="I116">
        <f>IF(C116="WR",LeagueInfo!$D$5*LeagueInfo!$F$2,LeagueInfo!$D$6*LeagueInfo!$F$2)</f>
        <v>12</v>
      </c>
    </row>
    <row r="117" spans="1:9" x14ac:dyDescent="0.25">
      <c r="A117">
        <f ca="1">RANK(E117,E$2:E$350)</f>
        <v>116</v>
      </c>
      <c r="B117" t="s">
        <v>842</v>
      </c>
      <c r="C117" t="s">
        <v>35</v>
      </c>
      <c r="D117">
        <f ca="1">INDEX(INDIRECT($C117&amp;"!P:P"),MATCH($B117,INDIRECT($C117&amp;"!B:B"),0))</f>
        <v>80.2</v>
      </c>
      <c r="E117" s="6">
        <f ca="1">D117-LARGE(D$2:D$284,TECount+WRCount)</f>
        <v>-34.840000000000003</v>
      </c>
      <c r="F117" t="str">
        <f ca="1">IF(H117&lt;=I117,"Starter",IF(G117&gt;=LARGE(G:G,FlexOn*LeagueInfo!$F$2),"Starter","Bench"))</f>
        <v>Bench</v>
      </c>
      <c r="G117">
        <f ca="1">IF(H117&gt;I117,D117,0)</f>
        <v>80.2</v>
      </c>
      <c r="H117">
        <f ca="1">INDEX(INDIRECT(""&amp;C117&amp;"!A2:A489"),MATCH(B117,INDIRECT(""&amp;C117&amp;"!B2:B489"),0))</f>
        <v>89</v>
      </c>
      <c r="I117">
        <f>IF(C117="WR",LeagueInfo!$D$5*LeagueInfo!$F$2,LeagueInfo!$D$6*LeagueInfo!$F$2)</f>
        <v>24</v>
      </c>
    </row>
    <row r="118" spans="1:9" x14ac:dyDescent="0.25">
      <c r="A118">
        <f ca="1">RANK(E118,E$2:E$350)</f>
        <v>117</v>
      </c>
      <c r="B118" t="s">
        <v>2420</v>
      </c>
      <c r="C118" t="s">
        <v>35</v>
      </c>
      <c r="D118">
        <f ca="1">INDEX(INDIRECT($C118&amp;"!P:P"),MATCH($B118,INDIRECT($C118&amp;"!B:B"),0))</f>
        <v>79.42</v>
      </c>
      <c r="E118" s="6">
        <f ca="1">D118-LARGE(D$2:D$284,TECount+WRCount)</f>
        <v>-35.620000000000005</v>
      </c>
      <c r="F118" t="str">
        <f ca="1">IF(H118&lt;=I118,"Starter",IF(G118&gt;=LARGE(G:G,FlexOn*LeagueInfo!$F$2),"Starter","Bench"))</f>
        <v>Bench</v>
      </c>
      <c r="G118">
        <f ca="1">IF(H118&gt;I118,D118,0)</f>
        <v>79.42</v>
      </c>
      <c r="H118">
        <f ca="1">INDEX(INDIRECT(""&amp;C118&amp;"!A2:A489"),MATCH(B118,INDIRECT(""&amp;C118&amp;"!B2:B489"),0))</f>
        <v>90</v>
      </c>
      <c r="I118">
        <f>IF(C118="WR",LeagueInfo!$D$5*LeagueInfo!$F$2,LeagueInfo!$D$6*LeagueInfo!$F$2)</f>
        <v>24</v>
      </c>
    </row>
    <row r="119" spans="1:9" x14ac:dyDescent="0.25">
      <c r="A119">
        <f ca="1">RANK(E119,E$2:E$350)</f>
        <v>118</v>
      </c>
      <c r="B119" t="s">
        <v>2421</v>
      </c>
      <c r="C119" t="s">
        <v>35</v>
      </c>
      <c r="D119">
        <f ca="1">INDEX(INDIRECT($C119&amp;"!P:P"),MATCH($B119,INDIRECT($C119&amp;"!B:B"),0))</f>
        <v>79.240000000000009</v>
      </c>
      <c r="E119" s="6">
        <f ca="1">D119-LARGE(D$2:D$284,TECount+WRCount)</f>
        <v>-35.799999999999997</v>
      </c>
      <c r="F119" t="str">
        <f ca="1">IF(H119&lt;=I119,"Starter",IF(G119&gt;=LARGE(G:G,FlexOn*LeagueInfo!$F$2),"Starter","Bench"))</f>
        <v>Bench</v>
      </c>
      <c r="G119">
        <f ca="1">IF(H119&gt;I119,D119,0)</f>
        <v>79.240000000000009</v>
      </c>
      <c r="H119">
        <f ca="1">INDEX(INDIRECT(""&amp;C119&amp;"!A2:A489"),MATCH(B119,INDIRECT(""&amp;C119&amp;"!B2:B489"),0))</f>
        <v>91</v>
      </c>
      <c r="I119">
        <f>IF(C119="WR",LeagueInfo!$D$5*LeagueInfo!$F$2,LeagueInfo!$D$6*LeagueInfo!$F$2)</f>
        <v>24</v>
      </c>
    </row>
    <row r="120" spans="1:9" x14ac:dyDescent="0.25">
      <c r="A120">
        <f ca="1">RANK(E120,E$2:E$350)</f>
        <v>119</v>
      </c>
      <c r="B120" t="s">
        <v>120</v>
      </c>
      <c r="C120" t="s">
        <v>35</v>
      </c>
      <c r="D120">
        <f ca="1">INDEX(INDIRECT($C120&amp;"!P:P"),MATCH($B120,INDIRECT($C120&amp;"!B:B"),0))</f>
        <v>78.600000000000009</v>
      </c>
      <c r="E120" s="6">
        <f ca="1">D120-LARGE(D$2:D$284,TECount+WRCount)</f>
        <v>-36.44</v>
      </c>
      <c r="F120" t="str">
        <f ca="1">IF(H120&lt;=I120,"Starter",IF(G120&gt;=LARGE(G:G,FlexOn*LeagueInfo!$F$2),"Starter","Bench"))</f>
        <v>Bench</v>
      </c>
      <c r="G120">
        <f ca="1">IF(H120&gt;I120,D120,0)</f>
        <v>78.600000000000009</v>
      </c>
      <c r="H120">
        <f ca="1">INDEX(INDIRECT(""&amp;C120&amp;"!A2:A489"),MATCH(B120,INDIRECT(""&amp;C120&amp;"!B2:B489"),0))</f>
        <v>92</v>
      </c>
      <c r="I120">
        <f>IF(C120="WR",LeagueInfo!$D$5*LeagueInfo!$F$2,LeagueInfo!$D$6*LeagueInfo!$F$2)</f>
        <v>24</v>
      </c>
    </row>
    <row r="121" spans="1:9" x14ac:dyDescent="0.25">
      <c r="A121">
        <f ca="1">RANK(E121,E$2:E$350)</f>
        <v>120</v>
      </c>
      <c r="B121" t="s">
        <v>150</v>
      </c>
      <c r="C121" t="s">
        <v>35</v>
      </c>
      <c r="D121">
        <f ca="1">INDEX(INDIRECT($C121&amp;"!P:P"),MATCH($B121,INDIRECT($C121&amp;"!B:B"),0))</f>
        <v>77.470000000000013</v>
      </c>
      <c r="E121" s="6">
        <f ca="1">D121-LARGE(D$2:D$284,TECount+WRCount)</f>
        <v>-37.569999999999993</v>
      </c>
      <c r="F121" t="str">
        <f ca="1">IF(H121&lt;=I121,"Starter",IF(G121&gt;=LARGE(G:G,FlexOn*LeagueInfo!$F$2),"Starter","Bench"))</f>
        <v>Bench</v>
      </c>
      <c r="G121">
        <f ca="1">IF(H121&gt;I121,D121,0)</f>
        <v>77.470000000000013</v>
      </c>
      <c r="H121">
        <f ca="1">INDEX(INDIRECT(""&amp;C121&amp;"!A2:A489"),MATCH(B121,INDIRECT(""&amp;C121&amp;"!B2:B489"),0))</f>
        <v>93</v>
      </c>
      <c r="I121">
        <f>IF(C121="WR",LeagueInfo!$D$5*LeagueInfo!$F$2,LeagueInfo!$D$6*LeagueInfo!$F$2)</f>
        <v>24</v>
      </c>
    </row>
    <row r="122" spans="1:9" x14ac:dyDescent="0.25">
      <c r="A122">
        <f ca="1">RANK(E122,E$2:E$350)</f>
        <v>121</v>
      </c>
      <c r="B122" t="s">
        <v>726</v>
      </c>
      <c r="C122" t="s">
        <v>35</v>
      </c>
      <c r="D122">
        <f ca="1">INDEX(INDIRECT($C122&amp;"!P:P"),MATCH($B122,INDIRECT($C122&amp;"!B:B"),0))</f>
        <v>76.680000000000007</v>
      </c>
      <c r="E122" s="6">
        <f ca="1">D122-LARGE(D$2:D$284,TECount+WRCount)</f>
        <v>-38.36</v>
      </c>
      <c r="F122" t="str">
        <f ca="1">IF(H122&lt;=I122,"Starter",IF(G122&gt;=LARGE(G:G,FlexOn*LeagueInfo!$F$2),"Starter","Bench"))</f>
        <v>Bench</v>
      </c>
      <c r="G122">
        <f ca="1">IF(H122&gt;I122,D122,0)</f>
        <v>76.680000000000007</v>
      </c>
      <c r="H122">
        <f ca="1">INDEX(INDIRECT(""&amp;C122&amp;"!A2:A489"),MATCH(B122,INDIRECT(""&amp;C122&amp;"!B2:B489"),0))</f>
        <v>94</v>
      </c>
      <c r="I122">
        <f>IF(C122="WR",LeagueInfo!$D$5*LeagueInfo!$F$2,LeagueInfo!$D$6*LeagueInfo!$F$2)</f>
        <v>24</v>
      </c>
    </row>
    <row r="123" spans="1:9" x14ac:dyDescent="0.25">
      <c r="A123">
        <f ca="1">RANK(E123,E$2:E$350)</f>
        <v>122</v>
      </c>
      <c r="B123" t="s">
        <v>569</v>
      </c>
      <c r="C123" t="s">
        <v>35</v>
      </c>
      <c r="D123">
        <f ca="1">INDEX(INDIRECT($C123&amp;"!P:P"),MATCH($B123,INDIRECT($C123&amp;"!B:B"),0))</f>
        <v>76.400000000000006</v>
      </c>
      <c r="E123" s="6">
        <f ca="1">D123-LARGE(D$2:D$284,TECount+WRCount)</f>
        <v>-38.64</v>
      </c>
      <c r="F123" t="str">
        <f ca="1">IF(H123&lt;=I123,"Starter",IF(G123&gt;=LARGE(G:G,FlexOn*LeagueInfo!$F$2),"Starter","Bench"))</f>
        <v>Bench</v>
      </c>
      <c r="G123">
        <f ca="1">IF(H123&gt;I123,D123,0)</f>
        <v>76.400000000000006</v>
      </c>
      <c r="H123">
        <f ca="1">INDEX(INDIRECT(""&amp;C123&amp;"!A2:A489"),MATCH(B123,INDIRECT(""&amp;C123&amp;"!B2:B489"),0))</f>
        <v>95</v>
      </c>
      <c r="I123">
        <f>IF(C123="WR",LeagueInfo!$D$5*LeagueInfo!$F$2,LeagueInfo!$D$6*LeagueInfo!$F$2)</f>
        <v>24</v>
      </c>
    </row>
    <row r="124" spans="1:9" x14ac:dyDescent="0.25">
      <c r="A124">
        <f ca="1">RANK(E124,E$2:E$350)</f>
        <v>123</v>
      </c>
      <c r="B124" t="s">
        <v>388</v>
      </c>
      <c r="C124" t="s">
        <v>35</v>
      </c>
      <c r="D124">
        <f ca="1">INDEX(INDIRECT($C124&amp;"!P:P"),MATCH($B124,INDIRECT($C124&amp;"!B:B"),0))</f>
        <v>73.400000000000006</v>
      </c>
      <c r="E124" s="6">
        <f ca="1">D124-LARGE(D$2:D$284,TECount+WRCount)</f>
        <v>-41.64</v>
      </c>
      <c r="F124" t="str">
        <f ca="1">IF(H124&lt;=I124,"Starter",IF(G124&gt;=LARGE(G:G,FlexOn*LeagueInfo!$F$2),"Starter","Bench"))</f>
        <v>Bench</v>
      </c>
      <c r="G124">
        <f ca="1">IF(H124&gt;I124,D124,0)</f>
        <v>73.400000000000006</v>
      </c>
      <c r="H124">
        <f ca="1">INDEX(INDIRECT(""&amp;C124&amp;"!A2:A489"),MATCH(B124,INDIRECT(""&amp;C124&amp;"!B2:B489"),0))</f>
        <v>96</v>
      </c>
      <c r="I124">
        <f>IF(C124="WR",LeagueInfo!$D$5*LeagueInfo!$F$2,LeagueInfo!$D$6*LeagueInfo!$F$2)</f>
        <v>24</v>
      </c>
    </row>
    <row r="125" spans="1:9" x14ac:dyDescent="0.25">
      <c r="A125">
        <f ca="1">RANK(E125,E$2:E$350)</f>
        <v>124</v>
      </c>
      <c r="B125" t="s">
        <v>725</v>
      </c>
      <c r="C125" t="s">
        <v>35</v>
      </c>
      <c r="D125">
        <f ca="1">INDEX(INDIRECT($C125&amp;"!P:P"),MATCH($B125,INDIRECT($C125&amp;"!B:B"),0))</f>
        <v>72.140000000000015</v>
      </c>
      <c r="E125" s="6">
        <f ca="1">D125-LARGE(D$2:D$284,TECount+WRCount)</f>
        <v>-42.899999999999991</v>
      </c>
      <c r="F125" t="str">
        <f ca="1">IF(H125&lt;=I125,"Starter",IF(G125&gt;=LARGE(G:G,FlexOn*LeagueInfo!$F$2),"Starter","Bench"))</f>
        <v>Bench</v>
      </c>
      <c r="G125">
        <f ca="1">IF(H125&gt;I125,D125,0)</f>
        <v>72.140000000000015</v>
      </c>
      <c r="H125">
        <f ca="1">INDEX(INDIRECT(""&amp;C125&amp;"!A2:A489"),MATCH(B125,INDIRECT(""&amp;C125&amp;"!B2:B489"),0))</f>
        <v>97</v>
      </c>
      <c r="I125">
        <f>IF(C125="WR",LeagueInfo!$D$5*LeagueInfo!$F$2,LeagueInfo!$D$6*LeagueInfo!$F$2)</f>
        <v>24</v>
      </c>
    </row>
    <row r="126" spans="1:9" x14ac:dyDescent="0.25">
      <c r="A126">
        <f ca="1">RANK(E126,E$2:E$350)</f>
        <v>125</v>
      </c>
      <c r="B126" t="s">
        <v>2425</v>
      </c>
      <c r="C126" t="s">
        <v>35</v>
      </c>
      <c r="D126">
        <f ca="1">INDEX(INDIRECT($C126&amp;"!P:P"),MATCH($B126,INDIRECT($C126&amp;"!B:B"),0))</f>
        <v>71.790000000000006</v>
      </c>
      <c r="E126" s="6">
        <f ca="1">D126-LARGE(D$2:D$284,TECount+WRCount)</f>
        <v>-43.25</v>
      </c>
      <c r="F126" t="str">
        <f ca="1">IF(H126&lt;=I126,"Starter",IF(G126&gt;=LARGE(G:G,FlexOn*LeagueInfo!$F$2),"Starter","Bench"))</f>
        <v>Bench</v>
      </c>
      <c r="G126">
        <f ca="1">IF(H126&gt;I126,D126,0)</f>
        <v>71.790000000000006</v>
      </c>
      <c r="H126">
        <f ca="1">INDEX(INDIRECT(""&amp;C126&amp;"!A2:A489"),MATCH(B126,INDIRECT(""&amp;C126&amp;"!B2:B489"),0))</f>
        <v>98</v>
      </c>
      <c r="I126">
        <f>IF(C126="WR",LeagueInfo!$D$5*LeagueInfo!$F$2,LeagueInfo!$D$6*LeagueInfo!$F$2)</f>
        <v>24</v>
      </c>
    </row>
    <row r="127" spans="1:9" x14ac:dyDescent="0.25">
      <c r="A127">
        <f ca="1">RANK(E127,E$2:E$350)</f>
        <v>126</v>
      </c>
      <c r="B127" t="s">
        <v>434</v>
      </c>
      <c r="C127" t="s">
        <v>43</v>
      </c>
      <c r="D127">
        <f ca="1">INDEX(INDIRECT($C127&amp;"!P:P"),MATCH($B127,INDIRECT($C127&amp;"!B:B"),0))</f>
        <v>69.5</v>
      </c>
      <c r="E127" s="6">
        <f ca="1">D127-LARGE(D$2:D$284,TECount+WRCount)</f>
        <v>-45.540000000000006</v>
      </c>
      <c r="F127" t="str">
        <f ca="1">IF(H127&lt;=I127,"Starter",IF(G127&gt;=LARGE(G:G,FlexOn*LeagueInfo!$F$2),"Starter","Bench"))</f>
        <v>Bench</v>
      </c>
      <c r="G127">
        <f ca="1">IF(H127&gt;I127,D127,0)</f>
        <v>69.5</v>
      </c>
      <c r="H127">
        <f ca="1">INDEX(INDIRECT(""&amp;C127&amp;"!A2:A489"),MATCH(B127,INDIRECT(""&amp;C127&amp;"!B2:B489"),0))</f>
        <v>28</v>
      </c>
      <c r="I127">
        <f>IF(C127="WR",LeagueInfo!$D$5*LeagueInfo!$F$2,LeagueInfo!$D$6*LeagueInfo!$F$2)</f>
        <v>12</v>
      </c>
    </row>
    <row r="128" spans="1:9" x14ac:dyDescent="0.25">
      <c r="A128">
        <f ca="1">RANK(E128,E$2:E$350)</f>
        <v>127</v>
      </c>
      <c r="B128" t="s">
        <v>172</v>
      </c>
      <c r="C128" t="s">
        <v>43</v>
      </c>
      <c r="D128">
        <f ca="1">INDEX(INDIRECT($C128&amp;"!P:P"),MATCH($B128,INDIRECT($C128&amp;"!B:B"),0))</f>
        <v>68.739999999999995</v>
      </c>
      <c r="E128" s="6">
        <f ca="1">D128-LARGE(D$2:D$284,TECount+WRCount)</f>
        <v>-46.300000000000011</v>
      </c>
      <c r="F128" t="str">
        <f ca="1">IF(H128&lt;=I128,"Starter",IF(G128&gt;=LARGE(G:G,FlexOn*LeagueInfo!$F$2),"Starter","Bench"))</f>
        <v>Bench</v>
      </c>
      <c r="G128">
        <f ca="1">IF(H128&gt;I128,D128,0)</f>
        <v>68.739999999999995</v>
      </c>
      <c r="H128">
        <f ca="1">INDEX(INDIRECT(""&amp;C128&amp;"!A2:A489"),MATCH(B128,INDIRECT(""&amp;C128&amp;"!B2:B489"),0))</f>
        <v>29</v>
      </c>
      <c r="I128">
        <f>IF(C128="WR",LeagueInfo!$D$5*LeagueInfo!$F$2,LeagueInfo!$D$6*LeagueInfo!$F$2)</f>
        <v>12</v>
      </c>
    </row>
    <row r="129" spans="1:9" x14ac:dyDescent="0.25">
      <c r="A129">
        <f ca="1">RANK(E129,E$2:E$350)</f>
        <v>128</v>
      </c>
      <c r="B129" t="s">
        <v>2486</v>
      </c>
      <c r="C129" t="s">
        <v>43</v>
      </c>
      <c r="D129">
        <f ca="1">INDEX(INDIRECT($C129&amp;"!P:P"),MATCH($B129,INDIRECT($C129&amp;"!B:B"),0))</f>
        <v>68.139999999999986</v>
      </c>
      <c r="E129" s="6">
        <f ca="1">D129-LARGE(D$2:D$284,TECount+WRCount)</f>
        <v>-46.90000000000002</v>
      </c>
      <c r="F129" t="str">
        <f ca="1">IF(H129&lt;=I129,"Starter",IF(G129&gt;=LARGE(G:G,FlexOn*LeagueInfo!$F$2),"Starter","Bench"))</f>
        <v>Bench</v>
      </c>
      <c r="G129">
        <f ca="1">IF(H129&gt;I129,D129,0)</f>
        <v>68.139999999999986</v>
      </c>
      <c r="H129">
        <f ca="1">INDEX(INDIRECT(""&amp;C129&amp;"!A2:A489"),MATCH(B129,INDIRECT(""&amp;C129&amp;"!B2:B489"),0))</f>
        <v>30</v>
      </c>
      <c r="I129">
        <f>IF(C129="WR",LeagueInfo!$D$5*LeagueInfo!$F$2,LeagueInfo!$D$6*LeagueInfo!$F$2)</f>
        <v>12</v>
      </c>
    </row>
    <row r="130" spans="1:9" x14ac:dyDescent="0.25">
      <c r="A130">
        <f ca="1">RANK(E130,E$2:E$350)</f>
        <v>129</v>
      </c>
      <c r="B130" t="s">
        <v>851</v>
      </c>
      <c r="C130" t="s">
        <v>35</v>
      </c>
      <c r="D130">
        <f ca="1">INDEX(INDIRECT($C130&amp;"!P:P"),MATCH($B130,INDIRECT($C130&amp;"!B:B"),0))</f>
        <v>67.72</v>
      </c>
      <c r="E130" s="6">
        <f ca="1">D130-LARGE(D$2:D$284,TECount+WRCount)</f>
        <v>-47.320000000000007</v>
      </c>
      <c r="F130" t="str">
        <f ca="1">IF(H130&lt;=I130,"Starter",IF(G130&gt;=LARGE(G:G,FlexOn*LeagueInfo!$F$2),"Starter","Bench"))</f>
        <v>Bench</v>
      </c>
      <c r="G130">
        <f ca="1">IF(H130&gt;I130,D130,0)</f>
        <v>67.72</v>
      </c>
      <c r="H130">
        <f ca="1">INDEX(INDIRECT(""&amp;C130&amp;"!A2:A489"),MATCH(B130,INDIRECT(""&amp;C130&amp;"!B2:B489"),0))</f>
        <v>99</v>
      </c>
      <c r="I130">
        <f>IF(C130="WR",LeagueInfo!$D$5*LeagueInfo!$F$2,LeagueInfo!$D$6*LeagueInfo!$F$2)</f>
        <v>24</v>
      </c>
    </row>
    <row r="131" spans="1:9" x14ac:dyDescent="0.25">
      <c r="A131">
        <f ca="1">RANK(E131,E$2:E$350)</f>
        <v>130</v>
      </c>
      <c r="B131" t="s">
        <v>227</v>
      </c>
      <c r="C131" t="s">
        <v>43</v>
      </c>
      <c r="D131">
        <f ca="1">INDEX(INDIRECT($C131&amp;"!P:P"),MATCH($B131,INDIRECT($C131&amp;"!B:B"),0))</f>
        <v>67.28</v>
      </c>
      <c r="E131" s="6">
        <f ca="1">D131-LARGE(D$2:D$284,TECount+WRCount)</f>
        <v>-47.760000000000005</v>
      </c>
      <c r="F131" t="str">
        <f ca="1">IF(H131&lt;=I131,"Starter",IF(G131&gt;=LARGE(G:G,FlexOn*LeagueInfo!$F$2),"Starter","Bench"))</f>
        <v>Bench</v>
      </c>
      <c r="G131">
        <f ca="1">IF(H131&gt;I131,D131,0)</f>
        <v>67.28</v>
      </c>
      <c r="H131">
        <f ca="1">INDEX(INDIRECT(""&amp;C131&amp;"!A2:A489"),MATCH(B131,INDIRECT(""&amp;C131&amp;"!B2:B489"),0))</f>
        <v>31</v>
      </c>
      <c r="I131">
        <f>IF(C131="WR",LeagueInfo!$D$5*LeagueInfo!$F$2,LeagueInfo!$D$6*LeagueInfo!$F$2)</f>
        <v>12</v>
      </c>
    </row>
    <row r="132" spans="1:9" x14ac:dyDescent="0.25">
      <c r="A132">
        <f ca="1">RANK(E132,E$2:E$350)</f>
        <v>131</v>
      </c>
      <c r="B132" t="s">
        <v>2426</v>
      </c>
      <c r="C132" t="s">
        <v>35</v>
      </c>
      <c r="D132">
        <f ca="1">INDEX(INDIRECT($C132&amp;"!P:P"),MATCH($B132,INDIRECT($C132&amp;"!B:B"),0))</f>
        <v>66.91</v>
      </c>
      <c r="E132" s="6">
        <f ca="1">D132-LARGE(D$2:D$284,TECount+WRCount)</f>
        <v>-48.13000000000001</v>
      </c>
      <c r="F132" t="str">
        <f ca="1">IF(H132&lt;=I132,"Starter",IF(G132&gt;=LARGE(G:G,FlexOn*LeagueInfo!$F$2),"Starter","Bench"))</f>
        <v>Bench</v>
      </c>
      <c r="G132">
        <f ca="1">IF(H132&gt;I132,D132,0)</f>
        <v>66.91</v>
      </c>
      <c r="H132">
        <f ca="1">INDEX(INDIRECT(""&amp;C132&amp;"!A2:A489"),MATCH(B132,INDIRECT(""&amp;C132&amp;"!B2:B489"),0))</f>
        <v>100</v>
      </c>
      <c r="I132">
        <f>IF(C132="WR",LeagueInfo!$D$5*LeagueInfo!$F$2,LeagueInfo!$D$6*LeagueInfo!$F$2)</f>
        <v>24</v>
      </c>
    </row>
    <row r="133" spans="1:9" x14ac:dyDescent="0.25">
      <c r="A133">
        <f ca="1">RANK(E133,E$2:E$350)</f>
        <v>132</v>
      </c>
      <c r="B133" t="s">
        <v>2739</v>
      </c>
      <c r="C133" t="s">
        <v>35</v>
      </c>
      <c r="D133">
        <f ca="1">INDEX(INDIRECT($C133&amp;"!P:P"),MATCH($B133,INDIRECT($C133&amp;"!B:B"),0))</f>
        <v>66.58</v>
      </c>
      <c r="E133" s="6">
        <f ca="1">D133-LARGE(D$2:D$284,TECount+WRCount)</f>
        <v>-48.460000000000008</v>
      </c>
      <c r="F133" t="str">
        <f ca="1">IF(H133&lt;=I133,"Starter",IF(G133&gt;=LARGE(G:G,FlexOn*LeagueInfo!$F$2),"Starter","Bench"))</f>
        <v>Bench</v>
      </c>
      <c r="G133">
        <f ca="1">IF(H133&gt;I133,D133,0)</f>
        <v>66.58</v>
      </c>
      <c r="H133">
        <f ca="1">INDEX(INDIRECT(""&amp;C133&amp;"!A2:A489"),MATCH(B133,INDIRECT(""&amp;C133&amp;"!B2:B489"),0))</f>
        <v>101</v>
      </c>
      <c r="I133">
        <f>IF(C133="WR",LeagueInfo!$D$5*LeagueInfo!$F$2,LeagueInfo!$D$6*LeagueInfo!$F$2)</f>
        <v>24</v>
      </c>
    </row>
    <row r="134" spans="1:9" x14ac:dyDescent="0.25">
      <c r="A134">
        <f ca="1">RANK(E134,E$2:E$350)</f>
        <v>133</v>
      </c>
      <c r="B134" t="s">
        <v>862</v>
      </c>
      <c r="C134" t="s">
        <v>35</v>
      </c>
      <c r="D134">
        <f ca="1">INDEX(INDIRECT($C134&amp;"!P:P"),MATCH($B134,INDIRECT($C134&amp;"!B:B"),0))</f>
        <v>65.750000000000014</v>
      </c>
      <c r="E134" s="6">
        <f ca="1">D134-LARGE(D$2:D$284,TECount+WRCount)</f>
        <v>-49.289999999999992</v>
      </c>
      <c r="F134" t="str">
        <f ca="1">IF(H134&lt;=I134,"Starter",IF(G134&gt;=LARGE(G:G,FlexOn*LeagueInfo!$F$2),"Starter","Bench"))</f>
        <v>Bench</v>
      </c>
      <c r="G134">
        <f ca="1">IF(H134&gt;I134,D134,0)</f>
        <v>65.750000000000014</v>
      </c>
      <c r="H134">
        <f ca="1">INDEX(INDIRECT(""&amp;C134&amp;"!A2:A489"),MATCH(B134,INDIRECT(""&amp;C134&amp;"!B2:B489"),0))</f>
        <v>102</v>
      </c>
      <c r="I134">
        <f>IF(C134="WR",LeagueInfo!$D$5*LeagueInfo!$F$2,LeagueInfo!$D$6*LeagueInfo!$F$2)</f>
        <v>24</v>
      </c>
    </row>
    <row r="135" spans="1:9" x14ac:dyDescent="0.25">
      <c r="A135">
        <f ca="1">RANK(E135,E$2:E$350)</f>
        <v>134</v>
      </c>
      <c r="B135" t="s">
        <v>823</v>
      </c>
      <c r="C135" t="s">
        <v>43</v>
      </c>
      <c r="D135">
        <f ca="1">INDEX(INDIRECT($C135&amp;"!P:P"),MATCH($B135,INDIRECT($C135&amp;"!B:B"),0))</f>
        <v>65.62</v>
      </c>
      <c r="E135" s="6">
        <f ca="1">D135-LARGE(D$2:D$284,TECount+WRCount)</f>
        <v>-49.42</v>
      </c>
      <c r="F135" t="str">
        <f ca="1">IF(H135&lt;=I135,"Starter",IF(G135&gt;=LARGE(G:G,FlexOn*LeagueInfo!$F$2),"Starter","Bench"))</f>
        <v>Bench</v>
      </c>
      <c r="G135">
        <f ca="1">IF(H135&gt;I135,D135,0)</f>
        <v>65.62</v>
      </c>
      <c r="H135">
        <f ca="1">INDEX(INDIRECT(""&amp;C135&amp;"!A2:A489"),MATCH(B135,INDIRECT(""&amp;C135&amp;"!B2:B489"),0))</f>
        <v>32</v>
      </c>
      <c r="I135">
        <f>IF(C135="WR",LeagueInfo!$D$5*LeagueInfo!$F$2,LeagueInfo!$D$6*LeagueInfo!$F$2)</f>
        <v>12</v>
      </c>
    </row>
    <row r="136" spans="1:9" x14ac:dyDescent="0.25">
      <c r="A136">
        <f ca="1">RANK(E136,E$2:E$350)</f>
        <v>135</v>
      </c>
      <c r="B136" t="s">
        <v>427</v>
      </c>
      <c r="C136" t="s">
        <v>43</v>
      </c>
      <c r="D136">
        <f ca="1">INDEX(INDIRECT($C136&amp;"!P:P"),MATCH($B136,INDIRECT($C136&amp;"!B:B"),0))</f>
        <v>63.769999999999996</v>
      </c>
      <c r="E136" s="6">
        <f ca="1">D136-LARGE(D$2:D$284,TECount+WRCount)</f>
        <v>-51.27000000000001</v>
      </c>
      <c r="F136" t="str">
        <f ca="1">IF(H136&lt;=I136,"Starter",IF(G136&gt;=LARGE(G:G,FlexOn*LeagueInfo!$F$2),"Starter","Bench"))</f>
        <v>Bench</v>
      </c>
      <c r="G136">
        <f ca="1">IF(H136&gt;I136,D136,0)</f>
        <v>63.769999999999996</v>
      </c>
      <c r="H136">
        <f ca="1">INDEX(INDIRECT(""&amp;C136&amp;"!A2:A489"),MATCH(B136,INDIRECT(""&amp;C136&amp;"!B2:B489"),0))</f>
        <v>33</v>
      </c>
      <c r="I136">
        <f>IF(C136="WR",LeagueInfo!$D$5*LeagueInfo!$F$2,LeagueInfo!$D$6*LeagueInfo!$F$2)</f>
        <v>12</v>
      </c>
    </row>
    <row r="137" spans="1:9" x14ac:dyDescent="0.25">
      <c r="A137">
        <f ca="1">RANK(E137,E$2:E$350)</f>
        <v>136</v>
      </c>
      <c r="B137" t="s">
        <v>866</v>
      </c>
      <c r="C137" t="s">
        <v>35</v>
      </c>
      <c r="D137">
        <f ca="1">INDEX(INDIRECT($C137&amp;"!P:P"),MATCH($B137,INDIRECT($C137&amp;"!B:B"),0))</f>
        <v>63.45</v>
      </c>
      <c r="E137" s="6">
        <f ca="1">D137-LARGE(D$2:D$284,TECount+WRCount)</f>
        <v>-51.59</v>
      </c>
      <c r="F137" t="str">
        <f ca="1">IF(H137&lt;=I137,"Starter",IF(G137&gt;=LARGE(G:G,FlexOn*LeagueInfo!$F$2),"Starter","Bench"))</f>
        <v>Bench</v>
      </c>
      <c r="G137">
        <f ca="1">IF(H137&gt;I137,D137,0)</f>
        <v>63.45</v>
      </c>
      <c r="H137">
        <f ca="1">INDEX(INDIRECT(""&amp;C137&amp;"!A2:A489"),MATCH(B137,INDIRECT(""&amp;C137&amp;"!B2:B489"),0))</f>
        <v>103</v>
      </c>
      <c r="I137">
        <f>IF(C137="WR",LeagueInfo!$D$5*LeagueInfo!$F$2,LeagueInfo!$D$6*LeagueInfo!$F$2)</f>
        <v>24</v>
      </c>
    </row>
    <row r="138" spans="1:9" x14ac:dyDescent="0.25">
      <c r="A138">
        <f ca="1">RANK(E138,E$2:E$350)</f>
        <v>137</v>
      </c>
      <c r="B138" t="s">
        <v>598</v>
      </c>
      <c r="C138" t="s">
        <v>43</v>
      </c>
      <c r="D138">
        <f ca="1">INDEX(INDIRECT($C138&amp;"!P:P"),MATCH($B138,INDIRECT($C138&amp;"!B:B"),0))</f>
        <v>62.230000000000004</v>
      </c>
      <c r="E138" s="6">
        <f ca="1">D138-LARGE(D$2:D$284,TECount+WRCount)</f>
        <v>-52.81</v>
      </c>
      <c r="F138" t="str">
        <f ca="1">IF(H138&lt;=I138,"Starter",IF(G138&gt;=LARGE(G:G,FlexOn*LeagueInfo!$F$2),"Starter","Bench"))</f>
        <v>Bench</v>
      </c>
      <c r="G138">
        <f ca="1">IF(H138&gt;I138,D138,0)</f>
        <v>62.230000000000004</v>
      </c>
      <c r="H138">
        <f ca="1">INDEX(INDIRECT(""&amp;C138&amp;"!A2:A489"),MATCH(B138,INDIRECT(""&amp;C138&amp;"!B2:B489"),0))</f>
        <v>34</v>
      </c>
      <c r="I138">
        <f>IF(C138="WR",LeagueInfo!$D$5*LeagueInfo!$F$2,LeagueInfo!$D$6*LeagueInfo!$F$2)</f>
        <v>12</v>
      </c>
    </row>
    <row r="139" spans="1:9" x14ac:dyDescent="0.25">
      <c r="A139">
        <f ca="1">RANK(E139,E$2:E$350)</f>
        <v>138</v>
      </c>
      <c r="B139" t="s">
        <v>2472</v>
      </c>
      <c r="C139" t="s">
        <v>43</v>
      </c>
      <c r="D139">
        <f ca="1">INDEX(INDIRECT($C139&amp;"!P:P"),MATCH($B139,INDIRECT($C139&amp;"!B:B"),0))</f>
        <v>61.9</v>
      </c>
      <c r="E139" s="6">
        <f ca="1">D139-LARGE(D$2:D$284,TECount+WRCount)</f>
        <v>-53.140000000000008</v>
      </c>
      <c r="F139" t="str">
        <f ca="1">IF(H139&lt;=I139,"Starter",IF(G139&gt;=LARGE(G:G,FlexOn*LeagueInfo!$F$2),"Starter","Bench"))</f>
        <v>Bench</v>
      </c>
      <c r="G139">
        <f ca="1">IF(H139&gt;I139,D139,0)</f>
        <v>61.9</v>
      </c>
      <c r="H139">
        <f ca="1">INDEX(INDIRECT(""&amp;C139&amp;"!A2:A489"),MATCH(B139,INDIRECT(""&amp;C139&amp;"!B2:B489"),0))</f>
        <v>35</v>
      </c>
      <c r="I139">
        <f>IF(C139="WR",LeagueInfo!$D$5*LeagueInfo!$F$2,LeagueInfo!$D$6*LeagueInfo!$F$2)</f>
        <v>12</v>
      </c>
    </row>
    <row r="140" spans="1:9" x14ac:dyDescent="0.25">
      <c r="A140">
        <f ca="1">RANK(E140,E$2:E$350)</f>
        <v>139</v>
      </c>
      <c r="B140" t="s">
        <v>2428</v>
      </c>
      <c r="C140" t="s">
        <v>35</v>
      </c>
      <c r="D140">
        <f ca="1">INDEX(INDIRECT($C140&amp;"!P:P"),MATCH($B140,INDIRECT($C140&amp;"!B:B"),0))</f>
        <v>61.650000000000006</v>
      </c>
      <c r="E140" s="6">
        <f ca="1">D140-LARGE(D$2:D$284,TECount+WRCount)</f>
        <v>-53.39</v>
      </c>
      <c r="F140" t="str">
        <f ca="1">IF(H140&lt;=I140,"Starter",IF(G140&gt;=LARGE(G:G,FlexOn*LeagueInfo!$F$2),"Starter","Bench"))</f>
        <v>Bench</v>
      </c>
      <c r="G140">
        <f ca="1">IF(H140&gt;I140,D140,0)</f>
        <v>61.650000000000006</v>
      </c>
      <c r="H140">
        <f ca="1">INDEX(INDIRECT(""&amp;C140&amp;"!A2:A489"),MATCH(B140,INDIRECT(""&amp;C140&amp;"!B2:B489"),0))</f>
        <v>104</v>
      </c>
      <c r="I140">
        <f>IF(C140="WR",LeagueInfo!$D$5*LeagueInfo!$F$2,LeagueInfo!$D$6*LeagueInfo!$F$2)</f>
        <v>24</v>
      </c>
    </row>
    <row r="141" spans="1:9" x14ac:dyDescent="0.25">
      <c r="A141">
        <f ca="1">RANK(E141,E$2:E$350)</f>
        <v>140</v>
      </c>
      <c r="B141" t="s">
        <v>818</v>
      </c>
      <c r="C141" t="s">
        <v>43</v>
      </c>
      <c r="D141">
        <f ca="1">INDEX(INDIRECT($C141&amp;"!P:P"),MATCH($B141,INDIRECT($C141&amp;"!B:B"),0))</f>
        <v>60.88</v>
      </c>
      <c r="E141" s="6">
        <f ca="1">D141-LARGE(D$2:D$284,TECount+WRCount)</f>
        <v>-54.160000000000004</v>
      </c>
      <c r="F141" t="str">
        <f ca="1">IF(H141&lt;=I141,"Starter",IF(G141&gt;=LARGE(G:G,FlexOn*LeagueInfo!$F$2),"Starter","Bench"))</f>
        <v>Bench</v>
      </c>
      <c r="G141">
        <f ca="1">IF(H141&gt;I141,D141,0)</f>
        <v>60.88</v>
      </c>
      <c r="H141">
        <f ca="1">INDEX(INDIRECT(""&amp;C141&amp;"!A2:A489"),MATCH(B141,INDIRECT(""&amp;C141&amp;"!B2:B489"),0))</f>
        <v>36</v>
      </c>
      <c r="I141">
        <f>IF(C141="WR",LeagueInfo!$D$5*LeagueInfo!$F$2,LeagueInfo!$D$6*LeagueInfo!$F$2)</f>
        <v>12</v>
      </c>
    </row>
    <row r="142" spans="1:9" x14ac:dyDescent="0.25">
      <c r="A142">
        <f ca="1">RANK(E142,E$2:E$350)</f>
        <v>141</v>
      </c>
      <c r="B142" t="s">
        <v>820</v>
      </c>
      <c r="C142" t="s">
        <v>43</v>
      </c>
      <c r="D142">
        <f ca="1">INDEX(INDIRECT($C142&amp;"!P:P"),MATCH($B142,INDIRECT($C142&amp;"!B:B"),0))</f>
        <v>58.610000000000007</v>
      </c>
      <c r="E142" s="6">
        <f ca="1">D142-LARGE(D$2:D$284,TECount+WRCount)</f>
        <v>-56.43</v>
      </c>
      <c r="F142" t="str">
        <f ca="1">IF(H142&lt;=I142,"Starter",IF(G142&gt;=LARGE(G:G,FlexOn*LeagueInfo!$F$2),"Starter","Bench"))</f>
        <v>Bench</v>
      </c>
      <c r="G142">
        <f ca="1">IF(H142&gt;I142,D142,0)</f>
        <v>58.610000000000007</v>
      </c>
      <c r="H142">
        <f ca="1">INDEX(INDIRECT(""&amp;C142&amp;"!A2:A489"),MATCH(B142,INDIRECT(""&amp;C142&amp;"!B2:B489"),0))</f>
        <v>37</v>
      </c>
      <c r="I142">
        <f>IF(C142="WR",LeagueInfo!$D$5*LeagueInfo!$F$2,LeagueInfo!$D$6*LeagueInfo!$F$2)</f>
        <v>12</v>
      </c>
    </row>
    <row r="143" spans="1:9" x14ac:dyDescent="0.25">
      <c r="A143">
        <f ca="1">RANK(E143,E$2:E$350)</f>
        <v>142</v>
      </c>
      <c r="B143" t="s">
        <v>864</v>
      </c>
      <c r="C143" t="s">
        <v>35</v>
      </c>
      <c r="D143">
        <f ca="1">INDEX(INDIRECT($C143&amp;"!P:P"),MATCH($B143,INDIRECT($C143&amp;"!B:B"),0))</f>
        <v>56.97</v>
      </c>
      <c r="E143" s="6">
        <f ca="1">D143-LARGE(D$2:D$284,TECount+WRCount)</f>
        <v>-58.070000000000007</v>
      </c>
      <c r="F143" t="str">
        <f ca="1">IF(H143&lt;=I143,"Starter",IF(G143&gt;=LARGE(G:G,FlexOn*LeagueInfo!$F$2),"Starter","Bench"))</f>
        <v>Bench</v>
      </c>
      <c r="G143">
        <f ca="1">IF(H143&gt;I143,D143,0)</f>
        <v>56.97</v>
      </c>
      <c r="H143">
        <f ca="1">INDEX(INDIRECT(""&amp;C143&amp;"!A2:A489"),MATCH(B143,INDIRECT(""&amp;C143&amp;"!B2:B489"),0))</f>
        <v>105</v>
      </c>
      <c r="I143">
        <f>IF(C143="WR",LeagueInfo!$D$5*LeagueInfo!$F$2,LeagueInfo!$D$6*LeagueInfo!$F$2)</f>
        <v>24</v>
      </c>
    </row>
    <row r="144" spans="1:9" x14ac:dyDescent="0.25">
      <c r="A144">
        <f ca="1">RANK(E144,E$2:E$350)</f>
        <v>143</v>
      </c>
      <c r="B144" t="s">
        <v>753</v>
      </c>
      <c r="C144" t="s">
        <v>43</v>
      </c>
      <c r="D144">
        <f ca="1">INDEX(INDIRECT($C144&amp;"!P:P"),MATCH($B144,INDIRECT($C144&amp;"!B:B"),0))</f>
        <v>55.04</v>
      </c>
      <c r="E144" s="6">
        <f ca="1">D144-LARGE(D$2:D$284,TECount+WRCount)</f>
        <v>-60.000000000000007</v>
      </c>
      <c r="F144" t="str">
        <f ca="1">IF(H144&lt;=I144,"Starter",IF(G144&gt;=LARGE(G:G,FlexOn*LeagueInfo!$F$2),"Starter","Bench"))</f>
        <v>Bench</v>
      </c>
      <c r="G144">
        <f ca="1">IF(H144&gt;I144,D144,0)</f>
        <v>55.04</v>
      </c>
      <c r="H144">
        <f ca="1">INDEX(INDIRECT(""&amp;C144&amp;"!A2:A489"),MATCH(B144,INDIRECT(""&amp;C144&amp;"!B2:B489"),0))</f>
        <v>38</v>
      </c>
      <c r="I144">
        <f>IF(C144="WR",LeagueInfo!$D$5*LeagueInfo!$F$2,LeagueInfo!$D$6*LeagueInfo!$F$2)</f>
        <v>12</v>
      </c>
    </row>
    <row r="145" spans="1:9" x14ac:dyDescent="0.25">
      <c r="A145">
        <f ca="1">RANK(E145,E$2:E$350)</f>
        <v>144</v>
      </c>
      <c r="B145" t="s">
        <v>982</v>
      </c>
      <c r="C145" t="s">
        <v>43</v>
      </c>
      <c r="D145">
        <f ca="1">INDEX(INDIRECT($C145&amp;"!P:P"),MATCH($B145,INDIRECT($C145&amp;"!B:B"),0))</f>
        <v>54.46</v>
      </c>
      <c r="E145" s="6">
        <f ca="1">D145-LARGE(D$2:D$284,TECount+WRCount)</f>
        <v>-60.580000000000005</v>
      </c>
      <c r="F145" t="str">
        <f ca="1">IF(H145&lt;=I145,"Starter",IF(G145&gt;=LARGE(G:G,FlexOn*LeagueInfo!$F$2),"Starter","Bench"))</f>
        <v>Bench</v>
      </c>
      <c r="G145">
        <f ca="1">IF(H145&gt;I145,D145,0)</f>
        <v>54.46</v>
      </c>
      <c r="H145">
        <f ca="1">INDEX(INDIRECT(""&amp;C145&amp;"!A2:A489"),MATCH(B145,INDIRECT(""&amp;C145&amp;"!B2:B489"),0))</f>
        <v>39</v>
      </c>
      <c r="I145">
        <f>IF(C145="WR",LeagueInfo!$D$5*LeagueInfo!$F$2,LeagueInfo!$D$6*LeagueInfo!$F$2)</f>
        <v>12</v>
      </c>
    </row>
    <row r="146" spans="1:9" x14ac:dyDescent="0.25">
      <c r="A146">
        <f ca="1">RANK(E146,E$2:E$350)</f>
        <v>145</v>
      </c>
      <c r="B146" t="s">
        <v>366</v>
      </c>
      <c r="C146" t="s">
        <v>35</v>
      </c>
      <c r="D146">
        <f ca="1">INDEX(INDIRECT($C146&amp;"!P:P"),MATCH($B146,INDIRECT($C146&amp;"!B:B"),0))</f>
        <v>53.97</v>
      </c>
      <c r="E146" s="6">
        <f ca="1">D146-LARGE(D$2:D$284,TECount+WRCount)</f>
        <v>-61.070000000000007</v>
      </c>
      <c r="F146" t="str">
        <f ca="1">IF(H146&lt;=I146,"Starter",IF(G146&gt;=LARGE(G:G,FlexOn*LeagueInfo!$F$2),"Starter","Bench"))</f>
        <v>Bench</v>
      </c>
      <c r="G146">
        <f ca="1">IF(H146&gt;I146,D146,0)</f>
        <v>53.97</v>
      </c>
      <c r="H146">
        <f ca="1">INDEX(INDIRECT(""&amp;C146&amp;"!A2:A489"),MATCH(B146,INDIRECT(""&amp;C146&amp;"!B2:B489"),0))</f>
        <v>106</v>
      </c>
      <c r="I146">
        <f>IF(C146="WR",LeagueInfo!$D$5*LeagueInfo!$F$2,LeagueInfo!$D$6*LeagueInfo!$F$2)</f>
        <v>24</v>
      </c>
    </row>
    <row r="147" spans="1:9" x14ac:dyDescent="0.25">
      <c r="A147">
        <f ca="1">RANK(E147,E$2:E$350)</f>
        <v>146</v>
      </c>
      <c r="B147" t="s">
        <v>643</v>
      </c>
      <c r="C147" t="s">
        <v>43</v>
      </c>
      <c r="D147">
        <f ca="1">INDEX(INDIRECT($C147&amp;"!P:P"),MATCH($B147,INDIRECT($C147&amp;"!B:B"),0))</f>
        <v>53.92</v>
      </c>
      <c r="E147" s="6">
        <f ca="1">D147-LARGE(D$2:D$284,TECount+WRCount)</f>
        <v>-61.120000000000005</v>
      </c>
      <c r="F147" t="str">
        <f ca="1">IF(H147&lt;=I147,"Starter",IF(G147&gt;=LARGE(G:G,FlexOn*LeagueInfo!$F$2),"Starter","Bench"))</f>
        <v>Bench</v>
      </c>
      <c r="G147">
        <f ca="1">IF(H147&gt;I147,D147,0)</f>
        <v>53.92</v>
      </c>
      <c r="H147">
        <f ca="1">INDEX(INDIRECT(""&amp;C147&amp;"!A2:A489"),MATCH(B147,INDIRECT(""&amp;C147&amp;"!B2:B489"),0))</f>
        <v>40</v>
      </c>
      <c r="I147">
        <f>IF(C147="WR",LeagueInfo!$D$5*LeagueInfo!$F$2,LeagueInfo!$D$6*LeagueInfo!$F$2)</f>
        <v>12</v>
      </c>
    </row>
    <row r="148" spans="1:9" x14ac:dyDescent="0.25">
      <c r="A148">
        <f ca="1">RANK(E148,E$2:E$350)</f>
        <v>147</v>
      </c>
      <c r="B148" t="s">
        <v>389</v>
      </c>
      <c r="C148" t="s">
        <v>35</v>
      </c>
      <c r="D148">
        <f ca="1">INDEX(INDIRECT($C148&amp;"!P:P"),MATCH($B148,INDIRECT($C148&amp;"!B:B"),0))</f>
        <v>52.37</v>
      </c>
      <c r="E148" s="6">
        <f ca="1">D148-LARGE(D$2:D$284,TECount+WRCount)</f>
        <v>-62.670000000000009</v>
      </c>
      <c r="F148" t="str">
        <f ca="1">IF(H148&lt;=I148,"Starter",IF(G148&gt;=LARGE(G:G,FlexOn*LeagueInfo!$F$2),"Starter","Bench"))</f>
        <v>Bench</v>
      </c>
      <c r="G148">
        <f ca="1">IF(H148&gt;I148,D148,0)</f>
        <v>52.37</v>
      </c>
      <c r="H148">
        <f ca="1">INDEX(INDIRECT(""&amp;C148&amp;"!A2:A489"),MATCH(B148,INDIRECT(""&amp;C148&amp;"!B2:B489"),0))</f>
        <v>107</v>
      </c>
      <c r="I148">
        <f>IF(C148="WR",LeagueInfo!$D$5*LeagueInfo!$F$2,LeagueInfo!$D$6*LeagueInfo!$F$2)</f>
        <v>24</v>
      </c>
    </row>
    <row r="149" spans="1:9" x14ac:dyDescent="0.25">
      <c r="A149">
        <f ca="1">RANK(E149,E$2:E$350)</f>
        <v>148</v>
      </c>
      <c r="B149" t="s">
        <v>134</v>
      </c>
      <c r="C149" t="s">
        <v>35</v>
      </c>
      <c r="D149">
        <f ca="1">INDEX(INDIRECT($C149&amp;"!P:P"),MATCH($B149,INDIRECT($C149&amp;"!B:B"),0))</f>
        <v>50.960000000000008</v>
      </c>
      <c r="E149" s="6">
        <f ca="1">D149-LARGE(D$2:D$284,TECount+WRCount)</f>
        <v>-64.08</v>
      </c>
      <c r="F149" t="str">
        <f ca="1">IF(H149&lt;=I149,"Starter",IF(G149&gt;=LARGE(G:G,FlexOn*LeagueInfo!$F$2),"Starter","Bench"))</f>
        <v>Bench</v>
      </c>
      <c r="G149">
        <f ca="1">IF(H149&gt;I149,D149,0)</f>
        <v>50.960000000000008</v>
      </c>
      <c r="H149">
        <f ca="1">INDEX(INDIRECT(""&amp;C149&amp;"!A2:A489"),MATCH(B149,INDIRECT(""&amp;C149&amp;"!B2:B489"),0))</f>
        <v>108</v>
      </c>
      <c r="I149">
        <f>IF(C149="WR",LeagueInfo!$D$5*LeagueInfo!$F$2,LeagueInfo!$D$6*LeagueInfo!$F$2)</f>
        <v>24</v>
      </c>
    </row>
    <row r="150" spans="1:9" x14ac:dyDescent="0.25">
      <c r="A150">
        <f ca="1">RANK(E150,E$2:E$350)</f>
        <v>149</v>
      </c>
      <c r="B150" t="s">
        <v>431</v>
      </c>
      <c r="C150" t="s">
        <v>43</v>
      </c>
      <c r="D150">
        <f ca="1">INDEX(INDIRECT($C150&amp;"!P:P"),MATCH($B150,INDIRECT($C150&amp;"!B:B"),0))</f>
        <v>50.79</v>
      </c>
      <c r="E150" s="6">
        <f ca="1">D150-LARGE(D$2:D$284,TECount+WRCount)</f>
        <v>-64.25</v>
      </c>
      <c r="F150" t="str">
        <f ca="1">IF(H150&lt;=I150,"Starter",IF(G150&gt;=LARGE(G:G,FlexOn*LeagueInfo!$F$2),"Starter","Bench"))</f>
        <v>Bench</v>
      </c>
      <c r="G150">
        <f ca="1">IF(H150&gt;I150,D150,0)</f>
        <v>50.79</v>
      </c>
      <c r="H150">
        <f ca="1">INDEX(INDIRECT(""&amp;C150&amp;"!A2:A489"),MATCH(B150,INDIRECT(""&amp;C150&amp;"!B2:B489"),0))</f>
        <v>41</v>
      </c>
      <c r="I150">
        <f>IF(C150="WR",LeagueInfo!$D$5*LeagueInfo!$F$2,LeagueInfo!$D$6*LeagueInfo!$F$2)</f>
        <v>12</v>
      </c>
    </row>
    <row r="151" spans="1:9" x14ac:dyDescent="0.25">
      <c r="A151">
        <f ca="1">RANK(E151,E$2:E$350)</f>
        <v>150</v>
      </c>
      <c r="B151" t="s">
        <v>377</v>
      </c>
      <c r="C151" t="s">
        <v>35</v>
      </c>
      <c r="D151">
        <f ca="1">INDEX(INDIRECT($C151&amp;"!P:P"),MATCH($B151,INDIRECT($C151&amp;"!B:B"),0))</f>
        <v>50.660000000000011</v>
      </c>
      <c r="E151" s="6">
        <f ca="1">D151-LARGE(D$2:D$284,TECount+WRCount)</f>
        <v>-64.38</v>
      </c>
      <c r="F151" t="str">
        <f ca="1">IF(H151&lt;=I151,"Starter",IF(G151&gt;=LARGE(G:G,FlexOn*LeagueInfo!$F$2),"Starter","Bench"))</f>
        <v>Bench</v>
      </c>
      <c r="G151">
        <f ca="1">IF(H151&gt;I151,D151,0)</f>
        <v>50.660000000000011</v>
      </c>
      <c r="H151">
        <f ca="1">INDEX(INDIRECT(""&amp;C151&amp;"!A2:A489"),MATCH(B151,INDIRECT(""&amp;C151&amp;"!B2:B489"),0))</f>
        <v>109</v>
      </c>
      <c r="I151">
        <f>IF(C151="WR",LeagueInfo!$D$5*LeagueInfo!$F$2,LeagueInfo!$D$6*LeagueInfo!$F$2)</f>
        <v>24</v>
      </c>
    </row>
    <row r="152" spans="1:9" x14ac:dyDescent="0.25">
      <c r="A152">
        <f ca="1">RANK(E152,E$2:E$350)</f>
        <v>151</v>
      </c>
      <c r="B152" t="s">
        <v>996</v>
      </c>
      <c r="C152" t="s">
        <v>35</v>
      </c>
      <c r="D152">
        <f ca="1">INDEX(INDIRECT($C152&amp;"!P:P"),MATCH($B152,INDIRECT($C152&amp;"!B:B"),0))</f>
        <v>49.510000000000005</v>
      </c>
      <c r="E152" s="6">
        <f ca="1">D152-LARGE(D$2:D$284,TECount+WRCount)</f>
        <v>-65.53</v>
      </c>
      <c r="F152" t="str">
        <f ca="1">IF(H152&lt;=I152,"Starter",IF(G152&gt;=LARGE(G:G,FlexOn*LeagueInfo!$F$2),"Starter","Bench"))</f>
        <v>Bench</v>
      </c>
      <c r="G152">
        <f ca="1">IF(H152&gt;I152,D152,0)</f>
        <v>49.510000000000005</v>
      </c>
      <c r="H152">
        <f ca="1">INDEX(INDIRECT(""&amp;C152&amp;"!A2:A489"),MATCH(B152,INDIRECT(""&amp;C152&amp;"!B2:B489"),0))</f>
        <v>110</v>
      </c>
      <c r="I152">
        <f>IF(C152="WR",LeagueInfo!$D$5*LeagueInfo!$F$2,LeagueInfo!$D$6*LeagueInfo!$F$2)</f>
        <v>24</v>
      </c>
    </row>
    <row r="153" spans="1:9" x14ac:dyDescent="0.25">
      <c r="A153">
        <f ca="1">RANK(E153,E$2:E$350)</f>
        <v>152</v>
      </c>
      <c r="B153" t="s">
        <v>2478</v>
      </c>
      <c r="C153" t="s">
        <v>43</v>
      </c>
      <c r="D153">
        <f ca="1">INDEX(INDIRECT($C153&amp;"!P:P"),MATCH($B153,INDIRECT($C153&amp;"!B:B"),0))</f>
        <v>49.440000000000005</v>
      </c>
      <c r="E153" s="6">
        <f ca="1">D153-LARGE(D$2:D$284,TECount+WRCount)</f>
        <v>-65.599999999999994</v>
      </c>
      <c r="F153" t="str">
        <f ca="1">IF(H153&lt;=I153,"Starter",IF(G153&gt;=LARGE(G:G,FlexOn*LeagueInfo!$F$2),"Starter","Bench"))</f>
        <v>Bench</v>
      </c>
      <c r="G153">
        <f ca="1">IF(H153&gt;I153,D153,0)</f>
        <v>49.440000000000005</v>
      </c>
      <c r="H153">
        <f ca="1">INDEX(INDIRECT(""&amp;C153&amp;"!A2:A489"),MATCH(B153,INDIRECT(""&amp;C153&amp;"!B2:B489"),0))</f>
        <v>42</v>
      </c>
      <c r="I153">
        <f>IF(C153="WR",LeagueInfo!$D$5*LeagueInfo!$F$2,LeagueInfo!$D$6*LeagueInfo!$F$2)</f>
        <v>12</v>
      </c>
    </row>
    <row r="154" spans="1:9" x14ac:dyDescent="0.25">
      <c r="A154">
        <f ca="1">RANK(E154,E$2:E$350)</f>
        <v>153</v>
      </c>
      <c r="B154" t="s">
        <v>901</v>
      </c>
      <c r="C154" t="s">
        <v>35</v>
      </c>
      <c r="D154">
        <f ca="1">INDEX(INDIRECT($C154&amp;"!P:P"),MATCH($B154,INDIRECT($C154&amp;"!B:B"),0))</f>
        <v>48.68</v>
      </c>
      <c r="E154" s="6">
        <f ca="1">D154-LARGE(D$2:D$284,TECount+WRCount)</f>
        <v>-66.360000000000014</v>
      </c>
      <c r="F154" t="str">
        <f ca="1">IF(H154&lt;=I154,"Starter",IF(G154&gt;=LARGE(G:G,FlexOn*LeagueInfo!$F$2),"Starter","Bench"))</f>
        <v>Bench</v>
      </c>
      <c r="G154">
        <f ca="1">IF(H154&gt;I154,D154,0)</f>
        <v>48.68</v>
      </c>
      <c r="H154">
        <f ca="1">INDEX(INDIRECT(""&amp;C154&amp;"!A2:A489"),MATCH(B154,INDIRECT(""&amp;C154&amp;"!B2:B489"),0))</f>
        <v>111</v>
      </c>
      <c r="I154">
        <f>IF(C154="WR",LeagueInfo!$D$5*LeagueInfo!$F$2,LeagueInfo!$D$6*LeagueInfo!$F$2)</f>
        <v>24</v>
      </c>
    </row>
    <row r="155" spans="1:9" x14ac:dyDescent="0.25">
      <c r="A155">
        <f ca="1">RANK(E155,E$2:E$350)</f>
        <v>154</v>
      </c>
      <c r="B155" t="s">
        <v>959</v>
      </c>
      <c r="C155" t="s">
        <v>35</v>
      </c>
      <c r="D155">
        <f ca="1">INDEX(INDIRECT($C155&amp;"!P:P"),MATCH($B155,INDIRECT($C155&amp;"!B:B"),0))</f>
        <v>48.400000000000006</v>
      </c>
      <c r="E155" s="6">
        <f ca="1">D155-LARGE(D$2:D$284,TECount+WRCount)</f>
        <v>-66.64</v>
      </c>
      <c r="F155" t="str">
        <f ca="1">IF(H155&lt;=I155,"Starter",IF(G155&gt;=LARGE(G:G,FlexOn*LeagueInfo!$F$2),"Starter","Bench"))</f>
        <v>Bench</v>
      </c>
      <c r="G155">
        <f ca="1">IF(H155&gt;I155,D155,0)</f>
        <v>48.400000000000006</v>
      </c>
      <c r="H155">
        <f ca="1">INDEX(INDIRECT(""&amp;C155&amp;"!A2:A489"),MATCH(B155,INDIRECT(""&amp;C155&amp;"!B2:B489"),0))</f>
        <v>112</v>
      </c>
      <c r="I155">
        <f>IF(C155="WR",LeagueInfo!$D$5*LeagueInfo!$F$2,LeagueInfo!$D$6*LeagueInfo!$F$2)</f>
        <v>24</v>
      </c>
    </row>
    <row r="156" spans="1:9" x14ac:dyDescent="0.25">
      <c r="A156">
        <f ca="1">RANK(E156,E$2:E$350)</f>
        <v>155</v>
      </c>
      <c r="B156" t="s">
        <v>409</v>
      </c>
      <c r="C156" t="s">
        <v>35</v>
      </c>
      <c r="D156">
        <f ca="1">INDEX(INDIRECT($C156&amp;"!P:P"),MATCH($B156,INDIRECT($C156&amp;"!B:B"),0))</f>
        <v>47.5</v>
      </c>
      <c r="E156" s="6">
        <f ca="1">D156-LARGE(D$2:D$284,TECount+WRCount)</f>
        <v>-67.540000000000006</v>
      </c>
      <c r="F156" t="str">
        <f ca="1">IF(H156&lt;=I156,"Starter",IF(G156&gt;=LARGE(G:G,FlexOn*LeagueInfo!$F$2),"Starter","Bench"))</f>
        <v>Bench</v>
      </c>
      <c r="G156">
        <f ca="1">IF(H156&gt;I156,D156,0)</f>
        <v>47.5</v>
      </c>
      <c r="H156">
        <f ca="1">INDEX(INDIRECT(""&amp;C156&amp;"!A2:A489"),MATCH(B156,INDIRECT(""&amp;C156&amp;"!B2:B489"),0))</f>
        <v>113</v>
      </c>
      <c r="I156">
        <f>IF(C156="WR",LeagueInfo!$D$5*LeagueInfo!$F$2,LeagueInfo!$D$6*LeagueInfo!$F$2)</f>
        <v>24</v>
      </c>
    </row>
    <row r="157" spans="1:9" x14ac:dyDescent="0.25">
      <c r="A157">
        <f ca="1">RANK(E157,E$2:E$350)</f>
        <v>156</v>
      </c>
      <c r="B157" t="s">
        <v>593</v>
      </c>
      <c r="C157" t="s">
        <v>43</v>
      </c>
      <c r="D157">
        <f ca="1">INDEX(INDIRECT($C157&amp;"!P:P"),MATCH($B157,INDIRECT($C157&amp;"!B:B"),0))</f>
        <v>47.320000000000007</v>
      </c>
      <c r="E157" s="6">
        <f ca="1">D157-LARGE(D$2:D$284,TECount+WRCount)</f>
        <v>-67.72</v>
      </c>
      <c r="F157" t="str">
        <f ca="1">IF(H157&lt;=I157,"Starter",IF(G157&gt;=LARGE(G:G,FlexOn*LeagueInfo!$F$2),"Starter","Bench"))</f>
        <v>Bench</v>
      </c>
      <c r="G157">
        <f ca="1">IF(H157&gt;I157,D157,0)</f>
        <v>47.320000000000007</v>
      </c>
      <c r="H157">
        <f ca="1">INDEX(INDIRECT(""&amp;C157&amp;"!A2:A489"),MATCH(B157,INDIRECT(""&amp;C157&amp;"!B2:B489"),0))</f>
        <v>43</v>
      </c>
      <c r="I157">
        <f>IF(C157="WR",LeagueInfo!$D$5*LeagueInfo!$F$2,LeagueInfo!$D$6*LeagueInfo!$F$2)</f>
        <v>12</v>
      </c>
    </row>
    <row r="158" spans="1:9" x14ac:dyDescent="0.25">
      <c r="A158">
        <f ca="1">RANK(E158,E$2:E$350)</f>
        <v>157</v>
      </c>
      <c r="B158" t="s">
        <v>830</v>
      </c>
      <c r="C158" t="s">
        <v>43</v>
      </c>
      <c r="D158">
        <f ca="1">INDEX(INDIRECT($C158&amp;"!P:P"),MATCH($B158,INDIRECT($C158&amp;"!B:B"),0))</f>
        <v>46.85</v>
      </c>
      <c r="E158" s="6">
        <f ca="1">D158-LARGE(D$2:D$284,TECount+WRCount)</f>
        <v>-68.19</v>
      </c>
      <c r="F158" t="str">
        <f ca="1">IF(H158&lt;=I158,"Starter",IF(G158&gt;=LARGE(G:G,FlexOn*LeagueInfo!$F$2),"Starter","Bench"))</f>
        <v>Bench</v>
      </c>
      <c r="G158">
        <f ca="1">IF(H158&gt;I158,D158,0)</f>
        <v>46.85</v>
      </c>
      <c r="H158">
        <f ca="1">INDEX(INDIRECT(""&amp;C158&amp;"!A2:A489"),MATCH(B158,INDIRECT(""&amp;C158&amp;"!B2:B489"),0))</f>
        <v>44</v>
      </c>
      <c r="I158">
        <f>IF(C158="WR",LeagueInfo!$D$5*LeagueInfo!$F$2,LeagueInfo!$D$6*LeagueInfo!$F$2)</f>
        <v>12</v>
      </c>
    </row>
    <row r="159" spans="1:9" x14ac:dyDescent="0.25">
      <c r="A159">
        <f ca="1">RANK(E159,E$2:E$350)</f>
        <v>158</v>
      </c>
      <c r="B159" t="s">
        <v>952</v>
      </c>
      <c r="C159" t="s">
        <v>35</v>
      </c>
      <c r="D159">
        <f ca="1">INDEX(INDIRECT($C159&amp;"!P:P"),MATCH($B159,INDIRECT($C159&amp;"!B:B"),0))</f>
        <v>46.81</v>
      </c>
      <c r="E159" s="6">
        <f ca="1">D159-LARGE(D$2:D$284,TECount+WRCount)</f>
        <v>-68.23</v>
      </c>
      <c r="F159" t="str">
        <f ca="1">IF(H159&lt;=I159,"Starter",IF(G159&gt;=LARGE(G:G,FlexOn*LeagueInfo!$F$2),"Starter","Bench"))</f>
        <v>Bench</v>
      </c>
      <c r="G159">
        <f ca="1">IF(H159&gt;I159,D159,0)</f>
        <v>46.81</v>
      </c>
      <c r="H159">
        <f ca="1">INDEX(INDIRECT(""&amp;C159&amp;"!A2:A489"),MATCH(B159,INDIRECT(""&amp;C159&amp;"!B2:B489"),0))</f>
        <v>114</v>
      </c>
      <c r="I159">
        <f>IF(C159="WR",LeagueInfo!$D$5*LeagueInfo!$F$2,LeagueInfo!$D$6*LeagueInfo!$F$2)</f>
        <v>24</v>
      </c>
    </row>
    <row r="160" spans="1:9" x14ac:dyDescent="0.25">
      <c r="A160">
        <f ca="1">RANK(E160,E$2:E$350)</f>
        <v>159</v>
      </c>
      <c r="B160" t="s">
        <v>2473</v>
      </c>
      <c r="C160" t="s">
        <v>43</v>
      </c>
      <c r="D160">
        <f ca="1">INDEX(INDIRECT($C160&amp;"!P:P"),MATCH($B160,INDIRECT($C160&amp;"!B:B"),0))</f>
        <v>46.19</v>
      </c>
      <c r="E160" s="6">
        <f ca="1">D160-LARGE(D$2:D$284,TECount+WRCount)</f>
        <v>-68.850000000000009</v>
      </c>
      <c r="F160" t="str">
        <f ca="1">IF(H160&lt;=I160,"Starter",IF(G160&gt;=LARGE(G:G,FlexOn*LeagueInfo!$F$2),"Starter","Bench"))</f>
        <v>Bench</v>
      </c>
      <c r="G160">
        <f ca="1">IF(H160&gt;I160,D160,0)</f>
        <v>46.19</v>
      </c>
      <c r="H160">
        <f ca="1">INDEX(INDIRECT(""&amp;C160&amp;"!A2:A489"),MATCH(B160,INDIRECT(""&amp;C160&amp;"!B2:B489"),0))</f>
        <v>45</v>
      </c>
      <c r="I160">
        <f>IF(C160="WR",LeagueInfo!$D$5*LeagueInfo!$F$2,LeagueInfo!$D$6*LeagueInfo!$F$2)</f>
        <v>12</v>
      </c>
    </row>
    <row r="161" spans="1:9" x14ac:dyDescent="0.25">
      <c r="A161">
        <f ca="1">RANK(E161,E$2:E$350)</f>
        <v>160</v>
      </c>
      <c r="B161" t="s">
        <v>974</v>
      </c>
      <c r="C161" t="s">
        <v>43</v>
      </c>
      <c r="D161">
        <f ca="1">INDEX(INDIRECT($C161&amp;"!P:P"),MATCH($B161,INDIRECT($C161&amp;"!B:B"),0))</f>
        <v>45.650000000000006</v>
      </c>
      <c r="E161" s="6">
        <f ca="1">D161-LARGE(D$2:D$284,TECount+WRCount)</f>
        <v>-69.39</v>
      </c>
      <c r="F161" t="str">
        <f ca="1">IF(H161&lt;=I161,"Starter",IF(G161&gt;=LARGE(G:G,FlexOn*LeagueInfo!$F$2),"Starter","Bench"))</f>
        <v>Bench</v>
      </c>
      <c r="G161">
        <f ca="1">IF(H161&gt;I161,D161,0)</f>
        <v>45.650000000000006</v>
      </c>
      <c r="H161">
        <f ca="1">INDEX(INDIRECT(""&amp;C161&amp;"!A2:A489"),MATCH(B161,INDIRECT(""&amp;C161&amp;"!B2:B489"),0))</f>
        <v>46</v>
      </c>
      <c r="I161">
        <f>IF(C161="WR",LeagueInfo!$D$5*LeagueInfo!$F$2,LeagueInfo!$D$6*LeagueInfo!$F$2)</f>
        <v>12</v>
      </c>
    </row>
    <row r="162" spans="1:9" x14ac:dyDescent="0.25">
      <c r="A162">
        <f ca="1">RANK(E162,E$2:E$350)</f>
        <v>161</v>
      </c>
      <c r="B162" t="s">
        <v>752</v>
      </c>
      <c r="C162" t="s">
        <v>43</v>
      </c>
      <c r="D162">
        <f ca="1">INDEX(INDIRECT($C162&amp;"!P:P"),MATCH($B162,INDIRECT($C162&amp;"!B:B"),0))</f>
        <v>45.01</v>
      </c>
      <c r="E162" s="6">
        <f ca="1">D162-LARGE(D$2:D$284,TECount+WRCount)</f>
        <v>-70.03</v>
      </c>
      <c r="F162" t="str">
        <f ca="1">IF(H162&lt;=I162,"Starter",IF(G162&gt;=LARGE(G:G,FlexOn*LeagueInfo!$F$2),"Starter","Bench"))</f>
        <v>Bench</v>
      </c>
      <c r="G162">
        <f ca="1">IF(H162&gt;I162,D162,0)</f>
        <v>45.01</v>
      </c>
      <c r="H162">
        <f ca="1">INDEX(INDIRECT(""&amp;C162&amp;"!A2:A489"),MATCH(B162,INDIRECT(""&amp;C162&amp;"!B2:B489"),0))</f>
        <v>47</v>
      </c>
      <c r="I162">
        <f>IF(C162="WR",LeagueInfo!$D$5*LeagueInfo!$F$2,LeagueInfo!$D$6*LeagueInfo!$F$2)</f>
        <v>12</v>
      </c>
    </row>
    <row r="163" spans="1:9" x14ac:dyDescent="0.25">
      <c r="A163">
        <f ca="1">RANK(E163,E$2:E$350)</f>
        <v>162</v>
      </c>
      <c r="B163" t="s">
        <v>867</v>
      </c>
      <c r="C163" t="s">
        <v>35</v>
      </c>
      <c r="D163">
        <f ca="1">INDEX(INDIRECT($C163&amp;"!P:P"),MATCH($B163,INDIRECT($C163&amp;"!B:B"),0))</f>
        <v>44.370000000000005</v>
      </c>
      <c r="E163" s="6">
        <f ca="1">D163-LARGE(D$2:D$284,TECount+WRCount)</f>
        <v>-70.67</v>
      </c>
      <c r="F163" t="str">
        <f ca="1">IF(H163&lt;=I163,"Starter",IF(G163&gt;=LARGE(G:G,FlexOn*LeagueInfo!$F$2),"Starter","Bench"))</f>
        <v>Bench</v>
      </c>
      <c r="G163">
        <f ca="1">IF(H163&gt;I163,D163,0)</f>
        <v>44.370000000000005</v>
      </c>
      <c r="H163">
        <f ca="1">INDEX(INDIRECT(""&amp;C163&amp;"!A2:A489"),MATCH(B163,INDIRECT(""&amp;C163&amp;"!B2:B489"),0))</f>
        <v>115</v>
      </c>
      <c r="I163">
        <f>IF(C163="WR",LeagueInfo!$D$5*LeagueInfo!$F$2,LeagueInfo!$D$6*LeagueInfo!$F$2)</f>
        <v>24</v>
      </c>
    </row>
    <row r="164" spans="1:9" x14ac:dyDescent="0.25">
      <c r="A164">
        <f ca="1">RANK(E164,E$2:E$350)</f>
        <v>163</v>
      </c>
      <c r="B164" t="s">
        <v>595</v>
      </c>
      <c r="C164" t="s">
        <v>43</v>
      </c>
      <c r="D164">
        <f ca="1">INDEX(INDIRECT($C164&amp;"!P:P"),MATCH($B164,INDIRECT($C164&amp;"!B:B"),0))</f>
        <v>43.61</v>
      </c>
      <c r="E164" s="6">
        <f ca="1">D164-LARGE(D$2:D$284,TECount+WRCount)</f>
        <v>-71.430000000000007</v>
      </c>
      <c r="F164" t="str">
        <f ca="1">IF(H164&lt;=I164,"Starter",IF(G164&gt;=LARGE(G:G,FlexOn*LeagueInfo!$F$2),"Starter","Bench"))</f>
        <v>Bench</v>
      </c>
      <c r="G164">
        <f ca="1">IF(H164&gt;I164,D164,0)</f>
        <v>43.61</v>
      </c>
      <c r="H164">
        <f ca="1">INDEX(INDIRECT(""&amp;C164&amp;"!A2:A489"),MATCH(B164,INDIRECT(""&amp;C164&amp;"!B2:B489"),0))</f>
        <v>48</v>
      </c>
      <c r="I164">
        <f>IF(C164="WR",LeagueInfo!$D$5*LeagueInfo!$F$2,LeagueInfo!$D$6*LeagueInfo!$F$2)</f>
        <v>12</v>
      </c>
    </row>
    <row r="165" spans="1:9" x14ac:dyDescent="0.25">
      <c r="A165">
        <f ca="1">RANK(E165,E$2:E$350)</f>
        <v>164</v>
      </c>
      <c r="B165" t="s">
        <v>825</v>
      </c>
      <c r="C165" t="s">
        <v>43</v>
      </c>
      <c r="D165">
        <f ca="1">INDEX(INDIRECT($C165&amp;"!P:P"),MATCH($B165,INDIRECT($C165&amp;"!B:B"),0))</f>
        <v>40.680000000000007</v>
      </c>
      <c r="E165" s="6">
        <f ca="1">D165-LARGE(D$2:D$284,TECount+WRCount)</f>
        <v>-74.36</v>
      </c>
      <c r="F165" t="str">
        <f ca="1">IF(H165&lt;=I165,"Starter",IF(G165&gt;=LARGE(G:G,FlexOn*LeagueInfo!$F$2),"Starter","Bench"))</f>
        <v>Bench</v>
      </c>
      <c r="G165">
        <f ca="1">IF(H165&gt;I165,D165,0)</f>
        <v>40.680000000000007</v>
      </c>
      <c r="H165">
        <f ca="1">INDEX(INDIRECT(""&amp;C165&amp;"!A2:A489"),MATCH(B165,INDIRECT(""&amp;C165&amp;"!B2:B489"),0))</f>
        <v>49</v>
      </c>
      <c r="I165">
        <f>IF(C165="WR",LeagueInfo!$D$5*LeagueInfo!$F$2,LeagueInfo!$D$6*LeagueInfo!$F$2)</f>
        <v>12</v>
      </c>
    </row>
    <row r="166" spans="1:9" x14ac:dyDescent="0.25">
      <c r="A166">
        <f ca="1">RANK(E166,E$2:E$350)</f>
        <v>165</v>
      </c>
      <c r="B166" t="s">
        <v>850</v>
      </c>
      <c r="C166" t="s">
        <v>35</v>
      </c>
      <c r="D166">
        <f ca="1">INDEX(INDIRECT($C166&amp;"!P:P"),MATCH($B166,INDIRECT($C166&amp;"!B:B"),0))</f>
        <v>40.329999999999991</v>
      </c>
      <c r="E166" s="6">
        <f ca="1">D166-LARGE(D$2:D$284,TECount+WRCount)</f>
        <v>-74.710000000000008</v>
      </c>
      <c r="F166" t="str">
        <f ca="1">IF(H166&lt;=I166,"Starter",IF(G166&gt;=LARGE(G:G,FlexOn*LeagueInfo!$F$2),"Starter","Bench"))</f>
        <v>Bench</v>
      </c>
      <c r="G166">
        <f ca="1">IF(H166&gt;I166,D166,0)</f>
        <v>40.329999999999991</v>
      </c>
      <c r="H166">
        <f ca="1">INDEX(INDIRECT(""&amp;C166&amp;"!A2:A489"),MATCH(B166,INDIRECT(""&amp;C166&amp;"!B2:B489"),0))</f>
        <v>116</v>
      </c>
      <c r="I166">
        <f>IF(C166="WR",LeagueInfo!$D$5*LeagueInfo!$F$2,LeagueInfo!$D$6*LeagueInfo!$F$2)</f>
        <v>24</v>
      </c>
    </row>
    <row r="167" spans="1:9" x14ac:dyDescent="0.25">
      <c r="A167">
        <f ca="1">RANK(E167,E$2:E$350)</f>
        <v>166</v>
      </c>
      <c r="B167" t="s">
        <v>539</v>
      </c>
      <c r="C167" t="s">
        <v>43</v>
      </c>
      <c r="D167">
        <f ca="1">INDEX(INDIRECT($C167&amp;"!P:P"),MATCH($B167,INDIRECT($C167&amp;"!B:B"),0))</f>
        <v>39.700000000000003</v>
      </c>
      <c r="E167" s="6">
        <f ca="1">D167-LARGE(D$2:D$284,TECount+WRCount)</f>
        <v>-75.34</v>
      </c>
      <c r="F167" t="str">
        <f ca="1">IF(H167&lt;=I167,"Starter",IF(G167&gt;=LARGE(G:G,FlexOn*LeagueInfo!$F$2),"Starter","Bench"))</f>
        <v>Bench</v>
      </c>
      <c r="G167">
        <f ca="1">IF(H167&gt;I167,D167,0)</f>
        <v>39.700000000000003</v>
      </c>
      <c r="H167">
        <f ca="1">INDEX(INDIRECT(""&amp;C167&amp;"!A2:A489"),MATCH(B167,INDIRECT(""&amp;C167&amp;"!B2:B489"),0))</f>
        <v>50</v>
      </c>
      <c r="I167">
        <f>IF(C167="WR",LeagueInfo!$D$5*LeagueInfo!$F$2,LeagueInfo!$D$6*LeagueInfo!$F$2)</f>
        <v>12</v>
      </c>
    </row>
    <row r="168" spans="1:9" x14ac:dyDescent="0.25">
      <c r="A168">
        <f ca="1">RANK(E168,E$2:E$350)</f>
        <v>167</v>
      </c>
      <c r="B168" t="s">
        <v>2474</v>
      </c>
      <c r="C168" t="s">
        <v>43</v>
      </c>
      <c r="D168">
        <f ca="1">INDEX(INDIRECT($C168&amp;"!P:P"),MATCH($B168,INDIRECT($C168&amp;"!B:B"),0))</f>
        <v>39.659999999999997</v>
      </c>
      <c r="E168" s="6">
        <f ca="1">D168-LARGE(D$2:D$284,TECount+WRCount)</f>
        <v>-75.38000000000001</v>
      </c>
      <c r="F168" t="str">
        <f ca="1">IF(H168&lt;=I168,"Starter",IF(G168&gt;=LARGE(G:G,FlexOn*LeagueInfo!$F$2),"Starter","Bench"))</f>
        <v>Bench</v>
      </c>
      <c r="G168">
        <f ca="1">IF(H168&gt;I168,D168,0)</f>
        <v>39.659999999999997</v>
      </c>
      <c r="H168">
        <f ca="1">INDEX(INDIRECT(""&amp;C168&amp;"!A2:A489"),MATCH(B168,INDIRECT(""&amp;C168&amp;"!B2:B489"),0))</f>
        <v>51</v>
      </c>
      <c r="I168">
        <f>IF(C168="WR",LeagueInfo!$D$5*LeagueInfo!$F$2,LeagueInfo!$D$6*LeagueInfo!$F$2)</f>
        <v>12</v>
      </c>
    </row>
    <row r="169" spans="1:9" x14ac:dyDescent="0.25">
      <c r="A169">
        <f ca="1">RANK(E169,E$2:E$350)</f>
        <v>168</v>
      </c>
      <c r="B169" t="s">
        <v>196</v>
      </c>
      <c r="C169" t="s">
        <v>43</v>
      </c>
      <c r="D169">
        <f ca="1">INDEX(INDIRECT($C169&amp;"!P:P"),MATCH($B169,INDIRECT($C169&amp;"!B:B"),0))</f>
        <v>39.29</v>
      </c>
      <c r="E169" s="6">
        <f ca="1">D169-LARGE(D$2:D$284,TECount+WRCount)</f>
        <v>-75.75</v>
      </c>
      <c r="F169" t="str">
        <f ca="1">IF(H169&lt;=I169,"Starter",IF(G169&gt;=LARGE(G:G,FlexOn*LeagueInfo!$F$2),"Starter","Bench"))</f>
        <v>Bench</v>
      </c>
      <c r="G169">
        <f ca="1">IF(H169&gt;I169,D169,0)</f>
        <v>39.29</v>
      </c>
      <c r="H169">
        <f ca="1">INDEX(INDIRECT(""&amp;C169&amp;"!A2:A489"),MATCH(B169,INDIRECT(""&amp;C169&amp;"!B2:B489"),0))</f>
        <v>52</v>
      </c>
      <c r="I169">
        <f>IF(C169="WR",LeagueInfo!$D$5*LeagueInfo!$F$2,LeagueInfo!$D$6*LeagueInfo!$F$2)</f>
        <v>12</v>
      </c>
    </row>
    <row r="170" spans="1:9" x14ac:dyDescent="0.25">
      <c r="A170">
        <f ca="1">RANK(E170,E$2:E$350)</f>
        <v>169</v>
      </c>
      <c r="B170" t="s">
        <v>2475</v>
      </c>
      <c r="C170" t="s">
        <v>43</v>
      </c>
      <c r="D170">
        <f ca="1">INDEX(INDIRECT($C170&amp;"!P:P"),MATCH($B170,INDIRECT($C170&amp;"!B:B"),0))</f>
        <v>39.06</v>
      </c>
      <c r="E170" s="6">
        <f ca="1">D170-LARGE(D$2:D$284,TECount+WRCount)</f>
        <v>-75.98</v>
      </c>
      <c r="F170" t="str">
        <f ca="1">IF(H170&lt;=I170,"Starter",IF(G170&gt;=LARGE(G:G,FlexOn*LeagueInfo!$F$2),"Starter","Bench"))</f>
        <v>Bench</v>
      </c>
      <c r="G170">
        <f ca="1">IF(H170&gt;I170,D170,0)</f>
        <v>39.06</v>
      </c>
      <c r="H170">
        <f ca="1">INDEX(INDIRECT(""&amp;C170&amp;"!A2:A489"),MATCH(B170,INDIRECT(""&amp;C170&amp;"!B2:B489"),0))</f>
        <v>53</v>
      </c>
      <c r="I170">
        <f>IF(C170="WR",LeagueInfo!$D$5*LeagueInfo!$F$2,LeagueInfo!$D$6*LeagueInfo!$F$2)</f>
        <v>12</v>
      </c>
    </row>
    <row r="171" spans="1:9" x14ac:dyDescent="0.25">
      <c r="A171">
        <f ca="1">RANK(E171,E$2:E$350)</f>
        <v>170</v>
      </c>
      <c r="B171" t="s">
        <v>406</v>
      </c>
      <c r="C171" t="s">
        <v>35</v>
      </c>
      <c r="D171">
        <f ca="1">INDEX(INDIRECT($C171&amp;"!P:P"),MATCH($B171,INDIRECT($C171&amp;"!B:B"),0))</f>
        <v>38.86</v>
      </c>
      <c r="E171" s="6">
        <f ca="1">D171-LARGE(D$2:D$284,TECount+WRCount)</f>
        <v>-76.180000000000007</v>
      </c>
      <c r="F171" t="str">
        <f ca="1">IF(H171&lt;=I171,"Starter",IF(G171&gt;=LARGE(G:G,FlexOn*LeagueInfo!$F$2),"Starter","Bench"))</f>
        <v>Bench</v>
      </c>
      <c r="G171">
        <f ca="1">IF(H171&gt;I171,D171,0)</f>
        <v>38.86</v>
      </c>
      <c r="H171">
        <f ca="1">INDEX(INDIRECT(""&amp;C171&amp;"!A2:A489"),MATCH(B171,INDIRECT(""&amp;C171&amp;"!B2:B489"),0))</f>
        <v>117</v>
      </c>
      <c r="I171">
        <f>IF(C171="WR",LeagueInfo!$D$5*LeagueInfo!$F$2,LeagueInfo!$D$6*LeagueInfo!$F$2)</f>
        <v>24</v>
      </c>
    </row>
    <row r="172" spans="1:9" x14ac:dyDescent="0.25">
      <c r="A172">
        <f ca="1">RANK(E172,E$2:E$350)</f>
        <v>171</v>
      </c>
      <c r="B172" t="s">
        <v>846</v>
      </c>
      <c r="C172" t="s">
        <v>35</v>
      </c>
      <c r="D172">
        <f ca="1">INDEX(INDIRECT($C172&amp;"!P:P"),MATCH($B172,INDIRECT($C172&amp;"!B:B"),0))</f>
        <v>38.599999999999994</v>
      </c>
      <c r="E172" s="6">
        <f ca="1">D172-LARGE(D$2:D$284,TECount+WRCount)</f>
        <v>-76.440000000000012</v>
      </c>
      <c r="F172" t="str">
        <f ca="1">IF(H172&lt;=I172,"Starter",IF(G172&gt;=LARGE(G:G,FlexOn*LeagueInfo!$F$2),"Starter","Bench"))</f>
        <v>Bench</v>
      </c>
      <c r="G172">
        <f ca="1">IF(H172&gt;I172,D172,0)</f>
        <v>38.599999999999994</v>
      </c>
      <c r="H172">
        <f ca="1">INDEX(INDIRECT(""&amp;C172&amp;"!A2:A489"),MATCH(B172,INDIRECT(""&amp;C172&amp;"!B2:B489"),0))</f>
        <v>118</v>
      </c>
      <c r="I172">
        <f>IF(C172="WR",LeagueInfo!$D$5*LeagueInfo!$F$2,LeagueInfo!$D$6*LeagueInfo!$F$2)</f>
        <v>24</v>
      </c>
    </row>
    <row r="173" spans="1:9" x14ac:dyDescent="0.25">
      <c r="A173">
        <f ca="1">RANK(E173,E$2:E$350)</f>
        <v>172</v>
      </c>
      <c r="B173" t="s">
        <v>985</v>
      </c>
      <c r="C173" t="s">
        <v>43</v>
      </c>
      <c r="D173">
        <f ca="1">INDEX(INDIRECT($C173&amp;"!P:P"),MATCH($B173,INDIRECT($C173&amp;"!B:B"),0))</f>
        <v>38.19</v>
      </c>
      <c r="E173" s="6">
        <f ca="1">D173-LARGE(D$2:D$284,TECount+WRCount)</f>
        <v>-76.850000000000009</v>
      </c>
      <c r="F173" t="str">
        <f ca="1">IF(H173&lt;=I173,"Starter",IF(G173&gt;=LARGE(G:G,FlexOn*LeagueInfo!$F$2),"Starter","Bench"))</f>
        <v>Bench</v>
      </c>
      <c r="G173">
        <f ca="1">IF(H173&gt;I173,D173,0)</f>
        <v>38.19</v>
      </c>
      <c r="H173">
        <f ca="1">INDEX(INDIRECT(""&amp;C173&amp;"!A2:A489"),MATCH(B173,INDIRECT(""&amp;C173&amp;"!B2:B489"),0))</f>
        <v>54</v>
      </c>
      <c r="I173">
        <f>IF(C173="WR",LeagueInfo!$D$5*LeagueInfo!$F$2,LeagueInfo!$D$6*LeagueInfo!$F$2)</f>
        <v>12</v>
      </c>
    </row>
    <row r="174" spans="1:9" x14ac:dyDescent="0.25">
      <c r="A174">
        <f ca="1">RANK(E174,E$2:E$350)</f>
        <v>173</v>
      </c>
      <c r="B174" t="s">
        <v>398</v>
      </c>
      <c r="C174" t="s">
        <v>35</v>
      </c>
      <c r="D174">
        <f ca="1">INDEX(INDIRECT($C174&amp;"!P:P"),MATCH($B174,INDIRECT($C174&amp;"!B:B"),0))</f>
        <v>37.970000000000006</v>
      </c>
      <c r="E174" s="6">
        <f ca="1">D174-LARGE(D$2:D$284,TECount+WRCount)</f>
        <v>-77.069999999999993</v>
      </c>
      <c r="F174" t="str">
        <f ca="1">IF(H174&lt;=I174,"Starter",IF(G174&gt;=LARGE(G:G,FlexOn*LeagueInfo!$F$2),"Starter","Bench"))</f>
        <v>Bench</v>
      </c>
      <c r="G174">
        <f ca="1">IF(H174&gt;I174,D174,0)</f>
        <v>37.970000000000006</v>
      </c>
      <c r="H174">
        <f ca="1">INDEX(INDIRECT(""&amp;C174&amp;"!A2:A489"),MATCH(B174,INDIRECT(""&amp;C174&amp;"!B2:B489"),0))</f>
        <v>119</v>
      </c>
      <c r="I174">
        <f>IF(C174="WR",LeagueInfo!$D$5*LeagueInfo!$F$2,LeagueInfo!$D$6*LeagueInfo!$F$2)</f>
        <v>24</v>
      </c>
    </row>
    <row r="175" spans="1:9" x14ac:dyDescent="0.25">
      <c r="A175">
        <f ca="1">RANK(E175,E$2:E$350)</f>
        <v>174</v>
      </c>
      <c r="B175" t="s">
        <v>395</v>
      </c>
      <c r="C175" t="s">
        <v>35</v>
      </c>
      <c r="D175">
        <f ca="1">INDEX(INDIRECT($C175&amp;"!P:P"),MATCH($B175,INDIRECT($C175&amp;"!B:B"),0))</f>
        <v>37.93</v>
      </c>
      <c r="E175" s="6">
        <f ca="1">D175-LARGE(D$2:D$284,TECount+WRCount)</f>
        <v>-77.110000000000014</v>
      </c>
      <c r="F175" t="str">
        <f ca="1">IF(H175&lt;=I175,"Starter",IF(G175&gt;=LARGE(G:G,FlexOn*LeagueInfo!$F$2),"Starter","Bench"))</f>
        <v>Bench</v>
      </c>
      <c r="G175">
        <f ca="1">IF(H175&gt;I175,D175,0)</f>
        <v>37.93</v>
      </c>
      <c r="H175">
        <f ca="1">INDEX(INDIRECT(""&amp;C175&amp;"!A2:A489"),MATCH(B175,INDIRECT(""&amp;C175&amp;"!B2:B489"),0))</f>
        <v>120</v>
      </c>
      <c r="I175">
        <f>IF(C175="WR",LeagueInfo!$D$5*LeagueInfo!$F$2,LeagueInfo!$D$6*LeagueInfo!$F$2)</f>
        <v>24</v>
      </c>
    </row>
    <row r="176" spans="1:9" x14ac:dyDescent="0.25">
      <c r="A176">
        <f ca="1">RANK(E176,E$2:E$350)</f>
        <v>175</v>
      </c>
      <c r="B176" t="s">
        <v>720</v>
      </c>
      <c r="C176" t="s">
        <v>35</v>
      </c>
      <c r="D176">
        <f ca="1">INDEX(INDIRECT($C176&amp;"!P:P"),MATCH($B176,INDIRECT($C176&amp;"!B:B"),0))</f>
        <v>37.92</v>
      </c>
      <c r="E176" s="6">
        <f ca="1">D176-LARGE(D$2:D$284,TECount+WRCount)</f>
        <v>-77.12</v>
      </c>
      <c r="F176" t="str">
        <f ca="1">IF(H176&lt;=I176,"Starter",IF(G176&gt;=LARGE(G:G,FlexOn*LeagueInfo!$F$2),"Starter","Bench"))</f>
        <v>Bench</v>
      </c>
      <c r="G176">
        <f ca="1">IF(H176&gt;I176,D176,0)</f>
        <v>37.92</v>
      </c>
      <c r="H176">
        <f ca="1">INDEX(INDIRECT(""&amp;C176&amp;"!A2:A489"),MATCH(B176,INDIRECT(""&amp;C176&amp;"!B2:B489"),0))</f>
        <v>121</v>
      </c>
      <c r="I176">
        <f>IF(C176="WR",LeagueInfo!$D$5*LeagueInfo!$F$2,LeagueInfo!$D$6*LeagueInfo!$F$2)</f>
        <v>24</v>
      </c>
    </row>
    <row r="177" spans="1:9" x14ac:dyDescent="0.25">
      <c r="A177">
        <f ca="1">RANK(E177,E$2:E$350)</f>
        <v>176</v>
      </c>
      <c r="B177" t="s">
        <v>822</v>
      </c>
      <c r="C177" t="s">
        <v>43</v>
      </c>
      <c r="D177">
        <f ca="1">INDEX(INDIRECT($C177&amp;"!P:P"),MATCH($B177,INDIRECT($C177&amp;"!B:B"),0))</f>
        <v>37.67</v>
      </c>
      <c r="E177" s="6">
        <f ca="1">D177-LARGE(D$2:D$284,TECount+WRCount)</f>
        <v>-77.37</v>
      </c>
      <c r="F177" t="str">
        <f ca="1">IF(H177&lt;=I177,"Starter",IF(G177&gt;=LARGE(G:G,FlexOn*LeagueInfo!$F$2),"Starter","Bench"))</f>
        <v>Bench</v>
      </c>
      <c r="G177">
        <f ca="1">IF(H177&gt;I177,D177,0)</f>
        <v>37.67</v>
      </c>
      <c r="H177">
        <f ca="1">INDEX(INDIRECT(""&amp;C177&amp;"!A2:A489"),MATCH(B177,INDIRECT(""&amp;C177&amp;"!B2:B489"),0))</f>
        <v>55</v>
      </c>
      <c r="I177">
        <f>IF(C177="WR",LeagueInfo!$D$5*LeagueInfo!$F$2,LeagueInfo!$D$6*LeagueInfo!$F$2)</f>
        <v>12</v>
      </c>
    </row>
    <row r="178" spans="1:9" x14ac:dyDescent="0.25">
      <c r="A178">
        <f ca="1">RANK(E178,E$2:E$350)</f>
        <v>177</v>
      </c>
      <c r="B178" t="s">
        <v>847</v>
      </c>
      <c r="C178" t="s">
        <v>35</v>
      </c>
      <c r="D178">
        <f ca="1">INDEX(INDIRECT($C178&amp;"!P:P"),MATCH($B178,INDIRECT($C178&amp;"!B:B"),0))</f>
        <v>37.64</v>
      </c>
      <c r="E178" s="6">
        <f ca="1">D178-LARGE(D$2:D$284,TECount+WRCount)</f>
        <v>-77.400000000000006</v>
      </c>
      <c r="F178" t="str">
        <f ca="1">IF(H178&lt;=I178,"Starter",IF(G178&gt;=LARGE(G:G,FlexOn*LeagueInfo!$F$2),"Starter","Bench"))</f>
        <v>Bench</v>
      </c>
      <c r="G178">
        <f ca="1">IF(H178&gt;I178,D178,0)</f>
        <v>37.64</v>
      </c>
      <c r="H178">
        <f ca="1">INDEX(INDIRECT(""&amp;C178&amp;"!A2:A489"),MATCH(B178,INDIRECT(""&amp;C178&amp;"!B2:B489"),0))</f>
        <v>122</v>
      </c>
      <c r="I178">
        <f>IF(C178="WR",LeagueInfo!$D$5*LeagueInfo!$F$2,LeagueInfo!$D$6*LeagueInfo!$F$2)</f>
        <v>24</v>
      </c>
    </row>
    <row r="179" spans="1:9" x14ac:dyDescent="0.25">
      <c r="A179">
        <f ca="1">RANK(E179,E$2:E$350)</f>
        <v>178</v>
      </c>
      <c r="B179" t="s">
        <v>2660</v>
      </c>
      <c r="C179" t="s">
        <v>35</v>
      </c>
      <c r="D179">
        <f ca="1">INDEX(INDIRECT($C179&amp;"!P:P"),MATCH($B179,INDIRECT($C179&amp;"!B:B"),0))</f>
        <v>36.480000000000004</v>
      </c>
      <c r="E179" s="6">
        <f ca="1">D179-LARGE(D$2:D$284,TECount+WRCount)</f>
        <v>-78.56</v>
      </c>
      <c r="F179" t="str">
        <f ca="1">IF(H179&lt;=I179,"Starter",IF(G179&gt;=LARGE(G:G,FlexOn*LeagueInfo!$F$2),"Starter","Bench"))</f>
        <v>Bench</v>
      </c>
      <c r="G179">
        <f ca="1">IF(H179&gt;I179,D179,0)</f>
        <v>36.480000000000004</v>
      </c>
      <c r="H179">
        <f ca="1">INDEX(INDIRECT(""&amp;C179&amp;"!A2:A489"),MATCH(B179,INDIRECT(""&amp;C179&amp;"!B2:B489"),0))</f>
        <v>123</v>
      </c>
      <c r="I179">
        <f>IF(C179="WR",LeagueInfo!$D$5*LeagueInfo!$F$2,LeagueInfo!$D$6*LeagueInfo!$F$2)</f>
        <v>24</v>
      </c>
    </row>
    <row r="180" spans="1:9" x14ac:dyDescent="0.25">
      <c r="A180">
        <f ca="1">RANK(E180,E$2:E$350)</f>
        <v>179</v>
      </c>
      <c r="B180" t="s">
        <v>594</v>
      </c>
      <c r="C180" t="s">
        <v>43</v>
      </c>
      <c r="D180">
        <f ca="1">INDEX(INDIRECT($C180&amp;"!P:P"),MATCH($B180,INDIRECT($C180&amp;"!B:B"),0))</f>
        <v>36.47</v>
      </c>
      <c r="E180" s="6">
        <f ca="1">D180-LARGE(D$2:D$284,TECount+WRCount)</f>
        <v>-78.570000000000007</v>
      </c>
      <c r="F180" t="str">
        <f ca="1">IF(H180&lt;=I180,"Starter",IF(G180&gt;=LARGE(G:G,FlexOn*LeagueInfo!$F$2),"Starter","Bench"))</f>
        <v>Bench</v>
      </c>
      <c r="G180">
        <f ca="1">IF(H180&gt;I180,D180,0)</f>
        <v>36.47</v>
      </c>
      <c r="H180">
        <f ca="1">INDEX(INDIRECT(""&amp;C180&amp;"!A2:A489"),MATCH(B180,INDIRECT(""&amp;C180&amp;"!B2:B489"),0))</f>
        <v>56</v>
      </c>
      <c r="I180">
        <f>IF(C180="WR",LeagueInfo!$D$5*LeagueInfo!$F$2,LeagueInfo!$D$6*LeagueInfo!$F$2)</f>
        <v>12</v>
      </c>
    </row>
    <row r="181" spans="1:9" x14ac:dyDescent="0.25">
      <c r="A181">
        <f ca="1">RANK(E181,E$2:E$350)</f>
        <v>180</v>
      </c>
      <c r="B181" t="s">
        <v>2476</v>
      </c>
      <c r="C181" t="s">
        <v>43</v>
      </c>
      <c r="D181">
        <f ca="1">INDEX(INDIRECT($C181&amp;"!P:P"),MATCH($B181,INDIRECT($C181&amp;"!B:B"),0))</f>
        <v>35.94</v>
      </c>
      <c r="E181" s="6">
        <f ca="1">D181-LARGE(D$2:D$284,TECount+WRCount)</f>
        <v>-79.100000000000009</v>
      </c>
      <c r="F181" t="str">
        <f ca="1">IF(H181&lt;=I181,"Starter",IF(G181&gt;=LARGE(G:G,FlexOn*LeagueInfo!$F$2),"Starter","Bench"))</f>
        <v>Bench</v>
      </c>
      <c r="G181">
        <f ca="1">IF(H181&gt;I181,D181,0)</f>
        <v>35.94</v>
      </c>
      <c r="H181">
        <f ca="1">INDEX(INDIRECT(""&amp;C181&amp;"!A2:A489"),MATCH(B181,INDIRECT(""&amp;C181&amp;"!B2:B489"),0))</f>
        <v>57</v>
      </c>
      <c r="I181">
        <f>IF(C181="WR",LeagueInfo!$D$5*LeagueInfo!$F$2,LeagueInfo!$D$6*LeagueInfo!$F$2)</f>
        <v>12</v>
      </c>
    </row>
    <row r="182" spans="1:9" x14ac:dyDescent="0.25">
      <c r="A182">
        <f ca="1">RANK(E182,E$2:E$350)</f>
        <v>181</v>
      </c>
      <c r="B182" t="s">
        <v>1002</v>
      </c>
      <c r="C182" t="s">
        <v>35</v>
      </c>
      <c r="D182">
        <f ca="1">INDEX(INDIRECT($C182&amp;"!P:P"),MATCH($B182,INDIRECT($C182&amp;"!B:B"),0))</f>
        <v>35.92</v>
      </c>
      <c r="E182" s="6">
        <f ca="1">D182-LARGE(D$2:D$284,TECount+WRCount)</f>
        <v>-79.12</v>
      </c>
      <c r="F182" t="str">
        <f ca="1">IF(H182&lt;=I182,"Starter",IF(G182&gt;=LARGE(G:G,FlexOn*LeagueInfo!$F$2),"Starter","Bench"))</f>
        <v>Bench</v>
      </c>
      <c r="G182">
        <f ca="1">IF(H182&gt;I182,D182,0)</f>
        <v>35.92</v>
      </c>
      <c r="H182">
        <f ca="1">INDEX(INDIRECT(""&amp;C182&amp;"!A2:A489"),MATCH(B182,INDIRECT(""&amp;C182&amp;"!B2:B489"),0))</f>
        <v>124</v>
      </c>
      <c r="I182">
        <f>IF(C182="WR",LeagueInfo!$D$5*LeagueInfo!$F$2,LeagueInfo!$D$6*LeagueInfo!$F$2)</f>
        <v>24</v>
      </c>
    </row>
    <row r="183" spans="1:9" x14ac:dyDescent="0.25">
      <c r="A183">
        <f ca="1">RANK(E183,E$2:E$350)</f>
        <v>182</v>
      </c>
      <c r="B183" t="s">
        <v>394</v>
      </c>
      <c r="C183" t="s">
        <v>35</v>
      </c>
      <c r="D183">
        <f ca="1">INDEX(INDIRECT($C183&amp;"!P:P"),MATCH($B183,INDIRECT($C183&amp;"!B:B"),0))</f>
        <v>35.159999999999997</v>
      </c>
      <c r="E183" s="6">
        <f ca="1">D183-LARGE(D$2:D$284,TECount+WRCount)</f>
        <v>-79.88000000000001</v>
      </c>
      <c r="F183" t="str">
        <f ca="1">IF(H183&lt;=I183,"Starter",IF(G183&gt;=LARGE(G:G,FlexOn*LeagueInfo!$F$2),"Starter","Bench"))</f>
        <v>Bench</v>
      </c>
      <c r="G183">
        <f ca="1">IF(H183&gt;I183,D183,0)</f>
        <v>35.159999999999997</v>
      </c>
      <c r="H183">
        <f ca="1">INDEX(INDIRECT(""&amp;C183&amp;"!A2:A489"),MATCH(B183,INDIRECT(""&amp;C183&amp;"!B2:B489"),0))</f>
        <v>125</v>
      </c>
      <c r="I183">
        <f>IF(C183="WR",LeagueInfo!$D$5*LeagueInfo!$F$2,LeagueInfo!$D$6*LeagueInfo!$F$2)</f>
        <v>24</v>
      </c>
    </row>
    <row r="184" spans="1:9" x14ac:dyDescent="0.25">
      <c r="A184">
        <f ca="1">RANK(E184,E$2:E$350)</f>
        <v>183</v>
      </c>
      <c r="B184" t="s">
        <v>981</v>
      </c>
      <c r="C184" t="s">
        <v>43</v>
      </c>
      <c r="D184">
        <f ca="1">INDEX(INDIRECT($C184&amp;"!P:P"),MATCH($B184,INDIRECT($C184&amp;"!B:B"),0))</f>
        <v>34.42</v>
      </c>
      <c r="E184" s="6">
        <f ca="1">D184-LARGE(D$2:D$284,TECount+WRCount)</f>
        <v>-80.62</v>
      </c>
      <c r="F184" t="str">
        <f ca="1">IF(H184&lt;=I184,"Starter",IF(G184&gt;=LARGE(G:G,FlexOn*LeagueInfo!$F$2),"Starter","Bench"))</f>
        <v>Bench</v>
      </c>
      <c r="G184">
        <f ca="1">IF(H184&gt;I184,D184,0)</f>
        <v>34.42</v>
      </c>
      <c r="H184">
        <f ca="1">INDEX(INDIRECT(""&amp;C184&amp;"!A2:A489"),MATCH(B184,INDIRECT(""&amp;C184&amp;"!B2:B489"),0))</f>
        <v>58</v>
      </c>
      <c r="I184">
        <f>IF(C184="WR",LeagueInfo!$D$5*LeagueInfo!$F$2,LeagueInfo!$D$6*LeagueInfo!$F$2)</f>
        <v>12</v>
      </c>
    </row>
    <row r="185" spans="1:9" x14ac:dyDescent="0.25">
      <c r="A185">
        <f ca="1">RANK(E185,E$2:E$350)</f>
        <v>184</v>
      </c>
      <c r="B185" t="s">
        <v>596</v>
      </c>
      <c r="C185" t="s">
        <v>43</v>
      </c>
      <c r="D185">
        <f ca="1">INDEX(INDIRECT($C185&amp;"!P:P"),MATCH($B185,INDIRECT($C185&amp;"!B:B"),0))</f>
        <v>33.31</v>
      </c>
      <c r="E185" s="6">
        <f ca="1">D185-LARGE(D$2:D$284,TECount+WRCount)</f>
        <v>-81.73</v>
      </c>
      <c r="F185" t="str">
        <f ca="1">IF(H185&lt;=I185,"Starter",IF(G185&gt;=LARGE(G:G,FlexOn*LeagueInfo!$F$2),"Starter","Bench"))</f>
        <v>Bench</v>
      </c>
      <c r="G185">
        <f ca="1">IF(H185&gt;I185,D185,0)</f>
        <v>33.31</v>
      </c>
      <c r="H185">
        <f ca="1">INDEX(INDIRECT(""&amp;C185&amp;"!A2:A489"),MATCH(B185,INDIRECT(""&amp;C185&amp;"!B2:B489"),0))</f>
        <v>59</v>
      </c>
      <c r="I185">
        <f>IF(C185="WR",LeagueInfo!$D$5*LeagueInfo!$F$2,LeagueInfo!$D$6*LeagueInfo!$F$2)</f>
        <v>12</v>
      </c>
    </row>
    <row r="186" spans="1:9" x14ac:dyDescent="0.25">
      <c r="A186">
        <f ca="1">RANK(E186,E$2:E$350)</f>
        <v>185</v>
      </c>
      <c r="B186" t="s">
        <v>960</v>
      </c>
      <c r="C186" t="s">
        <v>35</v>
      </c>
      <c r="D186">
        <f ca="1">INDEX(INDIRECT($C186&amp;"!P:P"),MATCH($B186,INDIRECT($C186&amp;"!B:B"),0))</f>
        <v>33.080000000000005</v>
      </c>
      <c r="E186" s="6">
        <f ca="1">D186-LARGE(D$2:D$284,TECount+WRCount)</f>
        <v>-81.960000000000008</v>
      </c>
      <c r="F186" t="str">
        <f ca="1">IF(H186&lt;=I186,"Starter",IF(G186&gt;=LARGE(G:G,FlexOn*LeagueInfo!$F$2),"Starter","Bench"))</f>
        <v>Bench</v>
      </c>
      <c r="G186">
        <f ca="1">IF(H186&gt;I186,D186,0)</f>
        <v>33.080000000000005</v>
      </c>
      <c r="H186">
        <f ca="1">INDEX(INDIRECT(""&amp;C186&amp;"!A2:A489"),MATCH(B186,INDIRECT(""&amp;C186&amp;"!B2:B489"),0))</f>
        <v>126</v>
      </c>
      <c r="I186">
        <f>IF(C186="WR",LeagueInfo!$D$5*LeagueInfo!$F$2,LeagueInfo!$D$6*LeagueInfo!$F$2)</f>
        <v>24</v>
      </c>
    </row>
    <row r="187" spans="1:9" x14ac:dyDescent="0.25">
      <c r="A187">
        <f ca="1">RANK(E187,E$2:E$350)</f>
        <v>186</v>
      </c>
      <c r="B187" t="s">
        <v>371</v>
      </c>
      <c r="C187" t="s">
        <v>35</v>
      </c>
      <c r="D187">
        <f ca="1">INDEX(INDIRECT($C187&amp;"!P:P"),MATCH($B187,INDIRECT($C187&amp;"!B:B"),0))</f>
        <v>32.589999999999996</v>
      </c>
      <c r="E187" s="6">
        <f ca="1">D187-LARGE(D$2:D$284,TECount+WRCount)</f>
        <v>-82.450000000000017</v>
      </c>
      <c r="F187" t="str">
        <f ca="1">IF(H187&lt;=I187,"Starter",IF(G187&gt;=LARGE(G:G,FlexOn*LeagueInfo!$F$2),"Starter","Bench"))</f>
        <v>Bench</v>
      </c>
      <c r="G187">
        <f ca="1">IF(H187&gt;I187,D187,0)</f>
        <v>32.589999999999996</v>
      </c>
      <c r="H187">
        <f ca="1">INDEX(INDIRECT(""&amp;C187&amp;"!A2:A489"),MATCH(B187,INDIRECT(""&amp;C187&amp;"!B2:B489"),0))</f>
        <v>127</v>
      </c>
      <c r="I187">
        <f>IF(C187="WR",LeagueInfo!$D$5*LeagueInfo!$F$2,LeagueInfo!$D$6*LeagueInfo!$F$2)</f>
        <v>24</v>
      </c>
    </row>
    <row r="188" spans="1:9" x14ac:dyDescent="0.25">
      <c r="A188">
        <f ca="1">RANK(E188,E$2:E$350)</f>
        <v>187</v>
      </c>
      <c r="B188" t="s">
        <v>2437</v>
      </c>
      <c r="C188" t="s">
        <v>35</v>
      </c>
      <c r="D188">
        <f ca="1">INDEX(INDIRECT($C188&amp;"!P:P"),MATCH($B188,INDIRECT($C188&amp;"!B:B"),0))</f>
        <v>32.28</v>
      </c>
      <c r="E188" s="6">
        <f ca="1">D188-LARGE(D$2:D$284,TECount+WRCount)</f>
        <v>-82.76</v>
      </c>
      <c r="F188" t="str">
        <f ca="1">IF(H188&lt;=I188,"Starter",IF(G188&gt;=LARGE(G:G,FlexOn*LeagueInfo!$F$2),"Starter","Bench"))</f>
        <v>Bench</v>
      </c>
      <c r="G188">
        <f ca="1">IF(H188&gt;I188,D188,0)</f>
        <v>32.28</v>
      </c>
      <c r="H188">
        <f ca="1">INDEX(INDIRECT(""&amp;C188&amp;"!A2:A489"),MATCH(B188,INDIRECT(""&amp;C188&amp;"!B2:B489"),0))</f>
        <v>128</v>
      </c>
      <c r="I188">
        <f>IF(C188="WR",LeagueInfo!$D$5*LeagueInfo!$F$2,LeagueInfo!$D$6*LeagueInfo!$F$2)</f>
        <v>24</v>
      </c>
    </row>
    <row r="189" spans="1:9" x14ac:dyDescent="0.25">
      <c r="A189">
        <f ca="1">RANK(E189,E$2:E$350)</f>
        <v>188</v>
      </c>
      <c r="B189" t="s">
        <v>2560</v>
      </c>
      <c r="C189" t="s">
        <v>35</v>
      </c>
      <c r="D189">
        <f ca="1">INDEX(INDIRECT($C189&amp;"!P:P"),MATCH($B189,INDIRECT($C189&amp;"!B:B"),0))</f>
        <v>31.68</v>
      </c>
      <c r="E189" s="6">
        <f ca="1">D189-LARGE(D$2:D$284,TECount+WRCount)</f>
        <v>-83.360000000000014</v>
      </c>
      <c r="F189" t="str">
        <f ca="1">IF(H189&lt;=I189,"Starter",IF(G189&gt;=LARGE(G:G,FlexOn*LeagueInfo!$F$2),"Starter","Bench"))</f>
        <v>Bench</v>
      </c>
      <c r="G189">
        <f ca="1">IF(H189&gt;I189,D189,0)</f>
        <v>31.68</v>
      </c>
      <c r="H189">
        <f ca="1">INDEX(INDIRECT(""&amp;C189&amp;"!A2:A489"),MATCH(B189,INDIRECT(""&amp;C189&amp;"!B2:B489"),0))</f>
        <v>129</v>
      </c>
      <c r="I189">
        <f>IF(C189="WR",LeagueInfo!$D$5*LeagueInfo!$F$2,LeagueInfo!$D$6*LeagueInfo!$F$2)</f>
        <v>24</v>
      </c>
    </row>
    <row r="190" spans="1:9" x14ac:dyDescent="0.25">
      <c r="A190">
        <f ca="1">RANK(E190,E$2:E$350)</f>
        <v>189</v>
      </c>
      <c r="B190" t="s">
        <v>580</v>
      </c>
      <c r="C190" t="s">
        <v>35</v>
      </c>
      <c r="D190">
        <f ca="1">INDEX(INDIRECT($C190&amp;"!P:P"),MATCH($B190,INDIRECT($C190&amp;"!B:B"),0))</f>
        <v>31.66</v>
      </c>
      <c r="E190" s="6">
        <f ca="1">D190-LARGE(D$2:D$284,TECount+WRCount)</f>
        <v>-83.38000000000001</v>
      </c>
      <c r="F190" t="str">
        <f ca="1">IF(H190&lt;=I190,"Starter",IF(G190&gt;=LARGE(G:G,FlexOn*LeagueInfo!$F$2),"Starter","Bench"))</f>
        <v>Bench</v>
      </c>
      <c r="G190">
        <f ca="1">IF(H190&gt;I190,D190,0)</f>
        <v>31.66</v>
      </c>
      <c r="H190">
        <f ca="1">INDEX(INDIRECT(""&amp;C190&amp;"!A2:A489"),MATCH(B190,INDIRECT(""&amp;C190&amp;"!B2:B489"),0))</f>
        <v>130</v>
      </c>
      <c r="I190">
        <f>IF(C190="WR",LeagueInfo!$D$5*LeagueInfo!$F$2,LeagueInfo!$D$6*LeagueInfo!$F$2)</f>
        <v>24</v>
      </c>
    </row>
    <row r="191" spans="1:9" x14ac:dyDescent="0.25">
      <c r="A191">
        <f ca="1">RANK(E191,E$2:E$350)</f>
        <v>190</v>
      </c>
      <c r="B191" t="s">
        <v>855</v>
      </c>
      <c r="C191" t="s">
        <v>35</v>
      </c>
      <c r="D191">
        <f ca="1">INDEX(INDIRECT($C191&amp;"!P:P"),MATCH($B191,INDIRECT($C191&amp;"!B:B"),0))</f>
        <v>31.580000000000002</v>
      </c>
      <c r="E191" s="6">
        <f ca="1">D191-LARGE(D$2:D$284,TECount+WRCount)</f>
        <v>-83.460000000000008</v>
      </c>
      <c r="F191" t="str">
        <f ca="1">IF(H191&lt;=I191,"Starter",IF(G191&gt;=LARGE(G:G,FlexOn*LeagueInfo!$F$2),"Starter","Bench"))</f>
        <v>Bench</v>
      </c>
      <c r="G191">
        <f ca="1">IF(H191&gt;I191,D191,0)</f>
        <v>31.580000000000002</v>
      </c>
      <c r="H191">
        <f ca="1">INDEX(INDIRECT(""&amp;C191&amp;"!A2:A489"),MATCH(B191,INDIRECT(""&amp;C191&amp;"!B2:B489"),0))</f>
        <v>131</v>
      </c>
      <c r="I191">
        <f>IF(C191="WR",LeagueInfo!$D$5*LeagueInfo!$F$2,LeagueInfo!$D$6*LeagueInfo!$F$2)</f>
        <v>24</v>
      </c>
    </row>
    <row r="192" spans="1:9" x14ac:dyDescent="0.25">
      <c r="A192">
        <f ca="1">RANK(E192,E$2:E$350)</f>
        <v>191</v>
      </c>
      <c r="B192" t="s">
        <v>421</v>
      </c>
      <c r="C192" t="s">
        <v>43</v>
      </c>
      <c r="D192">
        <f ca="1">INDEX(INDIRECT($C192&amp;"!P:P"),MATCH($B192,INDIRECT($C192&amp;"!B:B"),0))</f>
        <v>31.55</v>
      </c>
      <c r="E192" s="6">
        <f ca="1">D192-LARGE(D$2:D$284,TECount+WRCount)</f>
        <v>-83.490000000000009</v>
      </c>
      <c r="F192" t="str">
        <f ca="1">IF(H192&lt;=I192,"Starter",IF(G192&gt;=LARGE(G:G,FlexOn*LeagueInfo!$F$2),"Starter","Bench"))</f>
        <v>Bench</v>
      </c>
      <c r="G192">
        <f ca="1">IF(H192&gt;I192,D192,0)</f>
        <v>31.55</v>
      </c>
      <c r="H192">
        <f ca="1">INDEX(INDIRECT(""&amp;C192&amp;"!A2:A489"),MATCH(B192,INDIRECT(""&amp;C192&amp;"!B2:B489"),0))</f>
        <v>60</v>
      </c>
      <c r="I192">
        <f>IF(C192="WR",LeagueInfo!$D$5*LeagueInfo!$F$2,LeagueInfo!$D$6*LeagueInfo!$F$2)</f>
        <v>12</v>
      </c>
    </row>
    <row r="193" spans="1:9" x14ac:dyDescent="0.25">
      <c r="A193">
        <f ca="1">RANK(E193,E$2:E$350)</f>
        <v>192</v>
      </c>
      <c r="B193" t="s">
        <v>574</v>
      </c>
      <c r="C193" t="s">
        <v>35</v>
      </c>
      <c r="D193">
        <f ca="1">INDEX(INDIRECT($C193&amp;"!P:P"),MATCH($B193,INDIRECT($C193&amp;"!B:B"),0))</f>
        <v>31.180000000000007</v>
      </c>
      <c r="E193" s="6">
        <f ca="1">D193-LARGE(D$2:D$284,TECount+WRCount)</f>
        <v>-83.86</v>
      </c>
      <c r="F193" t="str">
        <f ca="1">IF(H193&lt;=I193,"Starter",IF(G193&gt;=LARGE(G:G,FlexOn*LeagueInfo!$F$2),"Starter","Bench"))</f>
        <v>Bench</v>
      </c>
      <c r="G193">
        <f ca="1">IF(H193&gt;I193,D193,0)</f>
        <v>31.180000000000007</v>
      </c>
      <c r="H193">
        <f ca="1">INDEX(INDIRECT(""&amp;C193&amp;"!A2:A489"),MATCH(B193,INDIRECT(""&amp;C193&amp;"!B2:B489"),0))</f>
        <v>132</v>
      </c>
      <c r="I193">
        <f>IF(C193="WR",LeagueInfo!$D$5*LeagueInfo!$F$2,LeagueInfo!$D$6*LeagueInfo!$F$2)</f>
        <v>24</v>
      </c>
    </row>
    <row r="194" spans="1:9" x14ac:dyDescent="0.25">
      <c r="A194">
        <f ca="1">RANK(E194,E$2:E$350)</f>
        <v>193</v>
      </c>
      <c r="B194" t="s">
        <v>404</v>
      </c>
      <c r="C194" t="s">
        <v>35</v>
      </c>
      <c r="D194">
        <f ca="1">INDEX(INDIRECT($C194&amp;"!P:P"),MATCH($B194,INDIRECT($C194&amp;"!B:B"),0))</f>
        <v>30.549999999999997</v>
      </c>
      <c r="E194" s="6">
        <f ca="1">D194-LARGE(D$2:D$284,TECount+WRCount)</f>
        <v>-84.490000000000009</v>
      </c>
      <c r="F194" t="str">
        <f ca="1">IF(H194&lt;=I194,"Starter",IF(G194&gt;=LARGE(G:G,FlexOn*LeagueInfo!$F$2),"Starter","Bench"))</f>
        <v>Bench</v>
      </c>
      <c r="G194">
        <f ca="1">IF(H194&gt;I194,D194,0)</f>
        <v>30.549999999999997</v>
      </c>
      <c r="H194">
        <f ca="1">INDEX(INDIRECT(""&amp;C194&amp;"!A2:A489"),MATCH(B194,INDIRECT(""&amp;C194&amp;"!B2:B489"),0))</f>
        <v>133</v>
      </c>
      <c r="I194">
        <f>IF(C194="WR",LeagueInfo!$D$5*LeagueInfo!$F$2,LeagueInfo!$D$6*LeagueInfo!$F$2)</f>
        <v>24</v>
      </c>
    </row>
    <row r="195" spans="1:9" x14ac:dyDescent="0.25">
      <c r="A195">
        <f ca="1">RANK(E195,E$2:E$350)</f>
        <v>194</v>
      </c>
      <c r="B195" t="s">
        <v>321</v>
      </c>
      <c r="C195" t="s">
        <v>43</v>
      </c>
      <c r="D195">
        <f ca="1">INDEX(INDIRECT($C195&amp;"!P:P"),MATCH($B195,INDIRECT($C195&amp;"!B:B"),0))</f>
        <v>30.450000000000003</v>
      </c>
      <c r="E195" s="6">
        <f ca="1">D195-LARGE(D$2:D$284,TECount+WRCount)</f>
        <v>-84.59</v>
      </c>
      <c r="F195" t="str">
        <f ca="1">IF(H195&lt;=I195,"Starter",IF(G195&gt;=LARGE(G:G,FlexOn*LeagueInfo!$F$2),"Starter","Bench"))</f>
        <v>Bench</v>
      </c>
      <c r="G195">
        <f ca="1">IF(H195&gt;I195,D195,0)</f>
        <v>30.450000000000003</v>
      </c>
      <c r="H195">
        <f ca="1">INDEX(INDIRECT(""&amp;C195&amp;"!A2:A489"),MATCH(B195,INDIRECT(""&amp;C195&amp;"!B2:B489"),0))</f>
        <v>61</v>
      </c>
      <c r="I195">
        <f>IF(C195="WR",LeagueInfo!$D$5*LeagueInfo!$F$2,LeagueInfo!$D$6*LeagueInfo!$F$2)</f>
        <v>12</v>
      </c>
    </row>
    <row r="196" spans="1:9" x14ac:dyDescent="0.25">
      <c r="A196">
        <f ca="1">RANK(E196,E$2:E$350)</f>
        <v>195</v>
      </c>
      <c r="B196" t="s">
        <v>732</v>
      </c>
      <c r="C196" t="s">
        <v>35</v>
      </c>
      <c r="D196">
        <f ca="1">INDEX(INDIRECT($C196&amp;"!P:P"),MATCH($B196,INDIRECT($C196&amp;"!B:B"),0))</f>
        <v>30.44</v>
      </c>
      <c r="E196" s="6">
        <f ca="1">D196-LARGE(D$2:D$284,TECount+WRCount)</f>
        <v>-84.600000000000009</v>
      </c>
      <c r="F196" t="str">
        <f ca="1">IF(H196&lt;=I196,"Starter",IF(G196&gt;=LARGE(G:G,FlexOn*LeagueInfo!$F$2),"Starter","Bench"))</f>
        <v>Bench</v>
      </c>
      <c r="G196">
        <f ca="1">IF(H196&gt;I196,D196,0)</f>
        <v>30.44</v>
      </c>
      <c r="H196">
        <f ca="1">INDEX(INDIRECT(""&amp;C196&amp;"!A2:A489"),MATCH(B196,INDIRECT(""&amp;C196&amp;"!B2:B489"),0))</f>
        <v>134</v>
      </c>
      <c r="I196">
        <f>IF(C196="WR",LeagueInfo!$D$5*LeagueInfo!$F$2,LeagueInfo!$D$6*LeagueInfo!$F$2)</f>
        <v>24</v>
      </c>
    </row>
    <row r="197" spans="1:9" x14ac:dyDescent="0.25">
      <c r="A197">
        <f ca="1">RANK(E197,E$2:E$350)</f>
        <v>196</v>
      </c>
      <c r="B197" t="s">
        <v>958</v>
      </c>
      <c r="C197" t="s">
        <v>35</v>
      </c>
      <c r="D197">
        <f ca="1">INDEX(INDIRECT($C197&amp;"!P:P"),MATCH($B197,INDIRECT($C197&amp;"!B:B"),0))</f>
        <v>30.240000000000002</v>
      </c>
      <c r="E197" s="6">
        <f ca="1">D197-LARGE(D$2:D$284,TECount+WRCount)</f>
        <v>-84.800000000000011</v>
      </c>
      <c r="F197" t="str">
        <f ca="1">IF(H197&lt;=I197,"Starter",IF(G197&gt;=LARGE(G:G,FlexOn*LeagueInfo!$F$2),"Starter","Bench"))</f>
        <v>Bench</v>
      </c>
      <c r="G197">
        <f ca="1">IF(H197&gt;I197,D197,0)</f>
        <v>30.240000000000002</v>
      </c>
      <c r="H197">
        <f ca="1">INDEX(INDIRECT(""&amp;C197&amp;"!A2:A489"),MATCH(B197,INDIRECT(""&amp;C197&amp;"!B2:B489"),0))</f>
        <v>135</v>
      </c>
      <c r="I197">
        <f>IF(C197="WR",LeagueInfo!$D$5*LeagueInfo!$F$2,LeagueInfo!$D$6*LeagueInfo!$F$2)</f>
        <v>24</v>
      </c>
    </row>
    <row r="198" spans="1:9" x14ac:dyDescent="0.25">
      <c r="A198">
        <f ca="1">RANK(E198,E$2:E$350)</f>
        <v>197</v>
      </c>
      <c r="B198" t="s">
        <v>997</v>
      </c>
      <c r="C198" t="s">
        <v>43</v>
      </c>
      <c r="D198">
        <f ca="1">INDEX(INDIRECT($C198&amp;"!P:P"),MATCH($B198,INDIRECT($C198&amp;"!B:B"),0))</f>
        <v>30.230000000000004</v>
      </c>
      <c r="E198" s="6">
        <f ca="1">D198-LARGE(D$2:D$284,TECount+WRCount)</f>
        <v>-84.81</v>
      </c>
      <c r="F198" t="str">
        <f ca="1">IF(H198&lt;=I198,"Starter",IF(G198&gt;=LARGE(G:G,FlexOn*LeagueInfo!$F$2),"Starter","Bench"))</f>
        <v>Bench</v>
      </c>
      <c r="G198">
        <f ca="1">IF(H198&gt;I198,D198,0)</f>
        <v>30.230000000000004</v>
      </c>
      <c r="H198">
        <f ca="1">INDEX(INDIRECT(""&amp;C198&amp;"!A2:A489"),MATCH(B198,INDIRECT(""&amp;C198&amp;"!B2:B489"),0))</f>
        <v>62</v>
      </c>
      <c r="I198">
        <f>IF(C198="WR",LeagueInfo!$D$5*LeagueInfo!$F$2,LeagueInfo!$D$6*LeagueInfo!$F$2)</f>
        <v>12</v>
      </c>
    </row>
    <row r="199" spans="1:9" x14ac:dyDescent="0.25">
      <c r="A199">
        <f ca="1">RANK(E199,E$2:E$350)</f>
        <v>198</v>
      </c>
      <c r="B199" t="s">
        <v>645</v>
      </c>
      <c r="C199" t="s">
        <v>35</v>
      </c>
      <c r="D199">
        <f ca="1">INDEX(INDIRECT($C199&amp;"!P:P"),MATCH($B199,INDIRECT($C199&amp;"!B:B"),0))</f>
        <v>29.94</v>
      </c>
      <c r="E199" s="6">
        <f ca="1">D199-LARGE(D$2:D$284,TECount+WRCount)</f>
        <v>-85.100000000000009</v>
      </c>
      <c r="F199" t="str">
        <f ca="1">IF(H199&lt;=I199,"Starter",IF(G199&gt;=LARGE(G:G,FlexOn*LeagueInfo!$F$2),"Starter","Bench"))</f>
        <v>Bench</v>
      </c>
      <c r="G199">
        <f ca="1">IF(H199&gt;I199,D199,0)</f>
        <v>29.94</v>
      </c>
      <c r="H199">
        <f ca="1">INDEX(INDIRECT(""&amp;C199&amp;"!A2:A489"),MATCH(B199,INDIRECT(""&amp;C199&amp;"!B2:B489"),0))</f>
        <v>136</v>
      </c>
      <c r="I199">
        <f>IF(C199="WR",LeagueInfo!$D$5*LeagueInfo!$F$2,LeagueInfo!$D$6*LeagueInfo!$F$2)</f>
        <v>24</v>
      </c>
    </row>
    <row r="200" spans="1:9" x14ac:dyDescent="0.25">
      <c r="A200">
        <f ca="1">RANK(E200,E$2:E$350)</f>
        <v>199</v>
      </c>
      <c r="B200" t="s">
        <v>961</v>
      </c>
      <c r="C200" t="s">
        <v>35</v>
      </c>
      <c r="D200">
        <f ca="1">INDEX(INDIRECT($C200&amp;"!P:P"),MATCH($B200,INDIRECT($C200&amp;"!B:B"),0))</f>
        <v>29.430000000000003</v>
      </c>
      <c r="E200" s="6">
        <f ca="1">D200-LARGE(D$2:D$284,TECount+WRCount)</f>
        <v>-85.61</v>
      </c>
      <c r="F200" t="str">
        <f ca="1">IF(H200&lt;=I200,"Starter",IF(G200&gt;=LARGE(G:G,FlexOn*LeagueInfo!$F$2),"Starter","Bench"))</f>
        <v>Bench</v>
      </c>
      <c r="G200">
        <f ca="1">IF(H200&gt;I200,D200,0)</f>
        <v>29.430000000000003</v>
      </c>
      <c r="H200">
        <f ca="1">INDEX(INDIRECT(""&amp;C200&amp;"!A2:A489"),MATCH(B200,INDIRECT(""&amp;C200&amp;"!B2:B489"),0))</f>
        <v>137</v>
      </c>
      <c r="I200">
        <f>IF(C200="WR",LeagueInfo!$D$5*LeagueInfo!$F$2,LeagueInfo!$D$6*LeagueInfo!$F$2)</f>
        <v>24</v>
      </c>
    </row>
    <row r="201" spans="1:9" x14ac:dyDescent="0.25">
      <c r="A201">
        <f ca="1">RANK(E201,E$2:E$350)</f>
        <v>200</v>
      </c>
      <c r="B201" t="s">
        <v>728</v>
      </c>
      <c r="C201" t="s">
        <v>35</v>
      </c>
      <c r="D201">
        <f ca="1">INDEX(INDIRECT($C201&amp;"!P:P"),MATCH($B201,INDIRECT($C201&amp;"!B:B"),0))</f>
        <v>28.39</v>
      </c>
      <c r="E201" s="6">
        <f ca="1">D201-LARGE(D$2:D$284,TECount+WRCount)</f>
        <v>-86.65</v>
      </c>
      <c r="F201" t="str">
        <f ca="1">IF(H201&lt;=I201,"Starter",IF(G201&gt;=LARGE(G:G,FlexOn*LeagueInfo!$F$2),"Starter","Bench"))</f>
        <v>Bench</v>
      </c>
      <c r="G201">
        <f ca="1">IF(H201&gt;I201,D201,0)</f>
        <v>28.39</v>
      </c>
      <c r="H201">
        <f ca="1">INDEX(INDIRECT(""&amp;C201&amp;"!A2:A489"),MATCH(B201,INDIRECT(""&amp;C201&amp;"!B2:B489"),0))</f>
        <v>138</v>
      </c>
      <c r="I201">
        <f>IF(C201="WR",LeagueInfo!$D$5*LeagueInfo!$F$2,LeagueInfo!$D$6*LeagueInfo!$F$2)</f>
        <v>24</v>
      </c>
    </row>
    <row r="202" spans="1:9" x14ac:dyDescent="0.25">
      <c r="A202">
        <f ca="1">RANK(E202,E$2:E$350)</f>
        <v>201</v>
      </c>
      <c r="B202" t="s">
        <v>957</v>
      </c>
      <c r="C202" t="s">
        <v>35</v>
      </c>
      <c r="D202">
        <f ca="1">INDEX(INDIRECT($C202&amp;"!P:P"),MATCH($B202,INDIRECT($C202&amp;"!B:B"),0))</f>
        <v>27.860000000000003</v>
      </c>
      <c r="E202" s="6">
        <f ca="1">D202-LARGE(D$2:D$284,TECount+WRCount)</f>
        <v>-87.18</v>
      </c>
      <c r="F202" t="str">
        <f ca="1">IF(H202&lt;=I202,"Starter",IF(G202&gt;=LARGE(G:G,FlexOn*LeagueInfo!$F$2),"Starter","Bench"))</f>
        <v>Bench</v>
      </c>
      <c r="G202">
        <f ca="1">IF(H202&gt;I202,D202,0)</f>
        <v>27.860000000000003</v>
      </c>
      <c r="H202">
        <f ca="1">INDEX(INDIRECT(""&amp;C202&amp;"!A2:A489"),MATCH(B202,INDIRECT(""&amp;C202&amp;"!B2:B489"),0))</f>
        <v>139</v>
      </c>
      <c r="I202">
        <f>IF(C202="WR",LeagueInfo!$D$5*LeagueInfo!$F$2,LeagueInfo!$D$6*LeagueInfo!$F$2)</f>
        <v>24</v>
      </c>
    </row>
    <row r="203" spans="1:9" x14ac:dyDescent="0.25">
      <c r="A203">
        <f ca="1">RANK(E203,E$2:E$350)</f>
        <v>202</v>
      </c>
      <c r="B203" t="s">
        <v>993</v>
      </c>
      <c r="C203" t="s">
        <v>43</v>
      </c>
      <c r="D203">
        <f ca="1">INDEX(INDIRECT($C203&amp;"!P:P"),MATCH($B203,INDIRECT($C203&amp;"!B:B"),0))</f>
        <v>27.8</v>
      </c>
      <c r="E203" s="6">
        <f ca="1">D203-LARGE(D$2:D$284,TECount+WRCount)</f>
        <v>-87.240000000000009</v>
      </c>
      <c r="F203" t="str">
        <f ca="1">IF(H203&lt;=I203,"Starter",IF(G203&gt;=LARGE(G:G,FlexOn*LeagueInfo!$F$2),"Starter","Bench"))</f>
        <v>Bench</v>
      </c>
      <c r="G203">
        <f ca="1">IF(H203&gt;I203,D203,0)</f>
        <v>27.8</v>
      </c>
      <c r="H203">
        <f ca="1">INDEX(INDIRECT(""&amp;C203&amp;"!A2:A489"),MATCH(B203,INDIRECT(""&amp;C203&amp;"!B2:B489"),0))</f>
        <v>63</v>
      </c>
      <c r="I203">
        <f>IF(C203="WR",LeagueInfo!$D$5*LeagueInfo!$F$2,LeagueInfo!$D$6*LeagueInfo!$F$2)</f>
        <v>12</v>
      </c>
    </row>
    <row r="204" spans="1:9" x14ac:dyDescent="0.25">
      <c r="A204">
        <f ca="1">RANK(E204,E$2:E$350)</f>
        <v>203</v>
      </c>
      <c r="B204" t="s">
        <v>2480</v>
      </c>
      <c r="C204" t="s">
        <v>43</v>
      </c>
      <c r="D204">
        <f ca="1">INDEX(INDIRECT($C204&amp;"!P:P"),MATCH($B204,INDIRECT($C204&amp;"!B:B"),0))</f>
        <v>27.75</v>
      </c>
      <c r="E204" s="6">
        <f ca="1">D204-LARGE(D$2:D$284,TECount+WRCount)</f>
        <v>-87.29</v>
      </c>
      <c r="F204" t="str">
        <f ca="1">IF(H204&lt;=I204,"Starter",IF(G204&gt;=LARGE(G:G,FlexOn*LeagueInfo!$F$2),"Starter","Bench"))</f>
        <v>Bench</v>
      </c>
      <c r="G204">
        <f ca="1">IF(H204&gt;I204,D204,0)</f>
        <v>27.75</v>
      </c>
      <c r="H204">
        <f ca="1">INDEX(INDIRECT(""&amp;C204&amp;"!A2:A489"),MATCH(B204,INDIRECT(""&amp;C204&amp;"!B2:B489"),0))</f>
        <v>64</v>
      </c>
      <c r="I204">
        <f>IF(C204="WR",LeagueInfo!$D$5*LeagueInfo!$F$2,LeagueInfo!$D$6*LeagueInfo!$F$2)</f>
        <v>12</v>
      </c>
    </row>
    <row r="205" spans="1:9" x14ac:dyDescent="0.25">
      <c r="A205">
        <f ca="1">RANK(E205,E$2:E$350)</f>
        <v>204</v>
      </c>
      <c r="B205" t="s">
        <v>2430</v>
      </c>
      <c r="C205" t="s">
        <v>35</v>
      </c>
      <c r="D205">
        <f ca="1">INDEX(INDIRECT($C205&amp;"!P:P"),MATCH($B205,INDIRECT($C205&amp;"!B:B"),0))</f>
        <v>27.21</v>
      </c>
      <c r="E205" s="6">
        <f ca="1">D205-LARGE(D$2:D$284,TECount+WRCount)</f>
        <v>-87.830000000000013</v>
      </c>
      <c r="F205" t="str">
        <f ca="1">IF(H205&lt;=I205,"Starter",IF(G205&gt;=LARGE(G:G,FlexOn*LeagueInfo!$F$2),"Starter","Bench"))</f>
        <v>Bench</v>
      </c>
      <c r="G205">
        <f ca="1">IF(H205&gt;I205,D205,0)</f>
        <v>27.21</v>
      </c>
      <c r="H205">
        <f ca="1">INDEX(INDIRECT(""&amp;C205&amp;"!A2:A489"),MATCH(B205,INDIRECT(""&amp;C205&amp;"!B2:B489"),0))</f>
        <v>140</v>
      </c>
      <c r="I205">
        <f>IF(C205="WR",LeagueInfo!$D$5*LeagueInfo!$F$2,LeagueInfo!$D$6*LeagueInfo!$F$2)</f>
        <v>24</v>
      </c>
    </row>
    <row r="206" spans="1:9" x14ac:dyDescent="0.25">
      <c r="A206">
        <f ca="1">RANK(E206,E$2:E$350)</f>
        <v>205</v>
      </c>
      <c r="B206" t="s">
        <v>424</v>
      </c>
      <c r="C206" t="s">
        <v>43</v>
      </c>
      <c r="D206">
        <f ca="1">INDEX(INDIRECT($C206&amp;"!P:P"),MATCH($B206,INDIRECT($C206&amp;"!B:B"),0))</f>
        <v>26.72</v>
      </c>
      <c r="E206" s="6">
        <f ca="1">D206-LARGE(D$2:D$284,TECount+WRCount)</f>
        <v>-88.320000000000007</v>
      </c>
      <c r="F206" t="str">
        <f ca="1">IF(H206&lt;=I206,"Starter",IF(G206&gt;=LARGE(G:G,FlexOn*LeagueInfo!$F$2),"Starter","Bench"))</f>
        <v>Bench</v>
      </c>
      <c r="G206">
        <f ca="1">IF(H206&gt;I206,D206,0)</f>
        <v>26.72</v>
      </c>
      <c r="H206">
        <f ca="1">INDEX(INDIRECT(""&amp;C206&amp;"!A2:A489"),MATCH(B206,INDIRECT(""&amp;C206&amp;"!B2:B489"),0))</f>
        <v>65</v>
      </c>
      <c r="I206">
        <f>IF(C206="WR",LeagueInfo!$D$5*LeagueInfo!$F$2,LeagueInfo!$D$6*LeagueInfo!$F$2)</f>
        <v>12</v>
      </c>
    </row>
    <row r="207" spans="1:9" x14ac:dyDescent="0.25">
      <c r="A207">
        <f ca="1">RANK(E207,E$2:E$350)</f>
        <v>206</v>
      </c>
      <c r="B207" t="s">
        <v>2479</v>
      </c>
      <c r="C207" t="s">
        <v>43</v>
      </c>
      <c r="D207">
        <f ca="1">INDEX(INDIRECT($C207&amp;"!P:P"),MATCH($B207,INDIRECT($C207&amp;"!B:B"),0))</f>
        <v>26.6</v>
      </c>
      <c r="E207" s="6">
        <f ca="1">D207-LARGE(D$2:D$284,TECount+WRCount)</f>
        <v>-88.44</v>
      </c>
      <c r="F207" t="str">
        <f ca="1">IF(H207&lt;=I207,"Starter",IF(G207&gt;=LARGE(G:G,FlexOn*LeagueInfo!$F$2),"Starter","Bench"))</f>
        <v>Bench</v>
      </c>
      <c r="G207">
        <f ca="1">IF(H207&gt;I207,D207,0)</f>
        <v>26.6</v>
      </c>
      <c r="H207">
        <f ca="1">INDEX(INDIRECT(""&amp;C207&amp;"!A2:A489"),MATCH(B207,INDIRECT(""&amp;C207&amp;"!B2:B489"),0))</f>
        <v>66</v>
      </c>
      <c r="I207">
        <f>IF(C207="WR",LeagueInfo!$D$5*LeagueInfo!$F$2,LeagueInfo!$D$6*LeagueInfo!$F$2)</f>
        <v>12</v>
      </c>
    </row>
    <row r="208" spans="1:9" x14ac:dyDescent="0.25">
      <c r="A208">
        <f ca="1">RANK(E208,E$2:E$350)</f>
        <v>207</v>
      </c>
      <c r="B208" t="s">
        <v>2674</v>
      </c>
      <c r="C208" t="s">
        <v>35</v>
      </c>
      <c r="D208">
        <f ca="1">INDEX(INDIRECT($C208&amp;"!P:P"),MATCH($B208,INDIRECT($C208&amp;"!B:B"),0))</f>
        <v>26.55</v>
      </c>
      <c r="E208" s="6">
        <f ca="1">D208-LARGE(D$2:D$284,TECount+WRCount)</f>
        <v>-88.490000000000009</v>
      </c>
      <c r="F208" t="str">
        <f ca="1">IF(H208&lt;=I208,"Starter",IF(G208&gt;=LARGE(G:G,FlexOn*LeagueInfo!$F$2),"Starter","Bench"))</f>
        <v>Bench</v>
      </c>
      <c r="G208">
        <f ca="1">IF(H208&gt;I208,D208,0)</f>
        <v>26.55</v>
      </c>
      <c r="H208">
        <f ca="1">INDEX(INDIRECT(""&amp;C208&amp;"!A2:A489"),MATCH(B208,INDIRECT(""&amp;C208&amp;"!B2:B489"),0))</f>
        <v>141</v>
      </c>
      <c r="I208">
        <f>IF(C208="WR",LeagueInfo!$D$5*LeagueInfo!$F$2,LeagueInfo!$D$6*LeagueInfo!$F$2)</f>
        <v>24</v>
      </c>
    </row>
    <row r="209" spans="1:9" x14ac:dyDescent="0.25">
      <c r="A209">
        <f ca="1">RANK(E209,E$2:E$350)</f>
        <v>208</v>
      </c>
      <c r="B209" t="s">
        <v>856</v>
      </c>
      <c r="C209" t="s">
        <v>35</v>
      </c>
      <c r="D209">
        <f ca="1">INDEX(INDIRECT($C209&amp;"!P:P"),MATCH($B209,INDIRECT($C209&amp;"!B:B"),0))</f>
        <v>26.459999999999997</v>
      </c>
      <c r="E209" s="6">
        <f ca="1">D209-LARGE(D$2:D$284,TECount+WRCount)</f>
        <v>-88.580000000000013</v>
      </c>
      <c r="F209" t="str">
        <f ca="1">IF(H209&lt;=I209,"Starter",IF(G209&gt;=LARGE(G:G,FlexOn*LeagueInfo!$F$2),"Starter","Bench"))</f>
        <v>Bench</v>
      </c>
      <c r="G209">
        <f ca="1">IF(H209&gt;I209,D209,0)</f>
        <v>26.459999999999997</v>
      </c>
      <c r="H209">
        <f ca="1">INDEX(INDIRECT(""&amp;C209&amp;"!A2:A489"),MATCH(B209,INDIRECT(""&amp;C209&amp;"!B2:B489"),0))</f>
        <v>142</v>
      </c>
      <c r="I209">
        <f>IF(C209="WR",LeagueInfo!$D$5*LeagueInfo!$F$2,LeagueInfo!$D$6*LeagueInfo!$F$2)</f>
        <v>24</v>
      </c>
    </row>
    <row r="210" spans="1:9" x14ac:dyDescent="0.25">
      <c r="A210">
        <f ca="1">RANK(E210,E$2:E$350)</f>
        <v>209</v>
      </c>
      <c r="B210" t="s">
        <v>833</v>
      </c>
      <c r="C210" t="s">
        <v>35</v>
      </c>
      <c r="D210">
        <f ca="1">INDEX(INDIRECT($C210&amp;"!P:P"),MATCH($B210,INDIRECT($C210&amp;"!B:B"),0))</f>
        <v>26.37</v>
      </c>
      <c r="E210" s="6">
        <f ca="1">D210-LARGE(D$2:D$284,TECount+WRCount)</f>
        <v>-88.67</v>
      </c>
      <c r="F210" t="str">
        <f ca="1">IF(H210&lt;=I210,"Starter",IF(G210&gt;=LARGE(G:G,FlexOn*LeagueInfo!$F$2),"Starter","Bench"))</f>
        <v>Bench</v>
      </c>
      <c r="G210">
        <f ca="1">IF(H210&gt;I210,D210,0)</f>
        <v>26.37</v>
      </c>
      <c r="H210">
        <f ca="1">INDEX(INDIRECT(""&amp;C210&amp;"!A2:A489"),MATCH(B210,INDIRECT(""&amp;C210&amp;"!B2:B489"),0))</f>
        <v>143</v>
      </c>
      <c r="I210">
        <f>IF(C210="WR",LeagueInfo!$D$5*LeagueInfo!$F$2,LeagueInfo!$D$6*LeagueInfo!$F$2)</f>
        <v>24</v>
      </c>
    </row>
    <row r="211" spans="1:9" x14ac:dyDescent="0.25">
      <c r="A211">
        <f ca="1">RANK(E211,E$2:E$350)</f>
        <v>210</v>
      </c>
      <c r="B211" t="s">
        <v>977</v>
      </c>
      <c r="C211" t="s">
        <v>43</v>
      </c>
      <c r="D211">
        <f ca="1">INDEX(INDIRECT($C211&amp;"!P:P"),MATCH($B211,INDIRECT($C211&amp;"!B:B"),0))</f>
        <v>25.200000000000003</v>
      </c>
      <c r="E211" s="6">
        <f ca="1">D211-LARGE(D$2:D$284,TECount+WRCount)</f>
        <v>-89.84</v>
      </c>
      <c r="F211" t="str">
        <f ca="1">IF(H211&lt;=I211,"Starter",IF(G211&gt;=LARGE(G:G,FlexOn*LeagueInfo!$F$2),"Starter","Bench"))</f>
        <v>Bench</v>
      </c>
      <c r="G211">
        <f ca="1">IF(H211&gt;I211,D211,0)</f>
        <v>25.200000000000003</v>
      </c>
      <c r="H211">
        <f ca="1">INDEX(INDIRECT(""&amp;C211&amp;"!A2:A489"),MATCH(B211,INDIRECT(""&amp;C211&amp;"!B2:B489"),0))</f>
        <v>67</v>
      </c>
      <c r="I211">
        <f>IF(C211="WR",LeagueInfo!$D$5*LeagueInfo!$F$2,LeagueInfo!$D$6*LeagueInfo!$F$2)</f>
        <v>12</v>
      </c>
    </row>
    <row r="212" spans="1:9" x14ac:dyDescent="0.25">
      <c r="A212">
        <f ca="1">RANK(E212,E$2:E$350)</f>
        <v>211</v>
      </c>
      <c r="B212" t="s">
        <v>912</v>
      </c>
      <c r="C212" t="s">
        <v>35</v>
      </c>
      <c r="D212">
        <f ca="1">INDEX(INDIRECT($C212&amp;"!P:P"),MATCH($B212,INDIRECT($C212&amp;"!B:B"),0))</f>
        <v>25.080000000000002</v>
      </c>
      <c r="E212" s="6">
        <f ca="1">D212-LARGE(D$2:D$284,TECount+WRCount)</f>
        <v>-89.960000000000008</v>
      </c>
      <c r="F212" t="str">
        <f ca="1">IF(H212&lt;=I212,"Starter",IF(G212&gt;=LARGE(G:G,FlexOn*LeagueInfo!$F$2),"Starter","Bench"))</f>
        <v>Bench</v>
      </c>
      <c r="G212">
        <f ca="1">IF(H212&gt;I212,D212,0)</f>
        <v>25.080000000000002</v>
      </c>
      <c r="H212">
        <f ca="1">INDEX(INDIRECT(""&amp;C212&amp;"!A2:A489"),MATCH(B212,INDIRECT(""&amp;C212&amp;"!B2:B489"),0))</f>
        <v>144</v>
      </c>
      <c r="I212">
        <f>IF(C212="WR",LeagueInfo!$D$5*LeagueInfo!$F$2,LeagueInfo!$D$6*LeagueInfo!$F$2)</f>
        <v>24</v>
      </c>
    </row>
    <row r="213" spans="1:9" x14ac:dyDescent="0.25">
      <c r="A213">
        <f ca="1">RANK(E213,E$2:E$350)</f>
        <v>212</v>
      </c>
      <c r="B213" t="s">
        <v>824</v>
      </c>
      <c r="C213" t="s">
        <v>43</v>
      </c>
      <c r="D213">
        <f ca="1">INDEX(INDIRECT($C213&amp;"!P:P"),MATCH($B213,INDIRECT($C213&amp;"!B:B"),0))</f>
        <v>25.030000000000005</v>
      </c>
      <c r="E213" s="6">
        <f ca="1">D213-LARGE(D$2:D$284,TECount+WRCount)</f>
        <v>-90.01</v>
      </c>
      <c r="F213" t="str">
        <f ca="1">IF(H213&lt;=I213,"Starter",IF(G213&gt;=LARGE(G:G,FlexOn*LeagueInfo!$F$2),"Starter","Bench"))</f>
        <v>Bench</v>
      </c>
      <c r="G213">
        <f ca="1">IF(H213&gt;I213,D213,0)</f>
        <v>25.030000000000005</v>
      </c>
      <c r="H213">
        <f ca="1">INDEX(INDIRECT(""&amp;C213&amp;"!A2:A489"),MATCH(B213,INDIRECT(""&amp;C213&amp;"!B2:B489"),0))</f>
        <v>68</v>
      </c>
      <c r="I213">
        <f>IF(C213="WR",LeagueInfo!$D$5*LeagueInfo!$F$2,LeagueInfo!$D$6*LeagueInfo!$F$2)</f>
        <v>12</v>
      </c>
    </row>
    <row r="214" spans="1:9" x14ac:dyDescent="0.25">
      <c r="A214">
        <f ca="1">RANK(E214,E$2:E$350)</f>
        <v>213</v>
      </c>
      <c r="B214" t="s">
        <v>733</v>
      </c>
      <c r="C214" t="s">
        <v>35</v>
      </c>
      <c r="D214">
        <f ca="1">INDEX(INDIRECT($C214&amp;"!P:P"),MATCH($B214,INDIRECT($C214&amp;"!B:B"),0))</f>
        <v>24.690000000000005</v>
      </c>
      <c r="E214" s="6">
        <f ca="1">D214-LARGE(D$2:D$284,TECount+WRCount)</f>
        <v>-90.35</v>
      </c>
      <c r="F214" t="str">
        <f ca="1">IF(H214&lt;=I214,"Starter",IF(G214&gt;=LARGE(G:G,FlexOn*LeagueInfo!$F$2),"Starter","Bench"))</f>
        <v>Bench</v>
      </c>
      <c r="G214">
        <f ca="1">IF(H214&gt;I214,D214,0)</f>
        <v>24.690000000000005</v>
      </c>
      <c r="H214">
        <f ca="1">INDEX(INDIRECT(""&amp;C214&amp;"!A2:A489"),MATCH(B214,INDIRECT(""&amp;C214&amp;"!B2:B489"),0))</f>
        <v>145</v>
      </c>
      <c r="I214">
        <f>IF(C214="WR",LeagueInfo!$D$5*LeagueInfo!$F$2,LeagueInfo!$D$6*LeagueInfo!$F$2)</f>
        <v>24</v>
      </c>
    </row>
    <row r="215" spans="1:9" x14ac:dyDescent="0.25">
      <c r="A215">
        <f ca="1">RANK(E215,E$2:E$350)</f>
        <v>214</v>
      </c>
      <c r="B215" t="s">
        <v>2489</v>
      </c>
      <c r="C215" t="s">
        <v>43</v>
      </c>
      <c r="D215">
        <f ca="1">INDEX(INDIRECT($C215&amp;"!P:P"),MATCH($B215,INDIRECT($C215&amp;"!B:B"),0))</f>
        <v>24.200000000000003</v>
      </c>
      <c r="E215" s="6">
        <f ca="1">D215-LARGE(D$2:D$284,TECount+WRCount)</f>
        <v>-90.84</v>
      </c>
      <c r="F215" t="str">
        <f ca="1">IF(H215&lt;=I215,"Starter",IF(G215&gt;=LARGE(G:G,FlexOn*LeagueInfo!$F$2),"Starter","Bench"))</f>
        <v>Bench</v>
      </c>
      <c r="G215">
        <f ca="1">IF(H215&gt;I215,D215,0)</f>
        <v>24.200000000000003</v>
      </c>
      <c r="H215">
        <f ca="1">INDEX(INDIRECT(""&amp;C215&amp;"!A2:A489"),MATCH(B215,INDIRECT(""&amp;C215&amp;"!B2:B489"),0))</f>
        <v>69</v>
      </c>
      <c r="I215">
        <f>IF(C215="WR",LeagueInfo!$D$5*LeagueInfo!$F$2,LeagueInfo!$D$6*LeagueInfo!$F$2)</f>
        <v>12</v>
      </c>
    </row>
    <row r="216" spans="1:9" x14ac:dyDescent="0.25">
      <c r="A216">
        <f ca="1">RANK(E216,E$2:E$350)</f>
        <v>214</v>
      </c>
      <c r="B216" t="s">
        <v>2680</v>
      </c>
      <c r="C216" t="s">
        <v>43</v>
      </c>
      <c r="D216">
        <f ca="1">INDEX(INDIRECT($C216&amp;"!P:P"),MATCH($B216,INDIRECT($C216&amp;"!B:B"),0))</f>
        <v>24.200000000000003</v>
      </c>
      <c r="E216" s="6">
        <f ca="1">D216-LARGE(D$2:D$284,TECount+WRCount)</f>
        <v>-90.84</v>
      </c>
      <c r="F216" t="str">
        <f ca="1">IF(H216&lt;=I216,"Starter",IF(G216&gt;=LARGE(G:G,FlexOn*LeagueInfo!$F$2),"Starter","Bench"))</f>
        <v>Bench</v>
      </c>
      <c r="G216">
        <f ca="1">IF(H216&gt;I216,D216,0)</f>
        <v>24.200000000000003</v>
      </c>
      <c r="H216">
        <f ca="1">INDEX(INDIRECT(""&amp;C216&amp;"!A2:A489"),MATCH(B216,INDIRECT(""&amp;C216&amp;"!B2:B489"),0))</f>
        <v>69</v>
      </c>
      <c r="I216">
        <f>IF(C216="WR",LeagueInfo!$D$5*LeagueInfo!$F$2,LeagueInfo!$D$6*LeagueInfo!$F$2)</f>
        <v>12</v>
      </c>
    </row>
    <row r="217" spans="1:9" x14ac:dyDescent="0.25">
      <c r="A217">
        <f ca="1">RANK(E217,E$2:E$350)</f>
        <v>216</v>
      </c>
      <c r="B217" t="s">
        <v>435</v>
      </c>
      <c r="C217" t="s">
        <v>43</v>
      </c>
      <c r="D217">
        <f ca="1">INDEX(INDIRECT($C217&amp;"!P:P"),MATCH($B217,INDIRECT($C217&amp;"!B:B"),0))</f>
        <v>23.509999999999998</v>
      </c>
      <c r="E217" s="6">
        <f ca="1">D217-LARGE(D$2:D$284,TECount+WRCount)</f>
        <v>-91.53</v>
      </c>
      <c r="F217" t="str">
        <f ca="1">IF(H217&lt;=I217,"Starter",IF(G217&gt;=LARGE(G:G,FlexOn*LeagueInfo!$F$2),"Starter","Bench"))</f>
        <v>Bench</v>
      </c>
      <c r="G217">
        <f ca="1">IF(H217&gt;I217,D217,0)</f>
        <v>23.509999999999998</v>
      </c>
      <c r="H217">
        <f ca="1">INDEX(INDIRECT(""&amp;C217&amp;"!A2:A489"),MATCH(B217,INDIRECT(""&amp;C217&amp;"!B2:B489"),0))</f>
        <v>71</v>
      </c>
      <c r="I217">
        <f>IF(C217="WR",LeagueInfo!$D$5*LeagueInfo!$F$2,LeagueInfo!$D$6*LeagueInfo!$F$2)</f>
        <v>12</v>
      </c>
    </row>
    <row r="218" spans="1:9" x14ac:dyDescent="0.25">
      <c r="A218">
        <f ca="1">RANK(E218,E$2:E$350)</f>
        <v>217</v>
      </c>
      <c r="B218" t="s">
        <v>2436</v>
      </c>
      <c r="C218" t="s">
        <v>35</v>
      </c>
      <c r="D218">
        <f ca="1">INDEX(INDIRECT($C218&amp;"!P:P"),MATCH($B218,INDIRECT($C218&amp;"!B:B"),0))</f>
        <v>23.480000000000004</v>
      </c>
      <c r="E218" s="6">
        <f ca="1">D218-LARGE(D$2:D$284,TECount+WRCount)</f>
        <v>-91.56</v>
      </c>
      <c r="F218" t="str">
        <f ca="1">IF(H218&lt;=I218,"Starter",IF(G218&gt;=LARGE(G:G,FlexOn*LeagueInfo!$F$2),"Starter","Bench"))</f>
        <v>Bench</v>
      </c>
      <c r="G218">
        <f ca="1">IF(H218&gt;I218,D218,0)</f>
        <v>23.480000000000004</v>
      </c>
      <c r="H218">
        <f ca="1">INDEX(INDIRECT(""&amp;C218&amp;"!A2:A489"),MATCH(B218,INDIRECT(""&amp;C218&amp;"!B2:B489"),0))</f>
        <v>146</v>
      </c>
      <c r="I218">
        <f>IF(C218="WR",LeagueInfo!$D$5*LeagueInfo!$F$2,LeagueInfo!$D$6*LeagueInfo!$F$2)</f>
        <v>24</v>
      </c>
    </row>
    <row r="219" spans="1:9" x14ac:dyDescent="0.25">
      <c r="A219">
        <f ca="1">RANK(E219,E$2:E$350)</f>
        <v>218</v>
      </c>
      <c r="B219" t="s">
        <v>2493</v>
      </c>
      <c r="C219" t="s">
        <v>43</v>
      </c>
      <c r="D219">
        <f ca="1">INDEX(INDIRECT($C219&amp;"!P:P"),MATCH($B219,INDIRECT($C219&amp;"!B:B"),0))</f>
        <v>23.44</v>
      </c>
      <c r="E219" s="6">
        <f ca="1">D219-LARGE(D$2:D$284,TECount+WRCount)</f>
        <v>-91.600000000000009</v>
      </c>
      <c r="F219" t="str">
        <f ca="1">IF(H219&lt;=I219,"Starter",IF(G219&gt;=LARGE(G:G,FlexOn*LeagueInfo!$F$2),"Starter","Bench"))</f>
        <v>Bench</v>
      </c>
      <c r="G219">
        <f ca="1">IF(H219&gt;I219,D219,0)</f>
        <v>23.44</v>
      </c>
      <c r="H219">
        <f ca="1">INDEX(INDIRECT(""&amp;C219&amp;"!A2:A489"),MATCH(B219,INDIRECT(""&amp;C219&amp;"!B2:B489"),0))</f>
        <v>72</v>
      </c>
      <c r="I219">
        <f>IF(C219="WR",LeagueInfo!$D$5*LeagueInfo!$F$2,LeagueInfo!$D$6*LeagueInfo!$F$2)</f>
        <v>12</v>
      </c>
    </row>
    <row r="220" spans="1:9" x14ac:dyDescent="0.25">
      <c r="A220">
        <f ca="1">RANK(E220,E$2:E$350)</f>
        <v>219</v>
      </c>
      <c r="B220" t="s">
        <v>2675</v>
      </c>
      <c r="C220" t="s">
        <v>35</v>
      </c>
      <c r="D220">
        <f ca="1">INDEX(INDIRECT($C220&amp;"!P:P"),MATCH($B220,INDIRECT($C220&amp;"!B:B"),0))</f>
        <v>23.009999999999998</v>
      </c>
      <c r="E220" s="6">
        <f ca="1">D220-LARGE(D$2:D$284,TECount+WRCount)</f>
        <v>-92.03</v>
      </c>
      <c r="F220" t="str">
        <f ca="1">IF(H220&lt;=I220,"Starter",IF(G220&gt;=LARGE(G:G,FlexOn*LeagueInfo!$F$2),"Starter","Bench"))</f>
        <v>Bench</v>
      </c>
      <c r="G220">
        <f ca="1">IF(H220&gt;I220,D220,0)</f>
        <v>23.009999999999998</v>
      </c>
      <c r="H220">
        <f ca="1">INDEX(INDIRECT(""&amp;C220&amp;"!A2:A489"),MATCH(B220,INDIRECT(""&amp;C220&amp;"!B2:B489"),0))</f>
        <v>147</v>
      </c>
      <c r="I220">
        <f>IF(C220="WR",LeagueInfo!$D$5*LeagueInfo!$F$2,LeagueInfo!$D$6*LeagueInfo!$F$2)</f>
        <v>24</v>
      </c>
    </row>
    <row r="221" spans="1:9" x14ac:dyDescent="0.25">
      <c r="A221">
        <f ca="1">RANK(E221,E$2:E$350)</f>
        <v>220</v>
      </c>
      <c r="B221" t="s">
        <v>2481</v>
      </c>
      <c r="C221" t="s">
        <v>43</v>
      </c>
      <c r="D221">
        <f ca="1">INDEX(INDIRECT($C221&amp;"!P:P"),MATCH($B221,INDIRECT($C221&amp;"!B:B"),0))</f>
        <v>22.980000000000004</v>
      </c>
      <c r="E221" s="6">
        <f ca="1">D221-LARGE(D$2:D$284,TECount+WRCount)</f>
        <v>-92.06</v>
      </c>
      <c r="F221" t="str">
        <f ca="1">IF(H221&lt;=I221,"Starter",IF(G221&gt;=LARGE(G:G,FlexOn*LeagueInfo!$F$2),"Starter","Bench"))</f>
        <v>Bench</v>
      </c>
      <c r="G221">
        <f ca="1">IF(H221&gt;I221,D221,0)</f>
        <v>22.980000000000004</v>
      </c>
      <c r="H221">
        <f ca="1">INDEX(INDIRECT(""&amp;C221&amp;"!A2:A489"),MATCH(B221,INDIRECT(""&amp;C221&amp;"!B2:B489"),0))</f>
        <v>73</v>
      </c>
      <c r="I221">
        <f>IF(C221="WR",LeagueInfo!$D$5*LeagueInfo!$F$2,LeagueInfo!$D$6*LeagueInfo!$F$2)</f>
        <v>12</v>
      </c>
    </row>
    <row r="222" spans="1:9" x14ac:dyDescent="0.25">
      <c r="A222">
        <f ca="1">RANK(E222,E$2:E$350)</f>
        <v>221</v>
      </c>
      <c r="B222" t="s">
        <v>2431</v>
      </c>
      <c r="C222" t="s">
        <v>35</v>
      </c>
      <c r="D222">
        <f ca="1">INDEX(INDIRECT($C222&amp;"!P:P"),MATCH($B222,INDIRECT($C222&amp;"!B:B"),0))</f>
        <v>22.91</v>
      </c>
      <c r="E222" s="6">
        <f ca="1">D222-LARGE(D$2:D$284,TECount+WRCount)</f>
        <v>-92.13000000000001</v>
      </c>
      <c r="F222" t="str">
        <f ca="1">IF(H222&lt;=I222,"Starter",IF(G222&gt;=LARGE(G:G,FlexOn*LeagueInfo!$F$2),"Starter","Bench"))</f>
        <v>Bench</v>
      </c>
      <c r="G222">
        <f ca="1">IF(H222&gt;I222,D222,0)</f>
        <v>22.91</v>
      </c>
      <c r="H222">
        <f ca="1">INDEX(INDIRECT(""&amp;C222&amp;"!A2:A489"),MATCH(B222,INDIRECT(""&amp;C222&amp;"!B2:B489"),0))</f>
        <v>148</v>
      </c>
      <c r="I222">
        <f>IF(C222="WR",LeagueInfo!$D$5*LeagueInfo!$F$2,LeagueInfo!$D$6*LeagueInfo!$F$2)</f>
        <v>24</v>
      </c>
    </row>
    <row r="223" spans="1:9" x14ac:dyDescent="0.25">
      <c r="A223">
        <f ca="1">RANK(E223,E$2:E$350)</f>
        <v>221</v>
      </c>
      <c r="B223" t="s">
        <v>869</v>
      </c>
      <c r="C223" t="s">
        <v>35</v>
      </c>
      <c r="D223">
        <f ca="1">INDEX(INDIRECT($C223&amp;"!P:P"),MATCH($B223,INDIRECT($C223&amp;"!B:B"),0))</f>
        <v>22.91</v>
      </c>
      <c r="E223" s="6">
        <f ca="1">D223-LARGE(D$2:D$284,TECount+WRCount)</f>
        <v>-92.13000000000001</v>
      </c>
      <c r="F223" t="str">
        <f ca="1">IF(H223&lt;=I223,"Starter",IF(G223&gt;=LARGE(G:G,FlexOn*LeagueInfo!$F$2),"Starter","Bench"))</f>
        <v>Bench</v>
      </c>
      <c r="G223">
        <f ca="1">IF(H223&gt;I223,D223,0)</f>
        <v>22.91</v>
      </c>
      <c r="H223">
        <f ca="1">INDEX(INDIRECT(""&amp;C223&amp;"!A2:A489"),MATCH(B223,INDIRECT(""&amp;C223&amp;"!B2:B489"),0))</f>
        <v>148</v>
      </c>
      <c r="I223">
        <f>IF(C223="WR",LeagueInfo!$D$5*LeagueInfo!$F$2,LeagueInfo!$D$6*LeagueInfo!$F$2)</f>
        <v>24</v>
      </c>
    </row>
    <row r="224" spans="1:9" x14ac:dyDescent="0.25">
      <c r="A224">
        <f ca="1">RANK(E224,E$2:E$350)</f>
        <v>223</v>
      </c>
      <c r="B224" t="s">
        <v>1030</v>
      </c>
      <c r="C224" t="s">
        <v>43</v>
      </c>
      <c r="D224">
        <f ca="1">INDEX(INDIRECT($C224&amp;"!P:P"),MATCH($B224,INDIRECT($C224&amp;"!B:B"),0))</f>
        <v>22.9</v>
      </c>
      <c r="E224" s="6">
        <f ca="1">D224-LARGE(D$2:D$284,TECount+WRCount)</f>
        <v>-92.140000000000015</v>
      </c>
      <c r="F224" t="str">
        <f ca="1">IF(H224&lt;=I224,"Starter",IF(G224&gt;=LARGE(G:G,FlexOn*LeagueInfo!$F$2),"Starter","Bench"))</f>
        <v>Bench</v>
      </c>
      <c r="G224">
        <f ca="1">IF(H224&gt;I224,D224,0)</f>
        <v>22.9</v>
      </c>
      <c r="H224">
        <f ca="1">INDEX(INDIRECT(""&amp;C224&amp;"!A2:A489"),MATCH(B224,INDIRECT(""&amp;C224&amp;"!B2:B489"),0))</f>
        <v>74</v>
      </c>
      <c r="I224">
        <f>IF(C224="WR",LeagueInfo!$D$5*LeagueInfo!$F$2,LeagueInfo!$D$6*LeagueInfo!$F$2)</f>
        <v>12</v>
      </c>
    </row>
    <row r="225" spans="1:9" x14ac:dyDescent="0.25">
      <c r="A225">
        <f ca="1">RANK(E225,E$2:E$350)</f>
        <v>224</v>
      </c>
      <c r="B225" t="s">
        <v>756</v>
      </c>
      <c r="C225" t="s">
        <v>43</v>
      </c>
      <c r="D225">
        <f ca="1">INDEX(INDIRECT($C225&amp;"!P:P"),MATCH($B225,INDIRECT($C225&amp;"!B:B"),0))</f>
        <v>22.71</v>
      </c>
      <c r="E225" s="6">
        <f ca="1">D225-LARGE(D$2:D$284,TECount+WRCount)</f>
        <v>-92.330000000000013</v>
      </c>
      <c r="F225" t="str">
        <f ca="1">IF(H225&lt;=I225,"Starter",IF(G225&gt;=LARGE(G:G,FlexOn*LeagueInfo!$F$2),"Starter","Bench"))</f>
        <v>Bench</v>
      </c>
      <c r="G225">
        <f ca="1">IF(H225&gt;I225,D225,0)</f>
        <v>22.71</v>
      </c>
      <c r="H225">
        <f ca="1">INDEX(INDIRECT(""&amp;C225&amp;"!A2:A489"),MATCH(B225,INDIRECT(""&amp;C225&amp;"!B2:B489"),0))</f>
        <v>75</v>
      </c>
      <c r="I225">
        <f>IF(C225="WR",LeagueInfo!$D$5*LeagueInfo!$F$2,LeagueInfo!$D$6*LeagueInfo!$F$2)</f>
        <v>12</v>
      </c>
    </row>
    <row r="226" spans="1:9" x14ac:dyDescent="0.25">
      <c r="A226">
        <f ca="1">RANK(E226,E$2:E$350)</f>
        <v>225</v>
      </c>
      <c r="B226" t="s">
        <v>966</v>
      </c>
      <c r="C226" t="s">
        <v>35</v>
      </c>
      <c r="D226">
        <f ca="1">INDEX(INDIRECT($C226&amp;"!P:P"),MATCH($B226,INDIRECT($C226&amp;"!B:B"),0))</f>
        <v>22.680000000000003</v>
      </c>
      <c r="E226" s="6">
        <f ca="1">D226-LARGE(D$2:D$284,TECount+WRCount)</f>
        <v>-92.36</v>
      </c>
      <c r="F226" t="str">
        <f ca="1">IF(H226&lt;=I226,"Starter",IF(G226&gt;=LARGE(G:G,FlexOn*LeagueInfo!$F$2),"Starter","Bench"))</f>
        <v>Bench</v>
      </c>
      <c r="G226">
        <f ca="1">IF(H226&gt;I226,D226,0)</f>
        <v>22.680000000000003</v>
      </c>
      <c r="H226">
        <f ca="1">INDEX(INDIRECT(""&amp;C226&amp;"!A2:A489"),MATCH(B226,INDIRECT(""&amp;C226&amp;"!B2:B489"),0))</f>
        <v>150</v>
      </c>
      <c r="I226">
        <f>IF(C226="WR",LeagueInfo!$D$5*LeagueInfo!$F$2,LeagueInfo!$D$6*LeagueInfo!$F$2)</f>
        <v>24</v>
      </c>
    </row>
    <row r="227" spans="1:9" x14ac:dyDescent="0.25">
      <c r="A227">
        <f ca="1">RANK(E227,E$2:E$350)</f>
        <v>225</v>
      </c>
      <c r="B227" t="s">
        <v>735</v>
      </c>
      <c r="C227" t="s">
        <v>35</v>
      </c>
      <c r="D227">
        <f ca="1">INDEX(INDIRECT($C227&amp;"!P:P"),MATCH($B227,INDIRECT($C227&amp;"!B:B"),0))</f>
        <v>22.680000000000003</v>
      </c>
      <c r="E227" s="6">
        <f ca="1">D227-LARGE(D$2:D$284,TECount+WRCount)</f>
        <v>-92.36</v>
      </c>
      <c r="F227" t="str">
        <f ca="1">IF(H227&lt;=I227,"Starter",IF(G227&gt;=LARGE(G:G,FlexOn*LeagueInfo!$F$2),"Starter","Bench"))</f>
        <v>Bench</v>
      </c>
      <c r="G227">
        <f ca="1">IF(H227&gt;I227,D227,0)</f>
        <v>22.680000000000003</v>
      </c>
      <c r="H227">
        <f ca="1">INDEX(INDIRECT(""&amp;C227&amp;"!A2:A489"),MATCH(B227,INDIRECT(""&amp;C227&amp;"!B2:B489"),0))</f>
        <v>150</v>
      </c>
      <c r="I227">
        <f>IF(C227="WR",LeagueInfo!$D$5*LeagueInfo!$F$2,LeagueInfo!$D$6*LeagueInfo!$F$2)</f>
        <v>24</v>
      </c>
    </row>
    <row r="228" spans="1:9" x14ac:dyDescent="0.25">
      <c r="A228">
        <f ca="1">RANK(E228,E$2:E$350)</f>
        <v>227</v>
      </c>
      <c r="B228" t="s">
        <v>432</v>
      </c>
      <c r="C228" t="s">
        <v>43</v>
      </c>
      <c r="D228">
        <f ca="1">INDEX(INDIRECT($C228&amp;"!P:P"),MATCH($B228,INDIRECT($C228&amp;"!B:B"),0))</f>
        <v>22.610000000000003</v>
      </c>
      <c r="E228" s="6">
        <f ca="1">D228-LARGE(D$2:D$284,TECount+WRCount)</f>
        <v>-92.43</v>
      </c>
      <c r="F228" t="str">
        <f ca="1">IF(H228&lt;=I228,"Starter",IF(G228&gt;=LARGE(G:G,FlexOn*LeagueInfo!$F$2),"Starter","Bench"))</f>
        <v>Bench</v>
      </c>
      <c r="G228">
        <f ca="1">IF(H228&gt;I228,D228,0)</f>
        <v>22.610000000000003</v>
      </c>
      <c r="H228">
        <f ca="1">INDEX(INDIRECT(""&amp;C228&amp;"!A2:A489"),MATCH(B228,INDIRECT(""&amp;C228&amp;"!B2:B489"),0))</f>
        <v>76</v>
      </c>
      <c r="I228">
        <f>IF(C228="WR",LeagueInfo!$D$5*LeagueInfo!$F$2,LeagueInfo!$D$6*LeagueInfo!$F$2)</f>
        <v>12</v>
      </c>
    </row>
    <row r="229" spans="1:9" x14ac:dyDescent="0.25">
      <c r="A229">
        <f ca="1">RANK(E229,E$2:E$350)</f>
        <v>227</v>
      </c>
      <c r="B229" t="s">
        <v>754</v>
      </c>
      <c r="C229" t="s">
        <v>43</v>
      </c>
      <c r="D229">
        <f ca="1">INDEX(INDIRECT($C229&amp;"!P:P"),MATCH($B229,INDIRECT($C229&amp;"!B:B"),0))</f>
        <v>22.61</v>
      </c>
      <c r="E229" s="6">
        <f ca="1">D229-LARGE(D$2:D$284,TECount+WRCount)</f>
        <v>-92.43</v>
      </c>
      <c r="F229" t="str">
        <f ca="1">IF(H229&lt;=I229,"Starter",IF(G229&gt;=LARGE(G:G,FlexOn*LeagueInfo!$F$2),"Starter","Bench"))</f>
        <v>Bench</v>
      </c>
      <c r="G229">
        <f ca="1">IF(H229&gt;I229,D229,0)</f>
        <v>22.61</v>
      </c>
      <c r="H229">
        <f ca="1">INDEX(INDIRECT(""&amp;C229&amp;"!A2:A489"),MATCH(B229,INDIRECT(""&amp;C229&amp;"!B2:B489"),0))</f>
        <v>77</v>
      </c>
      <c r="I229">
        <f>IF(C229="WR",LeagueInfo!$D$5*LeagueInfo!$F$2,LeagueInfo!$D$6*LeagueInfo!$F$2)</f>
        <v>12</v>
      </c>
    </row>
    <row r="230" spans="1:9" x14ac:dyDescent="0.25">
      <c r="A230">
        <f ca="1">RANK(E230,E$2:E$350)</f>
        <v>229</v>
      </c>
      <c r="B230" t="s">
        <v>425</v>
      </c>
      <c r="C230" t="s">
        <v>43</v>
      </c>
      <c r="D230">
        <f ca="1">INDEX(INDIRECT($C230&amp;"!P:P"),MATCH($B230,INDIRECT($C230&amp;"!B:B"),0))</f>
        <v>22.560000000000002</v>
      </c>
      <c r="E230" s="6">
        <f ca="1">D230-LARGE(D$2:D$284,TECount+WRCount)</f>
        <v>-92.48</v>
      </c>
      <c r="F230" t="str">
        <f ca="1">IF(H230&lt;=I230,"Starter",IF(G230&gt;=LARGE(G:G,FlexOn*LeagueInfo!$F$2),"Starter","Bench"))</f>
        <v>Bench</v>
      </c>
      <c r="G230">
        <f ca="1">IF(H230&gt;I230,D230,0)</f>
        <v>22.560000000000002</v>
      </c>
      <c r="H230">
        <f ca="1">INDEX(INDIRECT(""&amp;C230&amp;"!A2:A489"),MATCH(B230,INDIRECT(""&amp;C230&amp;"!B2:B489"),0))</f>
        <v>78</v>
      </c>
      <c r="I230">
        <f>IF(C230="WR",LeagueInfo!$D$5*LeagueInfo!$F$2,LeagueInfo!$D$6*LeagueInfo!$F$2)</f>
        <v>12</v>
      </c>
    </row>
    <row r="231" spans="1:9" x14ac:dyDescent="0.25">
      <c r="A231">
        <f ca="1">RANK(E231,E$2:E$350)</f>
        <v>230</v>
      </c>
      <c r="B231" t="s">
        <v>2458</v>
      </c>
      <c r="C231" t="s">
        <v>35</v>
      </c>
      <c r="D231">
        <f ca="1">INDEX(INDIRECT($C231&amp;"!P:P"),MATCH($B231,INDIRECT($C231&amp;"!B:B"),0))</f>
        <v>22.51</v>
      </c>
      <c r="E231" s="6">
        <f ca="1">D231-LARGE(D$2:D$284,TECount+WRCount)</f>
        <v>-92.53</v>
      </c>
      <c r="F231" t="str">
        <f ca="1">IF(H231&lt;=I231,"Starter",IF(G231&gt;=LARGE(G:G,FlexOn*LeagueInfo!$F$2),"Starter","Bench"))</f>
        <v>Bench</v>
      </c>
      <c r="G231">
        <f ca="1">IF(H231&gt;I231,D231,0)</f>
        <v>22.51</v>
      </c>
      <c r="H231">
        <f ca="1">INDEX(INDIRECT(""&amp;C231&amp;"!A2:A489"),MATCH(B231,INDIRECT(""&amp;C231&amp;"!B2:B489"),0))</f>
        <v>152</v>
      </c>
      <c r="I231">
        <f>IF(C231="WR",LeagueInfo!$D$5*LeagueInfo!$F$2,LeagueInfo!$D$6*LeagueInfo!$F$2)</f>
        <v>24</v>
      </c>
    </row>
    <row r="232" spans="1:9" x14ac:dyDescent="0.25">
      <c r="A232">
        <f ca="1">RANK(E232,E$2:E$350)</f>
        <v>231</v>
      </c>
      <c r="B232" t="s">
        <v>1028</v>
      </c>
      <c r="C232" t="s">
        <v>35</v>
      </c>
      <c r="D232">
        <f ca="1">INDEX(INDIRECT($C232&amp;"!P:P"),MATCH($B232,INDIRECT($C232&amp;"!B:B"),0))</f>
        <v>22.39</v>
      </c>
      <c r="E232" s="6">
        <f ca="1">D232-LARGE(D$2:D$284,TECount+WRCount)</f>
        <v>-92.65</v>
      </c>
      <c r="F232" t="str">
        <f ca="1">IF(H232&lt;=I232,"Starter",IF(G232&gt;=LARGE(G:G,FlexOn*LeagueInfo!$F$2),"Starter","Bench"))</f>
        <v>Bench</v>
      </c>
      <c r="G232">
        <f ca="1">IF(H232&gt;I232,D232,0)</f>
        <v>22.39</v>
      </c>
      <c r="H232">
        <f ca="1">INDEX(INDIRECT(""&amp;C232&amp;"!A2:A489"),MATCH(B232,INDIRECT(""&amp;C232&amp;"!B2:B489"),0))</f>
        <v>153</v>
      </c>
      <c r="I232">
        <f>IF(C232="WR",LeagueInfo!$D$5*LeagueInfo!$F$2,LeagueInfo!$D$6*LeagueInfo!$F$2)</f>
        <v>24</v>
      </c>
    </row>
    <row r="233" spans="1:9" x14ac:dyDescent="0.25">
      <c r="A233">
        <f ca="1">RANK(E233,E$2:E$350)</f>
        <v>232</v>
      </c>
      <c r="B233" t="s">
        <v>998</v>
      </c>
      <c r="C233" t="s">
        <v>35</v>
      </c>
      <c r="D233">
        <f ca="1">INDEX(INDIRECT($C233&amp;"!P:P"),MATCH($B233,INDIRECT($C233&amp;"!B:B"),0))</f>
        <v>21.62</v>
      </c>
      <c r="E233" s="6">
        <f ca="1">D233-LARGE(D$2:D$284,TECount+WRCount)</f>
        <v>-93.42</v>
      </c>
      <c r="F233" t="str">
        <f ca="1">IF(H233&lt;=I233,"Starter",IF(G233&gt;=LARGE(G:G,FlexOn*LeagueInfo!$F$2),"Starter","Bench"))</f>
        <v>Bench</v>
      </c>
      <c r="G233">
        <f ca="1">IF(H233&gt;I233,D233,0)</f>
        <v>21.62</v>
      </c>
      <c r="H233">
        <f ca="1">INDEX(INDIRECT(""&amp;C233&amp;"!A2:A489"),MATCH(B233,INDIRECT(""&amp;C233&amp;"!B2:B489"),0))</f>
        <v>154</v>
      </c>
      <c r="I233">
        <f>IF(C233="WR",LeagueInfo!$D$5*LeagueInfo!$F$2,LeagueInfo!$D$6*LeagueInfo!$F$2)</f>
        <v>24</v>
      </c>
    </row>
    <row r="234" spans="1:9" x14ac:dyDescent="0.25">
      <c r="A234">
        <f ca="1">RANK(E234,E$2:E$350)</f>
        <v>233</v>
      </c>
      <c r="B234" t="s">
        <v>2497</v>
      </c>
      <c r="C234" t="s">
        <v>43</v>
      </c>
      <c r="D234">
        <f ca="1">INDEX(INDIRECT($C234&amp;"!P:P"),MATCH($B234,INDIRECT($C234&amp;"!B:B"),0))</f>
        <v>21.6</v>
      </c>
      <c r="E234" s="6">
        <f ca="1">D234-LARGE(D$2:D$284,TECount+WRCount)</f>
        <v>-93.44</v>
      </c>
      <c r="F234" t="str">
        <f ca="1">IF(H234&lt;=I234,"Starter",IF(G234&gt;=LARGE(G:G,FlexOn*LeagueInfo!$F$2),"Starter","Bench"))</f>
        <v>Bench</v>
      </c>
      <c r="G234">
        <f ca="1">IF(H234&gt;I234,D234,0)</f>
        <v>21.6</v>
      </c>
      <c r="H234">
        <f ca="1">INDEX(INDIRECT(""&amp;C234&amp;"!A2:A489"),MATCH(B234,INDIRECT(""&amp;C234&amp;"!B2:B489"),0))</f>
        <v>79</v>
      </c>
      <c r="I234">
        <f>IF(C234="WR",LeagueInfo!$D$5*LeagueInfo!$F$2,LeagueInfo!$D$6*LeagueInfo!$F$2)</f>
        <v>12</v>
      </c>
    </row>
    <row r="235" spans="1:9" x14ac:dyDescent="0.25">
      <c r="A235">
        <f ca="1">RANK(E235,E$2:E$350)</f>
        <v>234</v>
      </c>
      <c r="B235" t="s">
        <v>2482</v>
      </c>
      <c r="C235" t="s">
        <v>43</v>
      </c>
      <c r="D235">
        <f ca="1">INDEX(INDIRECT($C235&amp;"!P:P"),MATCH($B235,INDIRECT($C235&amp;"!B:B"),0))</f>
        <v>21.470000000000002</v>
      </c>
      <c r="E235" s="6">
        <f ca="1">D235-LARGE(D$2:D$284,TECount+WRCount)</f>
        <v>-93.570000000000007</v>
      </c>
      <c r="F235" t="str">
        <f ca="1">IF(H235&lt;=I235,"Starter",IF(G235&gt;=LARGE(G:G,FlexOn*LeagueInfo!$F$2),"Starter","Bench"))</f>
        <v>Bench</v>
      </c>
      <c r="G235">
        <f ca="1">IF(H235&gt;I235,D235,0)</f>
        <v>21.470000000000002</v>
      </c>
      <c r="H235">
        <f ca="1">INDEX(INDIRECT(""&amp;C235&amp;"!A2:A489"),MATCH(B235,INDIRECT(""&amp;C235&amp;"!B2:B489"),0))</f>
        <v>80</v>
      </c>
      <c r="I235">
        <f>IF(C235="WR",LeagueInfo!$D$5*LeagueInfo!$F$2,LeagueInfo!$D$6*LeagueInfo!$F$2)</f>
        <v>12</v>
      </c>
    </row>
    <row r="236" spans="1:9" x14ac:dyDescent="0.25">
      <c r="A236">
        <f ca="1">RANK(E236,E$2:E$350)</f>
        <v>234</v>
      </c>
      <c r="B236" t="s">
        <v>968</v>
      </c>
      <c r="C236" t="s">
        <v>35</v>
      </c>
      <c r="D236">
        <f ca="1">INDEX(INDIRECT($C236&amp;"!P:P"),MATCH($B236,INDIRECT($C236&amp;"!B:B"),0))</f>
        <v>21.470000000000002</v>
      </c>
      <c r="E236" s="6">
        <f ca="1">D236-LARGE(D$2:D$284,TECount+WRCount)</f>
        <v>-93.570000000000007</v>
      </c>
      <c r="F236" t="str">
        <f ca="1">IF(H236&lt;=I236,"Starter",IF(G236&gt;=LARGE(G:G,FlexOn*LeagueInfo!$F$2),"Starter","Bench"))</f>
        <v>Bench</v>
      </c>
      <c r="G236">
        <f ca="1">IF(H236&gt;I236,D236,0)</f>
        <v>21.470000000000002</v>
      </c>
      <c r="H236">
        <f ca="1">INDEX(INDIRECT(""&amp;C236&amp;"!A2:A489"),MATCH(B236,INDIRECT(""&amp;C236&amp;"!B2:B489"),0))</f>
        <v>155</v>
      </c>
      <c r="I236">
        <f>IF(C236="WR",LeagueInfo!$D$5*LeagueInfo!$F$2,LeagueInfo!$D$6*LeagueInfo!$F$2)</f>
        <v>24</v>
      </c>
    </row>
    <row r="237" spans="1:9" x14ac:dyDescent="0.25">
      <c r="A237">
        <f ca="1">RANK(E237,E$2:E$350)</f>
        <v>236</v>
      </c>
      <c r="B237" t="s">
        <v>978</v>
      </c>
      <c r="C237" t="s">
        <v>43</v>
      </c>
      <c r="D237">
        <f ca="1">INDEX(INDIRECT($C237&amp;"!P:P"),MATCH($B237,INDIRECT($C237&amp;"!B:B"),0))</f>
        <v>21.3</v>
      </c>
      <c r="E237" s="6">
        <f ca="1">D237-LARGE(D$2:D$284,TECount+WRCount)</f>
        <v>-93.740000000000009</v>
      </c>
      <c r="F237" t="str">
        <f ca="1">IF(H237&lt;=I237,"Starter",IF(G237&gt;=LARGE(G:G,FlexOn*LeagueInfo!$F$2),"Starter","Bench"))</f>
        <v>Bench</v>
      </c>
      <c r="G237">
        <f ca="1">IF(H237&gt;I237,D237,0)</f>
        <v>21.3</v>
      </c>
      <c r="H237">
        <f ca="1">INDEX(INDIRECT(""&amp;C237&amp;"!A2:A489"),MATCH(B237,INDIRECT(""&amp;C237&amp;"!B2:B489"),0))</f>
        <v>81</v>
      </c>
      <c r="I237">
        <f>IF(C237="WR",LeagueInfo!$D$5*LeagueInfo!$F$2,LeagueInfo!$D$6*LeagueInfo!$F$2)</f>
        <v>12</v>
      </c>
    </row>
    <row r="238" spans="1:9" x14ac:dyDescent="0.25">
      <c r="A238">
        <f ca="1">RANK(E238,E$2:E$350)</f>
        <v>236</v>
      </c>
      <c r="B238" t="s">
        <v>2433</v>
      </c>
      <c r="C238" t="s">
        <v>35</v>
      </c>
      <c r="D238">
        <f ca="1">INDEX(INDIRECT($C238&amp;"!P:P"),MATCH($B238,INDIRECT($C238&amp;"!B:B"),0))</f>
        <v>21.3</v>
      </c>
      <c r="E238" s="6">
        <f ca="1">D238-LARGE(D$2:D$284,TECount+WRCount)</f>
        <v>-93.740000000000009</v>
      </c>
      <c r="F238" t="str">
        <f ca="1">IF(H238&lt;=I238,"Starter",IF(G238&gt;=LARGE(G:G,FlexOn*LeagueInfo!$F$2),"Starter","Bench"))</f>
        <v>Bench</v>
      </c>
      <c r="G238">
        <f ca="1">IF(H238&gt;I238,D238,0)</f>
        <v>21.3</v>
      </c>
      <c r="H238">
        <f ca="1">INDEX(INDIRECT(""&amp;C238&amp;"!A2:A489"),MATCH(B238,INDIRECT(""&amp;C238&amp;"!B2:B489"),0))</f>
        <v>156</v>
      </c>
      <c r="I238">
        <f>IF(C238="WR",LeagueInfo!$D$5*LeagueInfo!$F$2,LeagueInfo!$D$6*LeagueInfo!$F$2)</f>
        <v>24</v>
      </c>
    </row>
    <row r="239" spans="1:9" x14ac:dyDescent="0.25">
      <c r="A239">
        <f ca="1">RANK(E239,E$2:E$350)</f>
        <v>238</v>
      </c>
      <c r="B239" t="s">
        <v>2484</v>
      </c>
      <c r="C239" t="s">
        <v>43</v>
      </c>
      <c r="D239">
        <f ca="1">INDEX(INDIRECT($C239&amp;"!P:P"),MATCH($B239,INDIRECT($C239&amp;"!B:B"),0))</f>
        <v>21.150000000000002</v>
      </c>
      <c r="E239" s="6">
        <f ca="1">D239-LARGE(D$2:D$284,TECount+WRCount)</f>
        <v>-93.89</v>
      </c>
      <c r="F239" t="str">
        <f ca="1">IF(H239&lt;=I239,"Starter",IF(G239&gt;=LARGE(G:G,FlexOn*LeagueInfo!$F$2),"Starter","Bench"))</f>
        <v>Bench</v>
      </c>
      <c r="G239">
        <f ca="1">IF(H239&gt;I239,D239,0)</f>
        <v>21.150000000000002</v>
      </c>
      <c r="H239">
        <f ca="1">INDEX(INDIRECT(""&amp;C239&amp;"!A2:A489"),MATCH(B239,INDIRECT(""&amp;C239&amp;"!B2:B489"),0))</f>
        <v>82</v>
      </c>
      <c r="I239">
        <f>IF(C239="WR",LeagueInfo!$D$5*LeagueInfo!$F$2,LeagueInfo!$D$6*LeagueInfo!$F$2)</f>
        <v>12</v>
      </c>
    </row>
    <row r="240" spans="1:9" x14ac:dyDescent="0.25">
      <c r="A240">
        <f ca="1">RANK(E240,E$2:E$350)</f>
        <v>239</v>
      </c>
      <c r="B240" t="s">
        <v>2438</v>
      </c>
      <c r="C240" t="s">
        <v>35</v>
      </c>
      <c r="D240">
        <f ca="1">INDEX(INDIRECT($C240&amp;"!P:P"),MATCH($B240,INDIRECT($C240&amp;"!B:B"),0))</f>
        <v>21.09</v>
      </c>
      <c r="E240" s="6">
        <f ca="1">D240-LARGE(D$2:D$284,TECount+WRCount)</f>
        <v>-93.95</v>
      </c>
      <c r="F240" t="str">
        <f ca="1">IF(H240&lt;=I240,"Starter",IF(G240&gt;=LARGE(G:G,FlexOn*LeagueInfo!$F$2),"Starter","Bench"))</f>
        <v>Bench</v>
      </c>
      <c r="G240">
        <f ca="1">IF(H240&gt;I240,D240,0)</f>
        <v>21.09</v>
      </c>
      <c r="H240">
        <f ca="1">INDEX(INDIRECT(""&amp;C240&amp;"!A2:A489"),MATCH(B240,INDIRECT(""&amp;C240&amp;"!B2:B489"),0))</f>
        <v>157</v>
      </c>
      <c r="I240">
        <f>IF(C240="WR",LeagueInfo!$D$5*LeagueInfo!$F$2,LeagueInfo!$D$6*LeagueInfo!$F$2)</f>
        <v>24</v>
      </c>
    </row>
    <row r="241" spans="1:9" x14ac:dyDescent="0.25">
      <c r="A241">
        <f ca="1">RANK(E241,E$2:E$350)</f>
        <v>240</v>
      </c>
      <c r="B241" t="s">
        <v>737</v>
      </c>
      <c r="C241" t="s">
        <v>35</v>
      </c>
      <c r="D241">
        <f ca="1">INDEX(INDIRECT($C241&amp;"!P:P"),MATCH($B241,INDIRECT($C241&amp;"!B:B"),0))</f>
        <v>20.9</v>
      </c>
      <c r="E241" s="6">
        <f ca="1">D241-LARGE(D$2:D$284,TECount+WRCount)</f>
        <v>-94.140000000000015</v>
      </c>
      <c r="F241" t="str">
        <f ca="1">IF(H241&lt;=I241,"Starter",IF(G241&gt;=LARGE(G:G,FlexOn*LeagueInfo!$F$2),"Starter","Bench"))</f>
        <v>Bench</v>
      </c>
      <c r="G241">
        <f ca="1">IF(H241&gt;I241,D241,0)</f>
        <v>20.9</v>
      </c>
      <c r="H241">
        <f ca="1">INDEX(INDIRECT(""&amp;C241&amp;"!A2:A489"),MATCH(B241,INDIRECT(""&amp;C241&amp;"!B2:B489"),0))</f>
        <v>158</v>
      </c>
      <c r="I241">
        <f>IF(C241="WR",LeagueInfo!$D$5*LeagueInfo!$F$2,LeagueInfo!$D$6*LeagueInfo!$F$2)</f>
        <v>24</v>
      </c>
    </row>
    <row r="242" spans="1:9" x14ac:dyDescent="0.25">
      <c r="A242">
        <f ca="1">RANK(E242,E$2:E$350)</f>
        <v>241</v>
      </c>
      <c r="B242" t="s">
        <v>751</v>
      </c>
      <c r="C242" t="s">
        <v>43</v>
      </c>
      <c r="D242">
        <f ca="1">INDEX(INDIRECT($C242&amp;"!P:P"),MATCH($B242,INDIRECT($C242&amp;"!B:B"),0))</f>
        <v>20.520000000000003</v>
      </c>
      <c r="E242" s="6">
        <f ca="1">D242-LARGE(D$2:D$284,TECount+WRCount)</f>
        <v>-94.52000000000001</v>
      </c>
      <c r="F242" t="str">
        <f ca="1">IF(H242&lt;=I242,"Starter",IF(G242&gt;=LARGE(G:G,FlexOn*LeagueInfo!$F$2),"Starter","Bench"))</f>
        <v>Bench</v>
      </c>
      <c r="G242">
        <f ca="1">IF(H242&gt;I242,D242,0)</f>
        <v>20.520000000000003</v>
      </c>
      <c r="H242">
        <f ca="1">INDEX(INDIRECT(""&amp;C242&amp;"!A2:A489"),MATCH(B242,INDIRECT(""&amp;C242&amp;"!B2:B489"),0))</f>
        <v>83</v>
      </c>
      <c r="I242">
        <f>IF(C242="WR",LeagueInfo!$D$5*LeagueInfo!$F$2,LeagueInfo!$D$6*LeagueInfo!$F$2)</f>
        <v>12</v>
      </c>
    </row>
    <row r="243" spans="1:9" x14ac:dyDescent="0.25">
      <c r="A243">
        <f ca="1">RANK(E243,E$2:E$350)</f>
        <v>242</v>
      </c>
      <c r="B243" t="s">
        <v>703</v>
      </c>
      <c r="C243" t="s">
        <v>35</v>
      </c>
      <c r="D243">
        <f ca="1">INDEX(INDIRECT($C243&amp;"!P:P"),MATCH($B243,INDIRECT($C243&amp;"!B:B"),0))</f>
        <v>20.39</v>
      </c>
      <c r="E243" s="6">
        <f ca="1">D243-LARGE(D$2:D$284,TECount+WRCount)</f>
        <v>-94.65</v>
      </c>
      <c r="F243" t="str">
        <f ca="1">IF(H243&lt;=I243,"Starter",IF(G243&gt;=LARGE(G:G,FlexOn*LeagueInfo!$F$2),"Starter","Bench"))</f>
        <v>Bench</v>
      </c>
      <c r="G243">
        <f ca="1">IF(H243&gt;I243,D243,0)</f>
        <v>20.39</v>
      </c>
      <c r="H243">
        <f ca="1">INDEX(INDIRECT(""&amp;C243&amp;"!A2:A489"),MATCH(B243,INDIRECT(""&amp;C243&amp;"!B2:B489"),0))</f>
        <v>159</v>
      </c>
      <c r="I243">
        <f>IF(C243="WR",LeagueInfo!$D$5*LeagueInfo!$F$2,LeagueInfo!$D$6*LeagueInfo!$F$2)</f>
        <v>24</v>
      </c>
    </row>
    <row r="244" spans="1:9" x14ac:dyDescent="0.25">
      <c r="A244">
        <f ca="1">RANK(E244,E$2:E$350)</f>
        <v>243</v>
      </c>
      <c r="B244" t="s">
        <v>969</v>
      </c>
      <c r="C244" t="s">
        <v>35</v>
      </c>
      <c r="D244">
        <f ca="1">INDEX(INDIRECT($C244&amp;"!P:P"),MATCH($B244,INDIRECT($C244&amp;"!B:B"),0))</f>
        <v>19.309999999999999</v>
      </c>
      <c r="E244" s="6">
        <f ca="1">D244-LARGE(D$2:D$284,TECount+WRCount)</f>
        <v>-95.73</v>
      </c>
      <c r="F244" t="str">
        <f ca="1">IF(H244&lt;=I244,"Starter",IF(G244&gt;=LARGE(G:G,FlexOn*LeagueInfo!$F$2),"Starter","Bench"))</f>
        <v>Bench</v>
      </c>
      <c r="G244">
        <f ca="1">IF(H244&gt;I244,D244,0)</f>
        <v>19.309999999999999</v>
      </c>
      <c r="H244">
        <f ca="1">INDEX(INDIRECT(""&amp;C244&amp;"!A2:A489"),MATCH(B244,INDIRECT(""&amp;C244&amp;"!B2:B489"),0))</f>
        <v>160</v>
      </c>
      <c r="I244">
        <f>IF(C244="WR",LeagueInfo!$D$5*LeagueInfo!$F$2,LeagueInfo!$D$6*LeagueInfo!$F$2)</f>
        <v>24</v>
      </c>
    </row>
    <row r="245" spans="1:9" x14ac:dyDescent="0.25">
      <c r="A245">
        <f ca="1">RANK(E245,E$2:E$350)</f>
        <v>244</v>
      </c>
      <c r="B245" t="s">
        <v>803</v>
      </c>
      <c r="C245" t="s">
        <v>35</v>
      </c>
      <c r="D245">
        <f ca="1">INDEX(INDIRECT($C245&amp;"!P:P"),MATCH($B245,INDIRECT($C245&amp;"!B:B"),0))</f>
        <v>18.950000000000003</v>
      </c>
      <c r="E245" s="6">
        <f ca="1">D245-LARGE(D$2:D$284,TECount+WRCount)</f>
        <v>-96.09</v>
      </c>
      <c r="F245" t="str">
        <f ca="1">IF(H245&lt;=I245,"Starter",IF(G245&gt;=LARGE(G:G,FlexOn*LeagueInfo!$F$2),"Starter","Bench"))</f>
        <v>Bench</v>
      </c>
      <c r="G245">
        <f ca="1">IF(H245&gt;I245,D245,0)</f>
        <v>18.950000000000003</v>
      </c>
      <c r="H245">
        <f ca="1">INDEX(INDIRECT(""&amp;C245&amp;"!A2:A489"),MATCH(B245,INDIRECT(""&amp;C245&amp;"!B2:B489"),0))</f>
        <v>161</v>
      </c>
      <c r="I245">
        <f>IF(C245="WR",LeagueInfo!$D$5*LeagueInfo!$F$2,LeagueInfo!$D$6*LeagueInfo!$F$2)</f>
        <v>24</v>
      </c>
    </row>
    <row r="246" spans="1:9" x14ac:dyDescent="0.25">
      <c r="A246">
        <f ca="1">RANK(E246,E$2:E$350)</f>
        <v>245</v>
      </c>
      <c r="B246" t="s">
        <v>736</v>
      </c>
      <c r="C246" t="s">
        <v>35</v>
      </c>
      <c r="D246">
        <f ca="1">INDEX(INDIRECT($C246&amp;"!P:P"),MATCH($B246,INDIRECT($C246&amp;"!B:B"),0))</f>
        <v>18.78</v>
      </c>
      <c r="E246" s="6">
        <f ca="1">D246-LARGE(D$2:D$284,TECount+WRCount)</f>
        <v>-96.26</v>
      </c>
      <c r="F246" t="str">
        <f ca="1">IF(H246&lt;=I246,"Starter",IF(G246&gt;=LARGE(G:G,FlexOn*LeagueInfo!$F$2),"Starter","Bench"))</f>
        <v>Bench</v>
      </c>
      <c r="G246">
        <f ca="1">IF(H246&gt;I246,D246,0)</f>
        <v>18.78</v>
      </c>
      <c r="H246">
        <f ca="1">INDEX(INDIRECT(""&amp;C246&amp;"!A2:A489"),MATCH(B246,INDIRECT(""&amp;C246&amp;"!B2:B489"),0))</f>
        <v>162</v>
      </c>
      <c r="I246">
        <f>IF(C246="WR",LeagueInfo!$D$5*LeagueInfo!$F$2,LeagueInfo!$D$6*LeagueInfo!$F$2)</f>
        <v>24</v>
      </c>
    </row>
    <row r="247" spans="1:9" x14ac:dyDescent="0.25">
      <c r="A247">
        <f ca="1">RANK(E247,E$2:E$350)</f>
        <v>246</v>
      </c>
      <c r="B247" t="s">
        <v>980</v>
      </c>
      <c r="C247" t="s">
        <v>43</v>
      </c>
      <c r="D247">
        <f ca="1">INDEX(INDIRECT($C247&amp;"!P:P"),MATCH($B247,INDIRECT($C247&amp;"!B:B"),0))</f>
        <v>18.75</v>
      </c>
      <c r="E247" s="6">
        <f ca="1">D247-LARGE(D$2:D$284,TECount+WRCount)</f>
        <v>-96.29</v>
      </c>
      <c r="F247" t="str">
        <f ca="1">IF(H247&lt;=I247,"Starter",IF(G247&gt;=LARGE(G:G,FlexOn*LeagueInfo!$F$2),"Starter","Bench"))</f>
        <v>Bench</v>
      </c>
      <c r="G247">
        <f ca="1">IF(H247&gt;I247,D247,0)</f>
        <v>18.75</v>
      </c>
      <c r="H247">
        <f ca="1">INDEX(INDIRECT(""&amp;C247&amp;"!A2:A489"),MATCH(B247,INDIRECT(""&amp;C247&amp;"!B2:B489"),0))</f>
        <v>84</v>
      </c>
      <c r="I247">
        <f>IF(C247="WR",LeagueInfo!$D$5*LeagueInfo!$F$2,LeagueInfo!$D$6*LeagueInfo!$F$2)</f>
        <v>12</v>
      </c>
    </row>
    <row r="248" spans="1:9" x14ac:dyDescent="0.25">
      <c r="A248">
        <f ca="1">RANK(E248,E$2:E$350)</f>
        <v>247</v>
      </c>
      <c r="B248" t="s">
        <v>2435</v>
      </c>
      <c r="C248" t="s">
        <v>35</v>
      </c>
      <c r="D248">
        <f ca="1">INDEX(INDIRECT($C248&amp;"!P:P"),MATCH($B248,INDIRECT($C248&amp;"!B:B"),0))</f>
        <v>18.68</v>
      </c>
      <c r="E248" s="6">
        <f ca="1">D248-LARGE(D$2:D$284,TECount+WRCount)</f>
        <v>-96.360000000000014</v>
      </c>
      <c r="F248" t="str">
        <f ca="1">IF(H248&lt;=I248,"Starter",IF(G248&gt;=LARGE(G:G,FlexOn*LeagueInfo!$F$2),"Starter","Bench"))</f>
        <v>Bench</v>
      </c>
      <c r="G248">
        <f ca="1">IF(H248&gt;I248,D248,0)</f>
        <v>18.68</v>
      </c>
      <c r="H248">
        <f ca="1">INDEX(INDIRECT(""&amp;C248&amp;"!A2:A489"),MATCH(B248,INDIRECT(""&amp;C248&amp;"!B2:B489"),0))</f>
        <v>163</v>
      </c>
      <c r="I248">
        <f>IF(C248="WR",LeagueInfo!$D$5*LeagueInfo!$F$2,LeagueInfo!$D$6*LeagueInfo!$F$2)</f>
        <v>24</v>
      </c>
    </row>
    <row r="249" spans="1:9" x14ac:dyDescent="0.25">
      <c r="A249">
        <f ca="1">RANK(E249,E$2:E$350)</f>
        <v>248</v>
      </c>
      <c r="B249" t="s">
        <v>2432</v>
      </c>
      <c r="C249" t="s">
        <v>35</v>
      </c>
      <c r="D249">
        <f ca="1">INDEX(INDIRECT($C249&amp;"!P:P"),MATCH($B249,INDIRECT($C249&amp;"!B:B"),0))</f>
        <v>18.610000000000003</v>
      </c>
      <c r="E249" s="6">
        <f ca="1">D249-LARGE(D$2:D$284,TECount+WRCount)</f>
        <v>-96.43</v>
      </c>
      <c r="F249" t="str">
        <f ca="1">IF(H249&lt;=I249,"Starter",IF(G249&gt;=LARGE(G:G,FlexOn*LeagueInfo!$F$2),"Starter","Bench"))</f>
        <v>Bench</v>
      </c>
      <c r="G249">
        <f ca="1">IF(H249&gt;I249,D249,0)</f>
        <v>18.610000000000003</v>
      </c>
      <c r="H249">
        <f ca="1">INDEX(INDIRECT(""&amp;C249&amp;"!A2:A489"),MATCH(B249,INDIRECT(""&amp;C249&amp;"!B2:B489"),0))</f>
        <v>164</v>
      </c>
      <c r="I249">
        <f>IF(C249="WR",LeagueInfo!$D$5*LeagueInfo!$F$2,LeagueInfo!$D$6*LeagueInfo!$F$2)</f>
        <v>24</v>
      </c>
    </row>
    <row r="250" spans="1:9" x14ac:dyDescent="0.25">
      <c r="A250">
        <f ca="1">RANK(E250,E$2:E$350)</f>
        <v>248</v>
      </c>
      <c r="B250" t="s">
        <v>962</v>
      </c>
      <c r="C250" t="s">
        <v>35</v>
      </c>
      <c r="D250">
        <f ca="1">INDEX(INDIRECT($C250&amp;"!P:P"),MATCH($B250,INDIRECT($C250&amp;"!B:B"),0))</f>
        <v>18.61</v>
      </c>
      <c r="E250" s="6">
        <f ca="1">D250-LARGE(D$2:D$284,TECount+WRCount)</f>
        <v>-96.43</v>
      </c>
      <c r="F250" t="str">
        <f ca="1">IF(H250&lt;=I250,"Starter",IF(G250&gt;=LARGE(G:G,FlexOn*LeagueInfo!$F$2),"Starter","Bench"))</f>
        <v>Bench</v>
      </c>
      <c r="G250">
        <f ca="1">IF(H250&gt;I250,D250,0)</f>
        <v>18.61</v>
      </c>
      <c r="H250">
        <f ca="1">INDEX(INDIRECT(""&amp;C250&amp;"!A2:A489"),MATCH(B250,INDIRECT(""&amp;C250&amp;"!B2:B489"),0))</f>
        <v>165</v>
      </c>
      <c r="I250">
        <f>IF(C250="WR",LeagueInfo!$D$5*LeagueInfo!$F$2,LeagueInfo!$D$6*LeagueInfo!$F$2)</f>
        <v>24</v>
      </c>
    </row>
    <row r="251" spans="1:9" x14ac:dyDescent="0.25">
      <c r="A251">
        <f ca="1">RANK(E251,E$2:E$350)</f>
        <v>250</v>
      </c>
      <c r="B251" t="s">
        <v>967</v>
      </c>
      <c r="C251" t="s">
        <v>35</v>
      </c>
      <c r="D251">
        <f ca="1">INDEX(INDIRECT($C251&amp;"!P:P"),MATCH($B251,INDIRECT($C251&amp;"!B:B"),0))</f>
        <v>18.060000000000002</v>
      </c>
      <c r="E251" s="6">
        <f ca="1">D251-LARGE(D$2:D$284,TECount+WRCount)</f>
        <v>-96.98</v>
      </c>
      <c r="F251" t="str">
        <f ca="1">IF(H251&lt;=I251,"Starter",IF(G251&gt;=LARGE(G:G,FlexOn*LeagueInfo!$F$2),"Starter","Bench"))</f>
        <v>Bench</v>
      </c>
      <c r="G251">
        <f ca="1">IF(H251&gt;I251,D251,0)</f>
        <v>18.060000000000002</v>
      </c>
      <c r="H251">
        <f ca="1">INDEX(INDIRECT(""&amp;C251&amp;"!A2:A489"),MATCH(B251,INDIRECT(""&amp;C251&amp;"!B2:B489"),0))</f>
        <v>166</v>
      </c>
      <c r="I251">
        <f>IF(C251="WR",LeagueInfo!$D$5*LeagueInfo!$F$2,LeagueInfo!$D$6*LeagueInfo!$F$2)</f>
        <v>24</v>
      </c>
    </row>
    <row r="252" spans="1:9" x14ac:dyDescent="0.25">
      <c r="A252">
        <f ca="1">RANK(E252,E$2:E$350)</f>
        <v>251</v>
      </c>
      <c r="B252" t="s">
        <v>2483</v>
      </c>
      <c r="C252" t="s">
        <v>43</v>
      </c>
      <c r="D252">
        <f ca="1">INDEX(INDIRECT($C252&amp;"!P:P"),MATCH($B252,INDIRECT($C252&amp;"!B:B"),0))</f>
        <v>17.97</v>
      </c>
      <c r="E252" s="6">
        <f ca="1">D252-LARGE(D$2:D$284,TECount+WRCount)</f>
        <v>-97.070000000000007</v>
      </c>
      <c r="F252" t="str">
        <f ca="1">IF(H252&lt;=I252,"Starter",IF(G252&gt;=LARGE(G:G,FlexOn*LeagueInfo!$F$2),"Starter","Bench"))</f>
        <v>Bench</v>
      </c>
      <c r="G252">
        <f ca="1">IF(H252&gt;I252,D252,0)</f>
        <v>17.97</v>
      </c>
      <c r="H252">
        <f ca="1">INDEX(INDIRECT(""&amp;C252&amp;"!A2:A489"),MATCH(B252,INDIRECT(""&amp;C252&amp;"!B2:B489"),0))</f>
        <v>85</v>
      </c>
      <c r="I252">
        <f>IF(C252="WR",LeagueInfo!$D$5*LeagueInfo!$F$2,LeagueInfo!$D$6*LeagueInfo!$F$2)</f>
        <v>12</v>
      </c>
    </row>
    <row r="253" spans="1:9" x14ac:dyDescent="0.25">
      <c r="A253">
        <f ca="1">RANK(E253,E$2:E$350)</f>
        <v>252</v>
      </c>
      <c r="B253" t="s">
        <v>2681</v>
      </c>
      <c r="C253" t="s">
        <v>43</v>
      </c>
      <c r="D253">
        <f ca="1">INDEX(INDIRECT($C253&amp;"!P:P"),MATCH($B253,INDIRECT($C253&amp;"!B:B"),0))</f>
        <v>17.400000000000002</v>
      </c>
      <c r="E253" s="6">
        <f ca="1">D253-LARGE(D$2:D$284,TECount+WRCount)</f>
        <v>-97.64</v>
      </c>
      <c r="F253" t="str">
        <f ca="1">IF(H253&lt;=I253,"Starter",IF(G253&gt;=LARGE(G:G,FlexOn*LeagueInfo!$F$2),"Starter","Bench"))</f>
        <v>Bench</v>
      </c>
      <c r="G253">
        <f ca="1">IF(H253&gt;I253,D253,0)</f>
        <v>17.400000000000002</v>
      </c>
      <c r="H253">
        <f ca="1">INDEX(INDIRECT(""&amp;C253&amp;"!A2:A489"),MATCH(B253,INDIRECT(""&amp;C253&amp;"!B2:B489"),0))</f>
        <v>86</v>
      </c>
      <c r="I253">
        <f>IF(C253="WR",LeagueInfo!$D$5*LeagueInfo!$F$2,LeagueInfo!$D$6*LeagueInfo!$F$2)</f>
        <v>12</v>
      </c>
    </row>
    <row r="254" spans="1:9" x14ac:dyDescent="0.25">
      <c r="A254">
        <f ca="1">RANK(E254,E$2:E$350)</f>
        <v>253</v>
      </c>
      <c r="B254" t="s">
        <v>2441</v>
      </c>
      <c r="C254" t="s">
        <v>35</v>
      </c>
      <c r="D254">
        <f ca="1">INDEX(INDIRECT($C254&amp;"!P:P"),MATCH($B254,INDIRECT($C254&amp;"!B:B"),0))</f>
        <v>17.13</v>
      </c>
      <c r="E254" s="6">
        <f ca="1">D254-LARGE(D$2:D$284,TECount+WRCount)</f>
        <v>-97.910000000000011</v>
      </c>
      <c r="F254" t="str">
        <f ca="1">IF(H254&lt;=I254,"Starter",IF(G254&gt;=LARGE(G:G,FlexOn*LeagueInfo!$F$2),"Starter","Bench"))</f>
        <v>Bench</v>
      </c>
      <c r="G254">
        <f ca="1">IF(H254&gt;I254,D254,0)</f>
        <v>17.13</v>
      </c>
      <c r="H254">
        <f ca="1">INDEX(INDIRECT(""&amp;C254&amp;"!A2:A489"),MATCH(B254,INDIRECT(""&amp;C254&amp;"!B2:B489"),0))</f>
        <v>167</v>
      </c>
      <c r="I254">
        <f>IF(C254="WR",LeagueInfo!$D$5*LeagueInfo!$F$2,LeagueInfo!$D$6*LeagueInfo!$F$2)</f>
        <v>24</v>
      </c>
    </row>
    <row r="255" spans="1:9" x14ac:dyDescent="0.25">
      <c r="A255">
        <f ca="1">RANK(E255,E$2:E$350)</f>
        <v>254</v>
      </c>
      <c r="B255" t="s">
        <v>1029</v>
      </c>
      <c r="C255" t="s">
        <v>35</v>
      </c>
      <c r="D255">
        <f ca="1">INDEX(INDIRECT($C255&amp;"!P:P"),MATCH($B255,INDIRECT($C255&amp;"!B:B"),0))</f>
        <v>16.97</v>
      </c>
      <c r="E255" s="6">
        <f ca="1">D255-LARGE(D$2:D$284,TECount+WRCount)</f>
        <v>-98.070000000000007</v>
      </c>
      <c r="F255" t="str">
        <f ca="1">IF(H255&lt;=I255,"Starter",IF(G255&gt;=LARGE(G:G,FlexOn*LeagueInfo!$F$2),"Starter","Bench"))</f>
        <v>Bench</v>
      </c>
      <c r="G255">
        <f ca="1">IF(H255&gt;I255,D255,0)</f>
        <v>16.97</v>
      </c>
      <c r="H255">
        <f ca="1">INDEX(INDIRECT(""&amp;C255&amp;"!A2:A489"),MATCH(B255,INDIRECT(""&amp;C255&amp;"!B2:B489"),0))</f>
        <v>168</v>
      </c>
      <c r="I255">
        <f>IF(C255="WR",LeagueInfo!$D$5*LeagueInfo!$F$2,LeagueInfo!$D$6*LeagueInfo!$F$2)</f>
        <v>24</v>
      </c>
    </row>
    <row r="256" spans="1:9" x14ac:dyDescent="0.25">
      <c r="A256">
        <f ca="1">RANK(E256,E$2:E$350)</f>
        <v>255</v>
      </c>
      <c r="B256" t="s">
        <v>2738</v>
      </c>
      <c r="C256" t="s">
        <v>43</v>
      </c>
      <c r="D256">
        <f ca="1">INDEX(INDIRECT($C256&amp;"!P:P"),MATCH($B256,INDIRECT($C256&amp;"!B:B"),0))</f>
        <v>16.66</v>
      </c>
      <c r="E256" s="6">
        <f ca="1">D256-LARGE(D$2:D$284,TECount+WRCount)</f>
        <v>-98.38000000000001</v>
      </c>
      <c r="F256" t="str">
        <f ca="1">IF(H256&lt;=I256,"Starter",IF(G256&gt;=LARGE(G:G,FlexOn*LeagueInfo!$F$2),"Starter","Bench"))</f>
        <v>Bench</v>
      </c>
      <c r="G256">
        <f ca="1">IF(H256&gt;I256,D256,0)</f>
        <v>16.66</v>
      </c>
      <c r="H256">
        <f ca="1">INDEX(INDIRECT(""&amp;C256&amp;"!A2:A489"),MATCH(B256,INDIRECT(""&amp;C256&amp;"!B2:B489"),0))</f>
        <v>87</v>
      </c>
      <c r="I256">
        <f>IF(C256="WR",LeagueInfo!$D$5*LeagueInfo!$F$2,LeagueInfo!$D$6*LeagueInfo!$F$2)</f>
        <v>12</v>
      </c>
    </row>
    <row r="257" spans="1:9" x14ac:dyDescent="0.25">
      <c r="A257">
        <f ca="1">RANK(E257,E$2:E$350)</f>
        <v>256</v>
      </c>
      <c r="B257" t="s">
        <v>816</v>
      </c>
      <c r="C257" t="s">
        <v>43</v>
      </c>
      <c r="D257">
        <f ca="1">INDEX(INDIRECT($C257&amp;"!P:P"),MATCH($B257,INDIRECT($C257&amp;"!B:B"),0))</f>
        <v>16.420000000000002</v>
      </c>
      <c r="E257" s="6">
        <f ca="1">D257-LARGE(D$2:D$284,TECount+WRCount)</f>
        <v>-98.62</v>
      </c>
      <c r="F257" t="str">
        <f ca="1">IF(H257&lt;=I257,"Starter",IF(G257&gt;=LARGE(G:G,FlexOn*LeagueInfo!$F$2),"Starter","Bench"))</f>
        <v>Bench</v>
      </c>
      <c r="G257">
        <f ca="1">IF(H257&gt;I257,D257,0)</f>
        <v>16.420000000000002</v>
      </c>
      <c r="H257">
        <f ca="1">INDEX(INDIRECT(""&amp;C257&amp;"!A2:A489"),MATCH(B257,INDIRECT(""&amp;C257&amp;"!B2:B489"),0))</f>
        <v>88</v>
      </c>
      <c r="I257">
        <f>IF(C257="WR",LeagueInfo!$D$5*LeagueInfo!$F$2,LeagueInfo!$D$6*LeagueInfo!$F$2)</f>
        <v>12</v>
      </c>
    </row>
    <row r="258" spans="1:9" x14ac:dyDescent="0.25">
      <c r="A258">
        <f ca="1">RANK(E258,E$2:E$350)</f>
        <v>257</v>
      </c>
      <c r="B258" t="s">
        <v>845</v>
      </c>
      <c r="C258" t="s">
        <v>35</v>
      </c>
      <c r="D258">
        <f ca="1">INDEX(INDIRECT($C258&amp;"!P:P"),MATCH($B258,INDIRECT($C258&amp;"!B:B"),0))</f>
        <v>16.170000000000002</v>
      </c>
      <c r="E258" s="6">
        <f ca="1">D258-LARGE(D$2:D$284,TECount+WRCount)</f>
        <v>-98.87</v>
      </c>
      <c r="F258" t="str">
        <f ca="1">IF(H258&lt;=I258,"Starter",IF(G258&gt;=LARGE(G:G,FlexOn*LeagueInfo!$F$2),"Starter","Bench"))</f>
        <v>Bench</v>
      </c>
      <c r="G258">
        <f ca="1">IF(H258&gt;I258,D258,0)</f>
        <v>16.170000000000002</v>
      </c>
      <c r="H258">
        <f ca="1">INDEX(INDIRECT(""&amp;C258&amp;"!A2:A489"),MATCH(B258,INDIRECT(""&amp;C258&amp;"!B2:B489"),0))</f>
        <v>169</v>
      </c>
      <c r="I258">
        <f>IF(C258="WR",LeagueInfo!$D$5*LeagueInfo!$F$2,LeagueInfo!$D$6*LeagueInfo!$F$2)</f>
        <v>24</v>
      </c>
    </row>
    <row r="259" spans="1:9" x14ac:dyDescent="0.25">
      <c r="A259">
        <f ca="1">RANK(E259,E$2:E$350)</f>
        <v>258</v>
      </c>
      <c r="B259" t="s">
        <v>2740</v>
      </c>
      <c r="C259" t="s">
        <v>35</v>
      </c>
      <c r="D259">
        <f ca="1">INDEX(INDIRECT($C259&amp;"!P:P"),MATCH($B259,INDIRECT($C259&amp;"!B:B"),0))</f>
        <v>16.100000000000001</v>
      </c>
      <c r="E259" s="6">
        <f ca="1">D259-LARGE(D$2:D$284,TECount+WRCount)</f>
        <v>-98.94</v>
      </c>
      <c r="F259" t="str">
        <f ca="1">IF(H259&lt;=I259,"Starter",IF(G259&gt;=LARGE(G:G,FlexOn*LeagueInfo!$F$2),"Starter","Bench"))</f>
        <v>Bench</v>
      </c>
      <c r="G259">
        <f ca="1">IF(H259&gt;I259,D259,0)</f>
        <v>16.100000000000001</v>
      </c>
      <c r="H259">
        <f ca="1">INDEX(INDIRECT(""&amp;C259&amp;"!A2:A489"),MATCH(B259,INDIRECT(""&amp;C259&amp;"!B2:B489"),0))</f>
        <v>170</v>
      </c>
      <c r="I259">
        <f>IF(C259="WR",LeagueInfo!$D$5*LeagueInfo!$F$2,LeagueInfo!$D$6*LeagueInfo!$F$2)</f>
        <v>24</v>
      </c>
    </row>
    <row r="260" spans="1:9" x14ac:dyDescent="0.25">
      <c r="A260">
        <f ca="1">RANK(E260,E$2:E$350)</f>
        <v>259</v>
      </c>
      <c r="B260" t="s">
        <v>2676</v>
      </c>
      <c r="C260" t="s">
        <v>35</v>
      </c>
      <c r="D260">
        <f ca="1">INDEX(INDIRECT($C260&amp;"!P:P"),MATCH($B260,INDIRECT($C260&amp;"!B:B"),0))</f>
        <v>15.91</v>
      </c>
      <c r="E260" s="6">
        <f ca="1">D260-LARGE(D$2:D$284,TECount+WRCount)</f>
        <v>-99.13000000000001</v>
      </c>
      <c r="F260" t="str">
        <f ca="1">IF(H260&lt;=I260,"Starter",IF(G260&gt;=LARGE(G:G,FlexOn*LeagueInfo!$F$2),"Starter","Bench"))</f>
        <v>Bench</v>
      </c>
      <c r="G260">
        <f ca="1">IF(H260&gt;I260,D260,0)</f>
        <v>15.91</v>
      </c>
      <c r="H260">
        <f ca="1">INDEX(INDIRECT(""&amp;C260&amp;"!A2:A489"),MATCH(B260,INDIRECT(""&amp;C260&amp;"!B2:B489"),0))</f>
        <v>171</v>
      </c>
      <c r="I260">
        <f>IF(C260="WR",LeagueInfo!$D$5*LeagueInfo!$F$2,LeagueInfo!$D$6*LeagueInfo!$F$2)</f>
        <v>24</v>
      </c>
    </row>
    <row r="261" spans="1:9" x14ac:dyDescent="0.25">
      <c r="A261">
        <f ca="1">RANK(E261,E$2:E$350)</f>
        <v>260</v>
      </c>
      <c r="B261" t="s">
        <v>761</v>
      </c>
      <c r="C261" t="s">
        <v>43</v>
      </c>
      <c r="D261">
        <f ca="1">INDEX(INDIRECT($C261&amp;"!P:P"),MATCH($B261,INDIRECT($C261&amp;"!B:B"),0))</f>
        <v>15.87</v>
      </c>
      <c r="E261" s="6">
        <f ca="1">D261-LARGE(D$2:D$284,TECount+WRCount)</f>
        <v>-99.17</v>
      </c>
      <c r="F261" t="str">
        <f ca="1">IF(H261&lt;=I261,"Starter",IF(G261&gt;=LARGE(G:G,FlexOn*LeagueInfo!$F$2),"Starter","Bench"))</f>
        <v>Bench</v>
      </c>
      <c r="G261">
        <f ca="1">IF(H261&gt;I261,D261,0)</f>
        <v>15.87</v>
      </c>
      <c r="H261">
        <f ca="1">INDEX(INDIRECT(""&amp;C261&amp;"!A2:A489"),MATCH(B261,INDIRECT(""&amp;C261&amp;"!B2:B489"),0))</f>
        <v>89</v>
      </c>
      <c r="I261">
        <f>IF(C261="WR",LeagueInfo!$D$5*LeagueInfo!$F$2,LeagueInfo!$D$6*LeagueInfo!$F$2)</f>
        <v>12</v>
      </c>
    </row>
    <row r="262" spans="1:9" x14ac:dyDescent="0.25">
      <c r="A262">
        <f ca="1">RANK(E262,E$2:E$350)</f>
        <v>261</v>
      </c>
      <c r="B262" t="s">
        <v>392</v>
      </c>
      <c r="C262" t="s">
        <v>35</v>
      </c>
      <c r="D262">
        <f ca="1">INDEX(INDIRECT($C262&amp;"!P:P"),MATCH($B262,INDIRECT($C262&amp;"!B:B"),0))</f>
        <v>15.82</v>
      </c>
      <c r="E262" s="6">
        <f ca="1">D262-LARGE(D$2:D$284,TECount+WRCount)</f>
        <v>-99.22</v>
      </c>
      <c r="F262" t="str">
        <f ca="1">IF(H262&lt;=I262,"Starter",IF(G262&gt;=LARGE(G:G,FlexOn*LeagueInfo!$F$2),"Starter","Bench"))</f>
        <v>Bench</v>
      </c>
      <c r="G262">
        <f ca="1">IF(H262&gt;I262,D262,0)</f>
        <v>15.82</v>
      </c>
      <c r="H262">
        <f ca="1">INDEX(INDIRECT(""&amp;C262&amp;"!A2:A489"),MATCH(B262,INDIRECT(""&amp;C262&amp;"!B2:B489"),0))</f>
        <v>172</v>
      </c>
      <c r="I262">
        <f>IF(C262="WR",LeagueInfo!$D$5*LeagueInfo!$F$2,LeagueInfo!$D$6*LeagueInfo!$F$2)</f>
        <v>24</v>
      </c>
    </row>
    <row r="263" spans="1:9" x14ac:dyDescent="0.25">
      <c r="A263">
        <f ca="1">RANK(E263,E$2:E$350)</f>
        <v>262</v>
      </c>
      <c r="B263" t="s">
        <v>760</v>
      </c>
      <c r="C263" t="s">
        <v>43</v>
      </c>
      <c r="D263">
        <f ca="1">INDEX(INDIRECT($C263&amp;"!P:P"),MATCH($B263,INDIRECT($C263&amp;"!B:B"),0))</f>
        <v>15.690000000000001</v>
      </c>
      <c r="E263" s="6">
        <f ca="1">D263-LARGE(D$2:D$284,TECount+WRCount)</f>
        <v>-99.350000000000009</v>
      </c>
      <c r="F263" t="str">
        <f ca="1">IF(H263&lt;=I263,"Starter",IF(G263&gt;=LARGE(G:G,FlexOn*LeagueInfo!$F$2),"Starter","Bench"))</f>
        <v>Bench</v>
      </c>
      <c r="G263">
        <f ca="1">IF(H263&gt;I263,D263,0)</f>
        <v>15.690000000000001</v>
      </c>
      <c r="H263">
        <f ca="1">INDEX(INDIRECT(""&amp;C263&amp;"!A2:A489"),MATCH(B263,INDIRECT(""&amp;C263&amp;"!B2:B489"),0))</f>
        <v>90</v>
      </c>
      <c r="I263">
        <f>IF(C263="WR",LeagueInfo!$D$5*LeagueInfo!$F$2,LeagueInfo!$D$6*LeagueInfo!$F$2)</f>
        <v>12</v>
      </c>
    </row>
    <row r="264" spans="1:9" x14ac:dyDescent="0.25">
      <c r="A264">
        <f ca="1">RANK(E264,E$2:E$350)</f>
        <v>262</v>
      </c>
      <c r="B264" t="s">
        <v>2434</v>
      </c>
      <c r="C264" t="s">
        <v>35</v>
      </c>
      <c r="D264">
        <f ca="1">INDEX(INDIRECT($C264&amp;"!P:P"),MATCH($B264,INDIRECT($C264&amp;"!B:B"),0))</f>
        <v>15.690000000000001</v>
      </c>
      <c r="E264" s="6">
        <f ca="1">D264-LARGE(D$2:D$284,TECount+WRCount)</f>
        <v>-99.350000000000009</v>
      </c>
      <c r="F264" t="str">
        <f ca="1">IF(H264&lt;=I264,"Starter",IF(G264&gt;=LARGE(G:G,FlexOn*LeagueInfo!$F$2),"Starter","Bench"))</f>
        <v>Bench</v>
      </c>
      <c r="G264">
        <f ca="1">IF(H264&gt;I264,D264,0)</f>
        <v>15.690000000000001</v>
      </c>
      <c r="H264">
        <f ca="1">INDEX(INDIRECT(""&amp;C264&amp;"!A2:A489"),MATCH(B264,INDIRECT(""&amp;C264&amp;"!B2:B489"),0))</f>
        <v>173</v>
      </c>
      <c r="I264">
        <f>IF(C264="WR",LeagueInfo!$D$5*LeagueInfo!$F$2,LeagueInfo!$D$6*LeagueInfo!$F$2)</f>
        <v>24</v>
      </c>
    </row>
    <row r="265" spans="1:9" x14ac:dyDescent="0.25">
      <c r="A265">
        <f ca="1">RANK(E265,E$2:E$350)</f>
        <v>264</v>
      </c>
      <c r="B265" t="s">
        <v>986</v>
      </c>
      <c r="C265" t="s">
        <v>43</v>
      </c>
      <c r="D265">
        <f ca="1">INDEX(INDIRECT($C265&amp;"!P:P"),MATCH($B265,INDIRECT($C265&amp;"!B:B"),0))</f>
        <v>15.42</v>
      </c>
      <c r="E265" s="6">
        <f ca="1">D265-LARGE(D$2:D$284,TECount+WRCount)</f>
        <v>-99.62</v>
      </c>
      <c r="F265" t="str">
        <f ca="1">IF(H265&lt;=I265,"Starter",IF(G265&gt;=LARGE(G:G,FlexOn*LeagueInfo!$F$2),"Starter","Bench"))</f>
        <v>Bench</v>
      </c>
      <c r="G265">
        <f ca="1">IF(H265&gt;I265,D265,0)</f>
        <v>15.42</v>
      </c>
      <c r="H265">
        <f ca="1">INDEX(INDIRECT(""&amp;C265&amp;"!A2:A489"),MATCH(B265,INDIRECT(""&amp;C265&amp;"!B2:B489"),0))</f>
        <v>91</v>
      </c>
      <c r="I265">
        <f>IF(C265="WR",LeagueInfo!$D$5*LeagueInfo!$F$2,LeagueInfo!$D$6*LeagueInfo!$F$2)</f>
        <v>12</v>
      </c>
    </row>
    <row r="266" spans="1:9" x14ac:dyDescent="0.25">
      <c r="A266">
        <f ca="1">RANK(E266,E$2:E$350)</f>
        <v>265</v>
      </c>
      <c r="B266" t="s">
        <v>983</v>
      </c>
      <c r="C266" t="s">
        <v>43</v>
      </c>
      <c r="D266">
        <f ca="1">INDEX(INDIRECT($C266&amp;"!P:P"),MATCH($B266,INDIRECT($C266&amp;"!B:B"),0))</f>
        <v>15.260000000000002</v>
      </c>
      <c r="E266" s="6">
        <f ca="1">D266-LARGE(D$2:D$284,TECount+WRCount)</f>
        <v>-99.78</v>
      </c>
      <c r="F266" t="str">
        <f ca="1">IF(H266&lt;=I266,"Starter",IF(G266&gt;=LARGE(G:G,FlexOn*LeagueInfo!$F$2),"Starter","Bench"))</f>
        <v>Bench</v>
      </c>
      <c r="G266">
        <f ca="1">IF(H266&gt;I266,D266,0)</f>
        <v>15.260000000000002</v>
      </c>
      <c r="H266">
        <f ca="1">INDEX(INDIRECT(""&amp;C266&amp;"!A2:A489"),MATCH(B266,INDIRECT(""&amp;C266&amp;"!B2:B489"),0))</f>
        <v>92</v>
      </c>
      <c r="I266">
        <f>IF(C266="WR",LeagueInfo!$D$5*LeagueInfo!$F$2,LeagueInfo!$D$6*LeagueInfo!$F$2)</f>
        <v>12</v>
      </c>
    </row>
    <row r="267" spans="1:9" x14ac:dyDescent="0.25">
      <c r="A267">
        <f ca="1">RANK(E267,E$2:E$350)</f>
        <v>266</v>
      </c>
      <c r="B267" t="s">
        <v>430</v>
      </c>
      <c r="C267" t="s">
        <v>43</v>
      </c>
      <c r="D267">
        <f ca="1">INDEX(INDIRECT($C267&amp;"!P:P"),MATCH($B267,INDIRECT($C267&amp;"!B:B"),0))</f>
        <v>15.25</v>
      </c>
      <c r="E267" s="6">
        <f ca="1">D267-LARGE(D$2:D$284,TECount+WRCount)</f>
        <v>-99.79</v>
      </c>
      <c r="F267" t="str">
        <f ca="1">IF(H267&lt;=I267,"Starter",IF(G267&gt;=LARGE(G:G,FlexOn*LeagueInfo!$F$2),"Starter","Bench"))</f>
        <v>Bench</v>
      </c>
      <c r="G267">
        <f ca="1">IF(H267&gt;I267,D267,0)</f>
        <v>15.25</v>
      </c>
      <c r="H267">
        <f ca="1">INDEX(INDIRECT(""&amp;C267&amp;"!A2:A489"),MATCH(B267,INDIRECT(""&amp;C267&amp;"!B2:B489"),0))</f>
        <v>93</v>
      </c>
      <c r="I267">
        <f>IF(C267="WR",LeagueInfo!$D$5*LeagueInfo!$F$2,LeagueInfo!$D$6*LeagueInfo!$F$2)</f>
        <v>12</v>
      </c>
    </row>
    <row r="268" spans="1:9" x14ac:dyDescent="0.25">
      <c r="A268">
        <f ca="1">RANK(E268,E$2:E$350)</f>
        <v>267</v>
      </c>
      <c r="B268" t="s">
        <v>804</v>
      </c>
      <c r="C268" t="s">
        <v>35</v>
      </c>
      <c r="D268">
        <f ca="1">INDEX(INDIRECT($C268&amp;"!P:P"),MATCH($B268,INDIRECT($C268&amp;"!B:B"),0))</f>
        <v>15.059999999999999</v>
      </c>
      <c r="E268" s="6">
        <f ca="1">D268-LARGE(D$2:D$284,TECount+WRCount)</f>
        <v>-99.98</v>
      </c>
      <c r="F268" t="str">
        <f ca="1">IF(H268&lt;=I268,"Starter",IF(G268&gt;=LARGE(G:G,FlexOn*LeagueInfo!$F$2),"Starter","Bench"))</f>
        <v>Bench</v>
      </c>
      <c r="G268">
        <f ca="1">IF(H268&gt;I268,D268,0)</f>
        <v>15.059999999999999</v>
      </c>
      <c r="H268">
        <f ca="1">INDEX(INDIRECT(""&amp;C268&amp;"!A2:A489"),MATCH(B268,INDIRECT(""&amp;C268&amp;"!B2:B489"),0))</f>
        <v>174</v>
      </c>
      <c r="I268">
        <f>IF(C268="WR",LeagueInfo!$D$5*LeagueInfo!$F$2,LeagueInfo!$D$6*LeagueInfo!$F$2)</f>
        <v>24</v>
      </c>
    </row>
    <row r="269" spans="1:9" x14ac:dyDescent="0.25">
      <c r="A269">
        <f ca="1">RANK(E269,E$2:E$350)</f>
        <v>268</v>
      </c>
      <c r="B269" t="s">
        <v>2488</v>
      </c>
      <c r="C269" t="s">
        <v>43</v>
      </c>
      <c r="D269">
        <f ca="1">INDEX(INDIRECT($C269&amp;"!P:P"),MATCH($B269,INDIRECT($C269&amp;"!B:B"),0))</f>
        <v>14.690000000000001</v>
      </c>
      <c r="E269" s="6">
        <f ca="1">D269-LARGE(D$2:D$284,TECount+WRCount)</f>
        <v>-100.35000000000001</v>
      </c>
      <c r="F269" t="str">
        <f ca="1">IF(H269&lt;=I269,"Starter",IF(G269&gt;=LARGE(G:G,FlexOn*LeagueInfo!$F$2),"Starter","Bench"))</f>
        <v>Bench</v>
      </c>
      <c r="G269">
        <f ca="1">IF(H269&gt;I269,D269,0)</f>
        <v>14.690000000000001</v>
      </c>
      <c r="H269">
        <f ca="1">INDEX(INDIRECT(""&amp;C269&amp;"!A2:A489"),MATCH(B269,INDIRECT(""&amp;C269&amp;"!B2:B489"),0))</f>
        <v>94</v>
      </c>
      <c r="I269">
        <f>IF(C269="WR",LeagueInfo!$D$5*LeagueInfo!$F$2,LeagueInfo!$D$6*LeagueInfo!$F$2)</f>
        <v>12</v>
      </c>
    </row>
    <row r="270" spans="1:9" x14ac:dyDescent="0.25">
      <c r="A270">
        <f ca="1">RANK(E270,E$2:E$350)</f>
        <v>269</v>
      </c>
      <c r="B270" t="s">
        <v>657</v>
      </c>
      <c r="C270" t="s">
        <v>43</v>
      </c>
      <c r="D270">
        <f ca="1">INDEX(INDIRECT($C270&amp;"!P:P"),MATCH($B270,INDIRECT($C270&amp;"!B:B"),0))</f>
        <v>14.53</v>
      </c>
      <c r="E270" s="6">
        <f ca="1">D270-LARGE(D$2:D$284,TECount+WRCount)</f>
        <v>-100.51</v>
      </c>
      <c r="F270" t="str">
        <f ca="1">IF(H270&lt;=I270,"Starter",IF(G270&gt;=LARGE(G:G,FlexOn*LeagueInfo!$F$2),"Starter","Bench"))</f>
        <v>Bench</v>
      </c>
      <c r="G270">
        <f ca="1">IF(H270&gt;I270,D270,0)</f>
        <v>14.53</v>
      </c>
      <c r="H270">
        <f ca="1">INDEX(INDIRECT(""&amp;C270&amp;"!A2:A489"),MATCH(B270,INDIRECT(""&amp;C270&amp;"!B2:B489"),0))</f>
        <v>95</v>
      </c>
      <c r="I270">
        <f>IF(C270="WR",LeagueInfo!$D$5*LeagueInfo!$F$2,LeagueInfo!$D$6*LeagueInfo!$F$2)</f>
        <v>12</v>
      </c>
    </row>
    <row r="271" spans="1:9" x14ac:dyDescent="0.25">
      <c r="A271">
        <f ca="1">RANK(E271,E$2:E$350)</f>
        <v>270</v>
      </c>
      <c r="B271" t="s">
        <v>2491</v>
      </c>
      <c r="C271" t="s">
        <v>43</v>
      </c>
      <c r="D271">
        <f ca="1">INDEX(INDIRECT($C271&amp;"!P:P"),MATCH($B271,INDIRECT($C271&amp;"!B:B"),0))</f>
        <v>14.5</v>
      </c>
      <c r="E271" s="6">
        <f ca="1">D271-LARGE(D$2:D$284,TECount+WRCount)</f>
        <v>-100.54</v>
      </c>
      <c r="F271" t="str">
        <f ca="1">IF(H271&lt;=I271,"Starter",IF(G271&gt;=LARGE(G:G,FlexOn*LeagueInfo!$F$2),"Starter","Bench"))</f>
        <v>Bench</v>
      </c>
      <c r="G271">
        <f ca="1">IF(H271&gt;I271,D271,0)</f>
        <v>14.5</v>
      </c>
      <c r="H271">
        <f ca="1">INDEX(INDIRECT(""&amp;C271&amp;"!A2:A489"),MATCH(B271,INDIRECT(""&amp;C271&amp;"!B2:B489"),0))</f>
        <v>96</v>
      </c>
      <c r="I271">
        <f>IF(C271="WR",LeagueInfo!$D$5*LeagueInfo!$F$2,LeagueInfo!$D$6*LeagueInfo!$F$2)</f>
        <v>12</v>
      </c>
    </row>
    <row r="272" spans="1:9" x14ac:dyDescent="0.25">
      <c r="A272">
        <f ca="1">RANK(E272,E$2:E$350)</f>
        <v>271</v>
      </c>
      <c r="B272" t="s">
        <v>2678</v>
      </c>
      <c r="C272" t="s">
        <v>35</v>
      </c>
      <c r="D272">
        <f ca="1">INDEX(INDIRECT($C272&amp;"!P:P"),MATCH($B272,INDIRECT($C272&amp;"!B:B"),0))</f>
        <v>14.480000000000002</v>
      </c>
      <c r="E272" s="6">
        <f ca="1">D272-LARGE(D$2:D$284,TECount+WRCount)</f>
        <v>-100.56</v>
      </c>
      <c r="F272" t="str">
        <f ca="1">IF(H272&lt;=I272,"Starter",IF(G272&gt;=LARGE(G:G,FlexOn*LeagueInfo!$F$2),"Starter","Bench"))</f>
        <v>Bench</v>
      </c>
      <c r="G272">
        <f ca="1">IF(H272&gt;I272,D272,0)</f>
        <v>14.480000000000002</v>
      </c>
      <c r="H272">
        <f ca="1">INDEX(INDIRECT(""&amp;C272&amp;"!A2:A489"),MATCH(B272,INDIRECT(""&amp;C272&amp;"!B2:B489"),0))</f>
        <v>175</v>
      </c>
      <c r="I272">
        <f>IF(C272="WR",LeagueInfo!$D$5*LeagueInfo!$F$2,LeagueInfo!$D$6*LeagueInfo!$F$2)</f>
        <v>24</v>
      </c>
    </row>
    <row r="273" spans="1:9" x14ac:dyDescent="0.25">
      <c r="A273">
        <f ca="1">RANK(E273,E$2:E$350)</f>
        <v>272</v>
      </c>
      <c r="B273" t="s">
        <v>403</v>
      </c>
      <c r="C273" t="s">
        <v>35</v>
      </c>
      <c r="D273">
        <f ca="1">INDEX(INDIRECT($C273&amp;"!P:P"),MATCH($B273,INDIRECT($C273&amp;"!B:B"),0))</f>
        <v>14.36</v>
      </c>
      <c r="E273" s="6">
        <f ca="1">D273-LARGE(D$2:D$284,TECount+WRCount)</f>
        <v>-100.68</v>
      </c>
      <c r="F273" t="str">
        <f ca="1">IF(H273&lt;=I273,"Starter",IF(G273&gt;=LARGE(G:G,FlexOn*LeagueInfo!$F$2),"Starter","Bench"))</f>
        <v>Bench</v>
      </c>
      <c r="G273">
        <f ca="1">IF(H273&gt;I273,D273,0)</f>
        <v>14.36</v>
      </c>
      <c r="H273">
        <f ca="1">INDEX(INDIRECT(""&amp;C273&amp;"!A2:A489"),MATCH(B273,INDIRECT(""&amp;C273&amp;"!B2:B489"),0))</f>
        <v>176</v>
      </c>
      <c r="I273">
        <f>IF(C273="WR",LeagueInfo!$D$5*LeagueInfo!$F$2,LeagueInfo!$D$6*LeagueInfo!$F$2)</f>
        <v>24</v>
      </c>
    </row>
    <row r="274" spans="1:9" x14ac:dyDescent="0.25">
      <c r="A274">
        <f ca="1">RANK(E274,E$2:E$350)</f>
        <v>273</v>
      </c>
      <c r="B274" t="s">
        <v>994</v>
      </c>
      <c r="C274" t="s">
        <v>35</v>
      </c>
      <c r="D274">
        <f ca="1">INDEX(INDIRECT($C274&amp;"!P:P"),MATCH($B274,INDIRECT($C274&amp;"!B:B"),0))</f>
        <v>14.25</v>
      </c>
      <c r="E274" s="6">
        <f ca="1">D274-LARGE(D$2:D$284,TECount+WRCount)</f>
        <v>-100.79</v>
      </c>
      <c r="F274" t="str">
        <f ca="1">IF(H274&lt;=I274,"Starter",IF(G274&gt;=LARGE(G:G,FlexOn*LeagueInfo!$F$2),"Starter","Bench"))</f>
        <v>Bench</v>
      </c>
      <c r="G274">
        <f ca="1">IF(H274&gt;I274,D274,0)</f>
        <v>14.25</v>
      </c>
      <c r="H274">
        <f ca="1">INDEX(INDIRECT(""&amp;C274&amp;"!A2:A489"),MATCH(B274,INDIRECT(""&amp;C274&amp;"!B2:B489"),0))</f>
        <v>177</v>
      </c>
      <c r="I274">
        <f>IF(C274="WR",LeagueInfo!$D$5*LeagueInfo!$F$2,LeagueInfo!$D$6*LeagueInfo!$F$2)</f>
        <v>24</v>
      </c>
    </row>
    <row r="275" spans="1:9" x14ac:dyDescent="0.25">
      <c r="A275">
        <f ca="1">RANK(E275,E$2:E$350)</f>
        <v>274</v>
      </c>
      <c r="B275" t="s">
        <v>999</v>
      </c>
      <c r="C275" t="s">
        <v>35</v>
      </c>
      <c r="D275">
        <f ca="1">INDEX(INDIRECT($C275&amp;"!P:P"),MATCH($B275,INDIRECT($C275&amp;"!B:B"),0))</f>
        <v>14.11</v>
      </c>
      <c r="E275" s="6">
        <f ca="1">D275-LARGE(D$2:D$284,TECount+WRCount)</f>
        <v>-100.93</v>
      </c>
      <c r="F275" t="str">
        <f ca="1">IF(H275&lt;=I275,"Starter",IF(G275&gt;=LARGE(G:G,FlexOn*LeagueInfo!$F$2),"Starter","Bench"))</f>
        <v>Bench</v>
      </c>
      <c r="G275">
        <f ca="1">IF(H275&gt;I275,D275,0)</f>
        <v>14.11</v>
      </c>
      <c r="H275">
        <f ca="1">INDEX(INDIRECT(""&amp;C275&amp;"!A2:A489"),MATCH(B275,INDIRECT(""&amp;C275&amp;"!B2:B489"),0))</f>
        <v>178</v>
      </c>
      <c r="I275">
        <f>IF(C275="WR",LeagueInfo!$D$5*LeagueInfo!$F$2,LeagueInfo!$D$6*LeagueInfo!$F$2)</f>
        <v>24</v>
      </c>
    </row>
    <row r="276" spans="1:9" x14ac:dyDescent="0.25">
      <c r="A276">
        <f ca="1">RANK(E276,E$2:E$350)</f>
        <v>275</v>
      </c>
      <c r="B276" t="s">
        <v>853</v>
      </c>
      <c r="C276" t="s">
        <v>35</v>
      </c>
      <c r="D276">
        <f ca="1">INDEX(INDIRECT($C276&amp;"!P:P"),MATCH($B276,INDIRECT($C276&amp;"!B:B"),0))</f>
        <v>14.01</v>
      </c>
      <c r="E276" s="6">
        <f ca="1">D276-LARGE(D$2:D$284,TECount+WRCount)</f>
        <v>-101.03</v>
      </c>
      <c r="F276" t="str">
        <f ca="1">IF(H276&lt;=I276,"Starter",IF(G276&gt;=LARGE(G:G,FlexOn*LeagueInfo!$F$2),"Starter","Bench"))</f>
        <v>Bench</v>
      </c>
      <c r="G276">
        <f ca="1">IF(H276&gt;I276,D276,0)</f>
        <v>14.01</v>
      </c>
      <c r="H276">
        <f ca="1">INDEX(INDIRECT(""&amp;C276&amp;"!A2:A489"),MATCH(B276,INDIRECT(""&amp;C276&amp;"!B2:B489"),0))</f>
        <v>179</v>
      </c>
      <c r="I276">
        <f>IF(C276="WR",LeagueInfo!$D$5*LeagueInfo!$F$2,LeagueInfo!$D$6*LeagueInfo!$F$2)</f>
        <v>24</v>
      </c>
    </row>
    <row r="277" spans="1:9" x14ac:dyDescent="0.25">
      <c r="A277">
        <f ca="1">RANK(E277,E$2:E$350)</f>
        <v>276</v>
      </c>
      <c r="B277" t="s">
        <v>2741</v>
      </c>
      <c r="C277" t="s">
        <v>35</v>
      </c>
      <c r="D277">
        <f ca="1">INDEX(INDIRECT($C277&amp;"!P:P"),MATCH($B277,INDIRECT($C277&amp;"!B:B"),0))</f>
        <v>13.920000000000002</v>
      </c>
      <c r="E277" s="6">
        <f ca="1">D277-LARGE(D$2:D$284,TECount+WRCount)</f>
        <v>-101.12</v>
      </c>
      <c r="F277" t="str">
        <f ca="1">IF(H277&lt;=I277,"Starter",IF(G277&gt;=LARGE(G:G,FlexOn*LeagueInfo!$F$2),"Starter","Bench"))</f>
        <v>Bench</v>
      </c>
      <c r="G277">
        <f ca="1">IF(H277&gt;I277,D277,0)</f>
        <v>13.920000000000002</v>
      </c>
      <c r="H277">
        <f ca="1">INDEX(INDIRECT(""&amp;C277&amp;"!A2:A489"),MATCH(B277,INDIRECT(""&amp;C277&amp;"!B2:B489"),0))</f>
        <v>180</v>
      </c>
      <c r="I277">
        <f>IF(C277="WR",LeagueInfo!$D$5*LeagueInfo!$F$2,LeagueInfo!$D$6*LeagueInfo!$F$2)</f>
        <v>24</v>
      </c>
    </row>
    <row r="278" spans="1:9" x14ac:dyDescent="0.25">
      <c r="A278">
        <f ca="1">RANK(E278,E$2:E$350)</f>
        <v>277</v>
      </c>
      <c r="B278" t="s">
        <v>858</v>
      </c>
      <c r="C278" t="s">
        <v>35</v>
      </c>
      <c r="D278">
        <f ca="1">INDEX(INDIRECT($C278&amp;"!P:P"),MATCH($B278,INDIRECT($C278&amp;"!B:B"),0))</f>
        <v>13.890000000000002</v>
      </c>
      <c r="E278" s="6">
        <f ca="1">D278-LARGE(D$2:D$284,TECount+WRCount)</f>
        <v>-101.15</v>
      </c>
      <c r="F278" t="str">
        <f ca="1">IF(H278&lt;=I278,"Starter",IF(G278&gt;=LARGE(G:G,FlexOn*LeagueInfo!$F$2),"Starter","Bench"))</f>
        <v>Bench</v>
      </c>
      <c r="G278">
        <f ca="1">IF(H278&gt;I278,D278,0)</f>
        <v>13.890000000000002</v>
      </c>
      <c r="H278">
        <f ca="1">INDEX(INDIRECT(""&amp;C278&amp;"!A2:A489"),MATCH(B278,INDIRECT(""&amp;C278&amp;"!B2:B489"),0))</f>
        <v>181</v>
      </c>
      <c r="I278">
        <f>IF(C278="WR",LeagueInfo!$D$5*LeagueInfo!$F$2,LeagueInfo!$D$6*LeagueInfo!$F$2)</f>
        <v>24</v>
      </c>
    </row>
    <row r="279" spans="1:9" x14ac:dyDescent="0.25">
      <c r="A279">
        <f ca="1">RANK(E279,E$2:E$350)</f>
        <v>278</v>
      </c>
      <c r="B279" t="s">
        <v>838</v>
      </c>
      <c r="C279" t="s">
        <v>35</v>
      </c>
      <c r="D279">
        <f ca="1">INDEX(INDIRECT($C279&amp;"!P:P"),MATCH($B279,INDIRECT($C279&amp;"!B:B"),0))</f>
        <v>13.729999999999999</v>
      </c>
      <c r="E279" s="6">
        <f ca="1">D279-LARGE(D$2:D$284,TECount+WRCount)</f>
        <v>-101.31</v>
      </c>
      <c r="F279" t="str">
        <f ca="1">IF(H279&lt;=I279,"Starter",IF(G279&gt;=LARGE(G:G,FlexOn*LeagueInfo!$F$2),"Starter","Bench"))</f>
        <v>Bench</v>
      </c>
      <c r="G279">
        <f ca="1">IF(H279&gt;I279,D279,0)</f>
        <v>13.729999999999999</v>
      </c>
      <c r="H279">
        <f ca="1">INDEX(INDIRECT(""&amp;C279&amp;"!A2:A489"),MATCH(B279,INDIRECT(""&amp;C279&amp;"!B2:B489"),0))</f>
        <v>182</v>
      </c>
      <c r="I279">
        <f>IF(C279="WR",LeagueInfo!$D$5*LeagueInfo!$F$2,LeagueInfo!$D$6*LeagueInfo!$F$2)</f>
        <v>24</v>
      </c>
    </row>
    <row r="280" spans="1:9" x14ac:dyDescent="0.25">
      <c r="A280">
        <f ca="1">RANK(E280,E$2:E$350)</f>
        <v>279</v>
      </c>
      <c r="B280" t="s">
        <v>995</v>
      </c>
      <c r="C280" t="s">
        <v>35</v>
      </c>
      <c r="D280">
        <f ca="1">INDEX(INDIRECT($C280&amp;"!P:P"),MATCH($B280,INDIRECT($C280&amp;"!B:B"),0))</f>
        <v>13.64</v>
      </c>
      <c r="E280" s="6">
        <f ca="1">D280-LARGE(D$2:D$284,TECount+WRCount)</f>
        <v>-101.4</v>
      </c>
      <c r="F280" t="str">
        <f ca="1">IF(H280&lt;=I280,"Starter",IF(G280&gt;=LARGE(G:G,FlexOn*LeagueInfo!$F$2),"Starter","Bench"))</f>
        <v>Bench</v>
      </c>
      <c r="G280">
        <f ca="1">IF(H280&gt;I280,D280,0)</f>
        <v>13.64</v>
      </c>
      <c r="H280">
        <f ca="1">INDEX(INDIRECT(""&amp;C280&amp;"!A2:A489"),MATCH(B280,INDIRECT(""&amp;C280&amp;"!B2:B489"),0))</f>
        <v>183</v>
      </c>
      <c r="I280">
        <f>IF(C280="WR",LeagueInfo!$D$5*LeagueInfo!$F$2,LeagueInfo!$D$6*LeagueInfo!$F$2)</f>
        <v>24</v>
      </c>
    </row>
    <row r="281" spans="1:9" x14ac:dyDescent="0.25">
      <c r="A281">
        <f ca="1">RANK(E281,E$2:E$350)</f>
        <v>280</v>
      </c>
      <c r="B281" t="s">
        <v>2622</v>
      </c>
      <c r="C281" t="s">
        <v>43</v>
      </c>
      <c r="D281">
        <f ca="1">INDEX(INDIRECT($C281&amp;"!P:P"),MATCH($B281,INDIRECT($C281&amp;"!B:B"),0))</f>
        <v>13.520000000000001</v>
      </c>
      <c r="E281" s="6">
        <f ca="1">D281-LARGE(D$2:D$284,TECount+WRCount)</f>
        <v>-101.52000000000001</v>
      </c>
      <c r="F281" t="str">
        <f ca="1">IF(H281&lt;=I281,"Starter",IF(G281&gt;=LARGE(G:G,FlexOn*LeagueInfo!$F$2),"Starter","Bench"))</f>
        <v>Bench</v>
      </c>
      <c r="G281">
        <f ca="1">IF(H281&gt;I281,D281,0)</f>
        <v>13.520000000000001</v>
      </c>
      <c r="H281">
        <f ca="1">INDEX(INDIRECT(""&amp;C281&amp;"!A2:A489"),MATCH(B281,INDIRECT(""&amp;C281&amp;"!B2:B489"),0))</f>
        <v>97</v>
      </c>
      <c r="I281">
        <f>IF(C281="WR",LeagueInfo!$D$5*LeagueInfo!$F$2,LeagueInfo!$D$6*LeagueInfo!$F$2)</f>
        <v>12</v>
      </c>
    </row>
    <row r="282" spans="1:9" x14ac:dyDescent="0.25">
      <c r="A282">
        <f ca="1">RANK(E282,E$2:E$350)</f>
        <v>281</v>
      </c>
      <c r="B282" t="s">
        <v>956</v>
      </c>
      <c r="C282" t="s">
        <v>35</v>
      </c>
      <c r="D282">
        <f ca="1">INDEX(INDIRECT($C282&amp;"!P:P"),MATCH($B282,INDIRECT($C282&amp;"!B:B"),0))</f>
        <v>13.510000000000002</v>
      </c>
      <c r="E282" s="6">
        <f ca="1">D282-LARGE(D$2:D$284,TECount+WRCount)</f>
        <v>-101.53</v>
      </c>
      <c r="F282" t="str">
        <f ca="1">IF(H282&lt;=I282,"Starter",IF(G282&gt;=LARGE(G:G,FlexOn*LeagueInfo!$F$2),"Starter","Bench"))</f>
        <v>Bench</v>
      </c>
      <c r="G282">
        <f ca="1">IF(H282&gt;I282,D282,0)</f>
        <v>13.510000000000002</v>
      </c>
      <c r="H282">
        <f ca="1">INDEX(INDIRECT(""&amp;C282&amp;"!A2:A489"),MATCH(B282,INDIRECT(""&amp;C282&amp;"!B2:B489"),0))</f>
        <v>184</v>
      </c>
      <c r="I282">
        <f>IF(C282="WR",LeagueInfo!$D$5*LeagueInfo!$F$2,LeagueInfo!$D$6*LeagueInfo!$F$2)</f>
        <v>24</v>
      </c>
    </row>
    <row r="283" spans="1:9" x14ac:dyDescent="0.25">
      <c r="A283">
        <f ca="1">RANK(E283,E$2:E$350)</f>
        <v>282</v>
      </c>
      <c r="B283" t="s">
        <v>970</v>
      </c>
      <c r="C283" t="s">
        <v>35</v>
      </c>
      <c r="D283">
        <f ca="1">INDEX(INDIRECT($C283&amp;"!P:P"),MATCH($B283,INDIRECT($C283&amp;"!B:B"),0))</f>
        <v>13.440000000000001</v>
      </c>
      <c r="E283" s="6">
        <f ca="1">D283-LARGE(D$2:D$284,TECount+WRCount)</f>
        <v>-101.60000000000001</v>
      </c>
      <c r="F283" t="str">
        <f ca="1">IF(H283&lt;=I283,"Starter",IF(G283&gt;=LARGE(G:G,FlexOn*LeagueInfo!$F$2),"Starter","Bench"))</f>
        <v>Bench</v>
      </c>
      <c r="G283">
        <f ca="1">IF(H283&gt;I283,D283,0)</f>
        <v>13.440000000000001</v>
      </c>
      <c r="H283">
        <f ca="1">INDEX(INDIRECT(""&amp;C283&amp;"!A2:A489"),MATCH(B283,INDIRECT(""&amp;C283&amp;"!B2:B489"),0))</f>
        <v>185</v>
      </c>
      <c r="I283">
        <f>IF(C283="WR",LeagueInfo!$D$5*LeagueInfo!$F$2,LeagueInfo!$D$6*LeagueInfo!$F$2)</f>
        <v>24</v>
      </c>
    </row>
    <row r="284" spans="1:9" x14ac:dyDescent="0.25">
      <c r="A284">
        <f ca="1">RANK(E284,E$2:E$350)</f>
        <v>283</v>
      </c>
      <c r="B284" t="s">
        <v>2490</v>
      </c>
      <c r="C284" t="s">
        <v>43</v>
      </c>
      <c r="D284">
        <f ca="1">INDEX(INDIRECT($C284&amp;"!P:P"),MATCH($B284,INDIRECT($C284&amp;"!B:B"),0))</f>
        <v>13.270000000000001</v>
      </c>
      <c r="E284" s="6">
        <f ca="1">D284-LARGE(D$2:D$284,TECount+WRCount)</f>
        <v>-101.77000000000001</v>
      </c>
      <c r="F284" t="str">
        <f ca="1">IF(H284&lt;=I284,"Starter",IF(G284&gt;=LARGE(G:G,FlexOn*LeagueInfo!$F$2),"Starter","Bench"))</f>
        <v>Bench</v>
      </c>
      <c r="G284">
        <f ca="1">IF(H284&gt;I284,D284,0)</f>
        <v>13.270000000000001</v>
      </c>
      <c r="H284">
        <f ca="1">INDEX(INDIRECT(""&amp;C284&amp;"!A2:A489"),MATCH(B284,INDIRECT(""&amp;C284&amp;"!B2:B489"),0))</f>
        <v>98</v>
      </c>
      <c r="I284">
        <f>IF(C284="WR",LeagueInfo!$D$5*LeagueInfo!$F$2,LeagueInfo!$D$6*LeagueInfo!$F$2)</f>
        <v>12</v>
      </c>
    </row>
    <row r="285" spans="1:9" x14ac:dyDescent="0.25">
      <c r="A285">
        <f ca="1">RANK(E285,E$2:E$350)</f>
        <v>284</v>
      </c>
      <c r="B285" t="s">
        <v>582</v>
      </c>
      <c r="C285" t="s">
        <v>35</v>
      </c>
      <c r="D285">
        <f ca="1">INDEX(INDIRECT($C285&amp;"!P:P"),MATCH($B285,INDIRECT($C285&amp;"!B:B"),0))</f>
        <v>13.26</v>
      </c>
      <c r="E285" s="6">
        <f ca="1">D285-LARGE(D$2:D$284,TECount+WRCount)</f>
        <v>-101.78</v>
      </c>
      <c r="F285" t="str">
        <f ca="1">IF(H285&lt;=I285,"Starter",IF(G285&gt;=LARGE(G:G,FlexOn*LeagueInfo!$F$2),"Starter","Bench"))</f>
        <v>Bench</v>
      </c>
      <c r="G285">
        <f ca="1">IF(H285&gt;I285,D285,0)</f>
        <v>13.26</v>
      </c>
      <c r="H285">
        <f ca="1">INDEX(INDIRECT(""&amp;C285&amp;"!A2:A489"),MATCH(B285,INDIRECT(""&amp;C285&amp;"!B2:B489"),0))</f>
        <v>186</v>
      </c>
      <c r="I285">
        <f>IF(C285="WR",LeagueInfo!$D$5*LeagueInfo!$F$2,LeagueInfo!$D$6*LeagueInfo!$F$2)</f>
        <v>24</v>
      </c>
    </row>
    <row r="286" spans="1:9" x14ac:dyDescent="0.25">
      <c r="A286">
        <f ca="1">RANK(E286,E$2:E$350)</f>
        <v>285</v>
      </c>
      <c r="B286" t="s">
        <v>710</v>
      </c>
      <c r="C286" t="s">
        <v>35</v>
      </c>
      <c r="D286">
        <f ca="1">INDEX(INDIRECT($C286&amp;"!P:P"),MATCH($B286,INDIRECT($C286&amp;"!B:B"),0))</f>
        <v>13.040000000000001</v>
      </c>
      <c r="E286" s="6">
        <f ca="1">D286-LARGE(D$2:D$284,TECount+WRCount)</f>
        <v>-102</v>
      </c>
      <c r="F286" t="str">
        <f ca="1">IF(H286&lt;=I286,"Starter",IF(G286&gt;=LARGE(G:G,FlexOn*LeagueInfo!$F$2),"Starter","Bench"))</f>
        <v>Bench</v>
      </c>
      <c r="G286">
        <f ca="1">IF(H286&gt;I286,D286,0)</f>
        <v>13.040000000000001</v>
      </c>
      <c r="H286">
        <f ca="1">INDEX(INDIRECT(""&amp;C286&amp;"!A2:A489"),MATCH(B286,INDIRECT(""&amp;C286&amp;"!B2:B489"),0))</f>
        <v>187</v>
      </c>
      <c r="I286">
        <f>IF(C286="WR",LeagueInfo!$D$5*LeagueInfo!$F$2,LeagueInfo!$D$6*LeagueInfo!$F$2)</f>
        <v>24</v>
      </c>
    </row>
    <row r="287" spans="1:9" x14ac:dyDescent="0.25">
      <c r="A287">
        <f ca="1">RANK(E287,E$2:E$350)</f>
        <v>286</v>
      </c>
      <c r="B287" t="s">
        <v>861</v>
      </c>
      <c r="C287" t="s">
        <v>35</v>
      </c>
      <c r="D287">
        <f ca="1">INDEX(INDIRECT($C287&amp;"!P:P"),MATCH($B287,INDIRECT($C287&amp;"!B:B"),0))</f>
        <v>13.020000000000001</v>
      </c>
      <c r="E287" s="6">
        <f ca="1">D287-LARGE(D$2:D$284,TECount+WRCount)</f>
        <v>-102.02000000000001</v>
      </c>
      <c r="F287" t="str">
        <f ca="1">IF(H287&lt;=I287,"Starter",IF(G287&gt;=LARGE(G:G,FlexOn*LeagueInfo!$F$2),"Starter","Bench"))</f>
        <v>Bench</v>
      </c>
      <c r="G287">
        <f ca="1">IF(H287&gt;I287,D287,0)</f>
        <v>13.020000000000001</v>
      </c>
      <c r="H287">
        <f ca="1">INDEX(INDIRECT(""&amp;C287&amp;"!A2:A489"),MATCH(B287,INDIRECT(""&amp;C287&amp;"!B2:B489"),0))</f>
        <v>188</v>
      </c>
      <c r="I287">
        <f>IF(C287="WR",LeagueInfo!$D$5*LeagueInfo!$F$2,LeagueInfo!$D$6*LeagueInfo!$F$2)</f>
        <v>24</v>
      </c>
    </row>
    <row r="288" spans="1:9" x14ac:dyDescent="0.25">
      <c r="A288">
        <f ca="1">RANK(E288,E$2:E$350)</f>
        <v>287</v>
      </c>
      <c r="B288" t="s">
        <v>644</v>
      </c>
      <c r="C288" t="s">
        <v>35</v>
      </c>
      <c r="D288">
        <f ca="1">INDEX(INDIRECT($C288&amp;"!P:P"),MATCH($B288,INDIRECT($C288&amp;"!B:B"),0))</f>
        <v>12.740000000000002</v>
      </c>
      <c r="E288" s="6">
        <f ca="1">D288-LARGE(D$2:D$284,TECount+WRCount)</f>
        <v>-102.30000000000001</v>
      </c>
      <c r="F288" t="str">
        <f ca="1">IF(H288&lt;=I288,"Starter",IF(G288&gt;=LARGE(G:G,FlexOn*LeagueInfo!$F$2),"Starter","Bench"))</f>
        <v>Bench</v>
      </c>
      <c r="G288">
        <f ca="1">IF(H288&gt;I288,D288,0)</f>
        <v>12.740000000000002</v>
      </c>
      <c r="H288">
        <f ca="1">INDEX(INDIRECT(""&amp;C288&amp;"!A2:A489"),MATCH(B288,INDIRECT(""&amp;C288&amp;"!B2:B489"),0))</f>
        <v>189</v>
      </c>
      <c r="I288">
        <f>IF(C288="WR",LeagueInfo!$D$5*LeagueInfo!$F$2,LeagueInfo!$D$6*LeagueInfo!$F$2)</f>
        <v>24</v>
      </c>
    </row>
    <row r="289" spans="1:9" x14ac:dyDescent="0.25">
      <c r="A289">
        <f ca="1">RANK(E289,E$2:E$350)</f>
        <v>288</v>
      </c>
      <c r="B289" t="s">
        <v>2492</v>
      </c>
      <c r="C289" t="s">
        <v>43</v>
      </c>
      <c r="D289">
        <f ca="1">INDEX(INDIRECT($C289&amp;"!P:P"),MATCH($B289,INDIRECT($C289&amp;"!B:B"),0))</f>
        <v>12.720000000000002</v>
      </c>
      <c r="E289" s="6">
        <f ca="1">D289-LARGE(D$2:D$284,TECount+WRCount)</f>
        <v>-102.32000000000001</v>
      </c>
      <c r="F289" t="str">
        <f ca="1">IF(H289&lt;=I289,"Starter",IF(G289&gt;=LARGE(G:G,FlexOn*LeagueInfo!$F$2),"Starter","Bench"))</f>
        <v>Bench</v>
      </c>
      <c r="G289">
        <f ca="1">IF(H289&gt;I289,D289,0)</f>
        <v>12.720000000000002</v>
      </c>
      <c r="H289">
        <f ca="1">INDEX(INDIRECT(""&amp;C289&amp;"!A2:A489"),MATCH(B289,INDIRECT(""&amp;C289&amp;"!B2:B489"),0))</f>
        <v>99</v>
      </c>
      <c r="I289">
        <f>IF(C289="WR",LeagueInfo!$D$5*LeagueInfo!$F$2,LeagueInfo!$D$6*LeagueInfo!$F$2)</f>
        <v>12</v>
      </c>
    </row>
    <row r="290" spans="1:9" x14ac:dyDescent="0.25">
      <c r="A290">
        <f ca="1">RANK(E290,E$2:E$350)</f>
        <v>289</v>
      </c>
      <c r="B290" t="s">
        <v>2668</v>
      </c>
      <c r="C290" t="s">
        <v>43</v>
      </c>
      <c r="D290">
        <f ca="1">INDEX(INDIRECT($C290&amp;"!P:P"),MATCH($B290,INDIRECT($C290&amp;"!B:B"),0))</f>
        <v>12.61</v>
      </c>
      <c r="E290" s="6">
        <f ca="1">D290-LARGE(D$2:D$284,TECount+WRCount)</f>
        <v>-102.43</v>
      </c>
      <c r="F290" t="str">
        <f ca="1">IF(H290&lt;=I290,"Starter",IF(G290&gt;=LARGE(G:G,FlexOn*LeagueInfo!$F$2),"Starter","Bench"))</f>
        <v>Bench</v>
      </c>
      <c r="G290">
        <f ca="1">IF(H290&gt;I290,D290,0)</f>
        <v>12.61</v>
      </c>
      <c r="H290">
        <f ca="1">INDEX(INDIRECT(""&amp;C290&amp;"!A2:A489"),MATCH(B290,INDIRECT(""&amp;C290&amp;"!B2:B489"),0))</f>
        <v>100</v>
      </c>
      <c r="I290">
        <f>IF(C290="WR",LeagueInfo!$D$5*LeagueInfo!$F$2,LeagueInfo!$D$6*LeagueInfo!$F$2)</f>
        <v>12</v>
      </c>
    </row>
    <row r="291" spans="1:9" x14ac:dyDescent="0.25">
      <c r="A291">
        <f ca="1">RANK(E291,E$2:E$350)</f>
        <v>290</v>
      </c>
      <c r="B291" t="s">
        <v>962</v>
      </c>
      <c r="C291" t="s">
        <v>43</v>
      </c>
      <c r="D291">
        <f ca="1">INDEX(INDIRECT($C291&amp;"!P:P"),MATCH($B291,INDIRECT($C291&amp;"!B:B"),0))</f>
        <v>12.38</v>
      </c>
      <c r="E291" s="6">
        <f ca="1">D291-LARGE(D$2:D$284,TECount+WRCount)</f>
        <v>-102.66000000000001</v>
      </c>
      <c r="F291" t="str">
        <f ca="1">IF(H291&lt;=I291,"Starter",IF(G291&gt;=LARGE(G:G,FlexOn*LeagueInfo!$F$2),"Starter","Bench"))</f>
        <v>Bench</v>
      </c>
      <c r="G291">
        <f ca="1">IF(H291&gt;I291,D291,0)</f>
        <v>12.38</v>
      </c>
      <c r="H291">
        <f ca="1">INDEX(INDIRECT(""&amp;C291&amp;"!A2:A489"),MATCH(B291,INDIRECT(""&amp;C291&amp;"!B2:B489"),0))</f>
        <v>101</v>
      </c>
      <c r="I291">
        <f>IF(C291="WR",LeagueInfo!$D$5*LeagueInfo!$F$2,LeagueInfo!$D$6*LeagueInfo!$F$2)</f>
        <v>12</v>
      </c>
    </row>
    <row r="292" spans="1:9" x14ac:dyDescent="0.25">
      <c r="A292">
        <f ca="1">RANK(E292,E$2:E$350)</f>
        <v>291</v>
      </c>
      <c r="B292" t="s">
        <v>571</v>
      </c>
      <c r="C292" t="s">
        <v>35</v>
      </c>
      <c r="D292">
        <f ca="1">INDEX(INDIRECT($C292&amp;"!P:P"),MATCH($B292,INDIRECT($C292&amp;"!B:B"),0))</f>
        <v>12.030000000000001</v>
      </c>
      <c r="E292" s="6">
        <f ca="1">D292-LARGE(D$2:D$284,TECount+WRCount)</f>
        <v>-103.01</v>
      </c>
      <c r="F292" t="str">
        <f ca="1">IF(H292&lt;=I292,"Starter",IF(G292&gt;=LARGE(G:G,FlexOn*LeagueInfo!$F$2),"Starter","Bench"))</f>
        <v>Bench</v>
      </c>
      <c r="G292">
        <f ca="1">IF(H292&gt;I292,D292,0)</f>
        <v>12.030000000000001</v>
      </c>
      <c r="H292">
        <f ca="1">INDEX(INDIRECT(""&amp;C292&amp;"!A2:A489"),MATCH(B292,INDIRECT(""&amp;C292&amp;"!B2:B489"),0))</f>
        <v>190</v>
      </c>
      <c r="I292">
        <f>IF(C292="WR",LeagueInfo!$D$5*LeagueInfo!$F$2,LeagueInfo!$D$6*LeagueInfo!$F$2)</f>
        <v>24</v>
      </c>
    </row>
    <row r="293" spans="1:9" x14ac:dyDescent="0.25">
      <c r="A293">
        <f ca="1">RANK(E293,E$2:E$350)</f>
        <v>292</v>
      </c>
      <c r="B293" t="s">
        <v>2677</v>
      </c>
      <c r="C293" t="s">
        <v>35</v>
      </c>
      <c r="D293">
        <f ca="1">INDEX(INDIRECT($C293&amp;"!P:P"),MATCH($B293,INDIRECT($C293&amp;"!B:B"),0))</f>
        <v>11.73</v>
      </c>
      <c r="E293" s="6">
        <f ca="1">D293-LARGE(D$2:D$284,TECount+WRCount)</f>
        <v>-103.31</v>
      </c>
      <c r="F293" t="str">
        <f ca="1">IF(H293&lt;=I293,"Starter",IF(G293&gt;=LARGE(G:G,FlexOn*LeagueInfo!$F$2),"Starter","Bench"))</f>
        <v>Bench</v>
      </c>
      <c r="G293">
        <f ca="1">IF(H293&gt;I293,D293,0)</f>
        <v>11.73</v>
      </c>
      <c r="H293">
        <f ca="1">INDEX(INDIRECT(""&amp;C293&amp;"!A2:A489"),MATCH(B293,INDIRECT(""&amp;C293&amp;"!B2:B489"),0))</f>
        <v>191</v>
      </c>
      <c r="I293">
        <f>IF(C293="WR",LeagueInfo!$D$5*LeagueInfo!$F$2,LeagueInfo!$D$6*LeagueInfo!$F$2)</f>
        <v>24</v>
      </c>
    </row>
    <row r="294" spans="1:9" x14ac:dyDescent="0.25">
      <c r="A294">
        <f ca="1">RANK(E294,E$2:E$350)</f>
        <v>293</v>
      </c>
      <c r="B294" t="s">
        <v>984</v>
      </c>
      <c r="C294" t="s">
        <v>43</v>
      </c>
      <c r="D294">
        <f ca="1">INDEX(INDIRECT($C294&amp;"!P:P"),MATCH($B294,INDIRECT($C294&amp;"!B:B"),0))</f>
        <v>11.68</v>
      </c>
      <c r="E294" s="6">
        <f ca="1">D294-LARGE(D$2:D$284,TECount+WRCount)</f>
        <v>-103.36000000000001</v>
      </c>
      <c r="F294" t="str">
        <f ca="1">IF(H294&lt;=I294,"Starter",IF(G294&gt;=LARGE(G:G,FlexOn*LeagueInfo!$F$2),"Starter","Bench"))</f>
        <v>Bench</v>
      </c>
      <c r="G294">
        <f ca="1">IF(H294&gt;I294,D294,0)</f>
        <v>11.68</v>
      </c>
      <c r="H294">
        <f ca="1">INDEX(INDIRECT(""&amp;C294&amp;"!A2:A489"),MATCH(B294,INDIRECT(""&amp;C294&amp;"!B2:B489"),0))</f>
        <v>102</v>
      </c>
      <c r="I294">
        <f>IF(C294="WR",LeagueInfo!$D$5*LeagueInfo!$F$2,LeagueInfo!$D$6*LeagueInfo!$F$2)</f>
        <v>12</v>
      </c>
    </row>
    <row r="295" spans="1:9" x14ac:dyDescent="0.25">
      <c r="A295">
        <f ca="1">RANK(E295,E$2:E$350)</f>
        <v>294</v>
      </c>
      <c r="B295" t="s">
        <v>438</v>
      </c>
      <c r="C295" t="s">
        <v>43</v>
      </c>
      <c r="D295">
        <f ca="1">INDEX(INDIRECT($C295&amp;"!P:P"),MATCH($B295,INDIRECT($C295&amp;"!B:B"),0))</f>
        <v>11.49</v>
      </c>
      <c r="E295" s="6">
        <f ca="1">D295-LARGE(D$2:D$284,TECount+WRCount)</f>
        <v>-103.55000000000001</v>
      </c>
      <c r="F295" t="str">
        <f ca="1">IF(H295&lt;=I295,"Starter",IF(G295&gt;=LARGE(G:G,FlexOn*LeagueInfo!$F$2),"Starter","Bench"))</f>
        <v>Bench</v>
      </c>
      <c r="G295">
        <f ca="1">IF(H295&gt;I295,D295,0)</f>
        <v>11.49</v>
      </c>
      <c r="H295">
        <f ca="1">INDEX(INDIRECT(""&amp;C295&amp;"!A2:A489"),MATCH(B295,INDIRECT(""&amp;C295&amp;"!B2:B489"),0))</f>
        <v>103</v>
      </c>
      <c r="I295">
        <f>IF(C295="WR",LeagueInfo!$D$5*LeagueInfo!$F$2,LeagueInfo!$D$6*LeagueInfo!$F$2)</f>
        <v>12</v>
      </c>
    </row>
    <row r="296" spans="1:9" x14ac:dyDescent="0.25">
      <c r="A296">
        <f ca="1">RANK(E296,E$2:E$350)</f>
        <v>295</v>
      </c>
      <c r="B296" t="s">
        <v>821</v>
      </c>
      <c r="C296" t="s">
        <v>43</v>
      </c>
      <c r="D296">
        <f ca="1">INDEX(INDIRECT($C296&amp;"!P:P"),MATCH($B296,INDIRECT($C296&amp;"!B:B"),0))</f>
        <v>11.41</v>
      </c>
      <c r="E296" s="6">
        <f ca="1">D296-LARGE(D$2:D$284,TECount+WRCount)</f>
        <v>-103.63000000000001</v>
      </c>
      <c r="F296" t="str">
        <f ca="1">IF(H296&lt;=I296,"Starter",IF(G296&gt;=LARGE(G:G,FlexOn*LeagueInfo!$F$2),"Starter","Bench"))</f>
        <v>Bench</v>
      </c>
      <c r="G296">
        <f ca="1">IF(H296&gt;I296,D296,0)</f>
        <v>11.41</v>
      </c>
      <c r="H296">
        <f ca="1">INDEX(INDIRECT(""&amp;C296&amp;"!A2:A489"),MATCH(B296,INDIRECT(""&amp;C296&amp;"!B2:B489"),0))</f>
        <v>104</v>
      </c>
      <c r="I296">
        <f>IF(C296="WR",LeagueInfo!$D$5*LeagueInfo!$F$2,LeagueInfo!$D$6*LeagueInfo!$F$2)</f>
        <v>12</v>
      </c>
    </row>
    <row r="297" spans="1:9" x14ac:dyDescent="0.25">
      <c r="A297">
        <f ca="1">RANK(E297,E$2:E$350)</f>
        <v>296</v>
      </c>
      <c r="B297" t="s">
        <v>758</v>
      </c>
      <c r="C297" t="s">
        <v>43</v>
      </c>
      <c r="D297">
        <f ca="1">INDEX(INDIRECT($C297&amp;"!P:P"),MATCH($B297,INDIRECT($C297&amp;"!B:B"),0))</f>
        <v>11.33</v>
      </c>
      <c r="E297" s="6">
        <f ca="1">D297-LARGE(D$2:D$284,TECount+WRCount)</f>
        <v>-103.71000000000001</v>
      </c>
      <c r="F297" t="str">
        <f ca="1">IF(H297&lt;=I297,"Starter",IF(G297&gt;=LARGE(G:G,FlexOn*LeagueInfo!$F$2),"Starter","Bench"))</f>
        <v>Bench</v>
      </c>
      <c r="G297">
        <f ca="1">IF(H297&gt;I297,D297,0)</f>
        <v>11.33</v>
      </c>
      <c r="H297">
        <f ca="1">INDEX(INDIRECT(""&amp;C297&amp;"!A2:A489"),MATCH(B297,INDIRECT(""&amp;C297&amp;"!B2:B489"),0))</f>
        <v>105</v>
      </c>
      <c r="I297">
        <f>IF(C297="WR",LeagueInfo!$D$5*LeagueInfo!$F$2,LeagueInfo!$D$6*LeagueInfo!$F$2)</f>
        <v>12</v>
      </c>
    </row>
    <row r="298" spans="1:9" x14ac:dyDescent="0.25">
      <c r="A298">
        <f ca="1">RANK(E298,E$2:E$350)</f>
        <v>297</v>
      </c>
      <c r="B298" t="s">
        <v>2439</v>
      </c>
      <c r="C298" t="s">
        <v>35</v>
      </c>
      <c r="D298">
        <f ca="1">INDEX(INDIRECT($C298&amp;"!P:P"),MATCH($B298,INDIRECT($C298&amp;"!B:B"),0))</f>
        <v>11.280000000000001</v>
      </c>
      <c r="E298" s="6">
        <f ca="1">D298-LARGE(D$2:D$284,TECount+WRCount)</f>
        <v>-103.76</v>
      </c>
      <c r="F298" t="str">
        <f ca="1">IF(H298&lt;=I298,"Starter",IF(G298&gt;=LARGE(G:G,FlexOn*LeagueInfo!$F$2),"Starter","Bench"))</f>
        <v>Bench</v>
      </c>
      <c r="G298">
        <f ca="1">IF(H298&gt;I298,D298,0)</f>
        <v>11.280000000000001</v>
      </c>
      <c r="H298">
        <f ca="1">INDEX(INDIRECT(""&amp;C298&amp;"!A2:A489"),MATCH(B298,INDIRECT(""&amp;C298&amp;"!B2:B489"),0))</f>
        <v>192</v>
      </c>
      <c r="I298">
        <f>IF(C298="WR",LeagueInfo!$D$5*LeagueInfo!$F$2,LeagueInfo!$D$6*LeagueInfo!$F$2)</f>
        <v>24</v>
      </c>
    </row>
    <row r="299" spans="1:9" x14ac:dyDescent="0.25">
      <c r="A299">
        <f ca="1">RANK(E299,E$2:E$350)</f>
        <v>298</v>
      </c>
      <c r="B299" t="s">
        <v>750</v>
      </c>
      <c r="C299" t="s">
        <v>43</v>
      </c>
      <c r="D299">
        <f ca="1">INDEX(INDIRECT($C299&amp;"!P:P"),MATCH($B299,INDIRECT($C299&amp;"!B:B"),0))</f>
        <v>11.260000000000002</v>
      </c>
      <c r="E299" s="6">
        <f ca="1">D299-LARGE(D$2:D$284,TECount+WRCount)</f>
        <v>-103.78</v>
      </c>
      <c r="F299" t="str">
        <f ca="1">IF(H299&lt;=I299,"Starter",IF(G299&gt;=LARGE(G:G,FlexOn*LeagueInfo!$F$2),"Starter","Bench"))</f>
        <v>Bench</v>
      </c>
      <c r="G299">
        <f ca="1">IF(H299&gt;I299,D299,0)</f>
        <v>11.260000000000002</v>
      </c>
      <c r="H299">
        <f ca="1">INDEX(INDIRECT(""&amp;C299&amp;"!A2:A489"),MATCH(B299,INDIRECT(""&amp;C299&amp;"!B2:B489"),0))</f>
        <v>106</v>
      </c>
      <c r="I299">
        <f>IF(C299="WR",LeagueInfo!$D$5*LeagueInfo!$F$2,LeagueInfo!$D$6*LeagueInfo!$F$2)</f>
        <v>12</v>
      </c>
    </row>
    <row r="300" spans="1:9" x14ac:dyDescent="0.25">
      <c r="A300">
        <f ca="1">RANK(E300,E$2:E$350)</f>
        <v>299</v>
      </c>
      <c r="B300" t="s">
        <v>976</v>
      </c>
      <c r="C300" t="s">
        <v>43</v>
      </c>
      <c r="D300">
        <f ca="1">INDEX(INDIRECT($C300&amp;"!P:P"),MATCH($B300,INDIRECT($C300&amp;"!B:B"),0))</f>
        <v>10.64</v>
      </c>
      <c r="E300" s="6">
        <f ca="1">D300-LARGE(D$2:D$284,TECount+WRCount)</f>
        <v>-104.4</v>
      </c>
      <c r="F300" t="str">
        <f ca="1">IF(H300&lt;=I300,"Starter",IF(G300&gt;=LARGE(G:G,FlexOn*LeagueInfo!$F$2),"Starter","Bench"))</f>
        <v>Bench</v>
      </c>
      <c r="G300">
        <f ca="1">IF(H300&gt;I300,D300,0)</f>
        <v>10.64</v>
      </c>
      <c r="H300">
        <f ca="1">INDEX(INDIRECT(""&amp;C300&amp;"!A2:A489"),MATCH(B300,INDIRECT(""&amp;C300&amp;"!B2:B489"),0))</f>
        <v>107</v>
      </c>
      <c r="I300">
        <f>IF(C300="WR",LeagueInfo!$D$5*LeagueInfo!$F$2,LeagueInfo!$D$6*LeagueInfo!$F$2)</f>
        <v>12</v>
      </c>
    </row>
    <row r="301" spans="1:9" x14ac:dyDescent="0.25">
      <c r="A301">
        <f ca="1">RANK(E301,E$2:E$350)</f>
        <v>300</v>
      </c>
      <c r="B301" t="s">
        <v>393</v>
      </c>
      <c r="C301" t="s">
        <v>35</v>
      </c>
      <c r="D301">
        <f ca="1">INDEX(INDIRECT($C301&amp;"!P:P"),MATCH($B301,INDIRECT($C301&amp;"!B:B"),0))</f>
        <v>10.3</v>
      </c>
      <c r="E301" s="6">
        <f ca="1">D301-LARGE(D$2:D$284,TECount+WRCount)</f>
        <v>-104.74000000000001</v>
      </c>
      <c r="F301" t="str">
        <f ca="1">IF(H301&lt;=I301,"Starter",IF(G301&gt;=LARGE(G:G,FlexOn*LeagueInfo!$F$2),"Starter","Bench"))</f>
        <v>Bench</v>
      </c>
      <c r="G301">
        <f ca="1">IF(H301&gt;I301,D301,0)</f>
        <v>10.3</v>
      </c>
      <c r="H301">
        <f ca="1">INDEX(INDIRECT(""&amp;C301&amp;"!A2:A489"),MATCH(B301,INDIRECT(""&amp;C301&amp;"!B2:B489"),0))</f>
        <v>193</v>
      </c>
      <c r="I301">
        <f>IF(C301="WR",LeagueInfo!$D$5*LeagueInfo!$F$2,LeagueInfo!$D$6*LeagueInfo!$F$2)</f>
        <v>24</v>
      </c>
    </row>
    <row r="302" spans="1:9" x14ac:dyDescent="0.25">
      <c r="A302">
        <f ca="1">RANK(E302,E$2:E$350)</f>
        <v>301</v>
      </c>
      <c r="B302" t="s">
        <v>436</v>
      </c>
      <c r="C302" t="s">
        <v>43</v>
      </c>
      <c r="D302">
        <f ca="1">INDEX(INDIRECT($C302&amp;"!P:P"),MATCH($B302,INDIRECT($C302&amp;"!B:B"),0))</f>
        <v>10.11</v>
      </c>
      <c r="E302" s="6">
        <f ca="1">D302-LARGE(D$2:D$284,TECount+WRCount)</f>
        <v>-104.93</v>
      </c>
      <c r="F302" t="str">
        <f ca="1">IF(H302&lt;=I302,"Starter",IF(G302&gt;=LARGE(G:G,FlexOn*LeagueInfo!$F$2),"Starter","Bench"))</f>
        <v>Bench</v>
      </c>
      <c r="G302">
        <f ca="1">IF(H302&gt;I302,D302,0)</f>
        <v>10.11</v>
      </c>
      <c r="H302">
        <f ca="1">INDEX(INDIRECT(""&amp;C302&amp;"!A2:A489"),MATCH(B302,INDIRECT(""&amp;C302&amp;"!B2:B489"),0))</f>
        <v>109</v>
      </c>
      <c r="I302">
        <f>IF(C302="WR",LeagueInfo!$D$5*LeagueInfo!$F$2,LeagueInfo!$D$6*LeagueInfo!$F$2)</f>
        <v>12</v>
      </c>
    </row>
    <row r="303" spans="1:9" x14ac:dyDescent="0.25">
      <c r="A303">
        <f ca="1">RANK(E303,E$2:E$350)</f>
        <v>301</v>
      </c>
      <c r="B303" t="s">
        <v>829</v>
      </c>
      <c r="C303" t="s">
        <v>43</v>
      </c>
      <c r="D303">
        <f ca="1">INDEX(INDIRECT($C303&amp;"!P:P"),MATCH($B303,INDIRECT($C303&amp;"!B:B"),0))</f>
        <v>10.110000000000003</v>
      </c>
      <c r="E303" s="6">
        <f ca="1">D303-LARGE(D$2:D$284,TECount+WRCount)</f>
        <v>-104.93</v>
      </c>
      <c r="F303" t="str">
        <f ca="1">IF(H303&lt;=I303,"Starter",IF(G303&gt;=LARGE(G:G,FlexOn*LeagueInfo!$F$2),"Starter","Bench"))</f>
        <v>Bench</v>
      </c>
      <c r="G303">
        <f ca="1">IF(H303&gt;I303,D303,0)</f>
        <v>10.110000000000003</v>
      </c>
      <c r="H303">
        <f ca="1">INDEX(INDIRECT(""&amp;C303&amp;"!A2:A489"),MATCH(B303,INDIRECT(""&amp;C303&amp;"!B2:B489"),0))</f>
        <v>108</v>
      </c>
      <c r="I303">
        <f>IF(C303="WR",LeagueInfo!$D$5*LeagueInfo!$F$2,LeagueInfo!$D$6*LeagueInfo!$F$2)</f>
        <v>12</v>
      </c>
    </row>
    <row r="304" spans="1:9" x14ac:dyDescent="0.25">
      <c r="A304">
        <f ca="1">RANK(E304,E$2:E$350)</f>
        <v>303</v>
      </c>
      <c r="B304" t="s">
        <v>865</v>
      </c>
      <c r="C304" t="s">
        <v>35</v>
      </c>
      <c r="D304">
        <f ca="1">INDEX(INDIRECT($C304&amp;"!P:P"),MATCH($B304,INDIRECT($C304&amp;"!B:B"),0))</f>
        <v>10.039999999999999</v>
      </c>
      <c r="E304" s="6">
        <f ca="1">D304-LARGE(D$2:D$284,TECount+WRCount)</f>
        <v>-105</v>
      </c>
      <c r="F304" t="str">
        <f ca="1">IF(H304&lt;=I304,"Starter",IF(G304&gt;=LARGE(G:G,FlexOn*LeagueInfo!$F$2),"Starter","Bench"))</f>
        <v>Bench</v>
      </c>
      <c r="G304">
        <f ca="1">IF(H304&gt;I304,D304,0)</f>
        <v>10.039999999999999</v>
      </c>
      <c r="H304">
        <f ca="1">INDEX(INDIRECT(""&amp;C304&amp;"!A2:A489"),MATCH(B304,INDIRECT(""&amp;C304&amp;"!B2:B489"),0))</f>
        <v>194</v>
      </c>
      <c r="I304">
        <f>IF(C304="WR",LeagueInfo!$D$5*LeagueInfo!$F$2,LeagueInfo!$D$6*LeagueInfo!$F$2)</f>
        <v>24</v>
      </c>
    </row>
    <row r="305" spans="1:9" x14ac:dyDescent="0.25">
      <c r="A305">
        <f ca="1">RANK(E305,E$2:E$350)</f>
        <v>304</v>
      </c>
      <c r="B305" t="s">
        <v>631</v>
      </c>
      <c r="C305" t="s">
        <v>35</v>
      </c>
      <c r="D305">
        <f ca="1">INDEX(INDIRECT($C305&amp;"!P:P"),MATCH($B305,INDIRECT($C305&amp;"!B:B"),0))</f>
        <v>9.7100000000000009</v>
      </c>
      <c r="E305" s="6">
        <f ca="1">D305-LARGE(D$2:D$284,TECount+WRCount)</f>
        <v>-105.33000000000001</v>
      </c>
      <c r="F305" t="str">
        <f ca="1">IF(H305&lt;=I305,"Starter",IF(G305&gt;=LARGE(G:G,FlexOn*LeagueInfo!$F$2),"Starter","Bench"))</f>
        <v>Bench</v>
      </c>
      <c r="G305">
        <f ca="1">IF(H305&gt;I305,D305,0)</f>
        <v>9.7100000000000009</v>
      </c>
      <c r="H305">
        <f ca="1">INDEX(INDIRECT(""&amp;C305&amp;"!A2:A489"),MATCH(B305,INDIRECT(""&amp;C305&amp;"!B2:B489"),0))</f>
        <v>195</v>
      </c>
      <c r="I305">
        <f>IF(C305="WR",LeagueInfo!$D$5*LeagueInfo!$F$2,LeagueInfo!$D$6*LeagueInfo!$F$2)</f>
        <v>24</v>
      </c>
    </row>
    <row r="306" spans="1:9" x14ac:dyDescent="0.25">
      <c r="A306">
        <f ca="1">RANK(E306,E$2:E$350)</f>
        <v>305</v>
      </c>
      <c r="B306" t="s">
        <v>738</v>
      </c>
      <c r="C306" t="s">
        <v>35</v>
      </c>
      <c r="D306">
        <f ca="1">INDEX(INDIRECT($C306&amp;"!P:P"),MATCH($B306,INDIRECT($C306&amp;"!B:B"),0))</f>
        <v>9.56</v>
      </c>
      <c r="E306" s="6">
        <f ca="1">D306-LARGE(D$2:D$284,TECount+WRCount)</f>
        <v>-105.48</v>
      </c>
      <c r="F306" t="str">
        <f ca="1">IF(H306&lt;=I306,"Starter",IF(G306&gt;=LARGE(G:G,FlexOn*LeagueInfo!$F$2),"Starter","Bench"))</f>
        <v>Bench</v>
      </c>
      <c r="G306">
        <f ca="1">IF(H306&gt;I306,D306,0)</f>
        <v>9.56</v>
      </c>
      <c r="H306">
        <f ca="1">INDEX(INDIRECT(""&amp;C306&amp;"!A2:A489"),MATCH(B306,INDIRECT(""&amp;C306&amp;"!B2:B489"),0))</f>
        <v>196</v>
      </c>
      <c r="I306">
        <f>IF(C306="WR",LeagueInfo!$D$5*LeagueInfo!$F$2,LeagueInfo!$D$6*LeagueInfo!$F$2)</f>
        <v>24</v>
      </c>
    </row>
    <row r="307" spans="1:9" x14ac:dyDescent="0.25">
      <c r="A307">
        <f ca="1">RANK(E307,E$2:E$350)</f>
        <v>306</v>
      </c>
      <c r="B307" t="s">
        <v>800</v>
      </c>
      <c r="C307" t="s">
        <v>35</v>
      </c>
      <c r="D307">
        <f ca="1">INDEX(INDIRECT($C307&amp;"!P:P"),MATCH($B307,INDIRECT($C307&amp;"!B:B"),0))</f>
        <v>9.4600000000000009</v>
      </c>
      <c r="E307" s="6">
        <f ca="1">D307-LARGE(D$2:D$284,TECount+WRCount)</f>
        <v>-105.58000000000001</v>
      </c>
      <c r="F307" t="str">
        <f ca="1">IF(H307&lt;=I307,"Starter",IF(G307&gt;=LARGE(G:G,FlexOn*LeagueInfo!$F$2),"Starter","Bench"))</f>
        <v>Bench</v>
      </c>
      <c r="G307">
        <f ca="1">IF(H307&gt;I307,D307,0)</f>
        <v>9.4600000000000009</v>
      </c>
      <c r="H307">
        <f ca="1">INDEX(INDIRECT(""&amp;C307&amp;"!A2:A489"),MATCH(B307,INDIRECT(""&amp;C307&amp;"!B2:B489"),0))</f>
        <v>197</v>
      </c>
      <c r="I307">
        <f>IF(C307="WR",LeagueInfo!$D$5*LeagueInfo!$F$2,LeagueInfo!$D$6*LeagueInfo!$F$2)</f>
        <v>24</v>
      </c>
    </row>
    <row r="308" spans="1:9" x14ac:dyDescent="0.25">
      <c r="A308">
        <f ca="1">RANK(E308,E$2:E$350)</f>
        <v>307</v>
      </c>
      <c r="B308" t="s">
        <v>2440</v>
      </c>
      <c r="C308" t="s">
        <v>35</v>
      </c>
      <c r="D308">
        <f ca="1">INDEX(INDIRECT($C308&amp;"!P:P"),MATCH($B308,INDIRECT($C308&amp;"!B:B"),0))</f>
        <v>9.43</v>
      </c>
      <c r="E308" s="6">
        <f ca="1">D308-LARGE(D$2:D$284,TECount+WRCount)</f>
        <v>-105.61000000000001</v>
      </c>
      <c r="F308" t="str">
        <f ca="1">IF(H308&lt;=I308,"Starter",IF(G308&gt;=LARGE(G:G,FlexOn*LeagueInfo!$F$2),"Starter","Bench"))</f>
        <v>Bench</v>
      </c>
      <c r="G308">
        <f ca="1">IF(H308&gt;I308,D308,0)</f>
        <v>9.43</v>
      </c>
      <c r="H308">
        <f ca="1">INDEX(INDIRECT(""&amp;C308&amp;"!A2:A489"),MATCH(B308,INDIRECT(""&amp;C308&amp;"!B2:B489"),0))</f>
        <v>198</v>
      </c>
      <c r="I308">
        <f>IF(C308="WR",LeagueInfo!$D$5*LeagueInfo!$F$2,LeagueInfo!$D$6*LeagueInfo!$F$2)</f>
        <v>24</v>
      </c>
    </row>
    <row r="309" spans="1:9" x14ac:dyDescent="0.25">
      <c r="A309">
        <f ca="1">RANK(E309,E$2:E$350)</f>
        <v>308</v>
      </c>
      <c r="B309" t="s">
        <v>911</v>
      </c>
      <c r="C309" t="s">
        <v>43</v>
      </c>
      <c r="D309">
        <f ca="1">INDEX(INDIRECT($C309&amp;"!P:P"),MATCH($B309,INDIRECT($C309&amp;"!B:B"),0))</f>
        <v>8.4500000000000011</v>
      </c>
      <c r="E309" s="6">
        <f ca="1">D309-LARGE(D$2:D$284,TECount+WRCount)</f>
        <v>-106.59</v>
      </c>
      <c r="F309" t="str">
        <f ca="1">IF(H309&lt;=I309,"Starter",IF(G309&gt;=LARGE(G:G,FlexOn*LeagueInfo!$F$2),"Starter","Bench"))</f>
        <v>Bench</v>
      </c>
      <c r="G309">
        <f ca="1">IF(H309&gt;I309,D309,0)</f>
        <v>8.4500000000000011</v>
      </c>
      <c r="H309">
        <f ca="1">INDEX(INDIRECT(""&amp;C309&amp;"!A2:A489"),MATCH(B309,INDIRECT(""&amp;C309&amp;"!B2:B489"),0))</f>
        <v>110</v>
      </c>
      <c r="I309">
        <f>IF(C309="WR",LeagueInfo!$D$5*LeagueInfo!$F$2,LeagueInfo!$D$6*LeagueInfo!$F$2)</f>
        <v>12</v>
      </c>
    </row>
    <row r="310" spans="1:9" x14ac:dyDescent="0.25">
      <c r="A310">
        <f ca="1">RANK(E310,E$2:E$350)</f>
        <v>309</v>
      </c>
      <c r="B310" t="s">
        <v>2630</v>
      </c>
      <c r="C310" t="s">
        <v>35</v>
      </c>
      <c r="D310">
        <f ca="1">INDEX(INDIRECT($C310&amp;"!P:P"),MATCH($B310,INDIRECT($C310&amp;"!B:B"),0))</f>
        <v>7.96</v>
      </c>
      <c r="E310" s="6">
        <f ca="1">D310-LARGE(D$2:D$284,TECount+WRCount)</f>
        <v>-107.08000000000001</v>
      </c>
      <c r="F310" t="str">
        <f ca="1">IF(H310&lt;=I310,"Starter",IF(G310&gt;=LARGE(G:G,FlexOn*LeagueInfo!$F$2),"Starter","Bench"))</f>
        <v>Bench</v>
      </c>
      <c r="G310">
        <f ca="1">IF(H310&gt;I310,D310,0)</f>
        <v>7.96</v>
      </c>
      <c r="H310">
        <f ca="1">INDEX(INDIRECT(""&amp;C310&amp;"!A2:A489"),MATCH(B310,INDIRECT(""&amp;C310&amp;"!B2:B489"),0))</f>
        <v>199</v>
      </c>
      <c r="I310">
        <f>IF(C310="WR",LeagueInfo!$D$5*LeagueInfo!$F$2,LeagueInfo!$D$6*LeagueInfo!$F$2)</f>
        <v>24</v>
      </c>
    </row>
    <row r="311" spans="1:9" x14ac:dyDescent="0.25">
      <c r="A311">
        <f ca="1">RANK(E311,E$2:E$350)</f>
        <v>310</v>
      </c>
      <c r="B311" t="s">
        <v>704</v>
      </c>
      <c r="C311" t="s">
        <v>35</v>
      </c>
      <c r="D311">
        <f ca="1">INDEX(INDIRECT($C311&amp;"!P:P"),MATCH($B311,INDIRECT($C311&amp;"!B:B"),0))</f>
        <v>7.74</v>
      </c>
      <c r="E311" s="6">
        <f ca="1">D311-LARGE(D$2:D$284,TECount+WRCount)</f>
        <v>-107.30000000000001</v>
      </c>
      <c r="F311" t="str">
        <f ca="1">IF(H311&lt;=I311,"Starter",IF(G311&gt;=LARGE(G:G,FlexOn*LeagueInfo!$F$2),"Starter","Bench"))</f>
        <v>Bench</v>
      </c>
      <c r="G311">
        <f ca="1">IF(H311&gt;I311,D311,0)</f>
        <v>7.74</v>
      </c>
      <c r="H311">
        <f ca="1">INDEX(INDIRECT(""&amp;C311&amp;"!A2:A489"),MATCH(B311,INDIRECT(""&amp;C311&amp;"!B2:B489"),0))</f>
        <v>200</v>
      </c>
      <c r="I311">
        <f>IF(C311="WR",LeagueInfo!$D$5*LeagueInfo!$F$2,LeagueInfo!$D$6*LeagueInfo!$F$2)</f>
        <v>24</v>
      </c>
    </row>
    <row r="312" spans="1:9" x14ac:dyDescent="0.25">
      <c r="A312">
        <f ca="1">RANK(E312,E$2:E$350)</f>
        <v>311</v>
      </c>
      <c r="B312" t="s">
        <v>2620</v>
      </c>
      <c r="C312" t="s">
        <v>35</v>
      </c>
      <c r="D312">
        <f ca="1">INDEX(INDIRECT($C312&amp;"!P:P"),MATCH($B312,INDIRECT($C312&amp;"!B:B"),0))</f>
        <v>7.7</v>
      </c>
      <c r="E312" s="6">
        <f ca="1">D312-LARGE(D$2:D$284,TECount+WRCount)</f>
        <v>-107.34</v>
      </c>
      <c r="F312" t="str">
        <f ca="1">IF(H312&lt;=I312,"Starter",IF(G312&gt;=LARGE(G:G,FlexOn*LeagueInfo!$F$2),"Starter","Bench"))</f>
        <v>Bench</v>
      </c>
      <c r="G312">
        <f ca="1">IF(H312&gt;I312,D312,0)</f>
        <v>7.7</v>
      </c>
      <c r="H312">
        <f ca="1">INDEX(INDIRECT(""&amp;C312&amp;"!A2:A489"),MATCH(B312,INDIRECT(""&amp;C312&amp;"!B2:B489"),0))</f>
        <v>201</v>
      </c>
      <c r="I312">
        <f>IF(C312="WR",LeagueInfo!$D$5*LeagueInfo!$F$2,LeagueInfo!$D$6*LeagueInfo!$F$2)</f>
        <v>24</v>
      </c>
    </row>
    <row r="313" spans="1:9" x14ac:dyDescent="0.25">
      <c r="A313">
        <f ca="1">RANK(E313,E$2:E$350)</f>
        <v>312</v>
      </c>
      <c r="B313" t="s">
        <v>2494</v>
      </c>
      <c r="C313" t="s">
        <v>43</v>
      </c>
      <c r="D313">
        <f ca="1">INDEX(INDIRECT($C313&amp;"!P:P"),MATCH($B313,INDIRECT($C313&amp;"!B:B"),0))</f>
        <v>7.66</v>
      </c>
      <c r="E313" s="6">
        <f ca="1">D313-LARGE(D$2:D$284,TECount+WRCount)</f>
        <v>-107.38000000000001</v>
      </c>
      <c r="F313" t="str">
        <f ca="1">IF(H313&lt;=I313,"Starter",IF(G313&gt;=LARGE(G:G,FlexOn*LeagueInfo!$F$2),"Starter","Bench"))</f>
        <v>Bench</v>
      </c>
      <c r="G313">
        <f ca="1">IF(H313&gt;I313,D313,0)</f>
        <v>7.66</v>
      </c>
      <c r="H313">
        <f ca="1">INDEX(INDIRECT(""&amp;C313&amp;"!A2:A489"),MATCH(B313,INDIRECT(""&amp;C313&amp;"!B2:B489"),0))</f>
        <v>111</v>
      </c>
      <c r="I313">
        <f>IF(C313="WR",LeagueInfo!$D$5*LeagueInfo!$F$2,LeagueInfo!$D$6*LeagueInfo!$F$2)</f>
        <v>12</v>
      </c>
    </row>
    <row r="314" spans="1:9" x14ac:dyDescent="0.25">
      <c r="A314">
        <f ca="1">RANK(E314,E$2:E$350)</f>
        <v>312</v>
      </c>
      <c r="B314" t="s">
        <v>1000</v>
      </c>
      <c r="C314" t="s">
        <v>35</v>
      </c>
      <c r="D314">
        <f ca="1">INDEX(INDIRECT($C314&amp;"!P:P"),MATCH($B314,INDIRECT($C314&amp;"!B:B"),0))</f>
        <v>7.66</v>
      </c>
      <c r="E314" s="6">
        <f ca="1">D314-LARGE(D$2:D$284,TECount+WRCount)</f>
        <v>-107.38000000000001</v>
      </c>
      <c r="F314" t="str">
        <f ca="1">IF(H314&lt;=I314,"Starter",IF(G314&gt;=LARGE(G:G,FlexOn*LeagueInfo!$F$2),"Starter","Bench"))</f>
        <v>Bench</v>
      </c>
      <c r="G314">
        <f ca="1">IF(H314&gt;I314,D314,0)</f>
        <v>7.66</v>
      </c>
      <c r="H314">
        <f ca="1">INDEX(INDIRECT(""&amp;C314&amp;"!A2:A489"),MATCH(B314,INDIRECT(""&amp;C314&amp;"!B2:B489"),0))</f>
        <v>202</v>
      </c>
      <c r="I314">
        <f>IF(C314="WR",LeagueInfo!$D$5*LeagueInfo!$F$2,LeagueInfo!$D$6*LeagueInfo!$F$2)</f>
        <v>24</v>
      </c>
    </row>
    <row r="315" spans="1:9" x14ac:dyDescent="0.25">
      <c r="A315">
        <f ca="1">RANK(E315,E$2:E$350)</f>
        <v>314</v>
      </c>
      <c r="B315" t="s">
        <v>697</v>
      </c>
      <c r="C315" t="s">
        <v>35</v>
      </c>
      <c r="D315">
        <f ca="1">INDEX(INDIRECT($C315&amp;"!P:P"),MATCH($B315,INDIRECT($C315&amp;"!B:B"),0))</f>
        <v>7.55</v>
      </c>
      <c r="E315" s="6">
        <f ca="1">D315-LARGE(D$2:D$284,TECount+WRCount)</f>
        <v>-107.49000000000001</v>
      </c>
      <c r="F315" t="str">
        <f ca="1">IF(H315&lt;=I315,"Starter",IF(G315&gt;=LARGE(G:G,FlexOn*LeagueInfo!$F$2),"Starter","Bench"))</f>
        <v>Bench</v>
      </c>
      <c r="G315">
        <f ca="1">IF(H315&gt;I315,D315,0)</f>
        <v>7.55</v>
      </c>
      <c r="H315">
        <f ca="1">INDEX(INDIRECT(""&amp;C315&amp;"!A2:A489"),MATCH(B315,INDIRECT(""&amp;C315&amp;"!B2:B489"),0))</f>
        <v>203</v>
      </c>
      <c r="I315">
        <f>IF(C315="WR",LeagueInfo!$D$5*LeagueInfo!$F$2,LeagueInfo!$D$6*LeagueInfo!$F$2)</f>
        <v>24</v>
      </c>
    </row>
    <row r="316" spans="1:9" x14ac:dyDescent="0.25">
      <c r="A316">
        <f ca="1">RANK(E316,E$2:E$350)</f>
        <v>315</v>
      </c>
      <c r="B316" t="s">
        <v>868</v>
      </c>
      <c r="C316" t="s">
        <v>35</v>
      </c>
      <c r="D316">
        <f ca="1">INDEX(INDIRECT($C316&amp;"!P:P"),MATCH($B316,INDIRECT($C316&amp;"!B:B"),0))</f>
        <v>7.5100000000000007</v>
      </c>
      <c r="E316" s="6">
        <f ca="1">D316-LARGE(D$2:D$284,TECount+WRCount)</f>
        <v>-107.53</v>
      </c>
      <c r="F316" t="str">
        <f ca="1">IF(H316&lt;=I316,"Starter",IF(G316&gt;=LARGE(G:G,FlexOn*LeagueInfo!$F$2),"Starter","Bench"))</f>
        <v>Bench</v>
      </c>
      <c r="G316">
        <f ca="1">IF(H316&gt;I316,D316,0)</f>
        <v>7.5100000000000007</v>
      </c>
      <c r="H316">
        <f ca="1">INDEX(INDIRECT(""&amp;C316&amp;"!A2:A489"),MATCH(B316,INDIRECT(""&amp;C316&amp;"!B2:B489"),0))</f>
        <v>204</v>
      </c>
      <c r="I316">
        <f>IF(C316="WR",LeagueInfo!$D$5*LeagueInfo!$F$2,LeagueInfo!$D$6*LeagueInfo!$F$2)</f>
        <v>24</v>
      </c>
    </row>
    <row r="317" spans="1:9" x14ac:dyDescent="0.25">
      <c r="A317">
        <f ca="1">RANK(E317,E$2:E$350)</f>
        <v>316</v>
      </c>
      <c r="B317" t="s">
        <v>987</v>
      </c>
      <c r="C317" t="s">
        <v>43</v>
      </c>
      <c r="D317">
        <f ca="1">INDEX(INDIRECT($C317&amp;"!P:P"),MATCH($B317,INDIRECT($C317&amp;"!B:B"),0))</f>
        <v>7.38</v>
      </c>
      <c r="E317" s="6">
        <f ca="1">D317-LARGE(D$2:D$284,TECount+WRCount)</f>
        <v>-107.66000000000001</v>
      </c>
      <c r="F317" t="str">
        <f ca="1">IF(H317&lt;=I317,"Starter",IF(G317&gt;=LARGE(G:G,FlexOn*LeagueInfo!$F$2),"Starter","Bench"))</f>
        <v>Bench</v>
      </c>
      <c r="G317">
        <f ca="1">IF(H317&gt;I317,D317,0)</f>
        <v>7.38</v>
      </c>
      <c r="H317">
        <f ca="1">INDEX(INDIRECT(""&amp;C317&amp;"!A2:A489"),MATCH(B317,INDIRECT(""&amp;C317&amp;"!B2:B489"),0))</f>
        <v>112</v>
      </c>
      <c r="I317">
        <f>IF(C317="WR",LeagueInfo!$D$5*LeagueInfo!$F$2,LeagueInfo!$D$6*LeagueInfo!$F$2)</f>
        <v>12</v>
      </c>
    </row>
    <row r="318" spans="1:9" x14ac:dyDescent="0.25">
      <c r="A318">
        <f ca="1">RANK(E318,E$2:E$350)</f>
        <v>317</v>
      </c>
      <c r="B318" t="s">
        <v>2621</v>
      </c>
      <c r="C318" t="s">
        <v>35</v>
      </c>
      <c r="D318">
        <f ca="1">INDEX(INDIRECT($C318&amp;"!P:P"),MATCH($B318,INDIRECT($C318&amp;"!B:B"),0))</f>
        <v>7.0500000000000007</v>
      </c>
      <c r="E318" s="6">
        <f ca="1">D318-LARGE(D$2:D$284,TECount+WRCount)</f>
        <v>-107.99000000000001</v>
      </c>
      <c r="F318" t="str">
        <f ca="1">IF(H318&lt;=I318,"Starter",IF(G318&gt;=LARGE(G:G,FlexOn*LeagueInfo!$F$2),"Starter","Bench"))</f>
        <v>Bench</v>
      </c>
      <c r="G318">
        <f ca="1">IF(H318&gt;I318,D318,0)</f>
        <v>7.0500000000000007</v>
      </c>
      <c r="H318">
        <f ca="1">INDEX(INDIRECT(""&amp;C318&amp;"!A2:A489"),MATCH(B318,INDIRECT(""&amp;C318&amp;"!B2:B489"),0))</f>
        <v>205</v>
      </c>
      <c r="I318">
        <f>IF(C318="WR",LeagueInfo!$D$5*LeagueInfo!$F$2,LeagueInfo!$D$6*LeagueInfo!$F$2)</f>
        <v>24</v>
      </c>
    </row>
    <row r="319" spans="1:9" x14ac:dyDescent="0.25">
      <c r="A319">
        <f ca="1">RANK(E319,E$2:E$350)</f>
        <v>318</v>
      </c>
      <c r="B319" t="s">
        <v>729</v>
      </c>
      <c r="C319" t="s">
        <v>35</v>
      </c>
      <c r="D319">
        <f ca="1">INDEX(INDIRECT($C319&amp;"!P:P"),MATCH($B319,INDIRECT($C319&amp;"!B:B"),0))</f>
        <v>6.93</v>
      </c>
      <c r="E319" s="6">
        <f ca="1">D319-LARGE(D$2:D$284,TECount+WRCount)</f>
        <v>-108.11000000000001</v>
      </c>
      <c r="F319" t="str">
        <f ca="1">IF(H319&lt;=I319,"Starter",IF(G319&gt;=LARGE(G:G,FlexOn*LeagueInfo!$F$2),"Starter","Bench"))</f>
        <v>Bench</v>
      </c>
      <c r="G319">
        <f ca="1">IF(H319&gt;I319,D319,0)</f>
        <v>6.93</v>
      </c>
      <c r="H319">
        <f ca="1">INDEX(INDIRECT(""&amp;C319&amp;"!A2:A489"),MATCH(B319,INDIRECT(""&amp;C319&amp;"!B2:B489"),0))</f>
        <v>206</v>
      </c>
      <c r="I319">
        <f>IF(C319="WR",LeagueInfo!$D$5*LeagueInfo!$F$2,LeagueInfo!$D$6*LeagueInfo!$F$2)</f>
        <v>24</v>
      </c>
    </row>
    <row r="320" spans="1:9" x14ac:dyDescent="0.25">
      <c r="A320">
        <f ca="1">RANK(E320,E$2:E$350)</f>
        <v>319</v>
      </c>
      <c r="B320" t="s">
        <v>727</v>
      </c>
      <c r="C320" t="s">
        <v>35</v>
      </c>
      <c r="D320">
        <f ca="1">INDEX(INDIRECT($C320&amp;"!P:P"),MATCH($B320,INDIRECT($C320&amp;"!B:B"),0))</f>
        <v>6.83</v>
      </c>
      <c r="E320" s="6">
        <f ca="1">D320-LARGE(D$2:D$284,TECount+WRCount)</f>
        <v>-108.21000000000001</v>
      </c>
      <c r="F320" t="str">
        <f ca="1">IF(H320&lt;=I320,"Starter",IF(G320&gt;=LARGE(G:G,FlexOn*LeagueInfo!$F$2),"Starter","Bench"))</f>
        <v>Bench</v>
      </c>
      <c r="G320">
        <f ca="1">IF(H320&gt;I320,D320,0)</f>
        <v>6.83</v>
      </c>
      <c r="H320">
        <f ca="1">INDEX(INDIRECT(""&amp;C320&amp;"!A2:A489"),MATCH(B320,INDIRECT(""&amp;C320&amp;"!B2:B489"),0))</f>
        <v>207</v>
      </c>
      <c r="I320">
        <f>IF(C320="WR",LeagueInfo!$D$5*LeagueInfo!$F$2,LeagueInfo!$D$6*LeagueInfo!$F$2)</f>
        <v>24</v>
      </c>
    </row>
    <row r="321" spans="1:9" x14ac:dyDescent="0.25">
      <c r="A321">
        <f ca="1">RANK(E321,E$2:E$350)</f>
        <v>320</v>
      </c>
      <c r="B321" t="s">
        <v>863</v>
      </c>
      <c r="C321" t="s">
        <v>35</v>
      </c>
      <c r="D321">
        <f ca="1">INDEX(INDIRECT($C321&amp;"!P:P"),MATCH($B321,INDIRECT($C321&amp;"!B:B"),0))</f>
        <v>6.5600000000000005</v>
      </c>
      <c r="E321" s="6">
        <f ca="1">D321-LARGE(D$2:D$284,TECount+WRCount)</f>
        <v>-108.48</v>
      </c>
      <c r="F321" t="str">
        <f ca="1">IF(H321&lt;=I321,"Starter",IF(G321&gt;=LARGE(G:G,FlexOn*LeagueInfo!$F$2),"Starter","Bench"))</f>
        <v>Bench</v>
      </c>
      <c r="G321">
        <f ca="1">IF(H321&gt;I321,D321,0)</f>
        <v>6.5600000000000005</v>
      </c>
      <c r="H321">
        <f ca="1">INDEX(INDIRECT(""&amp;C321&amp;"!A2:A489"),MATCH(B321,INDIRECT(""&amp;C321&amp;"!B2:B489"),0))</f>
        <v>208</v>
      </c>
      <c r="I321">
        <f>IF(C321="WR",LeagueInfo!$D$5*LeagueInfo!$F$2,LeagueInfo!$D$6*LeagueInfo!$F$2)</f>
        <v>24</v>
      </c>
    </row>
    <row r="322" spans="1:9" x14ac:dyDescent="0.25">
      <c r="A322">
        <f ca="1">RANK(E322,E$2:E$350)</f>
        <v>321</v>
      </c>
      <c r="B322" t="s">
        <v>573</v>
      </c>
      <c r="C322" t="s">
        <v>35</v>
      </c>
      <c r="D322">
        <f ca="1">INDEX(INDIRECT($C322&amp;"!P:P"),MATCH($B322,INDIRECT($C322&amp;"!B:B"),0))</f>
        <v>6.53</v>
      </c>
      <c r="E322" s="6">
        <f ca="1">D322-LARGE(D$2:D$284,TECount+WRCount)</f>
        <v>-108.51</v>
      </c>
      <c r="F322" t="str">
        <f ca="1">IF(H322&lt;=I322,"Starter",IF(G322&gt;=LARGE(G:G,FlexOn*LeagueInfo!$F$2),"Starter","Bench"))</f>
        <v>Bench</v>
      </c>
      <c r="G322">
        <f ca="1">IF(H322&gt;I322,D322,0)</f>
        <v>6.53</v>
      </c>
      <c r="H322">
        <f ca="1">INDEX(INDIRECT(""&amp;C322&amp;"!A2:A489"),MATCH(B322,INDIRECT(""&amp;C322&amp;"!B2:B489"),0))</f>
        <v>209</v>
      </c>
      <c r="I322">
        <f>IF(C322="WR",LeagueInfo!$D$5*LeagueInfo!$F$2,LeagueInfo!$D$6*LeagueInfo!$F$2)</f>
        <v>24</v>
      </c>
    </row>
    <row r="323" spans="1:9" x14ac:dyDescent="0.25">
      <c r="A323">
        <f ca="1">RANK(E323,E$2:E$350)</f>
        <v>322</v>
      </c>
      <c r="B323" t="s">
        <v>852</v>
      </c>
      <c r="C323" t="s">
        <v>35</v>
      </c>
      <c r="D323">
        <f ca="1">INDEX(INDIRECT($C323&amp;"!P:P"),MATCH($B323,INDIRECT($C323&amp;"!B:B"),0))</f>
        <v>6.28</v>
      </c>
      <c r="E323" s="6">
        <f ca="1">D323-LARGE(D$2:D$284,TECount+WRCount)</f>
        <v>-108.76</v>
      </c>
      <c r="F323" t="str">
        <f ca="1">IF(H323&lt;=I323,"Starter",IF(G323&gt;=LARGE(G:G,FlexOn*LeagueInfo!$F$2),"Starter","Bench"))</f>
        <v>Bench</v>
      </c>
      <c r="G323">
        <f ca="1">IF(H323&gt;I323,D323,0)</f>
        <v>6.28</v>
      </c>
      <c r="H323">
        <f ca="1">INDEX(INDIRECT(""&amp;C323&amp;"!A2:A489"),MATCH(B323,INDIRECT(""&amp;C323&amp;"!B2:B489"),0))</f>
        <v>210</v>
      </c>
      <c r="I323">
        <f>IF(C323="WR",LeagueInfo!$D$5*LeagueInfo!$F$2,LeagueInfo!$D$6*LeagueInfo!$F$2)</f>
        <v>24</v>
      </c>
    </row>
    <row r="324" spans="1:9" x14ac:dyDescent="0.25">
      <c r="A324">
        <f ca="1">RANK(E324,E$2:E$350)</f>
        <v>323</v>
      </c>
      <c r="B324" t="s">
        <v>759</v>
      </c>
      <c r="C324" t="s">
        <v>43</v>
      </c>
      <c r="D324">
        <f ca="1">INDEX(INDIRECT($C324&amp;"!P:P"),MATCH($B324,INDIRECT($C324&amp;"!B:B"),0))</f>
        <v>0</v>
      </c>
      <c r="E324" s="6">
        <f ca="1">D324-LARGE(D$2:D$284,TECount+WRCount)</f>
        <v>-115.04</v>
      </c>
      <c r="F324" t="str">
        <f ca="1">IF(H324&lt;=I324,"Starter",IF(G324&gt;=LARGE(G:G,FlexOn*LeagueInfo!$F$2),"Starter","Bench"))</f>
        <v>Bench</v>
      </c>
      <c r="G324">
        <f ca="1">IF(H324&gt;I324,D324,0)</f>
        <v>0</v>
      </c>
      <c r="H324">
        <f ca="1">INDEX(INDIRECT(""&amp;C324&amp;"!A2:A489"),MATCH(B324,INDIRECT(""&amp;C324&amp;"!B2:B489"),0))</f>
        <v>113</v>
      </c>
      <c r="I324">
        <f>IF(C324="WR",LeagueInfo!$D$5*LeagueInfo!$F$2,LeagueInfo!$D$6*LeagueInfo!$F$2)</f>
        <v>12</v>
      </c>
    </row>
    <row r="325" spans="1:9" x14ac:dyDescent="0.25">
      <c r="A325">
        <f ca="1">RANK(E325,E$2:E$350)</f>
        <v>323</v>
      </c>
      <c r="B325" t="s">
        <v>2745</v>
      </c>
      <c r="C325" t="s">
        <v>35</v>
      </c>
      <c r="D325">
        <f ca="1">INDEX(INDIRECT($C325&amp;"!P:P"),MATCH($B325,INDIRECT($C325&amp;"!B:B"),0))</f>
        <v>0</v>
      </c>
      <c r="E325" s="6">
        <f ca="1">D325-LARGE(D$2:D$284,TECount+WRCount)</f>
        <v>-115.04</v>
      </c>
      <c r="F325" t="str">
        <f ca="1">IF(H325&lt;=I325,"Starter",IF(G325&gt;=LARGE(G:G,FlexOn*LeagueInfo!$F$2),"Starter","Bench"))</f>
        <v>Bench</v>
      </c>
      <c r="G325">
        <f ca="1">IF(H325&gt;I325,D325,0)</f>
        <v>0</v>
      </c>
      <c r="H325">
        <f ca="1">INDEX(INDIRECT(""&amp;C325&amp;"!A2:A489"),MATCH(B325,INDIRECT(""&amp;C325&amp;"!B2:B489"),0))</f>
        <v>211</v>
      </c>
      <c r="I325">
        <f>IF(C325="WR",LeagueInfo!$D$5*LeagueInfo!$F$2,LeagueInfo!$D$6*LeagueInfo!$F$2)</f>
        <v>24</v>
      </c>
    </row>
    <row r="326" spans="1:9" x14ac:dyDescent="0.25">
      <c r="E326" s="6"/>
    </row>
    <row r="327" spans="1:9" x14ac:dyDescent="0.25">
      <c r="E327" s="6"/>
    </row>
    <row r="328" spans="1:9" x14ac:dyDescent="0.25">
      <c r="E328" s="6"/>
    </row>
    <row r="329" spans="1:9" x14ac:dyDescent="0.25">
      <c r="E329" s="6"/>
    </row>
    <row r="330" spans="1:9" x14ac:dyDescent="0.25">
      <c r="E330" s="6"/>
    </row>
    <row r="331" spans="1:9" x14ac:dyDescent="0.25">
      <c r="E331" s="6"/>
    </row>
    <row r="332" spans="1:9" x14ac:dyDescent="0.25">
      <c r="E332" s="6"/>
    </row>
    <row r="333" spans="1:9" x14ac:dyDescent="0.25">
      <c r="E333" s="6"/>
    </row>
    <row r="334" spans="1:9" x14ac:dyDescent="0.25">
      <c r="E334" s="6"/>
    </row>
    <row r="335" spans="1:9" x14ac:dyDescent="0.25">
      <c r="E335" s="6"/>
    </row>
    <row r="336" spans="1:9" x14ac:dyDescent="0.25">
      <c r="E336" s="6"/>
    </row>
    <row r="337" spans="5:5" x14ac:dyDescent="0.25">
      <c r="E337" s="6"/>
    </row>
    <row r="338" spans="5:5" x14ac:dyDescent="0.25">
      <c r="E338" s="6"/>
    </row>
    <row r="339" spans="5:5" x14ac:dyDescent="0.25">
      <c r="E339" s="6"/>
    </row>
    <row r="340" spans="5:5" x14ac:dyDescent="0.25">
      <c r="E340" s="6"/>
    </row>
    <row r="341" spans="5:5" x14ac:dyDescent="0.25">
      <c r="E341" s="6"/>
    </row>
    <row r="342" spans="5:5" x14ac:dyDescent="0.25">
      <c r="E342" s="6"/>
    </row>
    <row r="343" spans="5:5" x14ac:dyDescent="0.25">
      <c r="E343" s="6"/>
    </row>
    <row r="344" spans="5:5" x14ac:dyDescent="0.25">
      <c r="E344" s="6"/>
    </row>
    <row r="345" spans="5:5" x14ac:dyDescent="0.25">
      <c r="E345" s="6"/>
    </row>
    <row r="346" spans="5:5" x14ac:dyDescent="0.25">
      <c r="E346" s="6"/>
    </row>
    <row r="347" spans="5:5" x14ac:dyDescent="0.25">
      <c r="E347" s="6"/>
    </row>
    <row r="348" spans="5:5" x14ac:dyDescent="0.25">
      <c r="E348" s="6"/>
    </row>
    <row r="349" spans="5:5" x14ac:dyDescent="0.25">
      <c r="E349" s="6"/>
    </row>
    <row r="350" spans="5:5" x14ac:dyDescent="0.25">
      <c r="E350" s="6"/>
    </row>
  </sheetData>
  <autoFilter ref="A1:I310" xr:uid="{0E1F979A-09A4-471E-8A38-D8CC4B9BCAED}"/>
  <sortState xmlns:xlrd2="http://schemas.microsoft.com/office/spreadsheetml/2017/richdata2" ref="A2:J350">
    <sortCondition descending="1" ref="E2"/>
  </sortState>
  <conditionalFormatting sqref="C319:C350 B238:B284 C238:C310 B186:C237">
    <cfRule type="expression" dxfId="77" priority="1">
      <formula>$J186="Yes"</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B115"/>
  <sheetViews>
    <sheetView workbookViewId="0">
      <selection activeCell="K16" sqref="K16"/>
    </sheetView>
  </sheetViews>
  <sheetFormatPr defaultColWidth="8.85546875" defaultRowHeight="15" x14ac:dyDescent="0.25"/>
  <cols>
    <col min="1" max="1" width="4.85546875" bestFit="1" customWidth="1"/>
    <col min="2" max="2" width="20.7109375" bestFit="1" customWidth="1"/>
    <col min="3" max="3" width="4.140625" bestFit="1" customWidth="1"/>
    <col min="4" max="4" width="4.5703125" bestFit="1" customWidth="1"/>
    <col min="5" max="5" width="3.85546875" bestFit="1" customWidth="1"/>
    <col min="6" max="6" width="5.140625" customWidth="1"/>
    <col min="7" max="7" width="4.140625" customWidth="1"/>
    <col min="8" max="8" width="4.85546875" customWidth="1"/>
    <col min="9" max="9" width="4.140625" bestFit="1" customWidth="1"/>
    <col min="10" max="11" width="4" bestFit="1" customWidth="1"/>
    <col min="12" max="12" width="5.5703125" bestFit="1" customWidth="1"/>
    <col min="13" max="13" width="6.5703125" bestFit="1" customWidth="1"/>
    <col min="14" max="14" width="4" bestFit="1" customWidth="1"/>
    <col min="15" max="15" width="3.5703125" bestFit="1" customWidth="1"/>
    <col min="16" max="16" width="7" bestFit="1" customWidth="1"/>
    <col min="17" max="17" width="10.85546875" bestFit="1" customWidth="1"/>
    <col min="18" max="18" width="7.85546875" bestFit="1" customWidth="1"/>
    <col min="19" max="19" width="8.85546875" customWidth="1"/>
    <col min="20" max="21" width="12.7109375" bestFit="1" customWidth="1"/>
    <col min="22" max="22" width="6.7109375" style="6" bestFit="1" customWidth="1"/>
    <col min="23" max="23" width="7.140625" bestFit="1" customWidth="1"/>
    <col min="24" max="24" width="8.85546875" hidden="1" customWidth="1"/>
    <col min="25" max="25" width="8.140625" bestFit="1" customWidth="1"/>
    <col min="26" max="26" width="7.7109375" bestFit="1" customWidth="1"/>
    <col min="27" max="27" width="5" bestFit="1" customWidth="1"/>
    <col min="28" max="28" width="12.7109375" bestFit="1" customWidth="1"/>
  </cols>
  <sheetData>
    <row r="1" spans="1:28" x14ac:dyDescent="0.25">
      <c r="G1" s="265" t="s">
        <v>251</v>
      </c>
      <c r="H1" s="265"/>
      <c r="I1" s="265" t="s">
        <v>252</v>
      </c>
      <c r="J1" s="265"/>
      <c r="K1" s="265"/>
      <c r="L1" s="265" t="s">
        <v>324</v>
      </c>
      <c r="M1" s="265"/>
      <c r="N1" s="265"/>
    </row>
    <row r="2" spans="1:28" ht="23.25" x14ac:dyDescent="0.25">
      <c r="A2" s="100" t="s">
        <v>253</v>
      </c>
      <c r="B2" s="100" t="s">
        <v>85</v>
      </c>
      <c r="C2" s="100" t="s">
        <v>254</v>
      </c>
      <c r="D2" s="100" t="s">
        <v>795</v>
      </c>
      <c r="E2" s="100" t="s">
        <v>255</v>
      </c>
      <c r="F2" s="100" t="s">
        <v>256</v>
      </c>
      <c r="G2" s="100" t="s">
        <v>257</v>
      </c>
      <c r="H2" s="100" t="s">
        <v>258</v>
      </c>
      <c r="I2" s="100" t="s">
        <v>257</v>
      </c>
      <c r="J2" s="100" t="s">
        <v>259</v>
      </c>
      <c r="K2" s="100" t="s">
        <v>260</v>
      </c>
      <c r="L2" s="100" t="s">
        <v>325</v>
      </c>
      <c r="M2" s="100" t="s">
        <v>259</v>
      </c>
      <c r="N2" s="100" t="s">
        <v>260</v>
      </c>
      <c r="O2" s="100" t="s">
        <v>262</v>
      </c>
      <c r="P2" s="100" t="s">
        <v>263</v>
      </c>
      <c r="Q2" s="100" t="s">
        <v>264</v>
      </c>
      <c r="R2" s="100" t="s">
        <v>265</v>
      </c>
      <c r="S2" s="100" t="s">
        <v>266</v>
      </c>
      <c r="T2" s="100" t="s">
        <v>267</v>
      </c>
      <c r="U2" s="100" t="s">
        <v>268</v>
      </c>
      <c r="V2" s="100" t="s">
        <v>269</v>
      </c>
      <c r="W2" s="100" t="s">
        <v>270</v>
      </c>
      <c r="Y2" s="100" t="s">
        <v>271</v>
      </c>
      <c r="Z2" s="100" t="s">
        <v>272</v>
      </c>
      <c r="AA2" s="100" t="s">
        <v>273</v>
      </c>
      <c r="AB2" s="100" t="s">
        <v>274</v>
      </c>
    </row>
    <row r="3" spans="1:28" x14ac:dyDescent="0.25">
      <c r="A3">
        <f>RANK(P3,P$3:P$115)</f>
        <v>1</v>
      </c>
      <c r="B3" t="str">
        <f>TE_Raw!A2</f>
        <v>Travis Kelce</v>
      </c>
      <c r="C3" t="s">
        <v>43</v>
      </c>
      <c r="D3">
        <f>_xlfn.IFNA(INDEX(BYEs!$E$2:$E$411,MATCH(B3,BYEs!$D$2:$D$411,0)),"N/A")</f>
        <v>31</v>
      </c>
      <c r="E3">
        <f>INDEX(BYEs!$B$2:$B$34,MATCH(F3,BYEs!$A$2:$A$34,0))</f>
        <v>8</v>
      </c>
      <c r="F3" t="str">
        <f>TE_Raw!B2</f>
        <v>KC</v>
      </c>
      <c r="G3" s="202">
        <v>0</v>
      </c>
      <c r="H3" s="203">
        <v>0</v>
      </c>
      <c r="I3" s="204">
        <v>0</v>
      </c>
      <c r="J3" s="204">
        <v>0</v>
      </c>
      <c r="K3" s="204">
        <v>0</v>
      </c>
      <c r="L3" s="205">
        <f>TE_Raw!C2</f>
        <v>99.7</v>
      </c>
      <c r="M3" s="205">
        <f>TE_Raw!D2</f>
        <v>1184.3</v>
      </c>
      <c r="N3" s="207">
        <f>TE_Raw!E2</f>
        <v>9.3000000000000007</v>
      </c>
      <c r="O3" s="204">
        <f>TE_Raw!F2</f>
        <v>0.5</v>
      </c>
      <c r="P3">
        <f>(J3*TERushYd)+(K3*TERushTD)+(L3*TERec)+(M3*TERecYd)+(N3*TERecTD)+(O3*TEFuml)+(I3*TERushAtt)</f>
        <v>223.08</v>
      </c>
      <c r="Q3" t="str">
        <f ca="1">IF(A3&lt;=TEStarters,"Starter",IF(A3&gt;TEStarters+TEBench,"Undrafted","Bench"))</f>
        <v>Starter</v>
      </c>
      <c r="R3">
        <f ca="1">IFERROR(MAX(P3-LARGE(TESheetCount,TEStarters),0),0)</f>
        <v>104.10000000000001</v>
      </c>
      <c r="S3">
        <f ca="1">IFERROR(IF(AllowNegative="Yes",P3-LARGE(TESheetCount,TECount),MAX(P3-LARGE(TESheetCount,TECount),0)),0)</f>
        <v>120.42</v>
      </c>
      <c r="T3">
        <f ca="1">IF(TEStarters&gt;0,(S3-R3)*BenchPF+R3*StarterPF,0)</f>
        <v>41.899900117181751</v>
      </c>
      <c r="U3">
        <f ca="1">T3*Auction!$A$2</f>
        <v>41.899900117181751</v>
      </c>
      <c r="V3" s="6" t="str">
        <f>IF(OR(INDEX(Auction!$H$13:$H$656,MATCH(B3,Auction!$A$13:$A$656,0))&gt;0,IFERROR(INDEX(CheatSheet!$D$37:$D$64,MATCH(B3,CheatSheet!$A$37:$A$64,0)),"")&lt;&gt;""),"Yes","No")</f>
        <v>No</v>
      </c>
      <c r="W3" s="179"/>
      <c r="Y3" s="78">
        <f t="shared" ref="Y3:Y34" ca="1" si="0">IFERROR(SUMIFS($Z$3:$Z$113,$Z$3:$Z$113,"&gt;0",$V$3:$V$113,"No")/SUMIF($Z$3:$Z$113,"&gt;0"),0)</f>
        <v>1</v>
      </c>
      <c r="Z3">
        <f ca="1">AVERAGE(R3:S3)</f>
        <v>112.26</v>
      </c>
      <c r="AA3" s="116" t="str">
        <f t="shared" ref="AA3:AA34" ca="1" si="1">CONCATENATE("TE",ROUND((LARGE($Z$3:$Z$113,1)-$Z3)/(STDEVP($Z$3:$Z$113)/2)+1,0))</f>
        <v>TE1</v>
      </c>
      <c r="AB3">
        <f ca="1">Z3*LeagueInfo!$H$5</f>
        <v>41.337313588276714</v>
      </c>
    </row>
    <row r="4" spans="1:28" x14ac:dyDescent="0.25">
      <c r="A4">
        <f>RANK(P4,P$3:P$115)</f>
        <v>2</v>
      </c>
      <c r="B4" t="str">
        <f>TE_Raw!A3</f>
        <v>Mark Andrews</v>
      </c>
      <c r="C4" t="s">
        <v>43</v>
      </c>
      <c r="D4">
        <f>_xlfn.IFNA(INDEX(BYEs!$E$2:$E$411,MATCH(B4,BYEs!$D$2:$D$411,0)),"N/A")</f>
        <v>25</v>
      </c>
      <c r="E4">
        <f>INDEX(BYEs!$B$2:$B$34,MATCH(F4,BYEs!$A$2:$A$34,0))</f>
        <v>10</v>
      </c>
      <c r="F4" t="str">
        <f>TE_Raw!B3</f>
        <v>BAL</v>
      </c>
      <c r="G4" s="202">
        <v>0</v>
      </c>
      <c r="H4" s="203">
        <v>0</v>
      </c>
      <c r="I4" s="204">
        <v>0</v>
      </c>
      <c r="J4" s="204">
        <v>0</v>
      </c>
      <c r="K4" s="204">
        <v>0</v>
      </c>
      <c r="L4" s="206">
        <f>TE_Raw!C3</f>
        <v>96</v>
      </c>
      <c r="M4" s="204">
        <f>TE_Raw!D3</f>
        <v>1195.5</v>
      </c>
      <c r="N4" s="207">
        <f>TE_Raw!E3</f>
        <v>8.9</v>
      </c>
      <c r="O4" s="204">
        <f>TE_Raw!F3</f>
        <v>0.5</v>
      </c>
      <c r="P4" s="11">
        <f>(J4*TERushYd)+(K4*TERushTD)+(L4*TERec)+(M4*TERecYd)+(N4*TERecTD)+(O4*TEFuml)+(I4*TERushAtt)</f>
        <v>219.95000000000002</v>
      </c>
      <c r="Q4" t="str">
        <f ca="1">IF(A4&lt;=TEStarters,"Starter",IF(A4&gt;TEStarters+TEBench,"Undrafted","Bench"))</f>
        <v>Starter</v>
      </c>
      <c r="R4">
        <f ca="1">IFERROR(MAX(P4-LARGE(TESheetCount,TEStarters),0),0)</f>
        <v>100.97000000000001</v>
      </c>
      <c r="S4">
        <f ca="1">IFERROR(IF(AllowNegative="Yes",P4-LARGE(TESheetCount,TECount),MAX(P4-LARGE(TESheetCount,TECount),0)),0)</f>
        <v>117.29</v>
      </c>
      <c r="T4">
        <f ca="1">IF(TEStarters&gt;0,(S4-R4)*BenchPF+R4*StarterPF,0)</f>
        <v>40.729057370880987</v>
      </c>
      <c r="U4">
        <f ca="1">T4*Auction!$A$2</f>
        <v>40.729057370880987</v>
      </c>
      <c r="V4" s="6" t="str">
        <f>IF(OR(INDEX(Auction!$H$13:$H$656,MATCH(B4,Auction!$A$13:$A$656,0))&gt;0,IFERROR(INDEX(CheatSheet!$D$37:$D$64,MATCH(B4,CheatSheet!$A$37:$A$64,0)),"")&lt;&gt;""),"Yes","No")</f>
        <v>No</v>
      </c>
      <c r="W4" s="179"/>
      <c r="Y4" s="78">
        <f t="shared" ca="1" si="0"/>
        <v>1</v>
      </c>
      <c r="Z4">
        <f t="shared" ref="Z4:Z67" ca="1" si="2">AVERAGE(R4:S4)</f>
        <v>109.13000000000001</v>
      </c>
      <c r="AA4" s="116" t="str">
        <f t="shared" ca="1" si="1"/>
        <v>TE1</v>
      </c>
      <c r="AB4">
        <f ca="1">Z4*LeagueInfo!$H$5</f>
        <v>40.184758880176709</v>
      </c>
    </row>
    <row r="5" spans="1:28" x14ac:dyDescent="0.25">
      <c r="A5">
        <f>RANK(P5,P$3:P$115)</f>
        <v>3</v>
      </c>
      <c r="B5" t="str">
        <f>TE_Raw!A4</f>
        <v>Kyle Pitts</v>
      </c>
      <c r="C5" t="s">
        <v>43</v>
      </c>
      <c r="D5" t="str">
        <f>_xlfn.IFNA(INDEX(BYEs!$E$2:$E$411,MATCH(B5,BYEs!$D$2:$D$411,0)),"N/A")</f>
        <v>N/A</v>
      </c>
      <c r="E5">
        <f>INDEX(BYEs!$B$2:$B$34,MATCH(F5,BYEs!$A$2:$A$34,0))</f>
        <v>14</v>
      </c>
      <c r="F5" t="str">
        <f>TE_Raw!B4</f>
        <v>ATL</v>
      </c>
      <c r="G5" s="202">
        <v>0</v>
      </c>
      <c r="H5" s="203">
        <v>0</v>
      </c>
      <c r="I5" s="204">
        <v>0</v>
      </c>
      <c r="J5" s="204">
        <v>0</v>
      </c>
      <c r="K5" s="204">
        <v>0</v>
      </c>
      <c r="L5" s="206">
        <f>TE_Raw!C4</f>
        <v>73.2</v>
      </c>
      <c r="M5" s="204">
        <f>TE_Raw!D4</f>
        <v>996.8</v>
      </c>
      <c r="N5" s="207">
        <f>TE_Raw!E4</f>
        <v>4.7</v>
      </c>
      <c r="O5" s="204">
        <f>TE_Raw!F4</f>
        <v>0.5</v>
      </c>
      <c r="P5" s="11">
        <f>(J5*TERushYd)+(K5*TERushTD)+(L5*TERec)+(M5*TERecYd)+(N5*TERecTD)+(O5*TEFuml)+(I5*TERushAtt)</f>
        <v>163.48000000000002</v>
      </c>
      <c r="Q5" t="str">
        <f ca="1">IF(A5&lt;=TEStarters,"Starter",IF(A5&gt;TEStarters+TEBench,"Undrafted","Bench"))</f>
        <v>Starter</v>
      </c>
      <c r="R5">
        <f ca="1">IFERROR(MAX(P5-LARGE(TESheetCount,TEStarters),0),0)</f>
        <v>44.500000000000014</v>
      </c>
      <c r="S5">
        <f ca="1">IFERROR(IF(AllowNegative="Yes",P5-LARGE(TESheetCount,TECount),MAX(P5-LARGE(TESheetCount,TECount),0)),0)</f>
        <v>60.820000000000007</v>
      </c>
      <c r="T5">
        <f ca="1">IF(TEStarters&gt;0,(S5-R5)*BenchPF+R5*StarterPF,0)</f>
        <v>19.605258686023436</v>
      </c>
      <c r="U5">
        <f ca="1">T5*Auction!$A$2</f>
        <v>19.605258686023436</v>
      </c>
      <c r="V5" s="6" t="str">
        <f>IF(OR(INDEX(Auction!$H$13:$H$656,MATCH(B5,Auction!$A$13:$A$656,0))&gt;0,IFERROR(INDEX(CheatSheet!$D$37:$D$64,MATCH(B5,CheatSheet!$A$37:$A$64,0)),"")&lt;&gt;""),"Yes","No")</f>
        <v>No</v>
      </c>
      <c r="W5" s="179"/>
      <c r="Y5" s="78">
        <f t="shared" ca="1" si="0"/>
        <v>1</v>
      </c>
      <c r="Z5">
        <f t="shared" ca="1" si="2"/>
        <v>52.660000000000011</v>
      </c>
      <c r="AA5" s="116" t="str">
        <f t="shared" ca="1" si="1"/>
        <v>TE5</v>
      </c>
      <c r="AB5">
        <f ca="1">Z5*LeagueInfo!$H$5</f>
        <v>19.390904450014716</v>
      </c>
    </row>
    <row r="6" spans="1:28" x14ac:dyDescent="0.25">
      <c r="A6">
        <f>RANK(P6,P$3:P$115)</f>
        <v>4</v>
      </c>
      <c r="B6" t="str">
        <f>TE_Raw!A5</f>
        <v>Darren Waller</v>
      </c>
      <c r="C6" t="s">
        <v>43</v>
      </c>
      <c r="D6">
        <f>_xlfn.IFNA(INDEX(BYEs!$E$2:$E$411,MATCH(B6,BYEs!$D$2:$D$411,0)),"N/A")</f>
        <v>28</v>
      </c>
      <c r="E6">
        <f>INDEX(BYEs!$B$2:$B$34,MATCH(F6,BYEs!$A$2:$A$34,0))</f>
        <v>6</v>
      </c>
      <c r="F6" t="str">
        <f>TE_Raw!B5</f>
        <v>LV</v>
      </c>
      <c r="G6" s="202">
        <v>0</v>
      </c>
      <c r="H6" s="203">
        <v>0</v>
      </c>
      <c r="I6" s="204">
        <v>0</v>
      </c>
      <c r="J6" s="204">
        <v>0</v>
      </c>
      <c r="K6" s="204">
        <v>0</v>
      </c>
      <c r="L6" s="206">
        <f>TE_Raw!C5</f>
        <v>77.400000000000006</v>
      </c>
      <c r="M6" s="204">
        <f>TE_Raw!D5</f>
        <v>931.8</v>
      </c>
      <c r="N6" s="207">
        <f>TE_Raw!E5</f>
        <v>5.0999999999999996</v>
      </c>
      <c r="O6" s="204">
        <f>TE_Raw!F5</f>
        <v>0.5</v>
      </c>
      <c r="P6" s="11">
        <f>(J6*TERushYd)+(K6*TERushTD)+(L6*TERec)+(M6*TERecYd)+(N6*TERecTD)+(O6*TEFuml)+(I6*TERushAtt)</f>
        <v>161.47999999999999</v>
      </c>
      <c r="Q6" t="str">
        <f ca="1">IF(A6&lt;=TEStarters,"Starter",IF(A6&gt;TEStarters+TEBench,"Undrafted","Bench"))</f>
        <v>Starter</v>
      </c>
      <c r="R6">
        <f ca="1">IFERROR(MAX(P6-LARGE(TESheetCount,TEStarters),0),0)</f>
        <v>42.499999999999986</v>
      </c>
      <c r="S6">
        <f ca="1">IFERROR(IF(AllowNegative="Yes",P6-LARGE(TESheetCount,TECount),MAX(P6-LARGE(TESheetCount,TECount),0)),0)</f>
        <v>58.819999999999979</v>
      </c>
      <c r="T6">
        <f ca="1">IF(TEStarters&gt;0,(S6-R6)*BenchPF+R6*StarterPF,0)</f>
        <v>18.857116356118784</v>
      </c>
      <c r="U6">
        <f ca="1">T6*Auction!$A$2</f>
        <v>18.857116356118784</v>
      </c>
      <c r="V6" s="6" t="str">
        <f>IF(OR(INDEX(Auction!$H$13:$H$656,MATCH(B6,Auction!$A$13:$A$656,0))&gt;0,IFERROR(INDEX(CheatSheet!$D$37:$D$64,MATCH(B6,CheatSheet!$A$37:$A$64,0)),"")&lt;&gt;""),"Yes","No")</f>
        <v>No</v>
      </c>
      <c r="W6" s="179"/>
      <c r="Y6" s="78">
        <f t="shared" ca="1" si="0"/>
        <v>1</v>
      </c>
      <c r="Z6">
        <f t="shared" ca="1" si="2"/>
        <v>50.659999999999982</v>
      </c>
      <c r="AA6" s="116" t="str">
        <f t="shared" ca="1" si="1"/>
        <v>TE5</v>
      </c>
      <c r="AB6">
        <f ca="1">Z6*LeagueInfo!$H$5</f>
        <v>18.65444776752269</v>
      </c>
    </row>
    <row r="7" spans="1:28" x14ac:dyDescent="0.25">
      <c r="A7">
        <f>RANK(P7,P$3:P$115)</f>
        <v>5</v>
      </c>
      <c r="B7" t="str">
        <f>TE_Raw!A7</f>
        <v>Dalton Schultz</v>
      </c>
      <c r="C7" t="s">
        <v>43</v>
      </c>
      <c r="D7" t="str">
        <f>_xlfn.IFNA(INDEX(BYEs!$E$2:$E$411,MATCH(B7,BYEs!$D$2:$D$411,0)),"N/A")</f>
        <v>N/A</v>
      </c>
      <c r="E7">
        <f>INDEX(BYEs!$B$2:$B$34,MATCH(F7,BYEs!$A$2:$A$34,0))</f>
        <v>9</v>
      </c>
      <c r="F7" t="str">
        <f>TE_Raw!B7</f>
        <v>DAL</v>
      </c>
      <c r="G7" s="202">
        <v>0</v>
      </c>
      <c r="H7" s="203">
        <v>0</v>
      </c>
      <c r="I7" s="204">
        <v>0</v>
      </c>
      <c r="J7" s="204">
        <v>0</v>
      </c>
      <c r="K7" s="204">
        <v>0</v>
      </c>
      <c r="L7" s="206">
        <f>TE_Raw!C7</f>
        <v>77.5</v>
      </c>
      <c r="M7" s="204">
        <f>TE_Raw!D7</f>
        <v>805.7</v>
      </c>
      <c r="N7" s="207">
        <f>TE_Raw!E7</f>
        <v>6.1</v>
      </c>
      <c r="O7" s="204">
        <f>TE_Raw!F7</f>
        <v>0.4</v>
      </c>
      <c r="P7" s="11">
        <f>(J7*TERushYd)+(K7*TERushTD)+(L7*TERec)+(M7*TERecYd)+(N7*TERecTD)+(O7*TEFuml)+(I7*TERushAtt)</f>
        <v>155.12</v>
      </c>
      <c r="Q7" t="str">
        <f ca="1">IF(A7&lt;=TEStarters,"Starter",IF(A7&gt;TEStarters+TEBench,"Undrafted","Bench"))</f>
        <v>Starter</v>
      </c>
      <c r="R7">
        <f ca="1">IFERROR(MAX(P7-LARGE(TESheetCount,TEStarters),0),0)</f>
        <v>36.14</v>
      </c>
      <c r="S7">
        <f ca="1">IFERROR(IF(AllowNegative="Yes",P7-LARGE(TESheetCount,TECount),MAX(P7-LARGE(TESheetCount,TECount),0)),0)</f>
        <v>52.459999999999994</v>
      </c>
      <c r="T7">
        <f ca="1">IF(TEStarters&gt;0,(S7-R7)*BenchPF+R7*StarterPF,0)</f>
        <v>16.478023747022029</v>
      </c>
      <c r="U7">
        <f ca="1">T7*Auction!$A$2</f>
        <v>16.478023747022029</v>
      </c>
      <c r="V7" s="6" t="str">
        <f>IF(OR(INDEX(Auction!$H$13:$H$656,MATCH(B7,Auction!$A$13:$A$656,0))&gt;0,IFERROR(INDEX(CheatSheet!$D$37:$D$64,MATCH(B7,CheatSheet!$A$37:$A$64,0)),"")&lt;&gt;""),"Yes","No")</f>
        <v>No</v>
      </c>
      <c r="W7" s="179"/>
      <c r="Y7" s="78">
        <f t="shared" ca="1" si="0"/>
        <v>1</v>
      </c>
      <c r="Z7">
        <f t="shared" ca="1" si="2"/>
        <v>44.3</v>
      </c>
      <c r="AA7" s="116" t="str">
        <f t="shared" ca="1" si="1"/>
        <v>TE6</v>
      </c>
      <c r="AB7">
        <f ca="1">Z7*LeagueInfo!$H$5</f>
        <v>16.312515517198094</v>
      </c>
    </row>
    <row r="8" spans="1:28" x14ac:dyDescent="0.25">
      <c r="A8">
        <f>RANK(P8,P$3:P$115)</f>
        <v>6</v>
      </c>
      <c r="B8" t="str">
        <f>TE_Raw!A6</f>
        <v>George Kittle</v>
      </c>
      <c r="C8" t="s">
        <v>43</v>
      </c>
      <c r="D8">
        <f>_xlfn.IFNA(INDEX(BYEs!$E$2:$E$411,MATCH(B8,BYEs!$D$2:$D$411,0)),"N/A")</f>
        <v>27</v>
      </c>
      <c r="E8">
        <f>INDEX(BYEs!$B$2:$B$34,MATCH(F8,BYEs!$A$2:$A$34,0))</f>
        <v>9</v>
      </c>
      <c r="F8" t="str">
        <f>TE_Raw!B6</f>
        <v>SF</v>
      </c>
      <c r="G8" s="202">
        <v>0</v>
      </c>
      <c r="H8" s="203">
        <v>0</v>
      </c>
      <c r="I8" s="204">
        <v>0</v>
      </c>
      <c r="J8" s="204">
        <v>0</v>
      </c>
      <c r="K8" s="204">
        <v>0</v>
      </c>
      <c r="L8" s="206">
        <f>TE_Raw!C6</f>
        <v>71.3</v>
      </c>
      <c r="M8" s="204">
        <f>TE_Raw!D6</f>
        <v>872.8</v>
      </c>
      <c r="N8" s="207">
        <f>TE_Raw!E6</f>
        <v>5.4</v>
      </c>
      <c r="O8" s="204">
        <f>TE_Raw!F6</f>
        <v>0.5</v>
      </c>
      <c r="P8" s="11">
        <f>(J8*TERushYd)+(K8*TERushTD)+(L8*TERec)+(M8*TERecYd)+(N8*TERecTD)+(O8*TEFuml)+(I8*TERushAtt)</f>
        <v>154.33000000000001</v>
      </c>
      <c r="Q8" t="str">
        <f ca="1">IF(A8&lt;=TEStarters,"Starter",IF(A8&gt;TEStarters+TEBench,"Undrafted","Bench"))</f>
        <v>Starter</v>
      </c>
      <c r="R8">
        <f ca="1">IFERROR(MAX(P8-LARGE(TESheetCount,TEStarters),0),0)</f>
        <v>35.350000000000009</v>
      </c>
      <c r="S8">
        <f ca="1">IFERROR(IF(AllowNegative="Yes",P8-LARGE(TESheetCount,TECount),MAX(P8-LARGE(TESheetCount,TECount),0)),0)</f>
        <v>51.67</v>
      </c>
      <c r="T8">
        <f ca="1">IF(TEStarters&gt;0,(S8-R8)*BenchPF+R8*StarterPF,0)</f>
        <v>16.182507526709699</v>
      </c>
      <c r="U8">
        <f ca="1">T8*Auction!$A$2</f>
        <v>16.182507526709699</v>
      </c>
      <c r="V8" s="6" t="str">
        <f>IF(OR(INDEX(Auction!$H$13:$H$656,MATCH(B8,Auction!$A$13:$A$656,0))&gt;0,IFERROR(INDEX(CheatSheet!$D$37:$D$64,MATCH(B8,CheatSheet!$A$37:$A$64,0)),"")&lt;&gt;""),"Yes","No")</f>
        <v>No</v>
      </c>
      <c r="W8" s="179"/>
      <c r="Y8" s="78">
        <f t="shared" ca="1" si="0"/>
        <v>1</v>
      </c>
      <c r="Z8">
        <f t="shared" ca="1" si="2"/>
        <v>43.510000000000005</v>
      </c>
      <c r="AA8" s="116" t="str">
        <f t="shared" ca="1" si="1"/>
        <v>TE6</v>
      </c>
      <c r="AB8">
        <f ca="1">Z8*LeagueInfo!$H$5</f>
        <v>16.021615127613753</v>
      </c>
    </row>
    <row r="9" spans="1:28" x14ac:dyDescent="0.25">
      <c r="A9">
        <f>RANK(P9,P$3:P$115)</f>
        <v>7</v>
      </c>
      <c r="B9" t="str">
        <f>TE_Raw!A8</f>
        <v>Dallas Goedert</v>
      </c>
      <c r="C9" t="s">
        <v>43</v>
      </c>
      <c r="D9">
        <f>_xlfn.IFNA(INDEX(BYEs!$E$2:$E$411,MATCH(B9,BYEs!$D$2:$D$411,0)),"N/A")</f>
        <v>26</v>
      </c>
      <c r="E9">
        <f>INDEX(BYEs!$B$2:$B$34,MATCH(F9,BYEs!$A$2:$A$34,0))</f>
        <v>7</v>
      </c>
      <c r="F9" t="str">
        <f>TE_Raw!B8</f>
        <v>PHI</v>
      </c>
      <c r="G9" s="202">
        <v>0</v>
      </c>
      <c r="H9" s="203">
        <v>0</v>
      </c>
      <c r="I9" s="204">
        <v>0</v>
      </c>
      <c r="J9" s="204">
        <v>0</v>
      </c>
      <c r="K9" s="204">
        <v>0</v>
      </c>
      <c r="L9" s="206">
        <f>TE_Raw!C8</f>
        <v>63.4</v>
      </c>
      <c r="M9" s="204">
        <f>TE_Raw!D8</f>
        <v>793.8</v>
      </c>
      <c r="N9" s="207">
        <f>TE_Raw!E8</f>
        <v>5</v>
      </c>
      <c r="O9" s="204">
        <f>TE_Raw!F8</f>
        <v>0.5</v>
      </c>
      <c r="P9" s="11">
        <f>(J9*TERushYd)+(K9*TERushTD)+(L9*TERec)+(M9*TERecYd)+(N9*TERecTD)+(O9*TEFuml)+(I9*TERushAtt)</f>
        <v>140.07999999999998</v>
      </c>
      <c r="Q9" t="str">
        <f ca="1">IF(A9&lt;=TEStarters,"Starter",IF(A9&gt;TEStarters+TEBench,"Undrafted","Bench"))</f>
        <v>Starter</v>
      </c>
      <c r="R9">
        <f ca="1">IFERROR(MAX(P9-LARGE(TESheetCount,TEStarters),0),0)</f>
        <v>21.09999999999998</v>
      </c>
      <c r="S9">
        <f ca="1">IFERROR(IF(AllowNegative="Yes",P9-LARGE(TESheetCount,TECount),MAX(P9-LARGE(TESheetCount,TECount),0)),0)</f>
        <v>37.419999999999973</v>
      </c>
      <c r="T9">
        <f ca="1">IF(TEStarters&gt;0,(S9-R9)*BenchPF+R9*StarterPF,0)</f>
        <v>10.851993426139117</v>
      </c>
      <c r="U9">
        <f ca="1">T9*Auction!$A$2</f>
        <v>10.851993426139117</v>
      </c>
      <c r="V9" s="6" t="str">
        <f>IF(OR(INDEX(Auction!$H$13:$H$656,MATCH(B9,Auction!$A$13:$A$656,0))&gt;0,IFERROR(INDEX(CheatSheet!$D$37:$D$64,MATCH(B9,CheatSheet!$A$37:$A$64,0)),"")&lt;&gt;""),"Yes","No")</f>
        <v>No</v>
      </c>
      <c r="W9" s="179"/>
      <c r="Y9" s="78">
        <f t="shared" ca="1" si="0"/>
        <v>1</v>
      </c>
      <c r="Z9">
        <f t="shared" ca="1" si="2"/>
        <v>29.259999999999977</v>
      </c>
      <c r="AA9" s="116" t="str">
        <f t="shared" ca="1" si="1"/>
        <v>TE7</v>
      </c>
      <c r="AB9">
        <f ca="1">Z9*LeagueInfo!$H$5</f>
        <v>10.774361264858147</v>
      </c>
    </row>
    <row r="10" spans="1:28" x14ac:dyDescent="0.25">
      <c r="A10">
        <f>RANK(P10,P$3:P$115)</f>
        <v>8</v>
      </c>
      <c r="B10" t="str">
        <f>TE_Raw!A9</f>
        <v>T.J. Hockenson</v>
      </c>
      <c r="C10" t="s">
        <v>43</v>
      </c>
      <c r="D10">
        <f>_xlfn.IFNA(INDEX(BYEs!$E$2:$E$411,MATCH(B10,BYEs!$D$2:$D$411,0)),"N/A")</f>
        <v>24</v>
      </c>
      <c r="E10">
        <f>INDEX(BYEs!$B$2:$B$34,MATCH(F10,BYEs!$A$2:$A$34,0))</f>
        <v>6</v>
      </c>
      <c r="F10" t="str">
        <f>TE_Raw!B9</f>
        <v>DET</v>
      </c>
      <c r="G10" s="202">
        <v>0</v>
      </c>
      <c r="H10" s="203">
        <v>0</v>
      </c>
      <c r="I10" s="204">
        <v>0</v>
      </c>
      <c r="J10" s="204">
        <v>0</v>
      </c>
      <c r="K10" s="204">
        <v>0</v>
      </c>
      <c r="L10" s="206">
        <f>TE_Raw!C9</f>
        <v>67.599999999999994</v>
      </c>
      <c r="M10" s="204">
        <f>TE_Raw!D9</f>
        <v>692.5</v>
      </c>
      <c r="N10" s="207">
        <f>TE_Raw!E9</f>
        <v>5.3</v>
      </c>
      <c r="O10" s="204">
        <f>TE_Raw!F9</f>
        <v>0.4</v>
      </c>
      <c r="P10" s="11">
        <f>(J10*TERushYd)+(K10*TERushTD)+(L10*TERec)+(M10*TERecYd)+(N10*TERecTD)+(O10*TEFuml)+(I10*TERushAtt)</f>
        <v>134.04999999999998</v>
      </c>
      <c r="Q10" t="str">
        <f ca="1">IF(A10&lt;=TEStarters,"Starter",IF(A10&gt;TEStarters+TEBench,"Undrafted","Bench"))</f>
        <v>Starter</v>
      </c>
      <c r="R10">
        <f ca="1">IFERROR(MAX(P10-LARGE(TESheetCount,TEStarters),0),0)</f>
        <v>15.069999999999979</v>
      </c>
      <c r="S10">
        <f ca="1">IFERROR(IF(AllowNegative="Yes",P10-LARGE(TESheetCount,TECount),MAX(P10-LARGE(TESheetCount,TECount),0)),0)</f>
        <v>31.389999999999972</v>
      </c>
      <c r="T10">
        <f ca="1">IF(TEStarters&gt;0,(S10-R10)*BenchPF+R10*StarterPF,0)</f>
        <v>8.5963443014766199</v>
      </c>
      <c r="U10">
        <f ca="1">T10*Auction!$A$2</f>
        <v>8.5963443014766199</v>
      </c>
      <c r="V10" s="6" t="str">
        <f>IF(OR(INDEX(Auction!$H$13:$H$656,MATCH(B10,Auction!$A$13:$A$656,0))&gt;0,IFERROR(INDEX(CheatSheet!$D$37:$D$64,MATCH(B10,CheatSheet!$A$37:$A$64,0)),"")&lt;&gt;""),"Yes","No")</f>
        <v>No</v>
      </c>
      <c r="W10" s="179"/>
      <c r="Y10" s="78">
        <f t="shared" ca="1" si="0"/>
        <v>1</v>
      </c>
      <c r="Z10">
        <f t="shared" ca="1" si="2"/>
        <v>23.229999999999976</v>
      </c>
      <c r="AA10" s="116" t="str">
        <f t="shared" ca="1" si="1"/>
        <v>TE7</v>
      </c>
      <c r="AB10">
        <f ca="1">Z10*LeagueInfo!$H$5</f>
        <v>8.5539443671447266</v>
      </c>
    </row>
    <row r="11" spans="1:28" x14ac:dyDescent="0.25">
      <c r="A11">
        <f>RANK(P11,P$3:P$115)</f>
        <v>9</v>
      </c>
      <c r="B11" t="str">
        <f>TE_Raw!A12</f>
        <v>Zach Ertz</v>
      </c>
      <c r="C11" t="s">
        <v>43</v>
      </c>
      <c r="D11">
        <f>_xlfn.IFNA(INDEX(BYEs!$E$2:$E$411,MATCH(B11,BYEs!$D$2:$D$411,0)),"N/A")</f>
        <v>30</v>
      </c>
      <c r="E11">
        <f>INDEX(BYEs!$B$2:$B$34,MATCH(F11,BYEs!$A$2:$A$34,0))</f>
        <v>13</v>
      </c>
      <c r="F11" t="str">
        <f>TE_Raw!B12</f>
        <v>ARI</v>
      </c>
      <c r="G11" s="202">
        <v>0</v>
      </c>
      <c r="H11" s="203">
        <v>0</v>
      </c>
      <c r="I11" s="204">
        <v>0</v>
      </c>
      <c r="J11" s="204">
        <v>0</v>
      </c>
      <c r="K11" s="204">
        <v>0</v>
      </c>
      <c r="L11" s="206">
        <f>TE_Raw!C12</f>
        <v>64.5</v>
      </c>
      <c r="M11" s="204">
        <f>TE_Raw!D12</f>
        <v>661.2</v>
      </c>
      <c r="N11" s="207">
        <f>TE_Raw!E12</f>
        <v>4.8</v>
      </c>
      <c r="O11" s="204">
        <f>TE_Raw!F12</f>
        <v>0.4</v>
      </c>
      <c r="P11" s="11">
        <f>(J11*TERushYd)+(K11*TERushTD)+(L11*TERec)+(M11*TERecYd)+(N11*TERecTD)+(O11*TEFuml)+(I11*TERushAtt)</f>
        <v>126.37</v>
      </c>
      <c r="Q11" t="str">
        <f ca="1">IF(A11&lt;=TEStarters,"Starter",IF(A11&gt;TEStarters+TEBench,"Undrafted","Bench"))</f>
        <v>Starter</v>
      </c>
      <c r="R11">
        <f ca="1">IFERROR(MAX(P11-LARGE(TESheetCount,TEStarters),0),0)</f>
        <v>7.3900000000000006</v>
      </c>
      <c r="S11">
        <f ca="1">IFERROR(IF(AllowNegative="Yes",P11-LARGE(TESheetCount,TECount),MAX(P11-LARGE(TESheetCount,TECount),0)),0)</f>
        <v>23.709999999999994</v>
      </c>
      <c r="T11">
        <f ca="1">IF(TEStarters&gt;0,(S11-R11)*BenchPF+R11*StarterPF,0)</f>
        <v>5.7234777546428059</v>
      </c>
      <c r="U11">
        <f ca="1">T11*Auction!$A$2</f>
        <v>5.7234777546428059</v>
      </c>
      <c r="V11" s="6" t="str">
        <f>IF(OR(INDEX(Auction!$H$13:$H$656,MATCH(B11,Auction!$A$13:$A$656,0))&gt;0,IFERROR(INDEX(CheatSheet!$D$37:$D$64,MATCH(B11,CheatSheet!$A$37:$A$64,0)),"")&lt;&gt;""),"Yes","No")</f>
        <v>No</v>
      </c>
      <c r="W11" s="179"/>
      <c r="Y11" s="78">
        <f t="shared" ca="1" si="0"/>
        <v>1</v>
      </c>
      <c r="Z11">
        <f t="shared" ca="1" si="2"/>
        <v>15.549999999999997</v>
      </c>
      <c r="AA11" s="116" t="str">
        <f t="shared" ca="1" si="1"/>
        <v>TE8</v>
      </c>
      <c r="AB11">
        <f ca="1">Z11*LeagueInfo!$H$5</f>
        <v>5.7259507063754027</v>
      </c>
    </row>
    <row r="12" spans="1:28" x14ac:dyDescent="0.25">
      <c r="A12">
        <f>RANK(P12,P$3:P$115)</f>
        <v>10</v>
      </c>
      <c r="B12" t="str">
        <f>TE_Raw!A11</f>
        <v>Hunter Henry</v>
      </c>
      <c r="C12" t="s">
        <v>43</v>
      </c>
      <c r="D12">
        <f>_xlfn.IFNA(INDEX(BYEs!$E$2:$E$411,MATCH(B12,BYEs!$D$2:$D$411,0)),"N/A")</f>
        <v>26</v>
      </c>
      <c r="E12">
        <f>INDEX(BYEs!$B$2:$B$34,MATCH(F12,BYEs!$A$2:$A$34,0))</f>
        <v>10</v>
      </c>
      <c r="F12" t="str">
        <f>TE_Raw!B11</f>
        <v>NE</v>
      </c>
      <c r="G12" s="202">
        <v>0</v>
      </c>
      <c r="H12" s="203">
        <v>0</v>
      </c>
      <c r="I12" s="204">
        <v>0</v>
      </c>
      <c r="J12" s="204">
        <v>0</v>
      </c>
      <c r="K12" s="204">
        <v>0</v>
      </c>
      <c r="L12" s="206">
        <f>TE_Raw!C11</f>
        <v>53.9</v>
      </c>
      <c r="M12" s="204">
        <f>TE_Raw!D11</f>
        <v>618.6</v>
      </c>
      <c r="N12" s="207">
        <f>TE_Raw!E11</f>
        <v>6</v>
      </c>
      <c r="O12" s="204">
        <f>TE_Raw!F11</f>
        <v>0.1</v>
      </c>
      <c r="P12" s="11">
        <f>(J12*TERushYd)+(K12*TERushTD)+(L12*TERec)+(M12*TERecYd)+(N12*TERecTD)+(O12*TEFuml)+(I12*TERushAtt)</f>
        <v>124.61</v>
      </c>
      <c r="Q12" t="str">
        <f ca="1">IF(A12&lt;=TEStarters,"Starter",IF(A12&gt;TEStarters+TEBench,"Undrafted","Bench"))</f>
        <v>Starter</v>
      </c>
      <c r="R12">
        <f ca="1">IFERROR(MAX(P12-LARGE(TESheetCount,TEStarters),0),0)</f>
        <v>5.6299999999999955</v>
      </c>
      <c r="S12">
        <f ca="1">IFERROR(IF(AllowNegative="Yes",P12-LARGE(TESheetCount,TECount),MAX(P12-LARGE(TESheetCount,TECount),0)),0)</f>
        <v>21.949999999999989</v>
      </c>
      <c r="T12">
        <f ca="1">IF(TEStarters&gt;0,(S12-R12)*BenchPF+R12*StarterPF,0)</f>
        <v>5.0651125043267191</v>
      </c>
      <c r="U12">
        <f ca="1">T12*Auction!$A$2</f>
        <v>5.0651125043267191</v>
      </c>
      <c r="V12" s="6" t="str">
        <f>IF(OR(INDEX(Auction!$H$13:$H$656,MATCH(B12,Auction!$A$13:$A$656,0))&gt;0,IFERROR(INDEX(CheatSheet!$D$37:$D$64,MATCH(B12,CheatSheet!$A$37:$A$64,0)),"")&lt;&gt;""),"Yes","No")</f>
        <v>No</v>
      </c>
      <c r="W12" s="179"/>
      <c r="Y12" s="78">
        <f t="shared" ca="1" si="0"/>
        <v>1</v>
      </c>
      <c r="Z12">
        <f t="shared" ca="1" si="2"/>
        <v>13.789999999999992</v>
      </c>
      <c r="AA12" s="116" t="str">
        <f t="shared" ca="1" si="1"/>
        <v>TE8</v>
      </c>
      <c r="AB12">
        <f ca="1">Z12*LeagueInfo!$H$5</f>
        <v>5.0778688257824287</v>
      </c>
    </row>
    <row r="13" spans="1:28" x14ac:dyDescent="0.25">
      <c r="A13">
        <f>RANK(P13,P$3:P$115)</f>
        <v>11</v>
      </c>
      <c r="B13" t="str">
        <f>TE_Raw!A10</f>
        <v>Dawson Knox</v>
      </c>
      <c r="C13" t="s">
        <v>43</v>
      </c>
      <c r="D13">
        <f>_xlfn.IFNA(INDEX(BYEs!$E$2:$E$411,MATCH(B13,BYEs!$D$2:$D$411,0)),"N/A")</f>
        <v>24</v>
      </c>
      <c r="E13">
        <f>INDEX(BYEs!$B$2:$B$34,MATCH(F13,BYEs!$A$2:$A$34,0))</f>
        <v>7</v>
      </c>
      <c r="F13" t="str">
        <f>TE_Raw!B10</f>
        <v>BUF</v>
      </c>
      <c r="G13" s="202">
        <v>0</v>
      </c>
      <c r="H13" s="203">
        <v>0</v>
      </c>
      <c r="I13" s="204">
        <v>0</v>
      </c>
      <c r="J13" s="204">
        <v>0</v>
      </c>
      <c r="K13" s="204">
        <v>0</v>
      </c>
      <c r="L13" s="206">
        <f>TE_Raw!C10</f>
        <v>50.2</v>
      </c>
      <c r="M13" s="204">
        <f>TE_Raw!D10</f>
        <v>608.70000000000005</v>
      </c>
      <c r="N13" s="207">
        <f>TE_Raw!E10</f>
        <v>6.3</v>
      </c>
      <c r="O13" s="204">
        <f>TE_Raw!F10</f>
        <v>0.1</v>
      </c>
      <c r="P13" s="11">
        <f>(J13*TERushYd)+(K13*TERushTD)+(L13*TERec)+(M13*TERecYd)+(N13*TERecTD)+(O13*TEFuml)+(I13*TERushAtt)</f>
        <v>123.57</v>
      </c>
      <c r="Q13" t="str">
        <f ca="1">IF(A13&lt;=TEStarters,"Starter",IF(A13&gt;TEStarters+TEBench,"Undrafted","Bench"))</f>
        <v>Starter</v>
      </c>
      <c r="R13">
        <f ca="1">IFERROR(MAX(P13-LARGE(TESheetCount,TEStarters),0),0)</f>
        <v>4.5899999999999892</v>
      </c>
      <c r="S13">
        <f ca="1">IFERROR(IF(AllowNegative="Yes",P13-LARGE(TESheetCount,TECount),MAX(P13-LARGE(TESheetCount,TECount),0)),0)</f>
        <v>20.909999999999982</v>
      </c>
      <c r="T13">
        <f ca="1">IF(TEStarters&gt;0,(S13-R13)*BenchPF+R13*StarterPF,0)</f>
        <v>4.6760784927763028</v>
      </c>
      <c r="U13">
        <f ca="1">T13*Auction!$A$2</f>
        <v>4.6760784927763028</v>
      </c>
      <c r="V13" s="6" t="str">
        <f>IF(OR(INDEX(Auction!$H$13:$H$656,MATCH(B13,Auction!$A$13:$A$656,0))&gt;0,IFERROR(INDEX(CheatSheet!$D$37:$D$64,MATCH(B13,CheatSheet!$A$37:$A$64,0)),"")&lt;&gt;""),"Yes","No")</f>
        <v>No</v>
      </c>
      <c r="W13" s="179"/>
      <c r="Y13" s="78">
        <f t="shared" ca="1" si="0"/>
        <v>1</v>
      </c>
      <c r="Z13">
        <f t="shared" ca="1" si="2"/>
        <v>12.749999999999986</v>
      </c>
      <c r="AA13" s="116" t="str">
        <f t="shared" ca="1" si="1"/>
        <v>TE8</v>
      </c>
      <c r="AB13">
        <f ca="1">Z13*LeagueInfo!$H$5</f>
        <v>4.6949113508865796</v>
      </c>
    </row>
    <row r="14" spans="1:28" x14ac:dyDescent="0.25">
      <c r="A14">
        <f>RANK(P14,P$3:P$115)</f>
        <v>12</v>
      </c>
      <c r="B14" t="str">
        <f>TE_Raw!A13</f>
        <v>Mike Gesicki</v>
      </c>
      <c r="C14" t="s">
        <v>43</v>
      </c>
      <c r="D14">
        <f>_xlfn.IFNA(INDEX(BYEs!$E$2:$E$411,MATCH(B14,BYEs!$D$2:$D$411,0)),"N/A")</f>
        <v>25</v>
      </c>
      <c r="E14">
        <f>INDEX(BYEs!$B$2:$B$34,MATCH(F14,BYEs!$A$2:$A$34,0))</f>
        <v>11</v>
      </c>
      <c r="F14" t="str">
        <f>TE_Raw!B13</f>
        <v>MIA</v>
      </c>
      <c r="G14" s="202">
        <v>0</v>
      </c>
      <c r="H14" s="203">
        <v>0</v>
      </c>
      <c r="I14" s="204">
        <v>0</v>
      </c>
      <c r="J14" s="204">
        <v>0</v>
      </c>
      <c r="K14" s="204">
        <v>0</v>
      </c>
      <c r="L14" s="206">
        <f>TE_Raw!C13</f>
        <v>60.2</v>
      </c>
      <c r="M14" s="204">
        <f>TE_Raw!D13</f>
        <v>656.8</v>
      </c>
      <c r="N14" s="207">
        <f>TE_Raw!E13</f>
        <v>4</v>
      </c>
      <c r="O14" s="204">
        <f>TE_Raw!F13</f>
        <v>0.4</v>
      </c>
      <c r="P14" s="11">
        <f>(J14*TERushYd)+(K14*TERushTD)+(L14*TERec)+(M14*TERecYd)+(N14*TERecTD)+(O14*TEFuml)+(I14*TERushAtt)</f>
        <v>118.98</v>
      </c>
      <c r="Q14" t="str">
        <f ca="1">IF(A14&lt;=TEStarters,"Starter",IF(A14&gt;TEStarters+TEBench,"Undrafted","Bench"))</f>
        <v>Starter</v>
      </c>
      <c r="R14">
        <f ca="1">IFERROR(MAX(P14-LARGE(TESheetCount,TEStarters),0),0)</f>
        <v>0</v>
      </c>
      <c r="S14">
        <f ca="1">IFERROR(IF(AllowNegative="Yes",P14-LARGE(TESheetCount,TECount),MAX(P14-LARGE(TESheetCount,TECount),0)),0)</f>
        <v>16.319999999999993</v>
      </c>
      <c r="T14">
        <f ca="1">IF(TEStarters&gt;0,(S14-R14)*BenchPF+R14*StarterPF,0)</f>
        <v>2.9590918456451547</v>
      </c>
      <c r="U14">
        <f ca="1">T14*Auction!$A$2</f>
        <v>2.9590918456451547</v>
      </c>
      <c r="V14" s="6" t="str">
        <f>IF(OR(INDEX(Auction!$H$13:$H$656,MATCH(B14,Auction!$A$13:$A$656,0))&gt;0,IFERROR(INDEX(CheatSheet!$D$37:$D$64,MATCH(B14,CheatSheet!$A$37:$A$64,0)),"")&lt;&gt;""),"Yes","No")</f>
        <v>No</v>
      </c>
      <c r="W14" s="179"/>
      <c r="Y14" s="78">
        <f t="shared" ca="1" si="0"/>
        <v>1</v>
      </c>
      <c r="Z14">
        <f t="shared" ca="1" si="2"/>
        <v>8.1599999999999966</v>
      </c>
      <c r="AA14" s="116" t="str">
        <f t="shared" ca="1" si="1"/>
        <v>TE8</v>
      </c>
      <c r="AB14">
        <f ca="1">Z14*LeagueInfo!$H$5</f>
        <v>3.0047432645674133</v>
      </c>
    </row>
    <row r="15" spans="1:28" x14ac:dyDescent="0.25">
      <c r="A15">
        <f>RANK(P15,P$3:P$115)</f>
        <v>13</v>
      </c>
      <c r="B15" t="str">
        <f>TE_Raw!A14</f>
        <v>Tyler Higbee</v>
      </c>
      <c r="C15" t="s">
        <v>43</v>
      </c>
      <c r="D15" t="str">
        <f>_xlfn.IFNA(INDEX(BYEs!$E$2:$E$411,MATCH(B15,BYEs!$D$2:$D$411,0)),"N/A")</f>
        <v>N/A</v>
      </c>
      <c r="E15">
        <f>INDEX(BYEs!$B$2:$B$34,MATCH(F15,BYEs!$A$2:$A$34,0))</f>
        <v>7</v>
      </c>
      <c r="F15" t="str">
        <f>TE_Raw!B14</f>
        <v>LAR</v>
      </c>
      <c r="G15" s="202">
        <v>0</v>
      </c>
      <c r="H15" s="203">
        <v>0</v>
      </c>
      <c r="I15" s="204">
        <v>0</v>
      </c>
      <c r="J15" s="204">
        <v>0</v>
      </c>
      <c r="K15" s="204">
        <v>0</v>
      </c>
      <c r="L15" s="206">
        <f>TE_Raw!C14</f>
        <v>59.2</v>
      </c>
      <c r="M15" s="204">
        <f>TE_Raw!D14</f>
        <v>595.1</v>
      </c>
      <c r="N15" s="207">
        <f>TE_Raw!E14</f>
        <v>4.7</v>
      </c>
      <c r="O15" s="204">
        <f>TE_Raw!F14</f>
        <v>0.4</v>
      </c>
      <c r="P15" s="11">
        <f>(J15*TERushYd)+(K15*TERushTD)+(L15*TERec)+(M15*TERecYd)+(N15*TERecTD)+(O15*TEFuml)+(I15*TERushAtt)</f>
        <v>116.51000000000002</v>
      </c>
      <c r="Q15" t="str">
        <f ca="1">IF(A15&lt;=TEStarters,"Starter",IF(A15&gt;TEStarters+TEBench,"Undrafted","Bench"))</f>
        <v>Bench</v>
      </c>
      <c r="R15">
        <f ca="1">IFERROR(MAX(P15-LARGE(TESheetCount,TEStarters),0),0)</f>
        <v>0</v>
      </c>
      <c r="S15">
        <f ca="1">IFERROR(IF(AllowNegative="Yes",P15-LARGE(TESheetCount,TECount),MAX(P15-LARGE(TESheetCount,TECount),0)),0)</f>
        <v>13.850000000000009</v>
      </c>
      <c r="T15">
        <f ca="1">IF(TEStarters&gt;0,(S15-R15)*BenchPF+R15*StarterPF,0)</f>
        <v>2.5112390969476368</v>
      </c>
      <c r="U15">
        <f ca="1">T15*Auction!$A$2</f>
        <v>2.5112390969476368</v>
      </c>
      <c r="V15" s="6" t="str">
        <f>IF(OR(INDEX(Auction!$H$13:$H$656,MATCH(B15,Auction!$A$13:$A$656,0))&gt;0,IFERROR(INDEX(CheatSheet!$D$37:$D$64,MATCH(B15,CheatSheet!$A$37:$A$64,0)),"")&lt;&gt;""),"Yes","No")</f>
        <v>No</v>
      </c>
      <c r="W15" s="179"/>
      <c r="Y15" s="78">
        <f t="shared" ca="1" si="0"/>
        <v>1</v>
      </c>
      <c r="Z15">
        <f t="shared" ca="1" si="2"/>
        <v>6.9250000000000043</v>
      </c>
      <c r="AA15" s="116" t="str">
        <f t="shared" ca="1" si="1"/>
        <v>TE8</v>
      </c>
      <c r="AB15">
        <f ca="1">Z15*LeagueInfo!$H$5</f>
        <v>2.5499812631285979</v>
      </c>
    </row>
    <row r="16" spans="1:28" x14ac:dyDescent="0.25">
      <c r="A16">
        <f>RANK(P16,P$3:P$115)</f>
        <v>14</v>
      </c>
      <c r="B16" t="str">
        <f>TE_Raw!A15</f>
        <v>Pat Freiermuth</v>
      </c>
      <c r="C16" t="s">
        <v>43</v>
      </c>
      <c r="D16" t="str">
        <f>_xlfn.IFNA(INDEX(BYEs!$E$2:$E$411,MATCH(B16,BYEs!$D$2:$D$411,0)),"N/A")</f>
        <v>N/A</v>
      </c>
      <c r="E16">
        <f>INDEX(BYEs!$B$2:$B$34,MATCH(F16,BYEs!$A$2:$A$34,0))</f>
        <v>9</v>
      </c>
      <c r="F16" t="str">
        <f>TE_Raw!B15</f>
        <v>PIT</v>
      </c>
      <c r="G16" s="202">
        <v>0</v>
      </c>
      <c r="H16" s="203">
        <v>0</v>
      </c>
      <c r="I16" s="204">
        <v>0</v>
      </c>
      <c r="J16" s="204">
        <v>0</v>
      </c>
      <c r="K16" s="204">
        <v>0</v>
      </c>
      <c r="L16" s="206">
        <f>TE_Raw!C15</f>
        <v>62.7</v>
      </c>
      <c r="M16" s="204">
        <f>TE_Raw!D15</f>
        <v>579.6</v>
      </c>
      <c r="N16" s="207">
        <f>TE_Raw!E15</f>
        <v>4.7</v>
      </c>
      <c r="O16" s="204">
        <f>TE_Raw!F15</f>
        <v>0.5</v>
      </c>
      <c r="P16" s="11">
        <f>(J16*TERushYd)+(K16*TERushTD)+(L16*TERec)+(M16*TERecYd)+(N16*TERecTD)+(O16*TEFuml)+(I16*TERushAtt)</f>
        <v>116.51</v>
      </c>
      <c r="Q16" t="str">
        <f ca="1">IF(A16&lt;=TEStarters,"Starter",IF(A16&gt;TEStarters+TEBench,"Undrafted","Bench"))</f>
        <v>Bench</v>
      </c>
      <c r="R16">
        <f ca="1">IFERROR(MAX(P16-LARGE(TESheetCount,TEStarters),0),0)</f>
        <v>0</v>
      </c>
      <c r="S16">
        <f ca="1">IFERROR(IF(AllowNegative="Yes",P16-LARGE(TESheetCount,TECount),MAX(P16-LARGE(TESheetCount,TECount),0)),0)</f>
        <v>13.849999999999994</v>
      </c>
      <c r="T16">
        <f ca="1">IF(TEStarters&gt;0,(S16-R16)*BenchPF+R16*StarterPF,0)</f>
        <v>2.5112390969476346</v>
      </c>
      <c r="U16">
        <f ca="1">T16*Auction!$A$2</f>
        <v>2.5112390969476346</v>
      </c>
      <c r="V16" s="6" t="str">
        <f>IF(OR(INDEX(Auction!$H$13:$H$656,MATCH(B16,Auction!$A$13:$A$656,0))&gt;0,IFERROR(INDEX(CheatSheet!$D$37:$D$64,MATCH(B16,CheatSheet!$A$37:$A$64,0)),"")&lt;&gt;""),"Yes","No")</f>
        <v>No</v>
      </c>
      <c r="W16" s="179"/>
      <c r="Y16" s="78">
        <f t="shared" ca="1" si="0"/>
        <v>1</v>
      </c>
      <c r="Z16">
        <f t="shared" ca="1" si="2"/>
        <v>6.9249999999999972</v>
      </c>
      <c r="AA16" s="116" t="str">
        <f t="shared" ca="1" si="1"/>
        <v>TE8</v>
      </c>
      <c r="AB16">
        <f ca="1">Z16*LeagueInfo!$H$5</f>
        <v>2.5499812631285952</v>
      </c>
    </row>
    <row r="17" spans="1:28" x14ac:dyDescent="0.25">
      <c r="A17">
        <f>RANK(P17,P$3:P$115)</f>
        <v>15</v>
      </c>
      <c r="B17" t="str">
        <f>TE_Raw!A16</f>
        <v>Cole Kmet</v>
      </c>
      <c r="C17" t="s">
        <v>43</v>
      </c>
      <c r="D17" t="str">
        <f>_xlfn.IFNA(INDEX(BYEs!$E$2:$E$411,MATCH(B17,BYEs!$D$2:$D$411,0)),"N/A")</f>
        <v>N/A</v>
      </c>
      <c r="E17">
        <f>INDEX(BYEs!$B$2:$B$34,MATCH(F17,BYEs!$A$2:$A$34,0))</f>
        <v>14</v>
      </c>
      <c r="F17" t="str">
        <f>TE_Raw!B16</f>
        <v>CHI</v>
      </c>
      <c r="G17" s="202">
        <v>0</v>
      </c>
      <c r="H17" s="203">
        <v>0</v>
      </c>
      <c r="I17" s="204">
        <v>0</v>
      </c>
      <c r="J17" s="204">
        <v>0</v>
      </c>
      <c r="K17" s="204">
        <v>0</v>
      </c>
      <c r="L17" s="206">
        <f>TE_Raw!C16</f>
        <v>61.4</v>
      </c>
      <c r="M17" s="204">
        <f>TE_Raw!D16</f>
        <v>638.5</v>
      </c>
      <c r="N17" s="207">
        <f>TE_Raw!E16</f>
        <v>3.7</v>
      </c>
      <c r="O17" s="204">
        <f>TE_Raw!F16</f>
        <v>0.5</v>
      </c>
      <c r="P17" s="11">
        <f>(J17*TERushYd)+(K17*TERushTD)+(L17*TERec)+(M17*TERecYd)+(N17*TERecTD)+(O17*TEFuml)+(I17*TERushAtt)</f>
        <v>115.75</v>
      </c>
      <c r="Q17" t="str">
        <f ca="1">IF(A17&lt;=TEStarters,"Starter",IF(A17&gt;TEStarters+TEBench,"Undrafted","Bench"))</f>
        <v>Bench</v>
      </c>
      <c r="R17">
        <f ca="1">IFERROR(MAX(P17-LARGE(TESheetCount,TEStarters),0),0)</f>
        <v>0</v>
      </c>
      <c r="S17">
        <f ca="1">IFERROR(IF(AllowNegative="Yes",P17-LARGE(TESheetCount,TECount),MAX(P17-LARGE(TESheetCount,TECount),0)),0)</f>
        <v>13.089999999999989</v>
      </c>
      <c r="T17">
        <f ca="1">IF(TEStarters&gt;0,(S17-R17)*BenchPF+R17*StarterPF,0)</f>
        <v>2.3734382511945502</v>
      </c>
      <c r="U17">
        <f ca="1">T17*Auction!$A$2</f>
        <v>2.3734382511945502</v>
      </c>
      <c r="V17" s="6" t="str">
        <f>IF(OR(INDEX(Auction!$H$13:$H$656,MATCH(B17,Auction!$A$13:$A$656,0))&gt;0,IFERROR(INDEX(CheatSheet!$D$37:$D$64,MATCH(B17,CheatSheet!$A$37:$A$64,0)),"")&lt;&gt;""),"Yes","No")</f>
        <v>No</v>
      </c>
      <c r="W17" s="179"/>
      <c r="Y17" s="78">
        <f t="shared" ca="1" si="0"/>
        <v>1</v>
      </c>
      <c r="Z17">
        <f t="shared" ca="1" si="2"/>
        <v>6.5449999999999946</v>
      </c>
      <c r="AA17" s="116" t="str">
        <f t="shared" ca="1" si="1"/>
        <v>TE8</v>
      </c>
      <c r="AB17">
        <f ca="1">Z17*LeagueInfo!$H$5</f>
        <v>2.4100544934551116</v>
      </c>
    </row>
    <row r="18" spans="1:28" x14ac:dyDescent="0.25">
      <c r="A18">
        <f>RANK(P18,P$3:P$115)</f>
        <v>16</v>
      </c>
      <c r="B18" t="str">
        <f>TE_Raw!A17</f>
        <v>Noah Fant</v>
      </c>
      <c r="C18" t="s">
        <v>43</v>
      </c>
      <c r="D18">
        <f>_xlfn.IFNA(INDEX(BYEs!$E$2:$E$411,MATCH(B18,BYEs!$D$2:$D$411,0)),"N/A")</f>
        <v>23</v>
      </c>
      <c r="E18">
        <f>INDEX(BYEs!$B$2:$B$34,MATCH(F18,BYEs!$A$2:$A$34,0))</f>
        <v>11</v>
      </c>
      <c r="F18" t="str">
        <f>TE_Raw!B17</f>
        <v>SEA</v>
      </c>
      <c r="G18" s="202">
        <v>0</v>
      </c>
      <c r="H18" s="203">
        <v>0</v>
      </c>
      <c r="I18" s="204">
        <v>0</v>
      </c>
      <c r="J18" s="204">
        <v>0</v>
      </c>
      <c r="K18" s="204">
        <v>0</v>
      </c>
      <c r="L18" s="206">
        <f>TE_Raw!C17</f>
        <v>59.4</v>
      </c>
      <c r="M18" s="204">
        <f>TE_Raw!D17</f>
        <v>639.4</v>
      </c>
      <c r="N18" s="207">
        <f>TE_Raw!E17</f>
        <v>3.7</v>
      </c>
      <c r="O18" s="204">
        <f>TE_Raw!F17</f>
        <v>0.4</v>
      </c>
      <c r="P18" s="11">
        <f>(J18*TERushYd)+(K18*TERushTD)+(L18*TERec)+(M18*TERecYd)+(N18*TERecTD)+(O18*TEFuml)+(I18*TERushAtt)</f>
        <v>115.04</v>
      </c>
      <c r="Q18" t="str">
        <f ca="1">IF(A18&lt;=TEStarters,"Starter",IF(A18&gt;TEStarters+TEBench,"Undrafted","Bench"))</f>
        <v>Bench</v>
      </c>
      <c r="R18">
        <f ca="1">IFERROR(MAX(P18-LARGE(TESheetCount,TEStarters),0),0)</f>
        <v>0</v>
      </c>
      <c r="S18">
        <f ca="1">IFERROR(IF(AllowNegative="Yes",P18-LARGE(TESheetCount,TECount),MAX(P18-LARGE(TESheetCount,TECount),0)),0)</f>
        <v>12.379999999999995</v>
      </c>
      <c r="T18">
        <f ca="1">IF(TEStarters&gt;0,(S18-R18)*BenchPF+R18*StarterPF,0)</f>
        <v>2.2447032505568028</v>
      </c>
      <c r="U18">
        <f ca="1">T18*Auction!$A$2</f>
        <v>2.2447032505568028</v>
      </c>
      <c r="V18" s="6" t="str">
        <f>IF(OR(INDEX(Auction!$H$13:$H$656,MATCH(B18,Auction!$A$13:$A$656,0))&gt;0,IFERROR(INDEX(CheatSheet!$D$37:$D$64,MATCH(B18,CheatSheet!$A$37:$A$64,0)),"")&lt;&gt;""),"Yes","No")</f>
        <v>No</v>
      </c>
      <c r="W18" s="179"/>
      <c r="Y18" s="78">
        <f t="shared" ca="1" si="0"/>
        <v>1</v>
      </c>
      <c r="Z18">
        <f t="shared" ca="1" si="2"/>
        <v>6.1899999999999977</v>
      </c>
      <c r="AA18" s="116" t="str">
        <f t="shared" ca="1" si="1"/>
        <v>TE8</v>
      </c>
      <c r="AB18">
        <f ca="1">Z18*LeagueInfo!$H$5</f>
        <v>2.2793334323127805</v>
      </c>
    </row>
    <row r="19" spans="1:28" x14ac:dyDescent="0.25">
      <c r="A19">
        <f>RANK(P19,P$3:P$115)</f>
        <v>17</v>
      </c>
      <c r="B19" t="str">
        <f>TE_Raw!A18</f>
        <v>David Njoku</v>
      </c>
      <c r="C19" t="s">
        <v>43</v>
      </c>
      <c r="D19">
        <f>_xlfn.IFNA(INDEX(BYEs!$E$2:$E$411,MATCH(B19,BYEs!$D$2:$D$411,0)),"N/A")</f>
        <v>25</v>
      </c>
      <c r="E19">
        <f>INDEX(BYEs!$B$2:$B$34,MATCH(F19,BYEs!$A$2:$A$34,0))</f>
        <v>9</v>
      </c>
      <c r="F19" t="str">
        <f>TE_Raw!B18</f>
        <v>CLE</v>
      </c>
      <c r="G19" s="202">
        <v>0</v>
      </c>
      <c r="H19" s="203">
        <v>0</v>
      </c>
      <c r="I19" s="204">
        <v>0</v>
      </c>
      <c r="J19" s="204">
        <v>0</v>
      </c>
      <c r="K19" s="204">
        <v>0</v>
      </c>
      <c r="L19" s="206">
        <f>TE_Raw!C18</f>
        <v>52.8</v>
      </c>
      <c r="M19" s="204">
        <f>TE_Raw!D18</f>
        <v>591.20000000000005</v>
      </c>
      <c r="N19" s="207">
        <f>TE_Raw!E18</f>
        <v>4.3</v>
      </c>
      <c r="O19" s="204">
        <f>TE_Raw!F18</f>
        <v>0.4</v>
      </c>
      <c r="P19" s="11">
        <f>(J19*TERushYd)+(K19*TERushTD)+(L19*TERec)+(M19*TERecYd)+(N19*TERecTD)+(O19*TEFuml)+(I19*TERushAtt)</f>
        <v>110.52000000000001</v>
      </c>
      <c r="Q19" t="str">
        <f ca="1">IF(A19&lt;=TEStarters,"Starter",IF(A19&gt;TEStarters+TEBench,"Undrafted","Bench"))</f>
        <v>Bench</v>
      </c>
      <c r="R19">
        <f ca="1">IFERROR(MAX(P19-LARGE(TESheetCount,TEStarters),0),0)</f>
        <v>0</v>
      </c>
      <c r="S19">
        <f ca="1">IFERROR(IF(AllowNegative="Yes",P19-LARGE(TESheetCount,TECount),MAX(P19-LARGE(TESheetCount,TECount),0)),0)</f>
        <v>7.8599999999999994</v>
      </c>
      <c r="T19">
        <f ca="1">IF(TEStarters&gt;0,(S19-R19)*BenchPF+R19*StarterPF,0)</f>
        <v>1.4251508521305714</v>
      </c>
      <c r="U19">
        <f ca="1">T19*Auction!$A$2</f>
        <v>1.4251508521305714</v>
      </c>
      <c r="V19" s="6" t="str">
        <f>IF(OR(INDEX(Auction!$H$13:$H$656,MATCH(B19,Auction!$A$13:$A$656,0))&gt;0,IFERROR(INDEX(CheatSheet!$D$37:$D$64,MATCH(B19,CheatSheet!$A$37:$A$64,0)),"")&lt;&gt;""),"Yes","No")</f>
        <v>No</v>
      </c>
      <c r="W19" s="179"/>
      <c r="Y19" s="78">
        <f t="shared" ca="1" si="0"/>
        <v>1</v>
      </c>
      <c r="Z19">
        <f t="shared" ca="1" si="2"/>
        <v>3.9299999999999997</v>
      </c>
      <c r="AA19" s="116" t="str">
        <f t="shared" ca="1" si="1"/>
        <v>TE8</v>
      </c>
      <c r="AB19">
        <f ca="1">Z19*LeagueInfo!$H$5</f>
        <v>1.4471373810968062</v>
      </c>
    </row>
    <row r="20" spans="1:28" x14ac:dyDescent="0.25">
      <c r="A20">
        <f>RANK(P20,P$3:P$115)</f>
        <v>18</v>
      </c>
      <c r="B20" t="str">
        <f>TE_Raw!A20</f>
        <v>Gerald Everett</v>
      </c>
      <c r="C20" t="s">
        <v>43</v>
      </c>
      <c r="D20">
        <f>_xlfn.IFNA(INDEX(BYEs!$E$2:$E$411,MATCH(B20,BYEs!$D$2:$D$411,0)),"N/A")</f>
        <v>27</v>
      </c>
      <c r="E20">
        <f>INDEX(BYEs!$B$2:$B$34,MATCH(F20,BYEs!$A$2:$A$34,0))</f>
        <v>8</v>
      </c>
      <c r="F20" t="str">
        <f>TE_Raw!B20</f>
        <v>LAC</v>
      </c>
      <c r="G20" s="202">
        <v>0</v>
      </c>
      <c r="H20" s="203">
        <v>0</v>
      </c>
      <c r="I20" s="204">
        <v>0</v>
      </c>
      <c r="J20" s="204">
        <v>0</v>
      </c>
      <c r="K20" s="204">
        <v>0</v>
      </c>
      <c r="L20" s="206">
        <f>TE_Raw!C20</f>
        <v>54.7</v>
      </c>
      <c r="M20" s="204">
        <f>TE_Raw!D20</f>
        <v>563.5</v>
      </c>
      <c r="N20" s="207">
        <f>TE_Raw!E20</f>
        <v>4.5</v>
      </c>
      <c r="O20" s="204">
        <f>TE_Raw!F20</f>
        <v>0.9</v>
      </c>
      <c r="P20" s="11">
        <f>(J20*TERushYd)+(K20*TERushTD)+(L20*TERec)+(M20*TERecYd)+(N20*TERecTD)+(O20*TEFuml)+(I20*TERushAtt)</f>
        <v>108.9</v>
      </c>
      <c r="Q20" t="str">
        <f ca="1">IF(A20&lt;=TEStarters,"Starter",IF(A20&gt;TEStarters+TEBench,"Undrafted","Bench"))</f>
        <v>Bench</v>
      </c>
      <c r="R20">
        <f ca="1">IFERROR(MAX(P20-LARGE(TESheetCount,TEStarters),0),0)</f>
        <v>0</v>
      </c>
      <c r="S20">
        <f ca="1">IFERROR(IF(AllowNegative="Yes",P20-LARGE(TESheetCount,TECount),MAX(P20-LARGE(TESheetCount,TECount),0)),0)</f>
        <v>6.2399999999999949</v>
      </c>
      <c r="T20">
        <f ca="1">IF(TEStarters&gt;0,(S20-R20)*BenchPF+R20*StarterPF,0)</f>
        <v>1.1314174703937352</v>
      </c>
      <c r="U20">
        <f ca="1">T20*Auction!$A$2</f>
        <v>1.1314174703937352</v>
      </c>
      <c r="V20" s="6" t="str">
        <f>IF(OR(INDEX(Auction!$H$13:$H$656,MATCH(B20,Auction!$A$13:$A$656,0))&gt;0,IFERROR(INDEX(CheatSheet!$D$37:$D$64,MATCH(B20,CheatSheet!$A$37:$A$64,0)),"")&lt;&gt;""),"Yes","No")</f>
        <v>No</v>
      </c>
      <c r="W20" s="179"/>
      <c r="Y20" s="78">
        <f t="shared" ca="1" si="0"/>
        <v>1</v>
      </c>
      <c r="Z20">
        <f t="shared" ca="1" si="2"/>
        <v>3.1199999999999974</v>
      </c>
      <c r="AA20" s="116" t="str">
        <f t="shared" ca="1" si="1"/>
        <v>TE8</v>
      </c>
      <c r="AB20">
        <f ca="1">Z20*LeagueInfo!$H$5</f>
        <v>1.1488724246875399</v>
      </c>
    </row>
    <row r="21" spans="1:28" x14ac:dyDescent="0.25">
      <c r="A21">
        <f>RANK(P21,P$3:P$115)</f>
        <v>19</v>
      </c>
      <c r="B21" t="str">
        <f>TE_Raw!A19</f>
        <v>Irv Smith Jr.</v>
      </c>
      <c r="C21" t="s">
        <v>43</v>
      </c>
      <c r="D21" t="str">
        <f>_xlfn.IFNA(INDEX(BYEs!$E$2:$E$411,MATCH(B21,BYEs!$D$2:$D$411,0)),"N/A")</f>
        <v>N/A</v>
      </c>
      <c r="E21">
        <f>INDEX(BYEs!$B$2:$B$34,MATCH(F21,BYEs!$A$2:$A$34,0))</f>
        <v>7</v>
      </c>
      <c r="F21" t="str">
        <f>TE_Raw!B19</f>
        <v>MIN</v>
      </c>
      <c r="G21" s="202">
        <v>0</v>
      </c>
      <c r="H21" s="203">
        <v>0</v>
      </c>
      <c r="I21" s="204">
        <v>0</v>
      </c>
      <c r="J21" s="204">
        <v>0</v>
      </c>
      <c r="K21" s="204">
        <v>0</v>
      </c>
      <c r="L21" s="206">
        <f>TE_Raw!C19</f>
        <v>50.4</v>
      </c>
      <c r="M21" s="204">
        <f>TE_Raw!D19</f>
        <v>557.6</v>
      </c>
      <c r="N21" s="207">
        <f>TE_Raw!E19</f>
        <v>4.5</v>
      </c>
      <c r="O21" s="204">
        <f>TE_Raw!F19</f>
        <v>0.1</v>
      </c>
      <c r="P21" s="11">
        <f>(J21*TERushYd)+(K21*TERushTD)+(L21*TERec)+(M21*TERecYd)+(N21*TERecTD)+(O21*TEFuml)+(I21*TERushAtt)</f>
        <v>107.76</v>
      </c>
      <c r="Q21" t="str">
        <f ca="1">IF(A21&lt;=TEStarters,"Starter",IF(A21&gt;TEStarters+TEBench,"Undrafted","Bench"))</f>
        <v>Bench</v>
      </c>
      <c r="R21">
        <f ca="1">IFERROR(MAX(P21-LARGE(TESheetCount,TEStarters),0),0)</f>
        <v>0</v>
      </c>
      <c r="S21">
        <f ca="1">IFERROR(IF(AllowNegative="Yes",P21-LARGE(TESheetCount,TECount),MAX(P21-LARGE(TESheetCount,TECount),0)),0)</f>
        <v>5.0999999999999943</v>
      </c>
      <c r="T21">
        <f ca="1">IF(TEStarters&gt;0,(S21-R21)*BenchPF+R21*StarterPF,0)</f>
        <v>0.92471620176411018</v>
      </c>
      <c r="U21">
        <f ca="1">T21*Auction!$A$2</f>
        <v>0.92471620176411018</v>
      </c>
      <c r="V21" s="6" t="str">
        <f>IF(OR(INDEX(Auction!$H$13:$H$656,MATCH(B21,Auction!$A$13:$A$656,0))&gt;0,IFERROR(INDEX(CheatSheet!$D$37:$D$64,MATCH(B21,CheatSheet!$A$37:$A$64,0)),"")&lt;&gt;""),"Yes","No")</f>
        <v>No</v>
      </c>
      <c r="W21" s="179"/>
      <c r="Y21" s="78">
        <f t="shared" ca="1" si="0"/>
        <v>1</v>
      </c>
      <c r="Z21">
        <f t="shared" ca="1" si="2"/>
        <v>2.5499999999999972</v>
      </c>
      <c r="AA21" s="116" t="str">
        <f t="shared" ca="1" si="1"/>
        <v>TE8</v>
      </c>
      <c r="AB21">
        <f ca="1">Z21*LeagueInfo!$H$5</f>
        <v>0.93898227017731595</v>
      </c>
    </row>
    <row r="22" spans="1:28" x14ac:dyDescent="0.25">
      <c r="A22">
        <f>RANK(P22,P$3:P$115)</f>
        <v>20</v>
      </c>
      <c r="B22" t="str">
        <f>TE_Raw!A23</f>
        <v>Logan Thomas</v>
      </c>
      <c r="C22" t="s">
        <v>43</v>
      </c>
      <c r="D22" t="str">
        <f>_xlfn.IFNA(INDEX(BYEs!$E$2:$E$411,MATCH(B22,BYEs!$D$2:$D$411,0)),"N/A")</f>
        <v>N/A</v>
      </c>
      <c r="E22">
        <f>INDEX(BYEs!$B$2:$B$34,MATCH(F22,BYEs!$A$2:$A$34,0))</f>
        <v>14</v>
      </c>
      <c r="F22" t="str">
        <f>TE_Raw!B23</f>
        <v>WAS</v>
      </c>
      <c r="G22" s="202">
        <v>0</v>
      </c>
      <c r="H22" s="203">
        <v>0</v>
      </c>
      <c r="I22" s="204">
        <v>0</v>
      </c>
      <c r="J22" s="204">
        <v>0</v>
      </c>
      <c r="K22" s="204">
        <v>0</v>
      </c>
      <c r="L22" s="206">
        <f>TE_Raw!C23</f>
        <v>49.3</v>
      </c>
      <c r="M22" s="204">
        <f>TE_Raw!D23</f>
        <v>515.9</v>
      </c>
      <c r="N22" s="207">
        <f>TE_Raw!E23</f>
        <v>4.5999999999999996</v>
      </c>
      <c r="O22" s="204">
        <f>TE_Raw!F23</f>
        <v>0.4</v>
      </c>
      <c r="P22" s="11">
        <f>(J22*TERushYd)+(K22*TERushTD)+(L22*TERec)+(M22*TERecYd)+(N22*TERecTD)+(O22*TEFuml)+(I22*TERushAtt)</f>
        <v>103.04</v>
      </c>
      <c r="Q22" t="str">
        <f ca="1">IF(A22&lt;=TEStarters,"Starter",IF(A22&gt;TEStarters+TEBench,"Undrafted","Bench"))</f>
        <v>Bench</v>
      </c>
      <c r="R22">
        <f ca="1">IFERROR(MAX(P22-LARGE(TESheetCount,TEStarters),0),0)</f>
        <v>0</v>
      </c>
      <c r="S22">
        <f ca="1">IFERROR(IF(AllowNegative="Yes",P22-LARGE(TESheetCount,TECount),MAX(P22-LARGE(TESheetCount,TECount),0)),0)</f>
        <v>0.37999999999999545</v>
      </c>
      <c r="T22">
        <f ca="1">IF(TEStarters&gt;0,(S22-R22)*BenchPF+R22*StarterPF,0)</f>
        <v>6.8900422876540801E-2</v>
      </c>
      <c r="U22">
        <f ca="1">T22*Auction!$A$2</f>
        <v>6.8900422876540801E-2</v>
      </c>
      <c r="V22" s="6" t="str">
        <f>IF(OR(INDEX(Auction!$H$13:$H$656,MATCH(B22,Auction!$A$13:$A$656,0))&gt;0,IFERROR(INDEX(CheatSheet!$D$37:$D$64,MATCH(B22,CheatSheet!$A$37:$A$64,0)),"")&lt;&gt;""),"Yes","No")</f>
        <v>No</v>
      </c>
      <c r="W22" s="179"/>
      <c r="Y22" s="78">
        <f t="shared" ca="1" si="0"/>
        <v>1</v>
      </c>
      <c r="Z22">
        <f t="shared" ca="1" si="2"/>
        <v>0.18999999999999773</v>
      </c>
      <c r="AA22" s="116" t="str">
        <f t="shared" ca="1" si="1"/>
        <v>TE9</v>
      </c>
      <c r="AB22">
        <f ca="1">Z22*LeagueInfo!$H$5</f>
        <v>6.996338483674043E-2</v>
      </c>
    </row>
    <row r="23" spans="1:28" x14ac:dyDescent="0.25">
      <c r="A23">
        <f>RANK(P23,P$3:P$115)</f>
        <v>21</v>
      </c>
      <c r="B23" t="str">
        <f>TE_Raw!A22</f>
        <v>Albert Okwuegbunam</v>
      </c>
      <c r="C23" t="s">
        <v>43</v>
      </c>
      <c r="D23" t="str">
        <f>_xlfn.IFNA(INDEX(BYEs!$E$2:$E$411,MATCH(B23,BYEs!$D$2:$D$411,0)),"N/A")</f>
        <v>N/A</v>
      </c>
      <c r="E23">
        <f>INDEX(BYEs!$B$2:$B$34,MATCH(F23,BYEs!$A$2:$A$34,0))</f>
        <v>9</v>
      </c>
      <c r="F23" t="str">
        <f>TE_Raw!B22</f>
        <v>DEN</v>
      </c>
      <c r="G23" s="202">
        <v>0</v>
      </c>
      <c r="H23" s="203">
        <v>0</v>
      </c>
      <c r="I23" s="204">
        <v>0</v>
      </c>
      <c r="J23" s="204">
        <v>0</v>
      </c>
      <c r="K23" s="204">
        <v>0</v>
      </c>
      <c r="L23" s="206">
        <f>TE_Raw!C22</f>
        <v>49.9</v>
      </c>
      <c r="M23" s="204">
        <f>TE_Raw!D22</f>
        <v>514.4</v>
      </c>
      <c r="N23" s="207">
        <f>TE_Raw!E22</f>
        <v>4.7</v>
      </c>
      <c r="O23" s="204">
        <f>TE_Raw!F22</f>
        <v>0.8</v>
      </c>
      <c r="P23" s="11">
        <f>(J23*TERushYd)+(K23*TERushTD)+(L23*TERec)+(M23*TERecYd)+(N23*TERecTD)+(O23*TEFuml)+(I23*TERushAtt)</f>
        <v>102.99000000000001</v>
      </c>
      <c r="Q23" t="str">
        <f ca="1">IF(A23&lt;=TEStarters,"Starter",IF(A23&gt;TEStarters+TEBench,"Undrafted","Bench"))</f>
        <v>Bench</v>
      </c>
      <c r="R23">
        <f ca="1">IFERROR(MAX(P23-LARGE(TESheetCount,TEStarters),0),0)</f>
        <v>0</v>
      </c>
      <c r="S23">
        <f ca="1">IFERROR(IF(AllowNegative="Yes",P23-LARGE(TESheetCount,TECount),MAX(P23-LARGE(TESheetCount,TECount),0)),0)</f>
        <v>0.32999999999999829</v>
      </c>
      <c r="T23">
        <f ca="1">IF(TEStarters&gt;0,(S23-R23)*BenchPF+R23*StarterPF,0)</f>
        <v>5.9834577761206889E-2</v>
      </c>
      <c r="U23">
        <f ca="1">T23*Auction!$A$2</f>
        <v>5.9834577761206889E-2</v>
      </c>
      <c r="V23" s="6" t="str">
        <f>IF(OR(INDEX(Auction!$H$13:$H$656,MATCH(B23,Auction!$A$13:$A$656,0))&gt;0,IFERROR(INDEX(CheatSheet!$D$37:$D$64,MATCH(B23,CheatSheet!$A$37:$A$64,0)),"")&lt;&gt;""),"Yes","No")</f>
        <v>No</v>
      </c>
      <c r="W23" s="179"/>
      <c r="Y23" s="78">
        <f t="shared" ca="1" si="0"/>
        <v>1</v>
      </c>
      <c r="Z23">
        <f t="shared" ca="1" si="2"/>
        <v>0.16499999999999915</v>
      </c>
      <c r="AA23" s="116" t="str">
        <f t="shared" ca="1" si="1"/>
        <v>TE9</v>
      </c>
      <c r="AB23">
        <f ca="1">Z23*LeagueInfo!$H$5</f>
        <v>6.0757676305590785E-2</v>
      </c>
    </row>
    <row r="24" spans="1:28" x14ac:dyDescent="0.25">
      <c r="A24">
        <f>RANK(P24,P$3:P$115)</f>
        <v>22</v>
      </c>
      <c r="B24" t="str">
        <f>TE_Raw!A21</f>
        <v>Robert Tonyan</v>
      </c>
      <c r="C24" t="s">
        <v>43</v>
      </c>
      <c r="D24" t="str">
        <f>_xlfn.IFNA(INDEX(BYEs!$E$2:$E$411,MATCH(B24,BYEs!$D$2:$D$411,0)),"N/A")</f>
        <v>N/A</v>
      </c>
      <c r="E24">
        <f>INDEX(BYEs!$B$2:$B$34,MATCH(F24,BYEs!$A$2:$A$34,0))</f>
        <v>14</v>
      </c>
      <c r="F24" t="str">
        <f>TE_Raw!B21</f>
        <v>GB</v>
      </c>
      <c r="G24" s="202">
        <v>0</v>
      </c>
      <c r="H24" s="203">
        <v>0</v>
      </c>
      <c r="I24" s="204">
        <v>0</v>
      </c>
      <c r="J24" s="204">
        <v>0</v>
      </c>
      <c r="K24" s="204">
        <v>0</v>
      </c>
      <c r="L24" s="206">
        <f>TE_Raw!C21</f>
        <v>46</v>
      </c>
      <c r="M24" s="204">
        <f>TE_Raw!D21</f>
        <v>523.1</v>
      </c>
      <c r="N24" s="207">
        <f>TE_Raw!E21</f>
        <v>4.5999999999999996</v>
      </c>
      <c r="O24" s="204">
        <f>TE_Raw!F21</f>
        <v>0.1</v>
      </c>
      <c r="P24" s="11">
        <f>(J24*TERushYd)+(K24*TERushTD)+(L24*TERec)+(M24*TERecYd)+(N24*TERecTD)+(O24*TEFuml)+(I24*TERushAtt)</f>
        <v>102.71</v>
      </c>
      <c r="Q24" t="str">
        <f ca="1">IF(A24&lt;=TEStarters,"Starter",IF(A24&gt;TEStarters+TEBench,"Undrafted","Bench"))</f>
        <v>Bench</v>
      </c>
      <c r="R24">
        <f ca="1">IFERROR(MAX(P24-LARGE(TESheetCount,TEStarters),0),0)</f>
        <v>0</v>
      </c>
      <c r="S24">
        <f ca="1">IFERROR(IF(AllowNegative="Yes",P24-LARGE(TESheetCount,TECount),MAX(P24-LARGE(TESheetCount,TECount),0)),0)</f>
        <v>4.9999999999982947E-2</v>
      </c>
      <c r="T24">
        <f ca="1">IF(TEStarters&gt;0,(S24-R24)*BenchPF+R24*StarterPF,0)</f>
        <v>9.0658451153313325E-3</v>
      </c>
      <c r="U24">
        <f ca="1">T24*Auction!$A$2</f>
        <v>9.0658451153313325E-3</v>
      </c>
      <c r="V24" s="6" t="str">
        <f>IF(OR(INDEX(Auction!$H$13:$H$656,MATCH(B24,Auction!$A$13:$A$656,0))&gt;0,IFERROR(INDEX(CheatSheet!$D$37:$D$64,MATCH(B24,CheatSheet!$A$37:$A$64,0)),"")&lt;&gt;""),"Yes","No")</f>
        <v>No</v>
      </c>
      <c r="W24" s="179"/>
      <c r="Y24" s="78">
        <f t="shared" ca="1" si="0"/>
        <v>1</v>
      </c>
      <c r="Z24">
        <f t="shared" ca="1" si="2"/>
        <v>2.4999999999991473E-2</v>
      </c>
      <c r="AA24" s="116" t="str">
        <f t="shared" ca="1" si="1"/>
        <v>TE9</v>
      </c>
      <c r="AB24">
        <f ca="1">Z24*LeagueInfo!$H$5</f>
        <v>9.2057085311470273E-3</v>
      </c>
    </row>
    <row r="25" spans="1:28" x14ac:dyDescent="0.25">
      <c r="A25">
        <f>RANK(P25,P$3:P$115)</f>
        <v>23</v>
      </c>
      <c r="B25" t="str">
        <f>TE_Raw!A24</f>
        <v>Evan Engram</v>
      </c>
      <c r="C25" t="s">
        <v>43</v>
      </c>
      <c r="D25">
        <f>_xlfn.IFNA(INDEX(BYEs!$E$2:$E$411,MATCH(B25,BYEs!$D$2:$D$411,0)),"N/A")</f>
        <v>26</v>
      </c>
      <c r="E25">
        <f>INDEX(BYEs!$B$2:$B$34,MATCH(F25,BYEs!$A$2:$A$34,0))</f>
        <v>11</v>
      </c>
      <c r="F25" t="str">
        <f>TE_Raw!B24</f>
        <v>JAC</v>
      </c>
      <c r="G25" s="202">
        <v>0</v>
      </c>
      <c r="H25" s="203">
        <v>0</v>
      </c>
      <c r="I25" s="204">
        <v>0</v>
      </c>
      <c r="J25" s="204">
        <v>0</v>
      </c>
      <c r="K25" s="204">
        <v>0</v>
      </c>
      <c r="L25" s="206">
        <f>TE_Raw!C24</f>
        <v>53.6</v>
      </c>
      <c r="M25" s="204">
        <f>TE_Raw!D24</f>
        <v>550.6</v>
      </c>
      <c r="N25" s="207">
        <f>TE_Raw!E24</f>
        <v>3.6</v>
      </c>
      <c r="O25" s="204">
        <f>TE_Raw!F24</f>
        <v>0.4</v>
      </c>
      <c r="P25" s="11">
        <f>(J25*TERushYd)+(K25*TERushTD)+(L25*TERec)+(M25*TERecYd)+(N25*TERecTD)+(O25*TEFuml)+(I25*TERushAtt)</f>
        <v>102.66000000000001</v>
      </c>
      <c r="Q25" t="str">
        <f ca="1">IF(A25&lt;=TEStarters,"Starter",IF(A25&gt;TEStarters+TEBench,"Undrafted","Bench"))</f>
        <v>Undrafted</v>
      </c>
      <c r="R25">
        <f ca="1">IFERROR(MAX(P25-LARGE(TESheetCount,TEStarters),0),0)</f>
        <v>0</v>
      </c>
      <c r="S25">
        <f ca="1">IFERROR(IF(AllowNegative="Yes",P25-LARGE(TESheetCount,TECount),MAX(P25-LARGE(TESheetCount,TECount),0)),0)</f>
        <v>0</v>
      </c>
      <c r="T25">
        <f ca="1">IF(TEStarters&gt;0,(S25-R25)*BenchPF+R25*StarterPF,0)</f>
        <v>0</v>
      </c>
      <c r="U25">
        <f ca="1">T25*Auction!$A$2</f>
        <v>0</v>
      </c>
      <c r="V25" s="6" t="str">
        <f>IF(OR(INDEX(Auction!$H$13:$H$656,MATCH(B25,Auction!$A$13:$A$656,0))&gt;0,IFERROR(INDEX(CheatSheet!$D$37:$D$64,MATCH(B25,CheatSheet!$A$37:$A$64,0)),"")&lt;&gt;""),"Yes","No")</f>
        <v>No</v>
      </c>
      <c r="W25" s="179"/>
      <c r="Y25" s="78">
        <f t="shared" ca="1" si="0"/>
        <v>1</v>
      </c>
      <c r="Z25">
        <f t="shared" ca="1" si="2"/>
        <v>0</v>
      </c>
      <c r="AA25" s="116" t="str">
        <f t="shared" ca="1" si="1"/>
        <v>TE9</v>
      </c>
      <c r="AB25">
        <f ca="1">Z25*LeagueInfo!$H$5</f>
        <v>0</v>
      </c>
    </row>
    <row r="26" spans="1:28" x14ac:dyDescent="0.25">
      <c r="A26">
        <f>RANK(P26,P$3:P$115)</f>
        <v>24</v>
      </c>
      <c r="B26" t="str">
        <f>TE_Raw!A25</f>
        <v>Austin Hooper</v>
      </c>
      <c r="C26" t="s">
        <v>43</v>
      </c>
      <c r="D26">
        <f>_xlfn.IFNA(INDEX(BYEs!$E$2:$E$411,MATCH(B26,BYEs!$D$2:$D$411,0)),"N/A")</f>
        <v>26</v>
      </c>
      <c r="E26">
        <f>INDEX(BYEs!$B$2:$B$34,MATCH(F26,BYEs!$A$2:$A$34,0))</f>
        <v>6</v>
      </c>
      <c r="F26" t="str">
        <f>TE_Raw!B25</f>
        <v>TEN</v>
      </c>
      <c r="G26" s="202">
        <v>0</v>
      </c>
      <c r="H26" s="203">
        <v>0</v>
      </c>
      <c r="I26" s="204">
        <v>0</v>
      </c>
      <c r="J26" s="204">
        <v>0</v>
      </c>
      <c r="K26" s="204">
        <v>0</v>
      </c>
      <c r="L26" s="206">
        <f>TE_Raw!C25</f>
        <v>50.9</v>
      </c>
      <c r="M26" s="204">
        <f>TE_Raw!D25</f>
        <v>497.8</v>
      </c>
      <c r="N26" s="207">
        <f>TE_Raw!E25</f>
        <v>4.0999999999999996</v>
      </c>
      <c r="O26" s="204">
        <f>TE_Raw!F25</f>
        <v>0.4</v>
      </c>
      <c r="P26" s="11">
        <f>(J26*TERushYd)+(K26*TERushTD)+(L26*TERec)+(M26*TERecYd)+(N26*TERecTD)+(O26*TEFuml)+(I26*TERushAtt)</f>
        <v>99.03</v>
      </c>
      <c r="Q26" t="str">
        <f ca="1">IF(A26&lt;=TEStarters,"Starter",IF(A26&gt;TEStarters+TEBench,"Undrafted","Bench"))</f>
        <v>Undrafted</v>
      </c>
      <c r="R26">
        <f ca="1">IFERROR(MAX(P26-LARGE(TESheetCount,TEStarters),0),0)</f>
        <v>0</v>
      </c>
      <c r="S26">
        <f ca="1">IFERROR(IF(AllowNegative="Yes",P26-LARGE(TESheetCount,TECount),MAX(P26-LARGE(TESheetCount,TECount),0)),0)</f>
        <v>-3.6300000000000097</v>
      </c>
      <c r="T26">
        <f ca="1">IF(TEStarters&gt;0,(S26-R26)*BenchPF+R26*StarterPF,0)</f>
        <v>-0.6581803553732809</v>
      </c>
      <c r="U26">
        <f ca="1">T26*Auction!$A$2</f>
        <v>-0.6581803553732809</v>
      </c>
      <c r="V26" s="6" t="str">
        <f>IF(OR(INDEX(Auction!$H$13:$H$656,MATCH(B26,Auction!$A$13:$A$656,0))&gt;0,IFERROR(INDEX(CheatSheet!$D$37:$D$64,MATCH(B26,CheatSheet!$A$37:$A$64,0)),"")&lt;&gt;""),"Yes","No")</f>
        <v>No</v>
      </c>
      <c r="W26" s="179"/>
      <c r="Y26" s="78">
        <f t="shared" ca="1" si="0"/>
        <v>1</v>
      </c>
      <c r="Z26">
        <f t="shared" ca="1" si="2"/>
        <v>-1.8150000000000048</v>
      </c>
      <c r="AA26" s="116" t="str">
        <f t="shared" ca="1" si="1"/>
        <v>TE9</v>
      </c>
      <c r="AB26">
        <f ca="1">Z26*LeagueInfo!$H$5</f>
        <v>-0.66833443936150394</v>
      </c>
    </row>
    <row r="27" spans="1:28" x14ac:dyDescent="0.25">
      <c r="A27">
        <f>RANK(P27,P$3:P$115)</f>
        <v>25</v>
      </c>
      <c r="B27" t="str">
        <f>TE_Raw!A26</f>
        <v>Hayden Hurst</v>
      </c>
      <c r="C27" t="s">
        <v>43</v>
      </c>
      <c r="D27">
        <f>_xlfn.IFNA(INDEX(BYEs!$E$2:$E$411,MATCH(B27,BYEs!$D$2:$D$411,0)),"N/A")</f>
        <v>27</v>
      </c>
      <c r="E27">
        <f>INDEX(BYEs!$B$2:$B$34,MATCH(F27,BYEs!$A$2:$A$34,0))</f>
        <v>10</v>
      </c>
      <c r="F27" t="str">
        <f>TE_Raw!B26</f>
        <v>CIN</v>
      </c>
      <c r="G27" s="202">
        <v>0</v>
      </c>
      <c r="H27" s="203">
        <v>0</v>
      </c>
      <c r="I27" s="204">
        <v>0</v>
      </c>
      <c r="J27" s="204">
        <v>0</v>
      </c>
      <c r="K27" s="204">
        <v>0</v>
      </c>
      <c r="L27" s="206">
        <f>TE_Raw!C26</f>
        <v>41.9</v>
      </c>
      <c r="M27" s="204">
        <f>TE_Raw!D26</f>
        <v>440.6</v>
      </c>
      <c r="N27" s="207">
        <f>TE_Raw!E26</f>
        <v>4</v>
      </c>
      <c r="O27" s="204">
        <f>TE_Raw!F26</f>
        <v>0.5</v>
      </c>
      <c r="P27" s="11">
        <f>(J27*TERushYd)+(K27*TERushTD)+(L27*TERec)+(M27*TERecYd)+(N27*TERecTD)+(O27*TEFuml)+(I27*TERushAtt)</f>
        <v>88.01</v>
      </c>
      <c r="Q27" t="str">
        <f ca="1">IF(A27&lt;=TEStarters,"Starter",IF(A27&gt;TEStarters+TEBench,"Undrafted","Bench"))</f>
        <v>Undrafted</v>
      </c>
      <c r="R27">
        <f ca="1">IFERROR(MAX(P27-LARGE(TESheetCount,TEStarters),0),0)</f>
        <v>0</v>
      </c>
      <c r="S27">
        <f ca="1">IFERROR(IF(AllowNegative="Yes",P27-LARGE(TESheetCount,TECount),MAX(P27-LARGE(TESheetCount,TECount),0)),0)</f>
        <v>-14.650000000000006</v>
      </c>
      <c r="T27">
        <f ca="1">IF(TEStarters&gt;0,(S27-R27)*BenchPF+R27*StarterPF,0)</f>
        <v>-2.6562926187929872</v>
      </c>
      <c r="U27">
        <f ca="1">T27*Auction!$A$2</f>
        <v>-2.6562926187929872</v>
      </c>
      <c r="V27" s="6" t="str">
        <f>IF(OR(INDEX(Auction!$H$13:$H$656,MATCH(B27,Auction!$A$13:$A$656,0))&gt;0,IFERROR(INDEX(CheatSheet!$D$37:$D$64,MATCH(B27,CheatSheet!$A$37:$A$64,0)),"")&lt;&gt;""),"Yes","No")</f>
        <v>No</v>
      </c>
      <c r="W27" s="179"/>
      <c r="Y27" s="78">
        <f t="shared" ca="1" si="0"/>
        <v>1</v>
      </c>
      <c r="Z27">
        <f t="shared" ca="1" si="2"/>
        <v>-7.3250000000000028</v>
      </c>
      <c r="AA27" s="116" t="str">
        <f t="shared" ca="1" si="1"/>
        <v>TE9</v>
      </c>
      <c r="AB27">
        <f ca="1">Z27*LeagueInfo!$H$5</f>
        <v>-2.6972725996269999</v>
      </c>
    </row>
    <row r="28" spans="1:28" x14ac:dyDescent="0.25">
      <c r="A28">
        <f>RANK(P28,P$3:P$115)</f>
        <v>26</v>
      </c>
      <c r="B28" t="str">
        <f>TE_Raw!A27</f>
        <v>Mo Alie-Cox</v>
      </c>
      <c r="C28" t="s">
        <v>43</v>
      </c>
      <c r="D28">
        <f>_xlfn.IFNA(INDEX(BYEs!$E$2:$E$411,MATCH(B28,BYEs!$D$2:$D$411,0)),"N/A")</f>
        <v>27</v>
      </c>
      <c r="E28">
        <f>INDEX(BYEs!$B$2:$B$34,MATCH(F28,BYEs!$A$2:$A$34,0))</f>
        <v>14</v>
      </c>
      <c r="F28" t="str">
        <f>TE_Raw!B27</f>
        <v>IND</v>
      </c>
      <c r="G28" s="202">
        <v>0</v>
      </c>
      <c r="H28" s="203">
        <v>0</v>
      </c>
      <c r="I28" s="204">
        <v>0</v>
      </c>
      <c r="J28" s="204">
        <v>0</v>
      </c>
      <c r="K28" s="204">
        <v>0</v>
      </c>
      <c r="L28" s="206">
        <f>TE_Raw!C27</f>
        <v>36.4</v>
      </c>
      <c r="M28" s="204">
        <f>TE_Raw!D27</f>
        <v>439.9</v>
      </c>
      <c r="N28" s="207">
        <f>TE_Raw!E27</f>
        <v>3.5</v>
      </c>
      <c r="O28" s="204">
        <f>TE_Raw!F27</f>
        <v>0.1</v>
      </c>
      <c r="P28" s="11">
        <f>(J28*TERushYd)+(K28*TERushTD)+(L28*TERec)+(M28*TERecYd)+(N28*TERecTD)+(O28*TEFuml)+(I28*TERushAtt)</f>
        <v>82.99</v>
      </c>
      <c r="Q28" t="str">
        <f ca="1">IF(A28&lt;=TEStarters,"Starter",IF(A28&gt;TEStarters+TEBench,"Undrafted","Bench"))</f>
        <v>Undrafted</v>
      </c>
      <c r="R28">
        <f ca="1">IFERROR(MAX(P28-LARGE(TESheetCount,TEStarters),0),0)</f>
        <v>0</v>
      </c>
      <c r="S28">
        <f ca="1">IFERROR(IF(AllowNegative="Yes",P28-LARGE(TESheetCount,TECount),MAX(P28-LARGE(TESheetCount,TECount),0)),0)</f>
        <v>-19.670000000000016</v>
      </c>
      <c r="T28">
        <f ca="1">IF(TEStarters&gt;0,(S28-R28)*BenchPF+R28*StarterPF,0)</f>
        <v>-3.5665034683725652</v>
      </c>
      <c r="U28">
        <f ca="1">T28*Auction!$A$2</f>
        <v>-3.5665034683725652</v>
      </c>
      <c r="V28" s="6" t="str">
        <f>IF(OR(INDEX(Auction!$H$13:$H$656,MATCH(B28,Auction!$A$13:$A$656,0))&gt;0,IFERROR(INDEX(CheatSheet!$D$37:$D$64,MATCH(B28,CheatSheet!$A$37:$A$64,0)),"")&lt;&gt;""),"Yes","No")</f>
        <v>No</v>
      </c>
      <c r="W28" s="179"/>
      <c r="Y28" s="78">
        <f t="shared" ca="1" si="0"/>
        <v>1</v>
      </c>
      <c r="Z28">
        <f t="shared" ca="1" si="2"/>
        <v>-9.835000000000008</v>
      </c>
      <c r="AA28" s="116" t="str">
        <f t="shared" ca="1" si="1"/>
        <v>TE9</v>
      </c>
      <c r="AB28">
        <f ca="1">Z28*LeagueInfo!$H$5</f>
        <v>-3.6215257361544784</v>
      </c>
    </row>
    <row r="29" spans="1:28" x14ac:dyDescent="0.25">
      <c r="A29">
        <f>RANK(P29,P$3:P$115)</f>
        <v>27</v>
      </c>
      <c r="B29" t="str">
        <f>TE_Raw!A28</f>
        <v>Brevin Jordan</v>
      </c>
      <c r="C29" t="s">
        <v>43</v>
      </c>
      <c r="D29" t="str">
        <f>_xlfn.IFNA(INDEX(BYEs!$E$2:$E$411,MATCH(B29,BYEs!$D$2:$D$411,0)),"N/A")</f>
        <v>N/A</v>
      </c>
      <c r="E29">
        <f>INDEX(BYEs!$B$2:$B$34,MATCH(F29,BYEs!$A$2:$A$34,0))</f>
        <v>6</v>
      </c>
      <c r="F29" t="str">
        <f>TE_Raw!B28</f>
        <v>HOU</v>
      </c>
      <c r="G29" s="202">
        <v>0</v>
      </c>
      <c r="H29" s="203">
        <v>0</v>
      </c>
      <c r="I29" s="204">
        <v>0</v>
      </c>
      <c r="J29" s="204">
        <v>0</v>
      </c>
      <c r="K29" s="204">
        <v>0</v>
      </c>
      <c r="L29" s="206">
        <f>TE_Raw!C28</f>
        <v>41.7</v>
      </c>
      <c r="M29" s="204">
        <f>TE_Raw!D28</f>
        <v>423.1</v>
      </c>
      <c r="N29" s="207">
        <f>TE_Raw!E28</f>
        <v>2.9</v>
      </c>
      <c r="O29" s="204">
        <f>TE_Raw!F28</f>
        <v>0.1</v>
      </c>
      <c r="P29" s="11">
        <f>(J29*TERushYd)+(K29*TERushTD)+(L29*TERec)+(M29*TERecYd)+(N29*TERecTD)+(O29*TEFuml)+(I29*TERushAtt)</f>
        <v>80.36</v>
      </c>
      <c r="Q29" t="str">
        <f ca="1">IF(A29&lt;=TEStarters,"Starter",IF(A29&gt;TEStarters+TEBench,"Undrafted","Bench"))</f>
        <v>Undrafted</v>
      </c>
      <c r="R29">
        <f ca="1">IFERROR(MAX(P29-LARGE(TESheetCount,TEStarters),0),0)</f>
        <v>0</v>
      </c>
      <c r="S29">
        <f ca="1">IFERROR(IF(AllowNegative="Yes",P29-LARGE(TESheetCount,TECount),MAX(P29-LARGE(TESheetCount,TECount),0)),0)</f>
        <v>-22.300000000000011</v>
      </c>
      <c r="T29">
        <f ca="1">IF(TEStarters&gt;0,(S29-R29)*BenchPF+R29*StarterPF,0)</f>
        <v>-4.043366921439155</v>
      </c>
      <c r="U29">
        <f ca="1">T29*Auction!$A$2</f>
        <v>-4.043366921439155</v>
      </c>
      <c r="V29" s="6" t="str">
        <f>IF(OR(INDEX(Auction!$H$13:$H$656,MATCH(B29,Auction!$A$13:$A$656,0))&gt;0,IFERROR(INDEX(CheatSheet!$D$37:$D$64,MATCH(B29,CheatSheet!$A$37:$A$64,0)),"")&lt;&gt;""),"Yes","No")</f>
        <v>No</v>
      </c>
      <c r="W29" s="179"/>
      <c r="Y29" s="78">
        <f t="shared" ca="1" si="0"/>
        <v>1</v>
      </c>
      <c r="Z29">
        <f t="shared" ca="1" si="2"/>
        <v>-11.150000000000006</v>
      </c>
      <c r="AA29" s="116" t="str">
        <f t="shared" ca="1" si="1"/>
        <v>TE9</v>
      </c>
      <c r="AB29">
        <f ca="1">Z29*LeagueInfo!$H$5</f>
        <v>-4.1057460048929766</v>
      </c>
    </row>
    <row r="30" spans="1:28" x14ac:dyDescent="0.25">
      <c r="A30">
        <f>RANK(P30,P$3:P$115)</f>
        <v>28</v>
      </c>
      <c r="B30" t="str">
        <f>TE_Raw!A31</f>
        <v>C.J. Uzomah</v>
      </c>
      <c r="C30" t="s">
        <v>43</v>
      </c>
      <c r="D30">
        <f>_xlfn.IFNA(INDEX(BYEs!$E$2:$E$411,MATCH(B30,BYEs!$D$2:$D$411,0)),"N/A")</f>
        <v>28</v>
      </c>
      <c r="E30">
        <f>INDEX(BYEs!$B$2:$B$34,MATCH(F30,BYEs!$A$2:$A$34,0))</f>
        <v>10</v>
      </c>
      <c r="F30" t="str">
        <f>TE_Raw!B31</f>
        <v>NYJ</v>
      </c>
      <c r="G30" s="202">
        <v>0</v>
      </c>
      <c r="H30" s="203">
        <v>0</v>
      </c>
      <c r="I30" s="204">
        <v>0</v>
      </c>
      <c r="J30" s="204">
        <v>0</v>
      </c>
      <c r="K30" s="204">
        <v>0</v>
      </c>
      <c r="L30" s="206">
        <f>TE_Raw!C31</f>
        <v>36.1</v>
      </c>
      <c r="M30" s="204">
        <f>TE_Raw!D31</f>
        <v>358.5</v>
      </c>
      <c r="N30" s="207">
        <f>TE_Raw!E31</f>
        <v>2.6</v>
      </c>
      <c r="O30" s="204">
        <f>TE_Raw!F31</f>
        <v>0</v>
      </c>
      <c r="P30" s="11">
        <f>(J30*TERushYd)+(K30*TERushTD)+(L30*TERec)+(M30*TERecYd)+(N30*TERecTD)+(O30*TEFuml)+(I30*TERushAtt)</f>
        <v>69.5</v>
      </c>
      <c r="Q30" t="str">
        <f ca="1">IF(A30&lt;=TEStarters,"Starter",IF(A30&gt;TEStarters+TEBench,"Undrafted","Bench"))</f>
        <v>Undrafted</v>
      </c>
      <c r="R30">
        <f ca="1">IFERROR(MAX(P30-LARGE(TESheetCount,TEStarters),0),0)</f>
        <v>0</v>
      </c>
      <c r="S30">
        <f ca="1">IFERROR(IF(AllowNegative="Yes",P30-LARGE(TESheetCount,TECount),MAX(P30-LARGE(TESheetCount,TECount),0)),0)</f>
        <v>-33.160000000000011</v>
      </c>
      <c r="T30">
        <f ca="1">IF(TEStarters&gt;0,(S30-R30)*BenchPF+R30*StarterPF,0)</f>
        <v>-6.0124684804897921</v>
      </c>
      <c r="U30">
        <f ca="1">T30*Auction!$A$2</f>
        <v>-6.0124684804897921</v>
      </c>
      <c r="V30" s="6" t="str">
        <f>IF(OR(INDEX(Auction!$H$13:$H$656,MATCH(B30,Auction!$A$13:$A$656,0))&gt;0,IFERROR(INDEX(CheatSheet!$D$37:$D$64,MATCH(B30,CheatSheet!$A$37:$A$64,0)),"")&lt;&gt;""),"Yes","No")</f>
        <v>No</v>
      </c>
      <c r="W30" s="179"/>
      <c r="Y30" s="78">
        <f t="shared" ca="1" si="0"/>
        <v>1</v>
      </c>
      <c r="Z30">
        <f t="shared" ca="1" si="2"/>
        <v>-16.580000000000005</v>
      </c>
      <c r="AA30" s="116" t="str">
        <f t="shared" ca="1" si="1"/>
        <v>TE10</v>
      </c>
      <c r="AB30">
        <f ca="1">Z30*LeagueInfo!$H$5</f>
        <v>-6.1052258978587925</v>
      </c>
    </row>
    <row r="31" spans="1:28" x14ac:dyDescent="0.25">
      <c r="A31">
        <f>RANK(P31,P$3:P$115)</f>
        <v>29</v>
      </c>
      <c r="B31" t="str">
        <f>TE_Raw!A29</f>
        <v>Kyle Rudolph</v>
      </c>
      <c r="C31" t="s">
        <v>43</v>
      </c>
      <c r="D31">
        <f>_xlfn.IFNA(INDEX(BYEs!$E$2:$E$411,MATCH(B31,BYEs!$D$2:$D$411,0)),"N/A")</f>
        <v>31</v>
      </c>
      <c r="E31">
        <f>INDEX(BYEs!$B$2:$B$34,MATCH(F31,BYEs!$A$2:$A$34,0))</f>
        <v>11</v>
      </c>
      <c r="F31" t="str">
        <f>TE_Raw!B29</f>
        <v>TB</v>
      </c>
      <c r="G31" s="202">
        <v>0</v>
      </c>
      <c r="H31" s="203">
        <v>0</v>
      </c>
      <c r="I31" s="204">
        <v>0</v>
      </c>
      <c r="J31" s="204">
        <v>0</v>
      </c>
      <c r="K31" s="204">
        <v>0</v>
      </c>
      <c r="L31" s="206">
        <f>TE_Raw!C29</f>
        <v>33.200000000000003</v>
      </c>
      <c r="M31" s="204">
        <f>TE_Raw!D29</f>
        <v>331.4</v>
      </c>
      <c r="N31" s="207">
        <f>TE_Raw!E29</f>
        <v>3.2</v>
      </c>
      <c r="O31" s="204">
        <f>TE_Raw!F29</f>
        <v>0.1</v>
      </c>
      <c r="P31" s="11">
        <f>(J31*TERushYd)+(K31*TERushTD)+(L31*TERec)+(M31*TERecYd)+(N31*TERecTD)+(O31*TEFuml)+(I31*TERushAtt)</f>
        <v>68.739999999999995</v>
      </c>
      <c r="Q31" t="str">
        <f ca="1">IF(A31&lt;=TEStarters,"Starter",IF(A31&gt;TEStarters+TEBench,"Undrafted","Bench"))</f>
        <v>Undrafted</v>
      </c>
      <c r="R31">
        <f ca="1">IFERROR(MAX(P31-LARGE(TESheetCount,TEStarters),0),0)</f>
        <v>0</v>
      </c>
      <c r="S31">
        <f ca="1">IFERROR(IF(AllowNegative="Yes",P31-LARGE(TESheetCount,TECount),MAX(P31-LARGE(TESheetCount,TECount),0)),0)</f>
        <v>-33.920000000000016</v>
      </c>
      <c r="T31">
        <f ca="1">IF(TEStarters&gt;0,(S31-R31)*BenchPF+R31*StarterPF,0)</f>
        <v>-6.150269326242876</v>
      </c>
      <c r="U31">
        <f ca="1">T31*Auction!$A$2</f>
        <v>-6.150269326242876</v>
      </c>
      <c r="V31" s="6" t="str">
        <f>IF(OR(INDEX(Auction!$H$13:$H$656,MATCH(B31,Auction!$A$13:$A$656,0))&gt;0,IFERROR(INDEX(CheatSheet!$D$37:$D$64,MATCH(B31,CheatSheet!$A$37:$A$64,0)),"")&lt;&gt;""),"Yes","No")</f>
        <v>No</v>
      </c>
      <c r="W31" s="179"/>
      <c r="Y31" s="78">
        <f t="shared" ca="1" si="0"/>
        <v>1</v>
      </c>
      <c r="Z31">
        <f t="shared" ca="1" si="2"/>
        <v>-16.960000000000008</v>
      </c>
      <c r="AA31" s="116" t="str">
        <f t="shared" ca="1" si="1"/>
        <v>TE10</v>
      </c>
      <c r="AB31">
        <f ca="1">Z31*LeagueInfo!$H$5</f>
        <v>-6.2451526675322757</v>
      </c>
    </row>
    <row r="32" spans="1:28" x14ac:dyDescent="0.25">
      <c r="A32">
        <f>RANK(P32,P$3:P$115)</f>
        <v>30</v>
      </c>
      <c r="B32" t="str">
        <f>TE_Raw!A30</f>
        <v>Isaiah Likely</v>
      </c>
      <c r="C32" t="s">
        <v>43</v>
      </c>
      <c r="D32" t="str">
        <f>_xlfn.IFNA(INDEX(BYEs!$E$2:$E$411,MATCH(B32,BYEs!$D$2:$D$411,0)),"N/A")</f>
        <v>N/A</v>
      </c>
      <c r="E32">
        <f>INDEX(BYEs!$B$2:$B$34,MATCH(F32,BYEs!$A$2:$A$34,0))</f>
        <v>10</v>
      </c>
      <c r="F32" t="str">
        <f>TE_Raw!B30</f>
        <v>BAL</v>
      </c>
      <c r="G32" s="202">
        <v>0</v>
      </c>
      <c r="H32" s="203">
        <v>0</v>
      </c>
      <c r="I32" s="204">
        <v>0</v>
      </c>
      <c r="J32" s="204">
        <v>0</v>
      </c>
      <c r="K32" s="204">
        <v>0</v>
      </c>
      <c r="L32" s="206">
        <f>TE_Raw!C30</f>
        <v>31.9</v>
      </c>
      <c r="M32" s="204">
        <f>TE_Raw!D30</f>
        <v>351.9</v>
      </c>
      <c r="N32" s="207">
        <f>TE_Raw!E30</f>
        <v>2.9</v>
      </c>
      <c r="O32" s="204">
        <f>TE_Raw!F30</f>
        <v>0.2</v>
      </c>
      <c r="P32" s="11">
        <f>(J32*TERushYd)+(K32*TERushTD)+(L32*TERec)+(M32*TERecYd)+(N32*TERecTD)+(O32*TEFuml)+(I32*TERushAtt)</f>
        <v>68.139999999999986</v>
      </c>
      <c r="Q32" t="str">
        <f ca="1">IF(A32&lt;=TEStarters,"Starter",IF(A32&gt;TEStarters+TEBench,"Undrafted","Bench"))</f>
        <v>Undrafted</v>
      </c>
      <c r="R32">
        <f ca="1">IFERROR(MAX(P32-LARGE(TESheetCount,TEStarters),0),0)</f>
        <v>0</v>
      </c>
      <c r="S32">
        <f ca="1">IFERROR(IF(AllowNegative="Yes",P32-LARGE(TESheetCount,TECount),MAX(P32-LARGE(TESheetCount,TECount),0)),0)</f>
        <v>-34.520000000000024</v>
      </c>
      <c r="T32">
        <f ca="1">IF(TEStarters&gt;0,(S32-R32)*BenchPF+R32*StarterPF,0)</f>
        <v>-6.2590594676268907</v>
      </c>
      <c r="U32">
        <f ca="1">T32*Auction!$A$2</f>
        <v>-6.2590594676268907</v>
      </c>
      <c r="V32" s="6" t="str">
        <f>IF(OR(INDEX(Auction!$H$13:$H$656,MATCH(B32,Auction!$A$13:$A$656,0))&gt;0,IFERROR(INDEX(CheatSheet!$D$37:$D$64,MATCH(B32,CheatSheet!$A$37:$A$64,0)),"")&lt;&gt;""),"Yes","No")</f>
        <v>No</v>
      </c>
      <c r="W32" s="179"/>
      <c r="Y32" s="78">
        <f t="shared" ca="1" si="0"/>
        <v>1</v>
      </c>
      <c r="Z32">
        <f t="shared" ca="1" si="2"/>
        <v>-17.260000000000012</v>
      </c>
      <c r="AA32" s="116" t="str">
        <f t="shared" ca="1" si="1"/>
        <v>TE10</v>
      </c>
      <c r="AB32">
        <f ca="1">Z32*LeagueInfo!$H$5</f>
        <v>-6.3556211699060796</v>
      </c>
    </row>
    <row r="33" spans="1:28" x14ac:dyDescent="0.25">
      <c r="A33">
        <f>RANK(P33,P$3:P$115)</f>
        <v>31</v>
      </c>
      <c r="B33" t="str">
        <f>TE_Raw!A32</f>
        <v>Cameron Brate</v>
      </c>
      <c r="C33" t="s">
        <v>43</v>
      </c>
      <c r="D33">
        <f>_xlfn.IFNA(INDEX(BYEs!$E$2:$E$411,MATCH(B33,BYEs!$D$2:$D$411,0)),"N/A")</f>
        <v>30</v>
      </c>
      <c r="E33">
        <f>INDEX(BYEs!$B$2:$B$34,MATCH(F33,BYEs!$A$2:$A$34,0))</f>
        <v>11</v>
      </c>
      <c r="F33" t="str">
        <f>TE_Raw!B32</f>
        <v>TB</v>
      </c>
      <c r="G33" s="202">
        <v>0</v>
      </c>
      <c r="H33" s="203">
        <v>0</v>
      </c>
      <c r="I33" s="204">
        <v>0</v>
      </c>
      <c r="J33" s="204">
        <v>0</v>
      </c>
      <c r="K33" s="204">
        <v>0</v>
      </c>
      <c r="L33" s="206">
        <f>TE_Raw!C32</f>
        <v>34.299999999999997</v>
      </c>
      <c r="M33" s="204">
        <f>TE_Raw!D32</f>
        <v>317.3</v>
      </c>
      <c r="N33" s="207">
        <f>TE_Raw!E32</f>
        <v>3.1</v>
      </c>
      <c r="O33" s="204">
        <f>TE_Raw!F32</f>
        <v>0.1</v>
      </c>
      <c r="P33" s="11">
        <f>(J33*TERushYd)+(K33*TERushTD)+(L33*TERec)+(M33*TERecYd)+(N33*TERecTD)+(O33*TEFuml)+(I33*TERushAtt)</f>
        <v>67.28</v>
      </c>
      <c r="Q33" t="str">
        <f ca="1">IF(A33&lt;=TEStarters,"Starter",IF(A33&gt;TEStarters+TEBench,"Undrafted","Bench"))</f>
        <v>Undrafted</v>
      </c>
      <c r="R33">
        <f ca="1">IFERROR(MAX(P33-LARGE(TESheetCount,TEStarters),0),0)</f>
        <v>0</v>
      </c>
      <c r="S33">
        <f ca="1">IFERROR(IF(AllowNegative="Yes",P33-LARGE(TESheetCount,TECount),MAX(P33-LARGE(TESheetCount,TECount),0)),0)</f>
        <v>-35.38000000000001</v>
      </c>
      <c r="T33">
        <f ca="1">IF(TEStarters&gt;0,(S33-R33)*BenchPF+R33*StarterPF,0)</f>
        <v>-6.4149920036106405</v>
      </c>
      <c r="U33">
        <f ca="1">T33*Auction!$A$2</f>
        <v>-6.4149920036106405</v>
      </c>
      <c r="V33" s="6" t="str">
        <f>IF(OR(INDEX(Auction!$H$13:$H$656,MATCH(B33,Auction!$A$13:$A$656,0))&gt;0,IFERROR(INDEX(CheatSheet!$D$37:$D$64,MATCH(B33,CheatSheet!$A$37:$A$64,0)),"")&lt;&gt;""),"Yes","No")</f>
        <v>No</v>
      </c>
      <c r="W33" s="179"/>
      <c r="Y33" s="78">
        <f t="shared" ca="1" si="0"/>
        <v>1</v>
      </c>
      <c r="Z33">
        <f t="shared" ca="1" si="2"/>
        <v>-17.690000000000005</v>
      </c>
      <c r="AA33" s="116" t="str">
        <f t="shared" ca="1" si="1"/>
        <v>TE10</v>
      </c>
      <c r="AB33">
        <f ca="1">Z33*LeagueInfo!$H$5</f>
        <v>-6.5139593566418599</v>
      </c>
    </row>
    <row r="34" spans="1:28" x14ac:dyDescent="0.25">
      <c r="A34">
        <f>RANK(P34,P$3:P$115)</f>
        <v>32</v>
      </c>
      <c r="B34" t="str">
        <f>TE_Raw!A33</f>
        <v>Adam Trautman</v>
      </c>
      <c r="C34" t="s">
        <v>43</v>
      </c>
      <c r="D34" t="str">
        <f>_xlfn.IFNA(INDEX(BYEs!$E$2:$E$411,MATCH(B34,BYEs!$D$2:$D$411,0)),"N/A")</f>
        <v>N/A</v>
      </c>
      <c r="E34">
        <f>INDEX(BYEs!$B$2:$B$34,MATCH(F34,BYEs!$A$2:$A$34,0))</f>
        <v>14</v>
      </c>
      <c r="F34" t="str">
        <f>TE_Raw!B33</f>
        <v>NO</v>
      </c>
      <c r="G34" s="202">
        <v>0</v>
      </c>
      <c r="H34" s="203">
        <v>0</v>
      </c>
      <c r="I34" s="204">
        <v>0</v>
      </c>
      <c r="J34" s="204">
        <v>0</v>
      </c>
      <c r="K34" s="204">
        <v>0</v>
      </c>
      <c r="L34" s="206">
        <f>TE_Raw!C33</f>
        <v>32.200000000000003</v>
      </c>
      <c r="M34" s="204">
        <f>TE_Raw!D33</f>
        <v>335.2</v>
      </c>
      <c r="N34" s="207">
        <f>TE_Raw!E33</f>
        <v>2.8</v>
      </c>
      <c r="O34" s="204">
        <f>TE_Raw!F33</f>
        <v>0.4</v>
      </c>
      <c r="P34" s="11">
        <f>(J34*TERushYd)+(K34*TERushTD)+(L34*TERec)+(M34*TERecYd)+(N34*TERecTD)+(O34*TEFuml)+(I34*TERushAtt)</f>
        <v>65.62</v>
      </c>
      <c r="Q34" t="str">
        <f ca="1">IF(A34&lt;=TEStarters,"Starter",IF(A34&gt;TEStarters+TEBench,"Undrafted","Bench"))</f>
        <v>Undrafted</v>
      </c>
      <c r="R34">
        <f ca="1">IFERROR(MAX(P34-LARGE(TESheetCount,TEStarters),0),0)</f>
        <v>0</v>
      </c>
      <c r="S34">
        <f ca="1">IFERROR(IF(AllowNegative="Yes",P34-LARGE(TESheetCount,TECount),MAX(P34-LARGE(TESheetCount,TECount),0)),0)</f>
        <v>-37.040000000000006</v>
      </c>
      <c r="T34">
        <f ca="1">IF(TEStarters&gt;0,(S34-R34)*BenchPF+R34*StarterPF,0)</f>
        <v>-6.7159780614397429</v>
      </c>
      <c r="U34">
        <f ca="1">T34*Auction!$A$2</f>
        <v>-6.7159780614397429</v>
      </c>
      <c r="V34" s="6" t="str">
        <f>IF(OR(INDEX(Auction!$H$13:$H$656,MATCH(B34,Auction!$A$13:$A$656,0))&gt;0,IFERROR(INDEX(CheatSheet!$D$37:$D$64,MATCH(B34,CheatSheet!$A$37:$A$64,0)),"")&lt;&gt;""),"Yes","No")</f>
        <v>No</v>
      </c>
      <c r="W34" s="179"/>
      <c r="Y34" s="78">
        <f t="shared" ca="1" si="0"/>
        <v>1</v>
      </c>
      <c r="Z34">
        <f t="shared" ca="1" si="2"/>
        <v>-18.520000000000003</v>
      </c>
      <c r="AA34" s="116" t="str">
        <f t="shared" ca="1" si="1"/>
        <v>TE10</v>
      </c>
      <c r="AB34">
        <f ca="1">Z34*LeagueInfo!$H$5</f>
        <v>-6.8195888798760445</v>
      </c>
    </row>
    <row r="35" spans="1:28" x14ac:dyDescent="0.25">
      <c r="A35">
        <f>RANK(P35,P$3:P$115)</f>
        <v>33</v>
      </c>
      <c r="B35" t="str">
        <f>TE_Raw!A34</f>
        <v>Jonnu Smith</v>
      </c>
      <c r="C35" t="s">
        <v>43</v>
      </c>
      <c r="D35">
        <f>_xlfn.IFNA(INDEX(BYEs!$E$2:$E$411,MATCH(B35,BYEs!$D$2:$D$411,0)),"N/A")</f>
        <v>25</v>
      </c>
      <c r="E35">
        <f>INDEX(BYEs!$B$2:$B$34,MATCH(F35,BYEs!$A$2:$A$34,0))</f>
        <v>10</v>
      </c>
      <c r="F35" t="str">
        <f>TE_Raw!B34</f>
        <v>NE</v>
      </c>
      <c r="G35" s="202">
        <v>0</v>
      </c>
      <c r="H35" s="203">
        <v>0</v>
      </c>
      <c r="I35" s="204">
        <v>0</v>
      </c>
      <c r="J35" s="204">
        <v>0</v>
      </c>
      <c r="K35" s="204">
        <v>0</v>
      </c>
      <c r="L35" s="206">
        <f>TE_Raw!C34</f>
        <v>31.3</v>
      </c>
      <c r="M35" s="204">
        <f>TE_Raw!D34</f>
        <v>333.2</v>
      </c>
      <c r="N35" s="207">
        <f>TE_Raw!E34</f>
        <v>2.5</v>
      </c>
      <c r="O35" s="204">
        <f>TE_Raw!F34</f>
        <v>0.1</v>
      </c>
      <c r="P35" s="11">
        <f>(J35*TERushYd)+(K35*TERushTD)+(L35*TERec)+(M35*TERecYd)+(N35*TERecTD)+(O35*TEFuml)+(I35*TERushAtt)</f>
        <v>63.769999999999996</v>
      </c>
      <c r="Q35" t="str">
        <f ca="1">IF(A35&lt;=TEStarters,"Starter",IF(A35&gt;TEStarters+TEBench,"Undrafted","Bench"))</f>
        <v>Undrafted</v>
      </c>
      <c r="R35">
        <f ca="1">IFERROR(MAX(P35-LARGE(TESheetCount,TEStarters),0),0)</f>
        <v>0</v>
      </c>
      <c r="S35">
        <f ca="1">IFERROR(IF(AllowNegative="Yes",P35-LARGE(TESheetCount,TECount),MAX(P35-LARGE(TESheetCount,TECount),0)),0)</f>
        <v>-38.890000000000015</v>
      </c>
      <c r="T35">
        <f ca="1">IF(TEStarters&gt;0,(S35-R35)*BenchPF+R35*StarterPF,0)</f>
        <v>-7.051414330707118</v>
      </c>
      <c r="U35">
        <f ca="1">T35*Auction!$A$2</f>
        <v>-7.051414330707118</v>
      </c>
      <c r="V35" s="6" t="str">
        <f>IF(OR(INDEX(Auction!$H$13:$H$656,MATCH(B35,Auction!$A$13:$A$656,0))&gt;0,IFERROR(INDEX(CheatSheet!$D$37:$D$64,MATCH(B35,CheatSheet!$A$37:$A$64,0)),"")&lt;&gt;""),"Yes","No")</f>
        <v>No</v>
      </c>
      <c r="W35" s="179"/>
      <c r="Y35" s="78">
        <f t="shared" ref="Y35:Y66" ca="1" si="3">IFERROR(SUMIFS($Z$3:$Z$113,$Z$3:$Z$113,"&gt;0",$V$3:$V$113,"No")/SUMIF($Z$3:$Z$113,"&gt;0"),0)</f>
        <v>1</v>
      </c>
      <c r="Z35">
        <f t="shared" ca="1" si="2"/>
        <v>-19.445000000000007</v>
      </c>
      <c r="AA35" s="116" t="str">
        <f t="shared" ref="AA35:AA66" ca="1" si="4">CONCATENATE("TE",ROUND((LARGE($Z$3:$Z$113,1)-$Z35)/(STDEVP($Z$3:$Z$113)/2)+1,0))</f>
        <v>TE10</v>
      </c>
      <c r="AB35">
        <f ca="1">Z35*LeagueInfo!$H$5</f>
        <v>-7.1602000955286025</v>
      </c>
    </row>
    <row r="36" spans="1:28" x14ac:dyDescent="0.25">
      <c r="A36">
        <f>RANK(P36,P$3:P$115)</f>
        <v>34</v>
      </c>
      <c r="B36" t="str">
        <f>TE_Raw!A36</f>
        <v>Tyler Conklin</v>
      </c>
      <c r="C36" t="s">
        <v>43</v>
      </c>
      <c r="D36" t="str">
        <f>_xlfn.IFNA(INDEX(BYEs!$E$2:$E$411,MATCH(B36,BYEs!$D$2:$D$411,0)),"N/A")</f>
        <v>N/A</v>
      </c>
      <c r="E36">
        <f>INDEX(BYEs!$B$2:$B$34,MATCH(F36,BYEs!$A$2:$A$34,0))</f>
        <v>10</v>
      </c>
      <c r="F36" t="str">
        <f>TE_Raw!B36</f>
        <v>NYJ</v>
      </c>
      <c r="G36" s="202">
        <v>0</v>
      </c>
      <c r="H36" s="203">
        <v>0</v>
      </c>
      <c r="I36" s="204">
        <v>0</v>
      </c>
      <c r="J36" s="204">
        <v>0</v>
      </c>
      <c r="K36" s="204">
        <v>0</v>
      </c>
      <c r="L36" s="206">
        <f>TE_Raw!C36</f>
        <v>34</v>
      </c>
      <c r="M36" s="204">
        <f>TE_Raw!D36</f>
        <v>328.3</v>
      </c>
      <c r="N36" s="207">
        <f>TE_Raw!E36</f>
        <v>2.1</v>
      </c>
      <c r="O36" s="204">
        <f>TE_Raw!F36</f>
        <v>0.1</v>
      </c>
      <c r="P36" s="11">
        <f>(J36*TERushYd)+(K36*TERushTD)+(L36*TERec)+(M36*TERecYd)+(N36*TERecTD)+(O36*TEFuml)+(I36*TERushAtt)</f>
        <v>62.230000000000004</v>
      </c>
      <c r="Q36" t="str">
        <f ca="1">IF(A36&lt;=TEStarters,"Starter",IF(A36&gt;TEStarters+TEBench,"Undrafted","Bench"))</f>
        <v>Undrafted</v>
      </c>
      <c r="R36">
        <f ca="1">IFERROR(MAX(P36-LARGE(TESheetCount,TEStarters),0),0)</f>
        <v>0</v>
      </c>
      <c r="S36">
        <f ca="1">IFERROR(IF(AllowNegative="Yes",P36-LARGE(TESheetCount,TECount),MAX(P36-LARGE(TESheetCount,TECount),0)),0)</f>
        <v>-40.430000000000007</v>
      </c>
      <c r="T36">
        <f ca="1">IF(TEStarters&gt;0,(S36-R36)*BenchPF+R36*StarterPF,0)</f>
        <v>-7.3306423602594162</v>
      </c>
      <c r="U36">
        <f ca="1">T36*Auction!$A$2</f>
        <v>-7.3306423602594162</v>
      </c>
      <c r="V36" s="6" t="str">
        <f>IF(OR(INDEX(Auction!$H$13:$H$656,MATCH(B36,Auction!$A$13:$A$656,0))&gt;0,IFERROR(INDEX(CheatSheet!$D$37:$D$64,MATCH(B36,CheatSheet!$A$37:$A$64,0)),"")&lt;&gt;""),"Yes","No")</f>
        <v>No</v>
      </c>
      <c r="W36" s="179"/>
      <c r="Y36" s="78">
        <f t="shared" ca="1" si="3"/>
        <v>1</v>
      </c>
      <c r="Z36">
        <f t="shared" ca="1" si="2"/>
        <v>-20.215000000000003</v>
      </c>
      <c r="AA36" s="116" t="str">
        <f t="shared" ca="1" si="4"/>
        <v>TE10</v>
      </c>
      <c r="AB36">
        <f ca="1">Z36*LeagueInfo!$H$5</f>
        <v>-7.4437359182880263</v>
      </c>
    </row>
    <row r="37" spans="1:28" x14ac:dyDescent="0.25">
      <c r="A37">
        <f>RANK(P37,P$3:P$115)</f>
        <v>35</v>
      </c>
      <c r="B37" t="str">
        <f>TE_Raw!A38</f>
        <v>Paul Quessenberry</v>
      </c>
      <c r="C37" t="s">
        <v>43</v>
      </c>
      <c r="D37" t="str">
        <f>_xlfn.IFNA(INDEX(BYEs!$E$2:$E$411,MATCH(B37,BYEs!$D$2:$D$411,0)),"N/A")</f>
        <v>N/A</v>
      </c>
      <c r="E37">
        <f>INDEX(BYEs!$B$2:$B$34,MATCH(F37,BYEs!$A$2:$A$34,0))</f>
        <v>6</v>
      </c>
      <c r="F37" t="str">
        <f>TE_Raw!B38</f>
        <v>HOU</v>
      </c>
      <c r="G37" s="202">
        <v>0</v>
      </c>
      <c r="H37" s="203">
        <v>0</v>
      </c>
      <c r="I37" s="204">
        <v>0</v>
      </c>
      <c r="J37" s="204">
        <v>0</v>
      </c>
      <c r="K37" s="204">
        <v>0</v>
      </c>
      <c r="L37" s="206">
        <f>TE_Raw!C38</f>
        <v>37</v>
      </c>
      <c r="M37" s="204">
        <f>TE_Raw!D38</f>
        <v>334</v>
      </c>
      <c r="N37" s="207">
        <f>TE_Raw!E38</f>
        <v>2</v>
      </c>
      <c r="O37" s="204">
        <f>TE_Raw!F38</f>
        <v>1</v>
      </c>
      <c r="P37" s="11">
        <f>(J37*TERushYd)+(K37*TERushTD)+(L37*TERec)+(M37*TERecYd)+(N37*TERecTD)+(O37*TEFuml)+(I37*TERushAtt)</f>
        <v>61.9</v>
      </c>
      <c r="Q37" t="str">
        <f ca="1">IF(A37&lt;=TEStarters,"Starter",IF(A37&gt;TEStarters+TEBench,"Undrafted","Bench"))</f>
        <v>Undrafted</v>
      </c>
      <c r="R37">
        <f ca="1">IFERROR(MAX(P37-LARGE(TESheetCount,TEStarters),0),0)</f>
        <v>0</v>
      </c>
      <c r="S37">
        <f ca="1">IFERROR(IF(AllowNegative="Yes",P37-LARGE(TESheetCount,TECount),MAX(P37-LARGE(TESheetCount,TECount),0)),0)</f>
        <v>-40.760000000000012</v>
      </c>
      <c r="T37">
        <f ca="1">IF(TEStarters&gt;0,(S37-R37)*BenchPF+R37*StarterPF,0)</f>
        <v>-7.3904769380206243</v>
      </c>
      <c r="U37">
        <f ca="1">T37*Auction!$A$2</f>
        <v>-7.3904769380206243</v>
      </c>
      <c r="V37" s="6" t="str">
        <f>IF(OR(INDEX(Auction!$H$13:$H$656,MATCH(B37,Auction!$A$13:$A$656,0))&gt;0,IFERROR(INDEX(CheatSheet!$D$37:$D$64,MATCH(B37,CheatSheet!$A$37:$A$64,0)),"")&lt;&gt;""),"Yes","No")</f>
        <v>No</v>
      </c>
      <c r="W37" s="179"/>
      <c r="Y37" s="78">
        <f t="shared" ca="1" si="3"/>
        <v>1</v>
      </c>
      <c r="Z37">
        <f t="shared" ca="1" si="2"/>
        <v>-20.380000000000006</v>
      </c>
      <c r="AA37" s="116" t="str">
        <f t="shared" ca="1" si="4"/>
        <v>TE10</v>
      </c>
      <c r="AB37">
        <f ca="1">Z37*LeagueInfo!$H$5</f>
        <v>-7.504493594593618</v>
      </c>
    </row>
    <row r="38" spans="1:28" x14ac:dyDescent="0.25">
      <c r="A38">
        <f>RANK(P38,P$3:P$115)</f>
        <v>36</v>
      </c>
      <c r="B38" t="str">
        <f>TE_Raw!A35</f>
        <v>Andrew Beck</v>
      </c>
      <c r="C38" t="s">
        <v>43</v>
      </c>
      <c r="D38" t="str">
        <f>_xlfn.IFNA(INDEX(BYEs!$E$2:$E$411,MATCH(B38,BYEs!$D$2:$D$411,0)),"N/A")</f>
        <v>N/A</v>
      </c>
      <c r="E38">
        <f>INDEX(BYEs!$B$2:$B$34,MATCH(F38,BYEs!$A$2:$A$34,0))</f>
        <v>9</v>
      </c>
      <c r="F38" t="str">
        <f>TE_Raw!B35</f>
        <v>DEN</v>
      </c>
      <c r="G38" s="202">
        <v>0</v>
      </c>
      <c r="H38" s="203">
        <v>0</v>
      </c>
      <c r="I38" s="204">
        <v>0</v>
      </c>
      <c r="J38" s="204">
        <v>0</v>
      </c>
      <c r="K38" s="204">
        <v>0</v>
      </c>
      <c r="L38" s="206">
        <f>TE_Raw!C35</f>
        <v>27.9</v>
      </c>
      <c r="M38" s="204">
        <f>TE_Raw!D35</f>
        <v>295.3</v>
      </c>
      <c r="N38" s="207">
        <f>TE_Raw!E35</f>
        <v>2.9</v>
      </c>
      <c r="O38" s="204">
        <f>TE_Raw!F35</f>
        <v>0</v>
      </c>
      <c r="P38" s="11">
        <f>(J38*TERushYd)+(K38*TERushTD)+(L38*TERec)+(M38*TERecYd)+(N38*TERecTD)+(O38*TEFuml)+(I38*TERushAtt)</f>
        <v>60.88</v>
      </c>
      <c r="Q38" t="str">
        <f ca="1">IF(A38&lt;=TEStarters,"Starter",IF(A38&gt;TEStarters+TEBench,"Undrafted","Bench"))</f>
        <v>Undrafted</v>
      </c>
      <c r="R38">
        <f ca="1">IFERROR(MAX(P38-LARGE(TESheetCount,TEStarters),0),0)</f>
        <v>0</v>
      </c>
      <c r="S38">
        <f ca="1">IFERROR(IF(AllowNegative="Yes",P38-LARGE(TESheetCount,TECount),MAX(P38-LARGE(TESheetCount,TECount),0)),0)</f>
        <v>-41.780000000000008</v>
      </c>
      <c r="T38">
        <f ca="1">IF(TEStarters&gt;0,(S38-R38)*BenchPF+R38*StarterPF,0)</f>
        <v>-7.5754201783734461</v>
      </c>
      <c r="U38">
        <f ca="1">T38*Auction!$A$2</f>
        <v>-7.5754201783734461</v>
      </c>
      <c r="V38" s="6" t="str">
        <f>IF(OR(INDEX(Auction!$H$13:$H$656,MATCH(B38,Auction!$A$13:$A$656,0))&gt;0,IFERROR(INDEX(CheatSheet!$D$37:$D$64,MATCH(B38,CheatSheet!$A$37:$A$64,0)),"")&lt;&gt;""),"Yes","No")</f>
        <v>No</v>
      </c>
      <c r="W38" s="179"/>
      <c r="Y38" s="78">
        <f t="shared" ca="1" si="3"/>
        <v>1</v>
      </c>
      <c r="Z38">
        <f t="shared" ca="1" si="2"/>
        <v>-20.890000000000004</v>
      </c>
      <c r="AA38" s="116" t="str">
        <f t="shared" ca="1" si="4"/>
        <v>TE10</v>
      </c>
      <c r="AB38">
        <f ca="1">Z38*LeagueInfo!$H$5</f>
        <v>-7.6922900486290811</v>
      </c>
    </row>
    <row r="39" spans="1:28" x14ac:dyDescent="0.25">
      <c r="A39">
        <f>RANK(P39,P$3:P$115)</f>
        <v>37</v>
      </c>
      <c r="B39" t="str">
        <f>TE_Raw!A37</f>
        <v>Harrison Bryant</v>
      </c>
      <c r="C39" t="s">
        <v>43</v>
      </c>
      <c r="D39" t="str">
        <f>_xlfn.IFNA(INDEX(BYEs!$E$2:$E$411,MATCH(B39,BYEs!$D$2:$D$411,0)),"N/A")</f>
        <v>N/A</v>
      </c>
      <c r="E39">
        <f>INDEX(BYEs!$B$2:$B$34,MATCH(F39,BYEs!$A$2:$A$34,0))</f>
        <v>9</v>
      </c>
      <c r="F39" t="str">
        <f>TE_Raw!B37</f>
        <v>CLE</v>
      </c>
      <c r="G39" s="202">
        <v>0</v>
      </c>
      <c r="H39" s="203">
        <v>0</v>
      </c>
      <c r="I39" s="204">
        <v>0</v>
      </c>
      <c r="J39" s="204">
        <v>0</v>
      </c>
      <c r="K39" s="204">
        <v>0</v>
      </c>
      <c r="L39" s="206">
        <f>TE_Raw!C37</f>
        <v>29</v>
      </c>
      <c r="M39" s="204">
        <f>TE_Raw!D37</f>
        <v>305.10000000000002</v>
      </c>
      <c r="N39" s="207">
        <f>TE_Raw!E37</f>
        <v>2.4</v>
      </c>
      <c r="O39" s="204">
        <f>TE_Raw!F37</f>
        <v>0.4</v>
      </c>
      <c r="P39" s="11">
        <f>(J39*TERushYd)+(K39*TERushTD)+(L39*TERec)+(M39*TERecYd)+(N39*TERecTD)+(O39*TEFuml)+(I39*TERushAtt)</f>
        <v>58.610000000000007</v>
      </c>
      <c r="Q39" t="str">
        <f ca="1">IF(A39&lt;=TEStarters,"Starter",IF(A39&gt;TEStarters+TEBench,"Undrafted","Bench"))</f>
        <v>Undrafted</v>
      </c>
      <c r="R39">
        <f ca="1">IFERROR(MAX(P39-LARGE(TESheetCount,TEStarters),0),0)</f>
        <v>0</v>
      </c>
      <c r="S39">
        <f ca="1">IFERROR(IF(AllowNegative="Yes",P39-LARGE(TESheetCount,TECount),MAX(P39-LARGE(TESheetCount,TECount),0)),0)</f>
        <v>-44.050000000000004</v>
      </c>
      <c r="T39">
        <f ca="1">IF(TEStarters&gt;0,(S39-R39)*BenchPF+R39*StarterPF,0)</f>
        <v>-7.9870095466096283</v>
      </c>
      <c r="U39">
        <f ca="1">T39*Auction!$A$2</f>
        <v>-7.9870095466096283</v>
      </c>
      <c r="V39" s="6" t="str">
        <f>IF(OR(INDEX(Auction!$H$13:$H$656,MATCH(B39,Auction!$A$13:$A$656,0))&gt;0,IFERROR(INDEX(CheatSheet!$D$37:$D$64,MATCH(B39,CheatSheet!$A$37:$A$64,0)),"")&lt;&gt;""),"Yes","No")</f>
        <v>No</v>
      </c>
      <c r="W39" s="179"/>
      <c r="Y39" s="78">
        <f t="shared" ca="1" si="3"/>
        <v>1</v>
      </c>
      <c r="Z39">
        <f t="shared" ca="1" si="2"/>
        <v>-22.025000000000002</v>
      </c>
      <c r="AA39" s="116" t="str">
        <f t="shared" ca="1" si="4"/>
        <v>TE10</v>
      </c>
      <c r="AB39">
        <f ca="1">Z39*LeagueInfo!$H$5</f>
        <v>-8.1102292159432974</v>
      </c>
    </row>
    <row r="40" spans="1:28" x14ac:dyDescent="0.25">
      <c r="A40">
        <f>RANK(P40,P$3:P$115)</f>
        <v>38</v>
      </c>
      <c r="B40" t="str">
        <f>TE_Raw!A39</f>
        <v>Foster Moreau</v>
      </c>
      <c r="C40" t="s">
        <v>43</v>
      </c>
      <c r="D40">
        <f>_xlfn.IFNA(INDEX(BYEs!$E$2:$E$411,MATCH(B40,BYEs!$D$2:$D$411,0)),"N/A")</f>
        <v>24</v>
      </c>
      <c r="E40">
        <f>INDEX(BYEs!$B$2:$B$34,MATCH(F40,BYEs!$A$2:$A$34,0))</f>
        <v>6</v>
      </c>
      <c r="F40" t="str">
        <f>TE_Raw!B39</f>
        <v>LV</v>
      </c>
      <c r="G40" s="202">
        <v>0</v>
      </c>
      <c r="H40" s="203">
        <v>0</v>
      </c>
      <c r="I40" s="204">
        <v>0</v>
      </c>
      <c r="J40" s="204">
        <v>0</v>
      </c>
      <c r="K40" s="204">
        <v>0</v>
      </c>
      <c r="L40" s="206">
        <f>TE_Raw!C39</f>
        <v>25</v>
      </c>
      <c r="M40" s="204">
        <f>TE_Raw!D39</f>
        <v>281.39999999999998</v>
      </c>
      <c r="N40" s="207">
        <f>TE_Raw!E39</f>
        <v>2.4</v>
      </c>
      <c r="O40" s="204">
        <f>TE_Raw!F39</f>
        <v>0</v>
      </c>
      <c r="P40" s="11">
        <f>(J40*TERushYd)+(K40*TERushTD)+(L40*TERec)+(M40*TERecYd)+(N40*TERecTD)+(O40*TEFuml)+(I40*TERushAtt)</f>
        <v>55.04</v>
      </c>
      <c r="Q40" t="str">
        <f ca="1">IF(A40&lt;=TEStarters,"Starter",IF(A40&gt;TEStarters+TEBench,"Undrafted","Bench"))</f>
        <v>Undrafted</v>
      </c>
      <c r="R40">
        <f ca="1">IFERROR(MAX(P40-LARGE(TESheetCount,TEStarters),0),0)</f>
        <v>0</v>
      </c>
      <c r="S40">
        <f ca="1">IFERROR(IF(AllowNegative="Yes",P40-LARGE(TESheetCount,TECount),MAX(P40-LARGE(TESheetCount,TECount),0)),0)</f>
        <v>-47.620000000000012</v>
      </c>
      <c r="T40">
        <f ca="1">IF(TEStarters&gt;0,(S40-R40)*BenchPF+R40*StarterPF,0)</f>
        <v>-8.6343108878445083</v>
      </c>
      <c r="U40">
        <f ca="1">T40*Auction!$A$2</f>
        <v>-8.6343108878445083</v>
      </c>
      <c r="V40" s="6" t="str">
        <f>IF(OR(INDEX(Auction!$H$13:$H$656,MATCH(B40,Auction!$A$13:$A$656,0))&gt;0,IFERROR(INDEX(CheatSheet!$D$37:$D$64,MATCH(B40,CheatSheet!$A$37:$A$64,0)),"")&lt;&gt;""),"Yes","No")</f>
        <v>No</v>
      </c>
      <c r="W40" s="179"/>
      <c r="Y40" s="78">
        <f t="shared" ca="1" si="3"/>
        <v>1</v>
      </c>
      <c r="Z40">
        <f t="shared" ca="1" si="2"/>
        <v>-23.810000000000006</v>
      </c>
      <c r="AA40" s="116" t="str">
        <f t="shared" ca="1" si="4"/>
        <v>TE10</v>
      </c>
      <c r="AB40">
        <f ca="1">Z40*LeagueInfo!$H$5</f>
        <v>-8.7675168050674213</v>
      </c>
    </row>
    <row r="41" spans="1:28" x14ac:dyDescent="0.25">
      <c r="A41">
        <f>RANK(P41,P$3:P$115)</f>
        <v>39</v>
      </c>
      <c r="B41" t="str">
        <f>TE_Raw!A41</f>
        <v>Tommy Tremble</v>
      </c>
      <c r="C41" t="s">
        <v>43</v>
      </c>
      <c r="D41" t="str">
        <f>_xlfn.IFNA(INDEX(BYEs!$E$2:$E$411,MATCH(B41,BYEs!$D$2:$D$411,0)),"N/A")</f>
        <v>N/A</v>
      </c>
      <c r="E41">
        <f>INDEX(BYEs!$B$2:$B$34,MATCH(F41,BYEs!$A$2:$A$34,0))</f>
        <v>13</v>
      </c>
      <c r="F41" t="str">
        <f>TE_Raw!B41</f>
        <v>CAR</v>
      </c>
      <c r="G41" s="202">
        <v>0</v>
      </c>
      <c r="H41" s="203">
        <v>0</v>
      </c>
      <c r="I41" s="204">
        <v>0</v>
      </c>
      <c r="J41" s="204">
        <v>0</v>
      </c>
      <c r="K41" s="204">
        <v>0</v>
      </c>
      <c r="L41" s="206">
        <f>TE_Raw!C41</f>
        <v>27.2</v>
      </c>
      <c r="M41" s="204">
        <f>TE_Raw!D41</f>
        <v>278.60000000000002</v>
      </c>
      <c r="N41" s="207">
        <f>TE_Raw!E41</f>
        <v>2.2000000000000002</v>
      </c>
      <c r="O41" s="204">
        <f>TE_Raw!F41</f>
        <v>0.1</v>
      </c>
      <c r="P41" s="11">
        <f>(J41*TERushYd)+(K41*TERushTD)+(L41*TERec)+(M41*TERecYd)+(N41*TERecTD)+(O41*TEFuml)+(I41*TERushAtt)</f>
        <v>54.46</v>
      </c>
      <c r="Q41" t="str">
        <f ca="1">IF(A41&lt;=TEStarters,"Starter",IF(A41&gt;TEStarters+TEBench,"Undrafted","Bench"))</f>
        <v>Undrafted</v>
      </c>
      <c r="R41">
        <f ca="1">IFERROR(MAX(P41-LARGE(TESheetCount,TEStarters),0),0)</f>
        <v>0</v>
      </c>
      <c r="S41">
        <f ca="1">IFERROR(IF(AllowNegative="Yes",P41-LARGE(TESheetCount,TECount),MAX(P41-LARGE(TESheetCount,TECount),0)),0)</f>
        <v>-48.20000000000001</v>
      </c>
      <c r="T41">
        <f ca="1">IF(TEStarters&gt;0,(S41-R41)*BenchPF+R41*StarterPF,0)</f>
        <v>-8.7394746911823873</v>
      </c>
      <c r="U41">
        <f ca="1">T41*Auction!$A$2</f>
        <v>-8.7394746911823873</v>
      </c>
      <c r="V41" s="6" t="str">
        <f>IF(OR(INDEX(Auction!$H$13:$H$656,MATCH(B41,Auction!$A$13:$A$656,0))&gt;0,IFERROR(INDEX(CheatSheet!$D$37:$D$64,MATCH(B41,CheatSheet!$A$37:$A$64,0)),"")&lt;&gt;""),"Yes","No")</f>
        <v>No</v>
      </c>
      <c r="W41" s="179"/>
      <c r="Y41" s="78">
        <f t="shared" ca="1" si="3"/>
        <v>1</v>
      </c>
      <c r="Z41">
        <f t="shared" ca="1" si="2"/>
        <v>-24.100000000000005</v>
      </c>
      <c r="AA41" s="116" t="str">
        <f t="shared" ca="1" si="4"/>
        <v>TE10</v>
      </c>
      <c r="AB41">
        <f ca="1">Z41*LeagueInfo!$H$5</f>
        <v>-8.8743030240287624</v>
      </c>
    </row>
    <row r="42" spans="1:28" x14ac:dyDescent="0.25">
      <c r="A42">
        <f>RANK(P42,P$3:P$115)</f>
        <v>40</v>
      </c>
      <c r="B42" t="str">
        <f>TE_Raw!A40</f>
        <v>Dan Arnold</v>
      </c>
      <c r="C42" t="s">
        <v>43</v>
      </c>
      <c r="D42">
        <f>_xlfn.IFNA(INDEX(BYEs!$E$2:$E$411,MATCH(B42,BYEs!$D$2:$D$411,0)),"N/A")</f>
        <v>26</v>
      </c>
      <c r="E42">
        <f>INDEX(BYEs!$B$2:$B$34,MATCH(F42,BYEs!$A$2:$A$34,0))</f>
        <v>11</v>
      </c>
      <c r="F42" t="str">
        <f>TE_Raw!B40</f>
        <v>JAC</v>
      </c>
      <c r="G42" s="202">
        <v>0</v>
      </c>
      <c r="H42" s="203">
        <v>0</v>
      </c>
      <c r="I42" s="204">
        <v>0</v>
      </c>
      <c r="J42" s="204">
        <v>0</v>
      </c>
      <c r="K42" s="204">
        <v>0</v>
      </c>
      <c r="L42" s="206">
        <f>TE_Raw!C40</f>
        <v>26.2</v>
      </c>
      <c r="M42" s="204">
        <f>TE_Raw!D40</f>
        <v>308.2</v>
      </c>
      <c r="N42" s="207">
        <f>TE_Raw!E40</f>
        <v>1.8</v>
      </c>
      <c r="O42" s="204">
        <f>TE_Raw!F40</f>
        <v>0.4</v>
      </c>
      <c r="P42" s="11">
        <f>(J42*TERushYd)+(K42*TERushTD)+(L42*TERec)+(M42*TERecYd)+(N42*TERecTD)+(O42*TEFuml)+(I42*TERushAtt)</f>
        <v>53.92</v>
      </c>
      <c r="Q42" t="str">
        <f ca="1">IF(A42&lt;=TEStarters,"Starter",IF(A42&gt;TEStarters+TEBench,"Undrafted","Bench"))</f>
        <v>Undrafted</v>
      </c>
      <c r="R42">
        <f ca="1">IFERROR(MAX(P42-LARGE(TESheetCount,TEStarters),0),0)</f>
        <v>0</v>
      </c>
      <c r="S42">
        <f ca="1">IFERROR(IF(AllowNegative="Yes",P42-LARGE(TESheetCount,TECount),MAX(P42-LARGE(TESheetCount,TECount),0)),0)</f>
        <v>-48.740000000000009</v>
      </c>
      <c r="T42">
        <f ca="1">IF(TEStarters&gt;0,(S42-R42)*BenchPF+R42*StarterPF,0)</f>
        <v>-8.8373858184279985</v>
      </c>
      <c r="U42">
        <f ca="1">T42*Auction!$A$2</f>
        <v>-8.8373858184279985</v>
      </c>
      <c r="V42" s="6" t="str">
        <f>IF(OR(INDEX(Auction!$H$13:$H$656,MATCH(B42,Auction!$A$13:$A$656,0))&gt;0,IFERROR(INDEX(CheatSheet!$D$37:$D$64,MATCH(B42,CheatSheet!$A$37:$A$64,0)),"")&lt;&gt;""),"Yes","No")</f>
        <v>No</v>
      </c>
      <c r="W42" s="179"/>
      <c r="Y42" s="78">
        <f t="shared" ca="1" si="3"/>
        <v>1</v>
      </c>
      <c r="Z42">
        <f t="shared" ca="1" si="2"/>
        <v>-24.370000000000005</v>
      </c>
      <c r="AA42" s="116" t="str">
        <f t="shared" ca="1" si="4"/>
        <v>TE10</v>
      </c>
      <c r="AB42">
        <f ca="1">Z42*LeagueInfo!$H$5</f>
        <v>-8.973724676165185</v>
      </c>
    </row>
    <row r="43" spans="1:28" x14ac:dyDescent="0.25">
      <c r="A43">
        <f>RANK(P43,P$3:P$115)</f>
        <v>41</v>
      </c>
      <c r="B43" t="str">
        <f>TE_Raw!A42</f>
        <v>Geoff Swaim</v>
      </c>
      <c r="C43" t="s">
        <v>43</v>
      </c>
      <c r="D43">
        <f>_xlfn.IFNA(INDEX(BYEs!$E$2:$E$411,MATCH(B43,BYEs!$D$2:$D$411,0)),"N/A")</f>
        <v>27</v>
      </c>
      <c r="E43">
        <f>INDEX(BYEs!$B$2:$B$34,MATCH(F43,BYEs!$A$2:$A$34,0))</f>
        <v>6</v>
      </c>
      <c r="F43" t="str">
        <f>TE_Raw!B42</f>
        <v>TEN</v>
      </c>
      <c r="G43" s="202">
        <v>0</v>
      </c>
      <c r="H43" s="203">
        <v>0</v>
      </c>
      <c r="I43" s="204">
        <v>0</v>
      </c>
      <c r="J43" s="204">
        <v>0</v>
      </c>
      <c r="K43" s="204">
        <v>0</v>
      </c>
      <c r="L43" s="206">
        <f>TE_Raw!C42</f>
        <v>26.6</v>
      </c>
      <c r="M43" s="204">
        <f>TE_Raw!D42</f>
        <v>236.9</v>
      </c>
      <c r="N43" s="207">
        <f>TE_Raw!E42</f>
        <v>2.2999999999999998</v>
      </c>
      <c r="O43" s="204">
        <f>TE_Raw!F42</f>
        <v>0</v>
      </c>
      <c r="P43" s="11">
        <f>(J43*TERushYd)+(K43*TERushTD)+(L43*TERec)+(M43*TERecYd)+(N43*TERecTD)+(O43*TEFuml)+(I43*TERushAtt)</f>
        <v>50.79</v>
      </c>
      <c r="Q43" t="str">
        <f ca="1">IF(A43&lt;=TEStarters,"Starter",IF(A43&gt;TEStarters+TEBench,"Undrafted","Bench"))</f>
        <v>Undrafted</v>
      </c>
      <c r="R43">
        <f ca="1">IFERROR(MAX(P43-LARGE(TESheetCount,TEStarters),0),0)</f>
        <v>0</v>
      </c>
      <c r="S43">
        <f ca="1">IFERROR(IF(AllowNegative="Yes",P43-LARGE(TESheetCount,TECount),MAX(P43-LARGE(TESheetCount,TECount),0)),0)</f>
        <v>-51.870000000000012</v>
      </c>
      <c r="T43">
        <f ca="1">IF(TEStarters&gt;0,(S43-R43)*BenchPF+R43*StarterPF,0)</f>
        <v>-9.4049077226479341</v>
      </c>
      <c r="U43">
        <f ca="1">T43*Auction!$A$2</f>
        <v>-9.4049077226479341</v>
      </c>
      <c r="V43" s="6" t="str">
        <f>IF(OR(INDEX(Auction!$H$13:$H$656,MATCH(B43,Auction!$A$13:$A$656,0))&gt;0,IFERROR(INDEX(CheatSheet!$D$37:$D$64,MATCH(B43,CheatSheet!$A$37:$A$64,0)),"")&lt;&gt;""),"Yes","No")</f>
        <v>No</v>
      </c>
      <c r="W43" s="179"/>
      <c r="Y43" s="78">
        <f t="shared" ca="1" si="3"/>
        <v>1</v>
      </c>
      <c r="Z43">
        <f t="shared" ca="1" si="2"/>
        <v>-25.935000000000006</v>
      </c>
      <c r="AA43" s="116" t="str">
        <f t="shared" ca="1" si="4"/>
        <v>TE10</v>
      </c>
      <c r="AB43">
        <f ca="1">Z43*LeagueInfo!$H$5</f>
        <v>-9.550002030215186</v>
      </c>
    </row>
    <row r="44" spans="1:28" x14ac:dyDescent="0.25">
      <c r="A44">
        <f>RANK(P44,P$3:P$115)</f>
        <v>42</v>
      </c>
      <c r="B44" t="str">
        <f>TE_Raw!A43</f>
        <v>Daniel Bellinger</v>
      </c>
      <c r="C44" t="s">
        <v>43</v>
      </c>
      <c r="D44" t="str">
        <f>_xlfn.IFNA(INDEX(BYEs!$E$2:$E$411,MATCH(B44,BYEs!$D$2:$D$411,0)),"N/A")</f>
        <v>N/A</v>
      </c>
      <c r="E44">
        <f>INDEX(BYEs!$B$2:$B$34,MATCH(F44,BYEs!$A$2:$A$34,0))</f>
        <v>9</v>
      </c>
      <c r="F44" t="str">
        <f>TE_Raw!B43</f>
        <v>NYG</v>
      </c>
      <c r="G44" s="202">
        <v>0</v>
      </c>
      <c r="H44" s="203">
        <v>0</v>
      </c>
      <c r="I44" s="204">
        <v>0</v>
      </c>
      <c r="J44" s="204">
        <v>0</v>
      </c>
      <c r="K44" s="204">
        <v>0</v>
      </c>
      <c r="L44" s="206">
        <f>TE_Raw!C43</f>
        <v>25.6</v>
      </c>
      <c r="M44" s="204">
        <f>TE_Raw!D43</f>
        <v>262.39999999999998</v>
      </c>
      <c r="N44" s="207">
        <f>TE_Raw!E43</f>
        <v>1.8</v>
      </c>
      <c r="O44" s="204">
        <f>TE_Raw!F43</f>
        <v>0.2</v>
      </c>
      <c r="P44" s="11">
        <f>(J44*TERushYd)+(K44*TERushTD)+(L44*TERec)+(M44*TERecYd)+(N44*TERecTD)+(O44*TEFuml)+(I44*TERushAtt)</f>
        <v>49.440000000000005</v>
      </c>
      <c r="Q44" t="str">
        <f ca="1">IF(A44&lt;=TEStarters,"Starter",IF(A44&gt;TEStarters+TEBench,"Undrafted","Bench"))</f>
        <v>Undrafted</v>
      </c>
      <c r="R44">
        <f ca="1">IFERROR(MAX(P44-LARGE(TESheetCount,TEStarters),0),0)</f>
        <v>0</v>
      </c>
      <c r="S44">
        <f ca="1">IFERROR(IF(AllowNegative="Yes",P44-LARGE(TESheetCount,TECount),MAX(P44-LARGE(TESheetCount,TECount),0)),0)</f>
        <v>-53.220000000000006</v>
      </c>
      <c r="T44">
        <f ca="1">IF(TEStarters&gt;0,(S44-R44)*BenchPF+R44*StarterPF,0)</f>
        <v>-9.6496855407619613</v>
      </c>
      <c r="U44">
        <f ca="1">T44*Auction!$A$2</f>
        <v>-9.6496855407619613</v>
      </c>
      <c r="V44" s="6" t="str">
        <f>IF(OR(INDEX(Auction!$H$13:$H$656,MATCH(B44,Auction!$A$13:$A$656,0))&gt;0,IFERROR(INDEX(CheatSheet!$D$37:$D$64,MATCH(B44,CheatSheet!$A$37:$A$64,0)),"")&lt;&gt;""),"Yes","No")</f>
        <v>No</v>
      </c>
      <c r="W44" s="179"/>
      <c r="Y44" s="78">
        <f t="shared" ca="1" si="3"/>
        <v>1</v>
      </c>
      <c r="Z44">
        <f t="shared" ca="1" si="2"/>
        <v>-26.610000000000003</v>
      </c>
      <c r="AA44" s="116" t="str">
        <f t="shared" ca="1" si="4"/>
        <v>TE10</v>
      </c>
      <c r="AB44">
        <f ca="1">Z44*LeagueInfo!$H$5</f>
        <v>-9.7985561605562381</v>
      </c>
    </row>
    <row r="45" spans="1:28" x14ac:dyDescent="0.25">
      <c r="A45">
        <f>RANK(P45,P$3:P$115)</f>
        <v>43</v>
      </c>
      <c r="B45" t="str">
        <f>TE_Raw!A47</f>
        <v>Jordan Akins</v>
      </c>
      <c r="C45" t="s">
        <v>43</v>
      </c>
      <c r="D45" t="str">
        <f>_xlfn.IFNA(INDEX(BYEs!$E$2:$E$411,MATCH(B45,BYEs!$D$2:$D$411,0)),"N/A")</f>
        <v>N/A</v>
      </c>
      <c r="E45">
        <f>INDEX(BYEs!$B$2:$B$34,MATCH(F45,BYEs!$A$2:$A$34,0))</f>
        <v>6</v>
      </c>
      <c r="F45" t="str">
        <f>TE_Raw!B47</f>
        <v>HOU</v>
      </c>
      <c r="G45" s="202">
        <v>0</v>
      </c>
      <c r="H45" s="203">
        <v>0</v>
      </c>
      <c r="I45" s="204">
        <v>0</v>
      </c>
      <c r="J45" s="204">
        <v>0</v>
      </c>
      <c r="K45" s="204">
        <v>0</v>
      </c>
      <c r="L45" s="206">
        <f>TE_Raw!C47</f>
        <v>28.1</v>
      </c>
      <c r="M45" s="204">
        <f>TE_Raw!D47</f>
        <v>270.7</v>
      </c>
      <c r="N45" s="207">
        <f>TE_Raw!E47</f>
        <v>1.2</v>
      </c>
      <c r="O45" s="204">
        <f>TE_Raw!F47</f>
        <v>0.5</v>
      </c>
      <c r="P45" s="11">
        <f>(J45*TERushYd)+(K45*TERushTD)+(L45*TERec)+(M45*TERecYd)+(N45*TERecTD)+(O45*TEFuml)+(I45*TERushAtt)</f>
        <v>47.320000000000007</v>
      </c>
      <c r="Q45" t="str">
        <f ca="1">IF(A45&lt;=TEStarters,"Starter",IF(A45&gt;TEStarters+TEBench,"Undrafted","Bench"))</f>
        <v>Undrafted</v>
      </c>
      <c r="R45">
        <f ca="1">IFERROR(MAX(P45-LARGE(TESheetCount,TEStarters),0),0)</f>
        <v>0</v>
      </c>
      <c r="S45">
        <f ca="1">IFERROR(IF(AllowNegative="Yes",P45-LARGE(TESheetCount,TECount),MAX(P45-LARGE(TESheetCount,TECount),0)),0)</f>
        <v>-55.34</v>
      </c>
      <c r="T45">
        <f ca="1">IF(TEStarters&gt;0,(S45-R45)*BenchPF+R45*StarterPF,0)</f>
        <v>-10.034077373652142</v>
      </c>
      <c r="U45">
        <f ca="1">T45*Auction!$A$2</f>
        <v>-10.034077373652142</v>
      </c>
      <c r="V45" s="6" t="str">
        <f>IF(OR(INDEX(Auction!$H$13:$H$656,MATCH(B45,Auction!$A$13:$A$656,0))&gt;0,IFERROR(INDEX(CheatSheet!$D$37:$D$64,MATCH(B45,CheatSheet!$A$37:$A$64,0)),"")&lt;&gt;""),"Yes","No")</f>
        <v>No</v>
      </c>
      <c r="W45" s="179"/>
      <c r="Y45" s="78">
        <f t="shared" ca="1" si="3"/>
        <v>1</v>
      </c>
      <c r="Z45">
        <f t="shared" ca="1" si="2"/>
        <v>-27.67</v>
      </c>
      <c r="AA45" s="116" t="str">
        <f t="shared" ca="1" si="4"/>
        <v>TE11</v>
      </c>
      <c r="AB45">
        <f ca="1">Z45*LeagueInfo!$H$5</f>
        <v>-10.188878202277005</v>
      </c>
    </row>
    <row r="46" spans="1:28" x14ac:dyDescent="0.25">
      <c r="A46">
        <f>RANK(P46,P$3:P$115)</f>
        <v>44</v>
      </c>
      <c r="B46" t="str">
        <f>TE_Raw!A44</f>
        <v>Kendall Blanton</v>
      </c>
      <c r="C46" t="s">
        <v>43</v>
      </c>
      <c r="D46" t="str">
        <f>_xlfn.IFNA(INDEX(BYEs!$E$2:$E$411,MATCH(B46,BYEs!$D$2:$D$411,0)),"N/A")</f>
        <v>N/A</v>
      </c>
      <c r="E46">
        <f>INDEX(BYEs!$B$2:$B$34,MATCH(F46,BYEs!$A$2:$A$34,0))</f>
        <v>8</v>
      </c>
      <c r="F46" t="str">
        <f>TE_Raw!B44</f>
        <v>KC</v>
      </c>
      <c r="G46" s="202">
        <v>0</v>
      </c>
      <c r="H46" s="203">
        <v>0</v>
      </c>
      <c r="I46" s="204">
        <v>0</v>
      </c>
      <c r="J46" s="204">
        <v>0</v>
      </c>
      <c r="K46" s="204">
        <v>0</v>
      </c>
      <c r="L46" s="206">
        <f>TE_Raw!C44</f>
        <v>23</v>
      </c>
      <c r="M46" s="204">
        <f>TE_Raw!D44</f>
        <v>253.5</v>
      </c>
      <c r="N46" s="207">
        <f>TE_Raw!E44</f>
        <v>2</v>
      </c>
      <c r="O46" s="204">
        <f>TE_Raw!F44</f>
        <v>1</v>
      </c>
      <c r="P46" s="11">
        <f>(J46*TERushYd)+(K46*TERushTD)+(L46*TERec)+(M46*TERecYd)+(N46*TERecTD)+(O46*TEFuml)+(I46*TERushAtt)</f>
        <v>46.85</v>
      </c>
      <c r="Q46" t="str">
        <f ca="1">IF(A46&lt;=TEStarters,"Starter",IF(A46&gt;TEStarters+TEBench,"Undrafted","Bench"))</f>
        <v>Undrafted</v>
      </c>
      <c r="R46">
        <f ca="1">IFERROR(MAX(P46-LARGE(TESheetCount,TEStarters),0),0)</f>
        <v>0</v>
      </c>
      <c r="S46">
        <f ca="1">IFERROR(IF(AllowNegative="Yes",P46-LARGE(TESheetCount,TECount),MAX(P46-LARGE(TESheetCount,TECount),0)),0)</f>
        <v>-55.810000000000009</v>
      </c>
      <c r="T46">
        <f ca="1">IF(TEStarters&gt;0,(S46-R46)*BenchPF+R46*StarterPF,0)</f>
        <v>-10.119296317736286</v>
      </c>
      <c r="U46">
        <f ca="1">T46*Auction!$A$2</f>
        <v>-10.119296317736286</v>
      </c>
      <c r="V46" s="6" t="str">
        <f>IF(OR(INDEX(Auction!$H$13:$H$656,MATCH(B46,Auction!$A$13:$A$656,0))&gt;0,IFERROR(INDEX(CheatSheet!$D$37:$D$64,MATCH(B46,CheatSheet!$A$37:$A$64,0)),"")&lt;&gt;""),"Yes","No")</f>
        <v>No</v>
      </c>
      <c r="W46" s="179"/>
      <c r="Y46" s="78">
        <f t="shared" ca="1" si="3"/>
        <v>1</v>
      </c>
      <c r="Z46">
        <f t="shared" ca="1" si="2"/>
        <v>-27.905000000000005</v>
      </c>
      <c r="AA46" s="116" t="str">
        <f t="shared" ca="1" si="4"/>
        <v>TE11</v>
      </c>
      <c r="AB46">
        <f ca="1">Z46*LeagueInfo!$H$5</f>
        <v>-10.275411862469818</v>
      </c>
    </row>
    <row r="47" spans="1:28" x14ac:dyDescent="0.25">
      <c r="A47">
        <f>RANK(P47,P$3:P$115)</f>
        <v>45</v>
      </c>
      <c r="B47" t="str">
        <f>TE_Raw!A45</f>
        <v>Jelani Woods</v>
      </c>
      <c r="C47" t="s">
        <v>43</v>
      </c>
      <c r="D47" t="str">
        <f>_xlfn.IFNA(INDEX(BYEs!$E$2:$E$411,MATCH(B47,BYEs!$D$2:$D$411,0)),"N/A")</f>
        <v>N/A</v>
      </c>
      <c r="E47">
        <f>INDEX(BYEs!$B$2:$B$34,MATCH(F47,BYEs!$A$2:$A$34,0))</f>
        <v>14</v>
      </c>
      <c r="F47" t="str">
        <f>TE_Raw!B45</f>
        <v>IND</v>
      </c>
      <c r="G47" s="202">
        <v>0</v>
      </c>
      <c r="H47" s="203">
        <v>0</v>
      </c>
      <c r="I47" s="204">
        <v>0</v>
      </c>
      <c r="J47" s="204">
        <v>0</v>
      </c>
      <c r="K47" s="204">
        <v>0</v>
      </c>
      <c r="L47" s="206">
        <f>TE_Raw!C45</f>
        <v>22.3</v>
      </c>
      <c r="M47" s="204">
        <f>TE_Raw!D45</f>
        <v>236.4</v>
      </c>
      <c r="N47" s="207">
        <f>TE_Raw!E45</f>
        <v>2.1</v>
      </c>
      <c r="O47" s="204">
        <f>TE_Raw!F45</f>
        <v>0.6</v>
      </c>
      <c r="P47" s="11">
        <f>(J47*TERushYd)+(K47*TERushTD)+(L47*TERec)+(M47*TERecYd)+(N47*TERecTD)+(O47*TEFuml)+(I47*TERushAtt)</f>
        <v>46.19</v>
      </c>
      <c r="Q47" t="str">
        <f ca="1">IF(A47&lt;=TEStarters,"Starter",IF(A47&gt;TEStarters+TEBench,"Undrafted","Bench"))</f>
        <v>Undrafted</v>
      </c>
      <c r="R47">
        <f ca="1">IFERROR(MAX(P47-LARGE(TESheetCount,TEStarters),0),0)</f>
        <v>0</v>
      </c>
      <c r="S47">
        <f ca="1">IFERROR(IF(AllowNegative="Yes",P47-LARGE(TESheetCount,TECount),MAX(P47-LARGE(TESheetCount,TECount),0)),0)</f>
        <v>-56.470000000000013</v>
      </c>
      <c r="T47">
        <f ca="1">IF(TEStarters&gt;0,(S47-R47)*BenchPF+R47*StarterPF,0)</f>
        <v>-10.2389654732587</v>
      </c>
      <c r="U47">
        <f ca="1">T47*Auction!$A$2</f>
        <v>-10.2389654732587</v>
      </c>
      <c r="V47" s="6" t="str">
        <f>IF(OR(INDEX(Auction!$H$13:$H$656,MATCH(B47,Auction!$A$13:$A$656,0))&gt;0,IFERROR(INDEX(CheatSheet!$D$37:$D$64,MATCH(B47,CheatSheet!$A$37:$A$64,0)),"")&lt;&gt;""),"Yes","No")</f>
        <v>No</v>
      </c>
      <c r="W47" s="179"/>
      <c r="Y47" s="78">
        <f t="shared" ca="1" si="3"/>
        <v>1</v>
      </c>
      <c r="Z47">
        <f t="shared" ca="1" si="2"/>
        <v>-28.235000000000007</v>
      </c>
      <c r="AA47" s="116" t="str">
        <f t="shared" ca="1" si="4"/>
        <v>TE11</v>
      </c>
      <c r="AB47">
        <f ca="1">Z47*LeagueInfo!$H$5</f>
        <v>-10.396927215081002</v>
      </c>
    </row>
    <row r="48" spans="1:28" x14ac:dyDescent="0.25">
      <c r="A48">
        <f>RANK(P48,P$3:P$115)</f>
        <v>46</v>
      </c>
      <c r="B48" t="str">
        <f>TE_Raw!A46</f>
        <v>Donald Parham Jr.</v>
      </c>
      <c r="C48" t="s">
        <v>43</v>
      </c>
      <c r="D48" t="str">
        <f>_xlfn.IFNA(INDEX(BYEs!$E$2:$E$411,MATCH(B48,BYEs!$D$2:$D$411,0)),"N/A")</f>
        <v>N/A</v>
      </c>
      <c r="E48">
        <f>INDEX(BYEs!$B$2:$B$34,MATCH(F48,BYEs!$A$2:$A$34,0))</f>
        <v>8</v>
      </c>
      <c r="F48" t="str">
        <f>TE_Raw!B46</f>
        <v>LAC</v>
      </c>
      <c r="G48" s="202">
        <v>0</v>
      </c>
      <c r="H48" s="203">
        <v>0</v>
      </c>
      <c r="I48" s="204">
        <v>0</v>
      </c>
      <c r="J48" s="204">
        <v>0</v>
      </c>
      <c r="K48" s="204">
        <v>0</v>
      </c>
      <c r="L48" s="206">
        <f>TE_Raw!C46</f>
        <v>21.1</v>
      </c>
      <c r="M48" s="204">
        <f>TE_Raw!D46</f>
        <v>221</v>
      </c>
      <c r="N48" s="207">
        <f>TE_Raw!E46</f>
        <v>2.2000000000000002</v>
      </c>
      <c r="O48" s="204">
        <f>TE_Raw!F46</f>
        <v>0.1</v>
      </c>
      <c r="P48" s="11">
        <f>(J48*TERushYd)+(K48*TERushTD)+(L48*TERec)+(M48*TERecYd)+(N48*TERecTD)+(O48*TEFuml)+(I48*TERushAtt)</f>
        <v>45.650000000000006</v>
      </c>
      <c r="Q48" t="str">
        <f ca="1">IF(A48&lt;=TEStarters,"Starter",IF(A48&gt;TEStarters+TEBench,"Undrafted","Bench"))</f>
        <v>Undrafted</v>
      </c>
      <c r="R48">
        <f ca="1">IFERROR(MAX(P48-LARGE(TESheetCount,TEStarters),0),0)</f>
        <v>0</v>
      </c>
      <c r="S48">
        <f ca="1">IFERROR(IF(AllowNegative="Yes",P48-LARGE(TESheetCount,TECount),MAX(P48-LARGE(TESheetCount,TECount),0)),0)</f>
        <v>-57.010000000000005</v>
      </c>
      <c r="T48">
        <f ca="1">IF(TEStarters&gt;0,(S48-R48)*BenchPF+R48*StarterPF,0)</f>
        <v>-10.336876600504311</v>
      </c>
      <c r="U48">
        <f ca="1">T48*Auction!$A$2</f>
        <v>-10.336876600504311</v>
      </c>
      <c r="V48" s="6" t="str">
        <f>IF(OR(INDEX(Auction!$H$13:$H$656,MATCH(B48,Auction!$A$13:$A$656,0))&gt;0,IFERROR(INDEX(CheatSheet!$D$37:$D$64,MATCH(B48,CheatSheet!$A$37:$A$64,0)),"")&lt;&gt;""),"Yes","No")</f>
        <v>No</v>
      </c>
      <c r="W48" s="179"/>
      <c r="Y48" s="78">
        <f t="shared" ca="1" si="3"/>
        <v>1</v>
      </c>
      <c r="Z48">
        <f t="shared" ca="1" si="2"/>
        <v>-28.505000000000003</v>
      </c>
      <c r="AA48" s="116" t="str">
        <f t="shared" ca="1" si="4"/>
        <v>TE11</v>
      </c>
      <c r="AB48">
        <f ca="1">Z48*LeagueInfo!$H$5</f>
        <v>-10.496348867217421</v>
      </c>
    </row>
    <row r="49" spans="1:28" x14ac:dyDescent="0.25">
      <c r="A49">
        <f>RANK(P49,P$3:P$115)</f>
        <v>47</v>
      </c>
      <c r="B49" t="str">
        <f>TE_Raw!A48</f>
        <v>Anthony Firkser</v>
      </c>
      <c r="C49" t="s">
        <v>43</v>
      </c>
      <c r="D49" t="str">
        <f>_xlfn.IFNA(INDEX(BYEs!$E$2:$E$411,MATCH(B49,BYEs!$D$2:$D$411,0)),"N/A")</f>
        <v>N/A</v>
      </c>
      <c r="E49">
        <f>INDEX(BYEs!$B$2:$B$34,MATCH(F49,BYEs!$A$2:$A$34,0))</f>
        <v>14</v>
      </c>
      <c r="F49" t="str">
        <f>TE_Raw!B48</f>
        <v>ATL</v>
      </c>
      <c r="G49" s="202">
        <v>0</v>
      </c>
      <c r="H49" s="203">
        <v>0</v>
      </c>
      <c r="I49" s="204">
        <v>0</v>
      </c>
      <c r="J49" s="204">
        <v>0</v>
      </c>
      <c r="K49" s="204">
        <v>0</v>
      </c>
      <c r="L49" s="206">
        <f>TE_Raw!C48</f>
        <v>24.3</v>
      </c>
      <c r="M49" s="204">
        <f>TE_Raw!D48</f>
        <v>248.6</v>
      </c>
      <c r="N49" s="207">
        <f>TE_Raw!E48</f>
        <v>1.5</v>
      </c>
      <c r="O49" s="204">
        <f>TE_Raw!F48</f>
        <v>0.5</v>
      </c>
      <c r="P49" s="11">
        <f>(J49*TERushYd)+(K49*TERushTD)+(L49*TERec)+(M49*TERecYd)+(N49*TERecTD)+(O49*TEFuml)+(I49*TERushAtt)</f>
        <v>45.01</v>
      </c>
      <c r="Q49" t="str">
        <f ca="1">IF(A49&lt;=TEStarters,"Starter",IF(A49&gt;TEStarters+TEBench,"Undrafted","Bench"))</f>
        <v>Undrafted</v>
      </c>
      <c r="R49">
        <f ca="1">IFERROR(MAX(P49-LARGE(TESheetCount,TEStarters),0),0)</f>
        <v>0</v>
      </c>
      <c r="S49">
        <f ca="1">IFERROR(IF(AllowNegative="Yes",P49-LARGE(TESheetCount,TECount),MAX(P49-LARGE(TESheetCount,TECount),0)),0)</f>
        <v>-57.650000000000013</v>
      </c>
      <c r="T49">
        <f ca="1">IF(TEStarters&gt;0,(S49-R49)*BenchPF+R49*StarterPF,0)</f>
        <v>-10.452919417980594</v>
      </c>
      <c r="U49">
        <f ca="1">T49*Auction!$A$2</f>
        <v>-10.452919417980594</v>
      </c>
      <c r="V49" s="6" t="str">
        <f>IF(OR(INDEX(Auction!$H$13:$H$656,MATCH(B49,Auction!$A$13:$A$656,0))&gt;0,IFERROR(INDEX(CheatSheet!$D$37:$D$64,MATCH(B49,CheatSheet!$A$37:$A$64,0)),"")&lt;&gt;""),"Yes","No")</f>
        <v>No</v>
      </c>
      <c r="W49" s="179"/>
      <c r="Y49" s="78">
        <f t="shared" ca="1" si="3"/>
        <v>1</v>
      </c>
      <c r="Z49">
        <f t="shared" ca="1" si="2"/>
        <v>-28.825000000000006</v>
      </c>
      <c r="AA49" s="116" t="str">
        <f t="shared" ca="1" si="4"/>
        <v>TE11</v>
      </c>
      <c r="AB49">
        <f ca="1">Z49*LeagueInfo!$H$5</f>
        <v>-10.614181936416145</v>
      </c>
    </row>
    <row r="50" spans="1:28" x14ac:dyDescent="0.25">
      <c r="A50">
        <f>RANK(P50,P$3:P$115)</f>
        <v>48</v>
      </c>
      <c r="B50" t="str">
        <f>TE_Raw!A49</f>
        <v>Durham Smythe</v>
      </c>
      <c r="C50" t="s">
        <v>43</v>
      </c>
      <c r="D50" t="str">
        <f>_xlfn.IFNA(INDEX(BYEs!$E$2:$E$411,MATCH(B50,BYEs!$D$2:$D$411,0)),"N/A")</f>
        <v>N/A</v>
      </c>
      <c r="E50">
        <f>INDEX(BYEs!$B$2:$B$34,MATCH(F50,BYEs!$A$2:$A$34,0))</f>
        <v>11</v>
      </c>
      <c r="F50" t="str">
        <f>TE_Raw!B49</f>
        <v>MIA</v>
      </c>
      <c r="G50" s="202">
        <v>0</v>
      </c>
      <c r="H50" s="203">
        <v>0</v>
      </c>
      <c r="I50" s="204">
        <v>0</v>
      </c>
      <c r="J50" s="204">
        <v>0</v>
      </c>
      <c r="K50" s="204">
        <v>0</v>
      </c>
      <c r="L50" s="206">
        <f>TE_Raw!C49</f>
        <v>24</v>
      </c>
      <c r="M50" s="204">
        <f>TE_Raw!D49</f>
        <v>238.1</v>
      </c>
      <c r="N50" s="207">
        <f>TE_Raw!E49</f>
        <v>1.3</v>
      </c>
      <c r="O50" s="204">
        <f>TE_Raw!F49</f>
        <v>0</v>
      </c>
      <c r="P50" s="11">
        <f>(J50*TERushYd)+(K50*TERushTD)+(L50*TERec)+(M50*TERecYd)+(N50*TERecTD)+(O50*TEFuml)+(I50*TERushAtt)</f>
        <v>43.61</v>
      </c>
      <c r="Q50" t="str">
        <f ca="1">IF(A50&lt;=TEStarters,"Starter",IF(A50&gt;TEStarters+TEBench,"Undrafted","Bench"))</f>
        <v>Undrafted</v>
      </c>
      <c r="R50">
        <f ca="1">IFERROR(MAX(P50-LARGE(TESheetCount,TEStarters),0),0)</f>
        <v>0</v>
      </c>
      <c r="S50">
        <f ca="1">IFERROR(IF(AllowNegative="Yes",P50-LARGE(TESheetCount,TECount),MAX(P50-LARGE(TESheetCount,TECount),0)),0)</f>
        <v>-59.050000000000011</v>
      </c>
      <c r="T50">
        <f ca="1">IF(TEStarters&gt;0,(S50-R50)*BenchPF+R50*StarterPF,0)</f>
        <v>-10.706763081209957</v>
      </c>
      <c r="U50">
        <f ca="1">T50*Auction!$A$2</f>
        <v>-10.706763081209957</v>
      </c>
      <c r="V50" s="6" t="str">
        <f>IF(OR(INDEX(Auction!$H$13:$H$656,MATCH(B50,Auction!$A$13:$A$656,0))&gt;0,IFERROR(INDEX(CheatSheet!$D$37:$D$64,MATCH(B50,CheatSheet!$A$37:$A$64,0)),"")&lt;&gt;""),"Yes","No")</f>
        <v>No</v>
      </c>
      <c r="W50" s="179"/>
      <c r="Y50" s="78">
        <f t="shared" ca="1" si="3"/>
        <v>1</v>
      </c>
      <c r="Z50">
        <f t="shared" ca="1" si="2"/>
        <v>-29.525000000000006</v>
      </c>
      <c r="AA50" s="116" t="str">
        <f t="shared" ca="1" si="4"/>
        <v>TE11</v>
      </c>
      <c r="AB50">
        <f ca="1">Z50*LeagueInfo!$H$5</f>
        <v>-10.871941775288349</v>
      </c>
    </row>
    <row r="51" spans="1:28" x14ac:dyDescent="0.25">
      <c r="A51">
        <f>RANK(P51,P$3:P$115)</f>
        <v>49</v>
      </c>
      <c r="B51" t="str">
        <f>TE_Raw!A54</f>
        <v>Pharaoh Brown</v>
      </c>
      <c r="C51" t="s">
        <v>43</v>
      </c>
      <c r="D51" t="str">
        <f>_xlfn.IFNA(INDEX(BYEs!$E$2:$E$411,MATCH(B51,BYEs!$D$2:$D$411,0)),"N/A")</f>
        <v>N/A</v>
      </c>
      <c r="E51">
        <f>INDEX(BYEs!$B$2:$B$34,MATCH(F51,BYEs!$A$2:$A$34,0))</f>
        <v>6</v>
      </c>
      <c r="F51" t="str">
        <f>TE_Raw!B54</f>
        <v>HOU</v>
      </c>
      <c r="G51" s="202">
        <v>0</v>
      </c>
      <c r="H51" s="203">
        <v>0</v>
      </c>
      <c r="I51" s="204">
        <v>0</v>
      </c>
      <c r="J51" s="204">
        <v>0</v>
      </c>
      <c r="K51" s="204">
        <v>0</v>
      </c>
      <c r="L51" s="206">
        <f>TE_Raw!C54</f>
        <v>23.7</v>
      </c>
      <c r="M51" s="204">
        <f>TE_Raw!D54</f>
        <v>224.3</v>
      </c>
      <c r="N51" s="207">
        <f>TE_Raw!E54</f>
        <v>1.2</v>
      </c>
      <c r="O51" s="204">
        <f>TE_Raw!F54</f>
        <v>0.4</v>
      </c>
      <c r="P51" s="11">
        <f>(J51*TERushYd)+(K51*TERushTD)+(L51*TERec)+(M51*TERecYd)+(N51*TERecTD)+(O51*TEFuml)+(I51*TERushAtt)</f>
        <v>40.680000000000007</v>
      </c>
      <c r="Q51" t="str">
        <f ca="1">IF(A51&lt;=TEStarters,"Starter",IF(A51&gt;TEStarters+TEBench,"Undrafted","Bench"))</f>
        <v>Undrafted</v>
      </c>
      <c r="R51">
        <f ca="1">IFERROR(MAX(P51-LARGE(TESheetCount,TEStarters),0),0)</f>
        <v>0</v>
      </c>
      <c r="S51">
        <f ca="1">IFERROR(IF(AllowNegative="Yes",P51-LARGE(TESheetCount,TECount),MAX(P51-LARGE(TESheetCount,TECount),0)),0)</f>
        <v>-61.980000000000004</v>
      </c>
      <c r="T51">
        <f ca="1">IF(TEStarters&gt;0,(S51-R51)*BenchPF+R51*StarterPF,0)</f>
        <v>-11.238021604968553</v>
      </c>
      <c r="U51">
        <f ca="1">T51*Auction!$A$2</f>
        <v>-11.238021604968553</v>
      </c>
      <c r="V51" s="6" t="str">
        <f>IF(OR(INDEX(Auction!$H$13:$H$656,MATCH(B51,Auction!$A$13:$A$656,0))&gt;0,IFERROR(INDEX(CheatSheet!$D$37:$D$64,MATCH(B51,CheatSheet!$A$37:$A$64,0)),"")&lt;&gt;""),"Yes","No")</f>
        <v>No</v>
      </c>
      <c r="W51" s="179"/>
      <c r="Y51" s="78">
        <f t="shared" ca="1" si="3"/>
        <v>1</v>
      </c>
      <c r="Z51">
        <f t="shared" ca="1" si="2"/>
        <v>-30.990000000000002</v>
      </c>
      <c r="AA51" s="116" t="str">
        <f t="shared" ca="1" si="4"/>
        <v>TE11</v>
      </c>
      <c r="AB51">
        <f ca="1">Z51*LeagueInfo!$H$5</f>
        <v>-11.411396295213748</v>
      </c>
    </row>
    <row r="52" spans="1:28" x14ac:dyDescent="0.25">
      <c r="A52">
        <f>RANK(P52,P$3:P$115)</f>
        <v>50</v>
      </c>
      <c r="B52" t="str">
        <f>TE_Raw!A50</f>
        <v>Taysom Hill</v>
      </c>
      <c r="C52" t="s">
        <v>43</v>
      </c>
      <c r="D52" t="str">
        <f>_xlfn.IFNA(INDEX(BYEs!$E$2:$E$411,MATCH(B52,BYEs!$D$2:$D$411,0)),"N/A")</f>
        <v>N/A</v>
      </c>
      <c r="E52">
        <f>INDEX(BYEs!$B$2:$B$34,MATCH(F52,BYEs!$A$2:$A$34,0))</f>
        <v>14</v>
      </c>
      <c r="F52" t="str">
        <f>TE_Raw!B50</f>
        <v>NO</v>
      </c>
      <c r="G52" s="202">
        <v>0</v>
      </c>
      <c r="H52" s="203">
        <v>0</v>
      </c>
      <c r="I52" s="204">
        <v>0</v>
      </c>
      <c r="J52" s="204">
        <v>0</v>
      </c>
      <c r="K52" s="204">
        <v>0</v>
      </c>
      <c r="L52" s="206">
        <f>TE_Raw!C50</f>
        <v>19</v>
      </c>
      <c r="M52" s="204">
        <f>TE_Raw!D50</f>
        <v>202</v>
      </c>
      <c r="N52" s="207">
        <f>TE_Raw!E50</f>
        <v>2</v>
      </c>
      <c r="O52" s="204">
        <f>TE_Raw!F50</f>
        <v>1</v>
      </c>
      <c r="P52" s="11">
        <f>(J52*TERushYd)+(K52*TERushTD)+(L52*TERec)+(M52*TERecYd)+(N52*TERecTD)+(O52*TEFuml)+(I52*TERushAtt)</f>
        <v>39.700000000000003</v>
      </c>
      <c r="Q52" t="str">
        <f ca="1">IF(A52&lt;=TEStarters,"Starter",IF(A52&gt;TEStarters+TEBench,"Undrafted","Bench"))</f>
        <v>Undrafted</v>
      </c>
      <c r="R52">
        <f ca="1">IFERROR(MAX(P52-LARGE(TESheetCount,TEStarters),0),0)</f>
        <v>0</v>
      </c>
      <c r="S52">
        <f ca="1">IFERROR(IF(AllowNegative="Yes",P52-LARGE(TESheetCount,TECount),MAX(P52-LARGE(TESheetCount,TECount),0)),0)</f>
        <v>-62.960000000000008</v>
      </c>
      <c r="T52">
        <f ca="1">IF(TEStarters&gt;0,(S52-R52)*BenchPF+R52*StarterPF,0)</f>
        <v>-11.415712169229108</v>
      </c>
      <c r="U52">
        <f ca="1">T52*Auction!$A$2</f>
        <v>-11.415712169229108</v>
      </c>
      <c r="V52" s="6" t="str">
        <f>IF(OR(INDEX(Auction!$H$13:$H$656,MATCH(B52,Auction!$A$13:$A$656,0))&gt;0,IFERROR(INDEX(CheatSheet!$D$37:$D$64,MATCH(B52,CheatSheet!$A$37:$A$64,0)),"")&lt;&gt;""),"Yes","No")</f>
        <v>No</v>
      </c>
      <c r="W52" s="179"/>
      <c r="Y52" s="78">
        <f t="shared" ca="1" si="3"/>
        <v>1</v>
      </c>
      <c r="Z52">
        <f t="shared" ca="1" si="2"/>
        <v>-31.480000000000004</v>
      </c>
      <c r="AA52" s="116" t="str">
        <f t="shared" ca="1" si="4"/>
        <v>TE11</v>
      </c>
      <c r="AB52">
        <f ca="1">Z52*LeagueInfo!$H$5</f>
        <v>-11.591828182424292</v>
      </c>
    </row>
    <row r="53" spans="1:28" x14ac:dyDescent="0.25">
      <c r="A53">
        <f>RANK(P53,P$3:P$115)</f>
        <v>51</v>
      </c>
      <c r="B53" t="str">
        <f>TE_Raw!A51</f>
        <v>Cade Otton</v>
      </c>
      <c r="C53" t="s">
        <v>43</v>
      </c>
      <c r="D53" t="str">
        <f>_xlfn.IFNA(INDEX(BYEs!$E$2:$E$411,MATCH(B53,BYEs!$D$2:$D$411,0)),"N/A")</f>
        <v>N/A</v>
      </c>
      <c r="E53">
        <f>INDEX(BYEs!$B$2:$B$34,MATCH(F53,BYEs!$A$2:$A$34,0))</f>
        <v>11</v>
      </c>
      <c r="F53" t="str">
        <f>TE_Raw!B51</f>
        <v>TB</v>
      </c>
      <c r="G53" s="202">
        <v>0</v>
      </c>
      <c r="H53" s="203">
        <v>0</v>
      </c>
      <c r="I53" s="204">
        <v>0</v>
      </c>
      <c r="J53" s="204">
        <v>0</v>
      </c>
      <c r="K53" s="204">
        <v>0</v>
      </c>
      <c r="L53" s="206">
        <f>TE_Raw!C51</f>
        <v>19.7</v>
      </c>
      <c r="M53" s="204">
        <f>TE_Raw!D51</f>
        <v>206.1</v>
      </c>
      <c r="N53" s="207">
        <f>TE_Raw!E51</f>
        <v>1.7</v>
      </c>
      <c r="O53" s="204">
        <f>TE_Raw!F51</f>
        <v>0.5</v>
      </c>
      <c r="P53" s="11">
        <f>(J53*TERushYd)+(K53*TERushTD)+(L53*TERec)+(M53*TERecYd)+(N53*TERecTD)+(O53*TEFuml)+(I53*TERushAtt)</f>
        <v>39.659999999999997</v>
      </c>
      <c r="Q53" t="str">
        <f ca="1">IF(A53&lt;=TEStarters,"Starter",IF(A53&gt;TEStarters+TEBench,"Undrafted","Bench"))</f>
        <v>Undrafted</v>
      </c>
      <c r="R53">
        <f ca="1">IFERROR(MAX(P53-LARGE(TESheetCount,TEStarters),0),0)</f>
        <v>0</v>
      </c>
      <c r="S53">
        <f ca="1">IFERROR(IF(AllowNegative="Yes",P53-LARGE(TESheetCount,TECount),MAX(P53-LARGE(TESheetCount,TECount),0)),0)</f>
        <v>-63.000000000000014</v>
      </c>
      <c r="T53">
        <f ca="1">IF(TEStarters&gt;0,(S53-R53)*BenchPF+R53*StarterPF,0)</f>
        <v>-11.422964845321378</v>
      </c>
      <c r="U53">
        <f ca="1">T53*Auction!$A$2</f>
        <v>-11.422964845321378</v>
      </c>
      <c r="V53" s="6" t="str">
        <f>IF(OR(INDEX(Auction!$H$13:$H$656,MATCH(B53,Auction!$A$13:$A$656,0))&gt;0,IFERROR(INDEX(CheatSheet!$D$37:$D$64,MATCH(B53,CheatSheet!$A$37:$A$64,0)),"")&lt;&gt;""),"Yes","No")</f>
        <v>No</v>
      </c>
      <c r="W53" s="179"/>
      <c r="Y53" s="78">
        <f t="shared" ca="1" si="3"/>
        <v>1</v>
      </c>
      <c r="Z53">
        <f t="shared" ca="1" si="2"/>
        <v>-31.500000000000007</v>
      </c>
      <c r="AA53" s="116" t="str">
        <f t="shared" ca="1" si="4"/>
        <v>TE11</v>
      </c>
      <c r="AB53">
        <f ca="1">Z53*LeagueInfo!$H$5</f>
        <v>-11.599192749249212</v>
      </c>
    </row>
    <row r="54" spans="1:28" x14ac:dyDescent="0.25">
      <c r="A54">
        <f>RANK(P54,P$3:P$115)</f>
        <v>52</v>
      </c>
      <c r="B54" t="str">
        <f>TE_Raw!A52</f>
        <v>O.J. Howard</v>
      </c>
      <c r="C54" t="s">
        <v>43</v>
      </c>
      <c r="D54">
        <f>_xlfn.IFNA(INDEX(BYEs!$E$2:$E$411,MATCH(B54,BYEs!$D$2:$D$411,0)),"N/A")</f>
        <v>26</v>
      </c>
      <c r="E54">
        <f>INDEX(BYEs!$B$2:$B$34,MATCH(F54,BYEs!$A$2:$A$34,0))</f>
        <v>6</v>
      </c>
      <c r="F54" t="str">
        <f>TE_Raw!B52</f>
        <v>HOU</v>
      </c>
      <c r="G54" s="202">
        <v>0</v>
      </c>
      <c r="H54" s="203">
        <v>0</v>
      </c>
      <c r="I54" s="204">
        <v>0</v>
      </c>
      <c r="J54" s="204">
        <v>0</v>
      </c>
      <c r="K54" s="204">
        <v>0</v>
      </c>
      <c r="L54" s="206">
        <f>TE_Raw!C52</f>
        <v>19.100000000000001</v>
      </c>
      <c r="M54" s="204">
        <f>TE_Raw!D52</f>
        <v>209.4</v>
      </c>
      <c r="N54" s="207">
        <f>TE_Raw!E52</f>
        <v>1.5</v>
      </c>
      <c r="O54" s="204">
        <f>TE_Raw!F52</f>
        <v>0.1</v>
      </c>
      <c r="P54" s="11">
        <f>(J54*TERushYd)+(K54*TERushTD)+(L54*TERec)+(M54*TERecYd)+(N54*TERecTD)+(O54*TEFuml)+(I54*TERushAtt)</f>
        <v>39.29</v>
      </c>
      <c r="Q54" t="str">
        <f ca="1">IF(A54&lt;=TEStarters,"Starter",IF(A54&gt;TEStarters+TEBench,"Undrafted","Bench"))</f>
        <v>Undrafted</v>
      </c>
      <c r="R54">
        <f ca="1">IFERROR(MAX(P54-LARGE(TESheetCount,TEStarters),0),0)</f>
        <v>0</v>
      </c>
      <c r="S54">
        <f ca="1">IFERROR(IF(AllowNegative="Yes",P54-LARGE(TESheetCount,TECount),MAX(P54-LARGE(TESheetCount,TECount),0)),0)</f>
        <v>-63.370000000000012</v>
      </c>
      <c r="T54">
        <f ca="1">IF(TEStarters&gt;0,(S54-R54)*BenchPF+R54*StarterPF,0)</f>
        <v>-11.490052099174852</v>
      </c>
      <c r="U54">
        <f ca="1">T54*Auction!$A$2</f>
        <v>-11.490052099174852</v>
      </c>
      <c r="V54" s="6" t="str">
        <f>IF(OR(INDEX(Auction!$H$13:$H$656,MATCH(B54,Auction!$A$13:$A$656,0))&gt;0,IFERROR(INDEX(CheatSheet!$D$37:$D$64,MATCH(B54,CheatSheet!$A$37:$A$64,0)),"")&lt;&gt;""),"Yes","No")</f>
        <v>No</v>
      </c>
      <c r="W54" s="179"/>
      <c r="Y54" s="78">
        <f t="shared" ca="1" si="3"/>
        <v>1</v>
      </c>
      <c r="Z54">
        <f t="shared" ca="1" si="2"/>
        <v>-31.685000000000006</v>
      </c>
      <c r="AA54" s="116" t="str">
        <f t="shared" ca="1" si="4"/>
        <v>TE11</v>
      </c>
      <c r="AB54">
        <f ca="1">Z54*LeagueInfo!$H$5</f>
        <v>-11.667314992379724</v>
      </c>
    </row>
    <row r="55" spans="1:28" x14ac:dyDescent="0.25">
      <c r="A55">
        <f>RANK(P55,P$3:P$115)</f>
        <v>53</v>
      </c>
      <c r="B55" t="str">
        <f>TE_Raw!A53</f>
        <v>Trey McBride</v>
      </c>
      <c r="C55" t="s">
        <v>43</v>
      </c>
      <c r="D55" t="str">
        <f>_xlfn.IFNA(INDEX(BYEs!$E$2:$E$411,MATCH(B55,BYEs!$D$2:$D$411,0)),"N/A")</f>
        <v>N/A</v>
      </c>
      <c r="E55">
        <f>INDEX(BYEs!$B$2:$B$34,MATCH(F55,BYEs!$A$2:$A$34,0))</f>
        <v>13</v>
      </c>
      <c r="F55" t="str">
        <f>TE_Raw!B53</f>
        <v>ARI</v>
      </c>
      <c r="G55" s="202">
        <v>0</v>
      </c>
      <c r="H55" s="203">
        <v>0</v>
      </c>
      <c r="I55" s="204">
        <v>0</v>
      </c>
      <c r="J55" s="204">
        <v>0</v>
      </c>
      <c r="K55" s="204">
        <v>0</v>
      </c>
      <c r="L55" s="206">
        <f>TE_Raw!C53</f>
        <v>19.3</v>
      </c>
      <c r="M55" s="204">
        <f>TE_Raw!D53</f>
        <v>202.1</v>
      </c>
      <c r="N55" s="207">
        <f>TE_Raw!E53</f>
        <v>1.7</v>
      </c>
      <c r="O55" s="204">
        <f>TE_Raw!F53</f>
        <v>0.5</v>
      </c>
      <c r="P55" s="11">
        <f>(J55*TERushYd)+(K55*TERushTD)+(L55*TERec)+(M55*TERecYd)+(N55*TERecTD)+(O55*TEFuml)+(I55*TERushAtt)</f>
        <v>39.06</v>
      </c>
      <c r="Q55" t="str">
        <f ca="1">IF(A55&lt;=TEStarters,"Starter",IF(A55&gt;TEStarters+TEBench,"Undrafted","Bench"))</f>
        <v>Undrafted</v>
      </c>
      <c r="R55">
        <f ca="1">IFERROR(MAX(P55-LARGE(TESheetCount,TEStarters),0),0)</f>
        <v>0</v>
      </c>
      <c r="S55">
        <f ca="1">IFERROR(IF(AllowNegative="Yes",P55-LARGE(TESheetCount,TECount),MAX(P55-LARGE(TESheetCount,TECount),0)),0)</f>
        <v>-63.600000000000009</v>
      </c>
      <c r="T55">
        <f ca="1">IF(TEStarters&gt;0,(S55-R55)*BenchPF+R55*StarterPF,0)</f>
        <v>-11.531754986705389</v>
      </c>
      <c r="U55">
        <f ca="1">T55*Auction!$A$2</f>
        <v>-11.531754986705389</v>
      </c>
      <c r="V55" s="6" t="str">
        <f>IF(OR(INDEX(Auction!$H$13:$H$656,MATCH(B55,Auction!$A$13:$A$656,0))&gt;0,IFERROR(INDEX(CheatSheet!$D$37:$D$64,MATCH(B55,CheatSheet!$A$37:$A$64,0)),"")&lt;&gt;""),"Yes","No")</f>
        <v>No</v>
      </c>
      <c r="W55" s="179"/>
      <c r="Y55" s="78">
        <f t="shared" ca="1" si="3"/>
        <v>1</v>
      </c>
      <c r="Z55">
        <f t="shared" ca="1" si="2"/>
        <v>-31.800000000000004</v>
      </c>
      <c r="AA55" s="116" t="str">
        <f t="shared" ca="1" si="4"/>
        <v>TE11</v>
      </c>
      <c r="AB55">
        <f ca="1">Z55*LeagueInfo!$H$5</f>
        <v>-11.709661251623015</v>
      </c>
    </row>
    <row r="56" spans="1:28" x14ac:dyDescent="0.25">
      <c r="A56">
        <f>RANK(P56,P$3:P$115)</f>
        <v>54</v>
      </c>
      <c r="B56" t="str">
        <f>TE_Raw!A55</f>
        <v>Kylen Granson</v>
      </c>
      <c r="C56" t="s">
        <v>43</v>
      </c>
      <c r="D56" t="str">
        <f>_xlfn.IFNA(INDEX(BYEs!$E$2:$E$411,MATCH(B56,BYEs!$D$2:$D$411,0)),"N/A")</f>
        <v>N/A</v>
      </c>
      <c r="E56">
        <f>INDEX(BYEs!$B$2:$B$34,MATCH(F56,BYEs!$A$2:$A$34,0))</f>
        <v>14</v>
      </c>
      <c r="F56" t="str">
        <f>TE_Raw!B55</f>
        <v>IND</v>
      </c>
      <c r="G56" s="202">
        <v>0</v>
      </c>
      <c r="H56" s="203">
        <v>0</v>
      </c>
      <c r="I56" s="204">
        <v>0</v>
      </c>
      <c r="J56" s="204">
        <v>0</v>
      </c>
      <c r="K56" s="204">
        <v>0</v>
      </c>
      <c r="L56" s="206">
        <f>TE_Raw!C55</f>
        <v>18.5</v>
      </c>
      <c r="M56" s="204">
        <f>TE_Raw!D55</f>
        <v>207.4</v>
      </c>
      <c r="N56" s="207">
        <f>TE_Raw!E55</f>
        <v>1.4</v>
      </c>
      <c r="O56" s="204">
        <f>TE_Raw!F55</f>
        <v>0.1</v>
      </c>
      <c r="P56" s="11">
        <f>(J56*TERushYd)+(K56*TERushTD)+(L56*TERec)+(M56*TERecYd)+(N56*TERecTD)+(O56*TEFuml)+(I56*TERushAtt)</f>
        <v>38.19</v>
      </c>
      <c r="Q56" t="str">
        <f ca="1">IF(A56&lt;=TEStarters,"Starter",IF(A56&gt;TEStarters+TEBench,"Undrafted","Bench"))</f>
        <v>Undrafted</v>
      </c>
      <c r="R56">
        <f ca="1">IFERROR(MAX(P56-LARGE(TESheetCount,TEStarters),0),0)</f>
        <v>0</v>
      </c>
      <c r="S56">
        <f ca="1">IFERROR(IF(AllowNegative="Yes",P56-LARGE(TESheetCount,TECount),MAX(P56-LARGE(TESheetCount,TECount),0)),0)</f>
        <v>-64.470000000000013</v>
      </c>
      <c r="T56">
        <f ca="1">IF(TEStarters&gt;0,(S56-R56)*BenchPF+R56*StarterPF,0)</f>
        <v>-11.689500691712208</v>
      </c>
      <c r="U56">
        <f ca="1">T56*Auction!$A$2</f>
        <v>-11.689500691712208</v>
      </c>
      <c r="V56" s="6" t="str">
        <f>IF(OR(INDEX(Auction!$H$13:$H$656,MATCH(B56,Auction!$A$13:$A$656,0))&gt;0,IFERROR(INDEX(CheatSheet!$D$37:$D$64,MATCH(B56,CheatSheet!$A$37:$A$64,0)),"")&lt;&gt;""),"Yes","No")</f>
        <v>No</v>
      </c>
      <c r="W56" s="179"/>
      <c r="Y56" s="78">
        <f t="shared" ca="1" si="3"/>
        <v>1</v>
      </c>
      <c r="Z56">
        <f t="shared" ca="1" si="2"/>
        <v>-32.235000000000007</v>
      </c>
      <c r="AA56" s="116" t="str">
        <f t="shared" ca="1" si="4"/>
        <v>TE11</v>
      </c>
      <c r="AB56">
        <f ca="1">Z56*LeagueInfo!$H$5</f>
        <v>-11.869840580065027</v>
      </c>
    </row>
    <row r="57" spans="1:28" x14ac:dyDescent="0.25">
      <c r="A57">
        <f>RANK(P57,P$3:P$115)</f>
        <v>55</v>
      </c>
      <c r="B57" t="str">
        <f>TE_Raw!A56</f>
        <v>Josiah Deguara</v>
      </c>
      <c r="C57" t="s">
        <v>43</v>
      </c>
      <c r="D57" t="str">
        <f>_xlfn.IFNA(INDEX(BYEs!$E$2:$E$411,MATCH(B57,BYEs!$D$2:$D$411,0)),"N/A")</f>
        <v>N/A</v>
      </c>
      <c r="E57">
        <f>INDEX(BYEs!$B$2:$B$34,MATCH(F57,BYEs!$A$2:$A$34,0))</f>
        <v>14</v>
      </c>
      <c r="F57" t="str">
        <f>TE_Raw!B56</f>
        <v>GB</v>
      </c>
      <c r="G57" s="202">
        <v>0</v>
      </c>
      <c r="H57" s="203">
        <v>0</v>
      </c>
      <c r="I57" s="204">
        <v>0</v>
      </c>
      <c r="J57" s="204">
        <v>0</v>
      </c>
      <c r="K57" s="204">
        <v>0</v>
      </c>
      <c r="L57" s="206">
        <f>TE_Raw!C56</f>
        <v>18.399999999999999</v>
      </c>
      <c r="M57" s="204">
        <f>TE_Raw!D56</f>
        <v>194.7</v>
      </c>
      <c r="N57" s="207">
        <f>TE_Raw!E56</f>
        <v>1.5</v>
      </c>
      <c r="O57" s="204">
        <f>TE_Raw!F56</f>
        <v>0</v>
      </c>
      <c r="P57" s="11">
        <f>(J57*TERushYd)+(K57*TERushTD)+(L57*TERec)+(M57*TERecYd)+(N57*TERecTD)+(O57*TEFuml)+(I57*TERushAtt)</f>
        <v>37.67</v>
      </c>
      <c r="Q57" t="str">
        <f ca="1">IF(A57&lt;=TEStarters,"Starter",IF(A57&gt;TEStarters+TEBench,"Undrafted","Bench"))</f>
        <v>Undrafted</v>
      </c>
      <c r="R57">
        <f ca="1">IFERROR(MAX(P57-LARGE(TESheetCount,TEStarters),0),0)</f>
        <v>0</v>
      </c>
      <c r="S57">
        <f ca="1">IFERROR(IF(AllowNegative="Yes",P57-LARGE(TESheetCount,TECount),MAX(P57-LARGE(TESheetCount,TECount),0)),0)</f>
        <v>-64.990000000000009</v>
      </c>
      <c r="T57">
        <f ca="1">IF(TEStarters&gt;0,(S57-R57)*BenchPF+R57*StarterPF,0)</f>
        <v>-11.783785480911686</v>
      </c>
      <c r="U57">
        <f ca="1">T57*Auction!$A$2</f>
        <v>-11.783785480911686</v>
      </c>
      <c r="V57" s="6" t="str">
        <f>IF(OR(INDEX(Auction!$H$13:$H$656,MATCH(B57,Auction!$A$13:$A$656,0))&gt;0,IFERROR(INDEX(CheatSheet!$D$37:$D$64,MATCH(B57,CheatSheet!$A$37:$A$64,0)),"")&lt;&gt;""),"Yes","No")</f>
        <v>No</v>
      </c>
      <c r="W57" s="179"/>
      <c r="Y57" s="78">
        <f t="shared" ca="1" si="3"/>
        <v>1</v>
      </c>
      <c r="Z57">
        <f t="shared" ca="1" si="2"/>
        <v>-32.495000000000005</v>
      </c>
      <c r="AA57" s="116" t="str">
        <f t="shared" ca="1" si="4"/>
        <v>TE11</v>
      </c>
      <c r="AB57">
        <f ca="1">Z57*LeagueInfo!$H$5</f>
        <v>-11.965579948788989</v>
      </c>
    </row>
    <row r="58" spans="1:28" x14ac:dyDescent="0.25">
      <c r="A58">
        <f>RANK(P58,P$3:P$115)</f>
        <v>56</v>
      </c>
      <c r="B58" t="str">
        <f>TE_Raw!A58</f>
        <v>Will Dissly</v>
      </c>
      <c r="C58" t="s">
        <v>43</v>
      </c>
      <c r="D58">
        <f>_xlfn.IFNA(INDEX(BYEs!$E$2:$E$411,MATCH(B58,BYEs!$D$2:$D$411,0)),"N/A")</f>
        <v>25</v>
      </c>
      <c r="E58">
        <f>INDEX(BYEs!$B$2:$B$34,MATCH(F58,BYEs!$A$2:$A$34,0))</f>
        <v>11</v>
      </c>
      <c r="F58" t="str">
        <f>TE_Raw!B58</f>
        <v>SEA</v>
      </c>
      <c r="G58" s="202">
        <v>0</v>
      </c>
      <c r="H58" s="203">
        <v>0</v>
      </c>
      <c r="I58" s="204">
        <v>0</v>
      </c>
      <c r="J58" s="204">
        <v>0</v>
      </c>
      <c r="K58" s="204">
        <v>0</v>
      </c>
      <c r="L58" s="206">
        <f>TE_Raw!C58</f>
        <v>19.100000000000001</v>
      </c>
      <c r="M58" s="204">
        <f>TE_Raw!D58</f>
        <v>199.2</v>
      </c>
      <c r="N58" s="207">
        <f>TE_Raw!E58</f>
        <v>1.2</v>
      </c>
      <c r="O58" s="204">
        <f>TE_Raw!F58</f>
        <v>0.1</v>
      </c>
      <c r="P58" s="11">
        <f>(J58*TERushYd)+(K58*TERushTD)+(L58*TERec)+(M58*TERecYd)+(N58*TERecTD)+(O58*TEFuml)+(I58*TERushAtt)</f>
        <v>36.47</v>
      </c>
      <c r="Q58" t="str">
        <f ca="1">IF(A58&lt;=TEStarters,"Starter",IF(A58&gt;TEStarters+TEBench,"Undrafted","Bench"))</f>
        <v>Undrafted</v>
      </c>
      <c r="R58">
        <f ca="1">IFERROR(MAX(P58-LARGE(TESheetCount,TEStarters),0),0)</f>
        <v>0</v>
      </c>
      <c r="S58">
        <f ca="1">IFERROR(IF(AllowNegative="Yes",P58-LARGE(TESheetCount,TECount),MAX(P58-LARGE(TESheetCount,TECount),0)),0)</f>
        <v>-66.190000000000012</v>
      </c>
      <c r="T58">
        <f ca="1">IF(TEStarters&gt;0,(S58-R58)*BenchPF+R58*StarterPF,0)</f>
        <v>-12.001365763679713</v>
      </c>
      <c r="U58">
        <f ca="1">T58*Auction!$A$2</f>
        <v>-12.001365763679713</v>
      </c>
      <c r="V58" s="6" t="str">
        <f>IF(OR(INDEX(Auction!$H$13:$H$656,MATCH(B58,Auction!$A$13:$A$656,0))&gt;0,IFERROR(INDEX(CheatSheet!$D$37:$D$64,MATCH(B58,CheatSheet!$A$37:$A$64,0)),"")&lt;&gt;""),"Yes","No")</f>
        <v>No</v>
      </c>
      <c r="W58" s="179"/>
      <c r="Y58" s="78">
        <f t="shared" ca="1" si="3"/>
        <v>1</v>
      </c>
      <c r="Z58">
        <f t="shared" ca="1" si="2"/>
        <v>-33.095000000000006</v>
      </c>
      <c r="AA58" s="116" t="str">
        <f t="shared" ca="1" si="4"/>
        <v>TE11</v>
      </c>
      <c r="AB58">
        <f ca="1">Z58*LeagueInfo!$H$5</f>
        <v>-12.186516953536593</v>
      </c>
    </row>
    <row r="59" spans="1:28" x14ac:dyDescent="0.25">
      <c r="A59">
        <f>RANK(P59,P$3:P$115)</f>
        <v>57</v>
      </c>
      <c r="B59" t="str">
        <f>TE_Raw!A57</f>
        <v>Greg Dulcich</v>
      </c>
      <c r="C59" t="s">
        <v>43</v>
      </c>
      <c r="D59" t="str">
        <f>_xlfn.IFNA(INDEX(BYEs!$E$2:$E$411,MATCH(B59,BYEs!$D$2:$D$411,0)),"N/A")</f>
        <v>N/A</v>
      </c>
      <c r="E59">
        <f>INDEX(BYEs!$B$2:$B$34,MATCH(F59,BYEs!$A$2:$A$34,0))</f>
        <v>9</v>
      </c>
      <c r="F59" t="str">
        <f>TE_Raw!B57</f>
        <v>DEN</v>
      </c>
      <c r="G59" s="202">
        <v>0</v>
      </c>
      <c r="H59" s="203">
        <v>0</v>
      </c>
      <c r="I59" s="204">
        <v>0</v>
      </c>
      <c r="J59" s="204">
        <v>0</v>
      </c>
      <c r="K59" s="204">
        <v>0</v>
      </c>
      <c r="L59" s="206">
        <f>TE_Raw!C57</f>
        <v>17.5</v>
      </c>
      <c r="M59" s="204">
        <f>TE_Raw!D57</f>
        <v>189.9</v>
      </c>
      <c r="N59" s="207">
        <f>TE_Raw!E57</f>
        <v>1.4</v>
      </c>
      <c r="O59" s="204">
        <f>TE_Raw!F57</f>
        <v>0.1</v>
      </c>
      <c r="P59" s="11">
        <f>(J59*TERushYd)+(K59*TERushTD)+(L59*TERec)+(M59*TERecYd)+(N59*TERecTD)+(O59*TEFuml)+(I59*TERushAtt)</f>
        <v>35.94</v>
      </c>
      <c r="Q59" t="str">
        <f ca="1">IF(A59&lt;=TEStarters,"Starter",IF(A59&gt;TEStarters+TEBench,"Undrafted","Bench"))</f>
        <v>Undrafted</v>
      </c>
      <c r="R59">
        <f ca="1">IFERROR(MAX(P59-LARGE(TESheetCount,TEStarters),0),0)</f>
        <v>0</v>
      </c>
      <c r="S59">
        <f ca="1">IFERROR(IF(AllowNegative="Yes",P59-LARGE(TESheetCount,TECount),MAX(P59-LARGE(TESheetCount,TECount),0)),0)</f>
        <v>-66.720000000000013</v>
      </c>
      <c r="T59">
        <f ca="1">IF(TEStarters&gt;0,(S59-R59)*BenchPF+R59*StarterPF,0)</f>
        <v>-12.097463721902258</v>
      </c>
      <c r="U59">
        <f ca="1">T59*Auction!$A$2</f>
        <v>-12.097463721902258</v>
      </c>
      <c r="V59" s="6" t="str">
        <f>IF(OR(INDEX(Auction!$H$13:$H$656,MATCH(B59,Auction!$A$13:$A$656,0))&gt;0,IFERROR(INDEX(CheatSheet!$D$37:$D$64,MATCH(B59,CheatSheet!$A$37:$A$64,0)),"")&lt;&gt;""),"Yes","No")</f>
        <v>No</v>
      </c>
      <c r="W59" s="179"/>
      <c r="Y59" s="78">
        <f t="shared" ca="1" si="3"/>
        <v>1</v>
      </c>
      <c r="Z59">
        <f t="shared" ca="1" si="2"/>
        <v>-33.360000000000007</v>
      </c>
      <c r="AA59" s="116" t="str">
        <f t="shared" ca="1" si="4"/>
        <v>TE11</v>
      </c>
      <c r="AB59">
        <f ca="1">Z59*LeagueInfo!$H$5</f>
        <v>-12.284097463966786</v>
      </c>
    </row>
    <row r="60" spans="1:28" x14ac:dyDescent="0.25">
      <c r="A60">
        <f>RANK(P60,P$3:P$115)</f>
        <v>58</v>
      </c>
      <c r="B60" t="str">
        <f>TE_Raw!A59</f>
        <v>John Bates</v>
      </c>
      <c r="C60" t="s">
        <v>43</v>
      </c>
      <c r="D60" t="str">
        <f>_xlfn.IFNA(INDEX(BYEs!$E$2:$E$411,MATCH(B60,BYEs!$D$2:$D$411,0)),"N/A")</f>
        <v>N/A</v>
      </c>
      <c r="E60">
        <f>INDEX(BYEs!$B$2:$B$34,MATCH(F60,BYEs!$A$2:$A$34,0))</f>
        <v>14</v>
      </c>
      <c r="F60" t="str">
        <f>TE_Raw!B59</f>
        <v>WAS</v>
      </c>
      <c r="G60" s="202">
        <v>0</v>
      </c>
      <c r="H60" s="203">
        <v>0</v>
      </c>
      <c r="I60" s="204">
        <v>0</v>
      </c>
      <c r="J60" s="204">
        <v>0</v>
      </c>
      <c r="K60" s="204">
        <v>0</v>
      </c>
      <c r="L60" s="206">
        <f>TE_Raw!C59</f>
        <v>16.8</v>
      </c>
      <c r="M60" s="204">
        <f>TE_Raw!D59</f>
        <v>188.2</v>
      </c>
      <c r="N60" s="207">
        <f>TE_Raw!E59</f>
        <v>1.2</v>
      </c>
      <c r="O60" s="204">
        <f>TE_Raw!F59</f>
        <v>0</v>
      </c>
      <c r="P60" s="11">
        <f>(J60*TERushYd)+(K60*TERushTD)+(L60*TERec)+(M60*TERecYd)+(N60*TERecTD)+(O60*TEFuml)+(I60*TERushAtt)</f>
        <v>34.42</v>
      </c>
      <c r="Q60" t="str">
        <f ca="1">IF(A60&lt;=TEStarters,"Starter",IF(A60&gt;TEStarters+TEBench,"Undrafted","Bench"))</f>
        <v>Undrafted</v>
      </c>
      <c r="R60">
        <f ca="1">IFERROR(MAX(P60-LARGE(TESheetCount,TEStarters),0),0)</f>
        <v>0</v>
      </c>
      <c r="S60">
        <f ca="1">IFERROR(IF(AllowNegative="Yes",P60-LARGE(TESheetCount,TECount),MAX(P60-LARGE(TESheetCount,TECount),0)),0)</f>
        <v>-68.240000000000009</v>
      </c>
      <c r="T60">
        <f ca="1">IF(TEStarters&gt;0,(S60-R60)*BenchPF+R60*StarterPF,0)</f>
        <v>-12.373065413408424</v>
      </c>
      <c r="U60">
        <f ca="1">T60*Auction!$A$2</f>
        <v>-12.373065413408424</v>
      </c>
      <c r="V60" s="6" t="str">
        <f>IF(OR(INDEX(Auction!$H$13:$H$656,MATCH(B60,Auction!$A$13:$A$656,0))&gt;0,IFERROR(INDEX(CheatSheet!$D$37:$D$64,MATCH(B60,CheatSheet!$A$37:$A$64,0)),"")&lt;&gt;""),"Yes","No")</f>
        <v>No</v>
      </c>
      <c r="W60" s="179"/>
      <c r="Y60" s="78">
        <f t="shared" ca="1" si="3"/>
        <v>1</v>
      </c>
      <c r="Z60">
        <f t="shared" ca="1" si="2"/>
        <v>-34.120000000000005</v>
      </c>
      <c r="AA60" s="116" t="str">
        <f t="shared" ca="1" si="4"/>
        <v>TE11</v>
      </c>
      <c r="AB60">
        <f ca="1">Z60*LeagueInfo!$H$5</f>
        <v>-12.563951003313749</v>
      </c>
    </row>
    <row r="61" spans="1:28" x14ac:dyDescent="0.25">
      <c r="A61">
        <f>RANK(P61,P$3:P$115)</f>
        <v>59</v>
      </c>
      <c r="B61" t="str">
        <f>TE_Raw!A60</f>
        <v>Ian Thomas</v>
      </c>
      <c r="C61" t="s">
        <v>43</v>
      </c>
      <c r="D61">
        <f>_xlfn.IFNA(INDEX(BYEs!$E$2:$E$411,MATCH(B61,BYEs!$D$2:$D$411,0)),"N/A")</f>
        <v>25</v>
      </c>
      <c r="E61">
        <f>INDEX(BYEs!$B$2:$B$34,MATCH(F61,BYEs!$A$2:$A$34,0))</f>
        <v>13</v>
      </c>
      <c r="F61" t="str">
        <f>TE_Raw!B60</f>
        <v>CAR</v>
      </c>
      <c r="G61" s="202">
        <v>0</v>
      </c>
      <c r="H61" s="203">
        <v>0</v>
      </c>
      <c r="I61" s="204">
        <v>0</v>
      </c>
      <c r="J61" s="204">
        <v>0</v>
      </c>
      <c r="K61" s="204">
        <v>0</v>
      </c>
      <c r="L61" s="206">
        <f>TE_Raw!C60</f>
        <v>18.5</v>
      </c>
      <c r="M61" s="204">
        <f>TE_Raw!D60</f>
        <v>182.6</v>
      </c>
      <c r="N61" s="207">
        <f>TE_Raw!E60</f>
        <v>1</v>
      </c>
      <c r="O61" s="204">
        <f>TE_Raw!F60</f>
        <v>0.1</v>
      </c>
      <c r="P61" s="11">
        <f>(J61*TERushYd)+(K61*TERushTD)+(L61*TERec)+(M61*TERecYd)+(N61*TERecTD)+(O61*TEFuml)+(I61*TERushAtt)</f>
        <v>33.31</v>
      </c>
      <c r="Q61" t="str">
        <f ca="1">IF(A61&lt;=TEStarters,"Starter",IF(A61&gt;TEStarters+TEBench,"Undrafted","Bench"))</f>
        <v>Undrafted</v>
      </c>
      <c r="R61">
        <f ca="1">IFERROR(MAX(P61-LARGE(TESheetCount,TEStarters),0),0)</f>
        <v>0</v>
      </c>
      <c r="S61">
        <f ca="1">IFERROR(IF(AllowNegative="Yes",P61-LARGE(TESheetCount,TECount),MAX(P61-LARGE(TESheetCount,TECount),0)),0)</f>
        <v>-69.350000000000009</v>
      </c>
      <c r="T61">
        <f ca="1">IF(TEStarters&gt;0,(S61-R61)*BenchPF+R61*StarterPF,0)</f>
        <v>-12.574327174968849</v>
      </c>
      <c r="U61">
        <f ca="1">T61*Auction!$A$2</f>
        <v>-12.574327174968849</v>
      </c>
      <c r="V61" s="6" t="str">
        <f>IF(OR(INDEX(Auction!$H$13:$H$656,MATCH(B61,Auction!$A$13:$A$656,0))&gt;0,IFERROR(INDEX(CheatSheet!$D$37:$D$64,MATCH(B61,CheatSheet!$A$37:$A$64,0)),"")&lt;&gt;""),"Yes","No")</f>
        <v>No</v>
      </c>
      <c r="W61" s="179"/>
      <c r="Y61" s="78">
        <f t="shared" ca="1" si="3"/>
        <v>1</v>
      </c>
      <c r="Z61">
        <f t="shared" ca="1" si="2"/>
        <v>-34.675000000000004</v>
      </c>
      <c r="AA61" s="116" t="str">
        <f t="shared" ca="1" si="4"/>
        <v>TE11</v>
      </c>
      <c r="AB61">
        <f ca="1">Z61*LeagueInfo!$H$5</f>
        <v>-12.768317732705283</v>
      </c>
    </row>
    <row r="62" spans="1:28" x14ac:dyDescent="0.25">
      <c r="A62">
        <f>RANK(P62,P$3:P$115)</f>
        <v>60</v>
      </c>
      <c r="B62" t="str">
        <f>TE_Raw!A61</f>
        <v>Marcedes Lewis</v>
      </c>
      <c r="C62" t="s">
        <v>43</v>
      </c>
      <c r="D62" t="str">
        <f>_xlfn.IFNA(INDEX(BYEs!$E$2:$E$411,MATCH(B62,BYEs!$D$2:$D$411,0)),"N/A")</f>
        <v>N/A</v>
      </c>
      <c r="E62">
        <f>INDEX(BYEs!$B$2:$B$34,MATCH(F62,BYEs!$A$2:$A$34,0))</f>
        <v>14</v>
      </c>
      <c r="F62" t="str">
        <f>TE_Raw!B61</f>
        <v>GB</v>
      </c>
      <c r="G62" s="202">
        <v>0</v>
      </c>
      <c r="H62" s="203">
        <v>0</v>
      </c>
      <c r="I62" s="204">
        <v>0</v>
      </c>
      <c r="J62" s="204">
        <v>0</v>
      </c>
      <c r="K62" s="204">
        <v>0</v>
      </c>
      <c r="L62" s="206">
        <f>TE_Raw!C61</f>
        <v>16.5</v>
      </c>
      <c r="M62" s="204">
        <f>TE_Raw!D61</f>
        <v>169</v>
      </c>
      <c r="N62" s="207">
        <f>TE_Raw!E61</f>
        <v>1.2</v>
      </c>
      <c r="O62" s="204">
        <f>TE_Raw!F61</f>
        <v>0.4</v>
      </c>
      <c r="P62" s="11">
        <f>(J62*TERushYd)+(K62*TERushTD)+(L62*TERec)+(M62*TERecYd)+(N62*TERecTD)+(O62*TEFuml)+(I62*TERushAtt)</f>
        <v>31.55</v>
      </c>
      <c r="Q62" t="str">
        <f ca="1">IF(A62&lt;=TEStarters,"Starter",IF(A62&gt;TEStarters+TEBench,"Undrafted","Bench"))</f>
        <v>Undrafted</v>
      </c>
      <c r="R62">
        <f ca="1">IFERROR(MAX(P62-LARGE(TESheetCount,TEStarters),0),0)</f>
        <v>0</v>
      </c>
      <c r="S62">
        <f ca="1">IFERROR(IF(AllowNegative="Yes",P62-LARGE(TESheetCount,TECount),MAX(P62-LARGE(TESheetCount,TECount),0)),0)</f>
        <v>-71.110000000000014</v>
      </c>
      <c r="T62">
        <f ca="1">IF(TEStarters&gt;0,(S62-R62)*BenchPF+R62*StarterPF,0)</f>
        <v>-12.893444923028621</v>
      </c>
      <c r="U62">
        <f ca="1">T62*Auction!$A$2</f>
        <v>-12.893444923028621</v>
      </c>
      <c r="V62" s="6" t="str">
        <f>IF(OR(INDEX(Auction!$H$13:$H$656,MATCH(B62,Auction!$A$13:$A$656,0))&gt;0,IFERROR(INDEX(CheatSheet!$D$37:$D$64,MATCH(B62,CheatSheet!$A$37:$A$64,0)),"")&lt;&gt;""),"Yes","No")</f>
        <v>No</v>
      </c>
      <c r="W62" s="179"/>
      <c r="Y62" s="78">
        <f t="shared" ca="1" si="3"/>
        <v>1</v>
      </c>
      <c r="Z62">
        <f t="shared" ca="1" si="2"/>
        <v>-35.555000000000007</v>
      </c>
      <c r="AA62" s="116" t="str">
        <f t="shared" ca="1" si="4"/>
        <v>TE11</v>
      </c>
      <c r="AB62">
        <f ca="1">Z62*LeagueInfo!$H$5</f>
        <v>-13.092358673001769</v>
      </c>
    </row>
    <row r="63" spans="1:28" x14ac:dyDescent="0.25">
      <c r="A63">
        <f>RANK(P63,P$3:P$115)</f>
        <v>61</v>
      </c>
      <c r="B63" t="str">
        <f>TE_Raw!A62</f>
        <v>Ryan Griffin</v>
      </c>
      <c r="C63" t="s">
        <v>43</v>
      </c>
      <c r="D63" t="str">
        <f>_xlfn.IFNA(INDEX(BYEs!$E$2:$E$411,MATCH(B63,BYEs!$D$2:$D$411,0)),"N/A")</f>
        <v>N/A</v>
      </c>
      <c r="E63">
        <f>INDEX(BYEs!$B$2:$B$34,MATCH(F63,BYEs!$A$2:$A$34,0))</f>
        <v>14</v>
      </c>
      <c r="F63" t="str">
        <f>TE_Raw!B62</f>
        <v>CHI</v>
      </c>
      <c r="G63" s="202">
        <v>0</v>
      </c>
      <c r="H63" s="203">
        <v>0</v>
      </c>
      <c r="I63" s="204">
        <v>0</v>
      </c>
      <c r="J63" s="204">
        <v>0</v>
      </c>
      <c r="K63" s="204">
        <v>0</v>
      </c>
      <c r="L63" s="206">
        <f>TE_Raw!C62</f>
        <v>15.5</v>
      </c>
      <c r="M63" s="204">
        <f>TE_Raw!D62</f>
        <v>157</v>
      </c>
      <c r="N63" s="207">
        <f>TE_Raw!E62</f>
        <v>1.2</v>
      </c>
      <c r="O63" s="204">
        <f>TE_Raw!F62</f>
        <v>0.1</v>
      </c>
      <c r="P63" s="11">
        <f>(J63*TERushYd)+(K63*TERushTD)+(L63*TERec)+(M63*TERecYd)+(N63*TERecTD)+(O63*TEFuml)+(I63*TERushAtt)</f>
        <v>30.450000000000003</v>
      </c>
      <c r="Q63" t="str">
        <f ca="1">IF(A63&lt;=TEStarters,"Starter",IF(A63&gt;TEStarters+TEBench,"Undrafted","Bench"))</f>
        <v>Undrafted</v>
      </c>
      <c r="R63">
        <f ca="1">IFERROR(MAX(P63-LARGE(TESheetCount,TEStarters),0),0)</f>
        <v>0</v>
      </c>
      <c r="S63">
        <f ca="1">IFERROR(IF(AllowNegative="Yes",P63-LARGE(TESheetCount,TECount),MAX(P63-LARGE(TESheetCount,TECount),0)),0)</f>
        <v>-72.210000000000008</v>
      </c>
      <c r="T63">
        <f ca="1">IF(TEStarters&gt;0,(S63-R63)*BenchPF+R63*StarterPF,0)</f>
        <v>-13.092893515565978</v>
      </c>
      <c r="U63">
        <f ca="1">T63*Auction!$A$2</f>
        <v>-13.092893515565978</v>
      </c>
      <c r="V63" s="6" t="str">
        <f>IF(OR(INDEX(Auction!$H$13:$H$656,MATCH(B63,Auction!$A$13:$A$656,0))&gt;0,IFERROR(INDEX(CheatSheet!$D$37:$D$64,MATCH(B63,CheatSheet!$A$37:$A$64,0)),"")&lt;&gt;""),"Yes","No")</f>
        <v>No</v>
      </c>
      <c r="W63" s="179"/>
      <c r="Y63" s="78">
        <f t="shared" ca="1" si="3"/>
        <v>1</v>
      </c>
      <c r="Z63">
        <f t="shared" ca="1" si="2"/>
        <v>-36.105000000000004</v>
      </c>
      <c r="AA63" s="116" t="str">
        <f t="shared" ca="1" si="4"/>
        <v>TE11</v>
      </c>
      <c r="AB63">
        <f ca="1">Z63*LeagueInfo!$H$5</f>
        <v>-13.294884260687072</v>
      </c>
    </row>
    <row r="64" spans="1:28" x14ac:dyDescent="0.25">
      <c r="A64">
        <f>RANK(P64,P$3:P$115)</f>
        <v>62</v>
      </c>
      <c r="B64" t="str">
        <f>TE_Raw!A63</f>
        <v>Chris Myarick</v>
      </c>
      <c r="C64" t="s">
        <v>43</v>
      </c>
      <c r="D64" t="str">
        <f>_xlfn.IFNA(INDEX(BYEs!$E$2:$E$411,MATCH(B64,BYEs!$D$2:$D$411,0)),"N/A")</f>
        <v>N/A</v>
      </c>
      <c r="E64">
        <f>INDEX(BYEs!$B$2:$B$34,MATCH(F64,BYEs!$A$2:$A$34,0))</f>
        <v>9</v>
      </c>
      <c r="F64" t="str">
        <f>TE_Raw!B63</f>
        <v>NYG</v>
      </c>
      <c r="G64" s="202">
        <v>0</v>
      </c>
      <c r="H64" s="203">
        <v>0</v>
      </c>
      <c r="I64" s="204">
        <v>0</v>
      </c>
      <c r="J64" s="204">
        <v>0</v>
      </c>
      <c r="K64" s="204">
        <v>0</v>
      </c>
      <c r="L64" s="206">
        <f>TE_Raw!C63</f>
        <v>15.8</v>
      </c>
      <c r="M64" s="204">
        <f>TE_Raw!D63</f>
        <v>153.30000000000001</v>
      </c>
      <c r="N64" s="207">
        <f>TE_Raw!E63</f>
        <v>1.2</v>
      </c>
      <c r="O64" s="204">
        <f>TE_Raw!F63</f>
        <v>0.1</v>
      </c>
      <c r="P64" s="11">
        <f>(J64*TERushYd)+(K64*TERushTD)+(L64*TERec)+(M64*TERecYd)+(N64*TERecTD)+(O64*TEFuml)+(I64*TERushAtt)</f>
        <v>30.230000000000004</v>
      </c>
      <c r="Q64" t="str">
        <f ca="1">IF(A64&lt;=TEStarters,"Starter",IF(A64&gt;TEStarters+TEBench,"Undrafted","Bench"))</f>
        <v>Undrafted</v>
      </c>
      <c r="R64">
        <f ca="1">IFERROR(MAX(P64-LARGE(TESheetCount,TEStarters),0),0)</f>
        <v>0</v>
      </c>
      <c r="S64">
        <f ca="1">IFERROR(IF(AllowNegative="Yes",P64-LARGE(TESheetCount,TECount),MAX(P64-LARGE(TESheetCount,TECount),0)),0)</f>
        <v>-72.430000000000007</v>
      </c>
      <c r="T64">
        <f ca="1">IF(TEStarters&gt;0,(S64-R64)*BenchPF+R64*StarterPF,0)</f>
        <v>-13.132783234073448</v>
      </c>
      <c r="U64">
        <f ca="1">T64*Auction!$A$2</f>
        <v>-13.132783234073448</v>
      </c>
      <c r="V64" s="6" t="str">
        <f>IF(OR(INDEX(Auction!$H$13:$H$656,MATCH(B64,Auction!$A$13:$A$656,0))&gt;0,IFERROR(INDEX(CheatSheet!$D$37:$D$64,MATCH(B64,CheatSheet!$A$37:$A$64,0)),"")&lt;&gt;""),"Yes","No")</f>
        <v>No</v>
      </c>
      <c r="W64" s="179"/>
      <c r="Y64" s="78">
        <f t="shared" ca="1" si="3"/>
        <v>1</v>
      </c>
      <c r="Z64">
        <f t="shared" ca="1" si="2"/>
        <v>-36.215000000000003</v>
      </c>
      <c r="AA64" s="116" t="str">
        <f t="shared" ca="1" si="4"/>
        <v>TE11</v>
      </c>
      <c r="AB64">
        <f ca="1">Z64*LeagueInfo!$H$5</f>
        <v>-13.335389378224132</v>
      </c>
    </row>
    <row r="65" spans="1:28" x14ac:dyDescent="0.25">
      <c r="A65">
        <f>RANK(P65,P$3:P$115)</f>
        <v>63</v>
      </c>
      <c r="B65" t="str">
        <f>TE_Raw!A64</f>
        <v>Zach Davidson</v>
      </c>
      <c r="C65" t="s">
        <v>43</v>
      </c>
      <c r="D65" t="str">
        <f>_xlfn.IFNA(INDEX(BYEs!$E$2:$E$411,MATCH(B65,BYEs!$D$2:$D$411,0)),"N/A")</f>
        <v>N/A</v>
      </c>
      <c r="E65">
        <f>INDEX(BYEs!$B$2:$B$34,MATCH(F65,BYEs!$A$2:$A$34,0))</f>
        <v>7</v>
      </c>
      <c r="F65" t="str">
        <f>TE_Raw!B64</f>
        <v>BUF</v>
      </c>
      <c r="G65" s="202">
        <v>0</v>
      </c>
      <c r="H65" s="203">
        <v>0</v>
      </c>
      <c r="I65" s="204">
        <v>0</v>
      </c>
      <c r="J65" s="204">
        <v>0</v>
      </c>
      <c r="K65" s="204">
        <v>0</v>
      </c>
      <c r="L65" s="206">
        <f>TE_Raw!C64</f>
        <v>14</v>
      </c>
      <c r="M65" s="204">
        <f>TE_Raw!D64</f>
        <v>148</v>
      </c>
      <c r="N65" s="207">
        <f>TE_Raw!E64</f>
        <v>1</v>
      </c>
      <c r="O65" s="204">
        <f>TE_Raw!F64</f>
        <v>0</v>
      </c>
      <c r="P65" s="11">
        <f>(J65*TERushYd)+(K65*TERushTD)+(L65*TERec)+(M65*TERecYd)+(N65*TERecTD)+(O65*TEFuml)+(I65*TERushAtt)</f>
        <v>27.8</v>
      </c>
      <c r="Q65" t="str">
        <f ca="1">IF(A65&lt;=TEStarters,"Starter",IF(A65&gt;TEStarters+TEBench,"Undrafted","Bench"))</f>
        <v>Undrafted</v>
      </c>
      <c r="R65">
        <f ca="1">IFERROR(MAX(P65-LARGE(TESheetCount,TEStarters),0),0)</f>
        <v>0</v>
      </c>
      <c r="S65">
        <f ca="1">IFERROR(IF(AllowNegative="Yes",P65-LARGE(TESheetCount,TECount),MAX(P65-LARGE(TESheetCount,TECount),0)),0)</f>
        <v>-74.860000000000014</v>
      </c>
      <c r="T65">
        <f ca="1">IF(TEStarters&gt;0,(S65-R65)*BenchPF+R65*StarterPF,0)</f>
        <v>-13.573383306678702</v>
      </c>
      <c r="U65">
        <f ca="1">T65*Auction!$A$2</f>
        <v>-13.573383306678702</v>
      </c>
      <c r="V65" s="6" t="str">
        <f>IF(OR(INDEX(Auction!$H$13:$H$656,MATCH(B65,Auction!$A$13:$A$656,0))&gt;0,IFERROR(INDEX(CheatSheet!$D$37:$D$64,MATCH(B65,CheatSheet!$A$37:$A$64,0)),"")&lt;&gt;""),"Yes","No")</f>
        <v>No</v>
      </c>
      <c r="W65" s="179"/>
      <c r="Y65" s="78">
        <f t="shared" ca="1" si="3"/>
        <v>1</v>
      </c>
      <c r="Z65">
        <f t="shared" ca="1" si="2"/>
        <v>-37.430000000000007</v>
      </c>
      <c r="AA65" s="116" t="str">
        <f t="shared" ca="1" si="4"/>
        <v>TE11</v>
      </c>
      <c r="AB65">
        <f ca="1">Z65*LeagueInfo!$H$5</f>
        <v>-13.782786812838033</v>
      </c>
    </row>
    <row r="66" spans="1:28" x14ac:dyDescent="0.25">
      <c r="A66">
        <f>RANK(P66,P$3:P$115)</f>
        <v>64</v>
      </c>
      <c r="B66" t="str">
        <f>TE_Raw!A65</f>
        <v>Jake Ferguson</v>
      </c>
      <c r="C66" t="s">
        <v>43</v>
      </c>
      <c r="D66" t="str">
        <f>_xlfn.IFNA(INDEX(BYEs!$E$2:$E$411,MATCH(B66,BYEs!$D$2:$D$411,0)),"N/A")</f>
        <v>N/A</v>
      </c>
      <c r="E66">
        <f>INDEX(BYEs!$B$2:$B$34,MATCH(F66,BYEs!$A$2:$A$34,0))</f>
        <v>9</v>
      </c>
      <c r="F66" t="str">
        <f>TE_Raw!B65</f>
        <v>DAL</v>
      </c>
      <c r="G66" s="202">
        <v>0</v>
      </c>
      <c r="H66" s="203">
        <v>0</v>
      </c>
      <c r="I66" s="204">
        <v>0</v>
      </c>
      <c r="J66" s="204">
        <v>0</v>
      </c>
      <c r="K66" s="204">
        <v>0</v>
      </c>
      <c r="L66" s="206">
        <f>TE_Raw!C65</f>
        <v>14.1</v>
      </c>
      <c r="M66" s="204">
        <f>TE_Raw!D65</f>
        <v>147</v>
      </c>
      <c r="N66" s="207">
        <f>TE_Raw!E65</f>
        <v>1</v>
      </c>
      <c r="O66" s="204">
        <f>TE_Raw!F65</f>
        <v>0</v>
      </c>
      <c r="P66" s="11">
        <f>(J66*TERushYd)+(K66*TERushTD)+(L66*TERec)+(M66*TERecYd)+(N66*TERecTD)+(O66*TEFuml)+(I66*TERushAtt)</f>
        <v>27.75</v>
      </c>
      <c r="Q66" t="str">
        <f ca="1">IF(A66&lt;=TEStarters,"Starter",IF(A66&gt;TEStarters+TEBench,"Undrafted","Bench"))</f>
        <v>Undrafted</v>
      </c>
      <c r="R66">
        <f ca="1">IFERROR(MAX(P66-LARGE(TESheetCount,TEStarters),0),0)</f>
        <v>0</v>
      </c>
      <c r="S66">
        <f ca="1">IFERROR(IF(AllowNegative="Yes",P66-LARGE(TESheetCount,TECount),MAX(P66-LARGE(TESheetCount,TECount),0)),0)</f>
        <v>-74.910000000000011</v>
      </c>
      <c r="T66">
        <f ca="1">IF(TEStarters&gt;0,(S66-R66)*BenchPF+R66*StarterPF,0)</f>
        <v>-13.582449151794036</v>
      </c>
      <c r="U66">
        <f ca="1">T66*Auction!$A$2</f>
        <v>-13.582449151794036</v>
      </c>
      <c r="V66" s="6" t="str">
        <f>IF(OR(INDEX(Auction!$H$13:$H$656,MATCH(B66,Auction!$A$13:$A$656,0))&gt;0,IFERROR(INDEX(CheatSheet!$D$37:$D$64,MATCH(B66,CheatSheet!$A$37:$A$64,0)),"")&lt;&gt;""),"Yes","No")</f>
        <v>No</v>
      </c>
      <c r="W66" s="179"/>
      <c r="Y66" s="78">
        <f t="shared" ca="1" si="3"/>
        <v>1</v>
      </c>
      <c r="Z66">
        <f t="shared" ca="1" si="2"/>
        <v>-37.455000000000005</v>
      </c>
      <c r="AA66" s="116" t="str">
        <f t="shared" ca="1" si="4"/>
        <v>TE11</v>
      </c>
      <c r="AB66">
        <f ca="1">Z66*LeagueInfo!$H$5</f>
        <v>-13.791992521369181</v>
      </c>
    </row>
    <row r="67" spans="1:28" x14ac:dyDescent="0.25">
      <c r="A67">
        <f>RANK(P67,P$3:P$115)</f>
        <v>65</v>
      </c>
      <c r="B67" t="str">
        <f>TE_Raw!A66</f>
        <v>Maxx Williams</v>
      </c>
      <c r="C67" t="s">
        <v>43</v>
      </c>
      <c r="D67" t="str">
        <f>_xlfn.IFNA(INDEX(BYEs!$E$2:$E$411,MATCH(B67,BYEs!$D$2:$D$411,0)),"N/A")</f>
        <v>N/A</v>
      </c>
      <c r="E67">
        <f>INDEX(BYEs!$B$2:$B$34,MATCH(F67,BYEs!$A$2:$A$34,0))</f>
        <v>13</v>
      </c>
      <c r="F67" t="str">
        <f>TE_Raw!B66</f>
        <v>ARI</v>
      </c>
      <c r="G67" s="202">
        <v>0</v>
      </c>
      <c r="H67" s="203">
        <v>0</v>
      </c>
      <c r="I67" s="204">
        <v>0</v>
      </c>
      <c r="J67" s="204">
        <v>0</v>
      </c>
      <c r="K67" s="204">
        <v>0</v>
      </c>
      <c r="L67" s="206">
        <f>TE_Raw!C66</f>
        <v>14.3</v>
      </c>
      <c r="M67" s="204">
        <f>TE_Raw!D66</f>
        <v>153.69999999999999</v>
      </c>
      <c r="N67" s="207">
        <f>TE_Raw!E66</f>
        <v>0.7</v>
      </c>
      <c r="O67" s="204">
        <f>TE_Raw!F66</f>
        <v>0</v>
      </c>
      <c r="P67" s="11">
        <f>(J67*TERushYd)+(K67*TERushTD)+(L67*TERec)+(M67*TERecYd)+(N67*TERecTD)+(O67*TEFuml)+(I67*TERushAtt)</f>
        <v>26.72</v>
      </c>
      <c r="Q67" t="str">
        <f ca="1">IF(A67&lt;=TEStarters,"Starter",IF(A67&gt;TEStarters+TEBench,"Undrafted","Bench"))</f>
        <v>Undrafted</v>
      </c>
      <c r="R67">
        <f ca="1">IFERROR(MAX(P67-LARGE(TESheetCount,TEStarters),0),0)</f>
        <v>0</v>
      </c>
      <c r="S67">
        <f ca="1">IFERROR(IF(AllowNegative="Yes",P67-LARGE(TESheetCount,TECount),MAX(P67-LARGE(TESheetCount,TECount),0)),0)</f>
        <v>-75.940000000000012</v>
      </c>
      <c r="T67">
        <f ca="1">IF(TEStarters&gt;0,(S67-R67)*BenchPF+R67*StarterPF,0)</f>
        <v>-13.769205561169926</v>
      </c>
      <c r="U67">
        <f ca="1">T67*Auction!$A$2</f>
        <v>-13.769205561169926</v>
      </c>
      <c r="V67" s="6" t="str">
        <f>IF(OR(INDEX(Auction!$H$13:$H$656,MATCH(B67,Auction!$A$13:$A$656,0))&gt;0,IFERROR(INDEX(CheatSheet!$D$37:$D$64,MATCH(B67,CheatSheet!$A$37:$A$64,0)),"")&lt;&gt;""),"Yes","No")</f>
        <v>No</v>
      </c>
      <c r="W67" s="179"/>
      <c r="Y67" s="78">
        <f t="shared" ref="Y67:Y98" ca="1" si="5">IFERROR(SUMIFS($Z$3:$Z$113,$Z$3:$Z$113,"&gt;0",$V$3:$V$113,"No")/SUMIF($Z$3:$Z$113,"&gt;0"),0)</f>
        <v>1</v>
      </c>
      <c r="Z67">
        <f t="shared" ca="1" si="2"/>
        <v>-37.970000000000006</v>
      </c>
      <c r="AA67" s="116" t="str">
        <f t="shared" ref="AA67:AA98" ca="1" si="6">CONCATENATE("TE",ROUND((LARGE($Z$3:$Z$113,1)-$Z67)/(STDEVP($Z$3:$Z$113)/2)+1,0))</f>
        <v>TE11</v>
      </c>
      <c r="AB67">
        <f ca="1">Z67*LeagueInfo!$H$5</f>
        <v>-13.981630117110875</v>
      </c>
    </row>
    <row r="68" spans="1:28" x14ac:dyDescent="0.25">
      <c r="A68">
        <f>RANK(P68,P$3:P$115)</f>
        <v>66</v>
      </c>
      <c r="B68" t="str">
        <f>TE_Raw!A67</f>
        <v>Matt Bushman</v>
      </c>
      <c r="C68" t="s">
        <v>43</v>
      </c>
      <c r="D68" t="str">
        <f>_xlfn.IFNA(INDEX(BYEs!$E$2:$E$411,MATCH(B68,BYEs!$D$2:$D$411,0)),"N/A")</f>
        <v>N/A</v>
      </c>
      <c r="E68">
        <f>INDEX(BYEs!$B$2:$B$34,MATCH(F68,BYEs!$A$2:$A$34,0))</f>
        <v>8</v>
      </c>
      <c r="F68" t="str">
        <f>TE_Raw!B67</f>
        <v>KC</v>
      </c>
      <c r="G68" s="202">
        <v>0</v>
      </c>
      <c r="H68" s="203">
        <v>0</v>
      </c>
      <c r="I68" s="204">
        <v>0</v>
      </c>
      <c r="J68" s="204">
        <v>0</v>
      </c>
      <c r="K68" s="204">
        <v>0</v>
      </c>
      <c r="L68" s="206">
        <f>TE_Raw!C67</f>
        <v>14</v>
      </c>
      <c r="M68" s="204">
        <f>TE_Raw!D67</f>
        <v>136</v>
      </c>
      <c r="N68" s="207">
        <f>TE_Raw!E67</f>
        <v>1</v>
      </c>
      <c r="O68" s="204">
        <f>TE_Raw!F67</f>
        <v>0</v>
      </c>
      <c r="P68" s="11">
        <f>(J68*TERushYd)+(K68*TERushTD)+(L68*TERec)+(M68*TERecYd)+(N68*TERecTD)+(O68*TEFuml)+(I68*TERushAtt)</f>
        <v>26.6</v>
      </c>
      <c r="Q68" t="str">
        <f ca="1">IF(A68&lt;=TEStarters,"Starter",IF(A68&gt;TEStarters+TEBench,"Undrafted","Bench"))</f>
        <v>Undrafted</v>
      </c>
      <c r="R68">
        <f ca="1">IFERROR(MAX(P68-LARGE(TESheetCount,TEStarters),0),0)</f>
        <v>0</v>
      </c>
      <c r="S68">
        <f ca="1">IFERROR(IF(AllowNegative="Yes",P68-LARGE(TESheetCount,TECount),MAX(P68-LARGE(TESheetCount,TECount),0)),0)</f>
        <v>-76.06</v>
      </c>
      <c r="T68">
        <f ca="1">IF(TEStarters&gt;0,(S68-R68)*BenchPF+R68*StarterPF,0)</f>
        <v>-13.790963589446726</v>
      </c>
      <c r="U68">
        <f ca="1">T68*Auction!$A$2</f>
        <v>-13.790963589446726</v>
      </c>
      <c r="V68" s="6" t="str">
        <f>IF(OR(INDEX(Auction!$H$13:$H$656,MATCH(B68,Auction!$A$13:$A$656,0))&gt;0,IFERROR(INDEX(CheatSheet!$D$37:$D$64,MATCH(B68,CheatSheet!$A$37:$A$64,0)),"")&lt;&gt;""),"Yes","No")</f>
        <v>No</v>
      </c>
      <c r="W68" s="179"/>
      <c r="Y68" s="78">
        <f t="shared" ca="1" si="5"/>
        <v>1</v>
      </c>
      <c r="Z68">
        <f t="shared" ref="Z68:Z113" ca="1" si="7">AVERAGE(R68:S68)</f>
        <v>-38.03</v>
      </c>
      <c r="AA68" s="116" t="str">
        <f t="shared" ca="1" si="6"/>
        <v>TE11</v>
      </c>
      <c r="AB68">
        <f ca="1">Z68*LeagueInfo!$H$5</f>
        <v>-14.003723817585634</v>
      </c>
    </row>
    <row r="69" spans="1:28" x14ac:dyDescent="0.25">
      <c r="A69">
        <f>RANK(P69,P$3:P$115)</f>
        <v>67</v>
      </c>
      <c r="B69" t="str">
        <f>TE_Raw!A68</f>
        <v>Jacob Harris</v>
      </c>
      <c r="C69" t="s">
        <v>43</v>
      </c>
      <c r="D69" t="str">
        <f>_xlfn.IFNA(INDEX(BYEs!$E$2:$E$411,MATCH(B69,BYEs!$D$2:$D$411,0)),"N/A")</f>
        <v>N/A</v>
      </c>
      <c r="E69">
        <f>INDEX(BYEs!$B$2:$B$34,MATCH(F69,BYEs!$A$2:$A$34,0))</f>
        <v>7</v>
      </c>
      <c r="F69" t="str">
        <f>TE_Raw!B68</f>
        <v>LAR</v>
      </c>
      <c r="G69" s="202">
        <v>0</v>
      </c>
      <c r="H69" s="203">
        <v>0</v>
      </c>
      <c r="I69" s="204">
        <v>0</v>
      </c>
      <c r="J69" s="204">
        <v>0</v>
      </c>
      <c r="K69" s="204">
        <v>0</v>
      </c>
      <c r="L69" s="206">
        <f>TE_Raw!C68</f>
        <v>12</v>
      </c>
      <c r="M69" s="204">
        <f>TE_Raw!D68</f>
        <v>132</v>
      </c>
      <c r="N69" s="207">
        <f>TE_Raw!E68</f>
        <v>1</v>
      </c>
      <c r="O69" s="204">
        <f>TE_Raw!F68</f>
        <v>0</v>
      </c>
      <c r="P69" s="11">
        <f>(J69*TERushYd)+(K69*TERushTD)+(L69*TERec)+(M69*TERecYd)+(N69*TERecTD)+(O69*TEFuml)+(I69*TERushAtt)</f>
        <v>25.200000000000003</v>
      </c>
      <c r="Q69" t="str">
        <f ca="1">IF(A69&lt;=TEStarters,"Starter",IF(A69&gt;TEStarters+TEBench,"Undrafted","Bench"))</f>
        <v>Undrafted</v>
      </c>
      <c r="R69">
        <f ca="1">IFERROR(MAX(P69-LARGE(TESheetCount,TEStarters),0),0)</f>
        <v>0</v>
      </c>
      <c r="S69">
        <f ca="1">IFERROR(IF(AllowNegative="Yes",P69-LARGE(TESheetCount,TECount),MAX(P69-LARGE(TESheetCount,TECount),0)),0)</f>
        <v>-77.460000000000008</v>
      </c>
      <c r="T69">
        <f ca="1">IF(TEStarters&gt;0,(S69-R69)*BenchPF+R69*StarterPF,0)</f>
        <v>-14.044807252676092</v>
      </c>
      <c r="U69">
        <f ca="1">T69*Auction!$A$2</f>
        <v>-14.044807252676092</v>
      </c>
      <c r="V69" s="6" t="str">
        <f>IF(OR(INDEX(Auction!$H$13:$H$656,MATCH(B69,Auction!$A$13:$A$656,0))&gt;0,IFERROR(INDEX(CheatSheet!$D$37:$D$64,MATCH(B69,CheatSheet!$A$37:$A$64,0)),"")&lt;&gt;""),"Yes","No")</f>
        <v>No</v>
      </c>
      <c r="W69" s="179"/>
      <c r="Y69" s="78">
        <f t="shared" ca="1" si="5"/>
        <v>1</v>
      </c>
      <c r="Z69">
        <f t="shared" ca="1" si="7"/>
        <v>-38.730000000000004</v>
      </c>
      <c r="AA69" s="116" t="str">
        <f t="shared" ca="1" si="6"/>
        <v>TE11</v>
      </c>
      <c r="AB69">
        <f ca="1">Z69*LeagueInfo!$H$5</f>
        <v>-14.261483656457839</v>
      </c>
    </row>
    <row r="70" spans="1:28" x14ac:dyDescent="0.25">
      <c r="A70">
        <f>RANK(P70,P$3:P$115)</f>
        <v>68</v>
      </c>
      <c r="B70" t="str">
        <f>TE_Raw!A69</f>
        <v>Brycen Hopkins</v>
      </c>
      <c r="C70" t="s">
        <v>43</v>
      </c>
      <c r="D70" t="str">
        <f>_xlfn.IFNA(INDEX(BYEs!$E$2:$E$411,MATCH(B70,BYEs!$D$2:$D$411,0)),"N/A")</f>
        <v>N/A</v>
      </c>
      <c r="E70">
        <f>INDEX(BYEs!$B$2:$B$34,MATCH(F70,BYEs!$A$2:$A$34,0))</f>
        <v>7</v>
      </c>
      <c r="F70" t="str">
        <f>TE_Raw!B69</f>
        <v>LAR</v>
      </c>
      <c r="G70" s="202">
        <v>0</v>
      </c>
      <c r="H70" s="203">
        <v>0</v>
      </c>
      <c r="I70" s="204">
        <v>0</v>
      </c>
      <c r="J70" s="204">
        <v>0</v>
      </c>
      <c r="K70" s="204">
        <v>0</v>
      </c>
      <c r="L70" s="206">
        <f>TE_Raw!C69</f>
        <v>12</v>
      </c>
      <c r="M70" s="204">
        <f>TE_Raw!D69</f>
        <v>126.3</v>
      </c>
      <c r="N70" s="207">
        <f>TE_Raw!E69</f>
        <v>1.1000000000000001</v>
      </c>
      <c r="O70" s="204">
        <f>TE_Raw!F69</f>
        <v>0.1</v>
      </c>
      <c r="P70" s="11">
        <f>(J70*TERushYd)+(K70*TERushTD)+(L70*TERec)+(M70*TERecYd)+(N70*TERecTD)+(O70*TEFuml)+(I70*TERushAtt)</f>
        <v>25.030000000000005</v>
      </c>
      <c r="Q70" t="str">
        <f ca="1">IF(A70&lt;=TEStarters,"Starter",IF(A70&gt;TEStarters+TEBench,"Undrafted","Bench"))</f>
        <v>Undrafted</v>
      </c>
      <c r="R70">
        <f ca="1">IFERROR(MAX(P70-LARGE(TESheetCount,TEStarters),0),0)</f>
        <v>0</v>
      </c>
      <c r="S70">
        <f ca="1">IFERROR(IF(AllowNegative="Yes",P70-LARGE(TESheetCount,TECount),MAX(P70-LARGE(TESheetCount,TECount),0)),0)</f>
        <v>-77.63000000000001</v>
      </c>
      <c r="T70">
        <f ca="1">IF(TEStarters&gt;0,(S70-R70)*BenchPF+R70*StarterPF,0)</f>
        <v>-14.075631126068229</v>
      </c>
      <c r="U70">
        <f ca="1">T70*Auction!$A$2</f>
        <v>-14.075631126068229</v>
      </c>
      <c r="V70" s="6" t="str">
        <f>IF(OR(INDEX(Auction!$H$13:$H$656,MATCH(B70,Auction!$A$13:$A$656,0))&gt;0,IFERROR(INDEX(CheatSheet!$D$37:$D$64,MATCH(B70,CheatSheet!$A$37:$A$64,0)),"")&lt;&gt;""),"Yes","No")</f>
        <v>No</v>
      </c>
      <c r="W70" s="179"/>
      <c r="Y70" s="78">
        <f t="shared" ca="1" si="5"/>
        <v>1</v>
      </c>
      <c r="Z70">
        <f t="shared" ca="1" si="7"/>
        <v>-38.815000000000005</v>
      </c>
      <c r="AA70" s="116" t="str">
        <f t="shared" ca="1" si="6"/>
        <v>TE11</v>
      </c>
      <c r="AB70">
        <f ca="1">Z70*LeagueInfo!$H$5</f>
        <v>-14.29278306546375</v>
      </c>
    </row>
    <row r="71" spans="1:28" x14ac:dyDescent="0.25">
      <c r="A71">
        <f>RANK(P71,P$3:P$115)</f>
        <v>69</v>
      </c>
      <c r="B71" t="str">
        <f>TE_Raw!A70</f>
        <v>Nick Muse</v>
      </c>
      <c r="C71" t="s">
        <v>43</v>
      </c>
      <c r="D71" t="str">
        <f>_xlfn.IFNA(INDEX(BYEs!$E$2:$E$411,MATCH(B71,BYEs!$D$2:$D$411,0)),"N/A")</f>
        <v>N/A</v>
      </c>
      <c r="E71">
        <f>INDEX(BYEs!$B$2:$B$34,MATCH(F71,BYEs!$A$2:$A$34,0))</f>
        <v>7</v>
      </c>
      <c r="F71" t="str">
        <f>TE_Raw!B70</f>
        <v>MIN</v>
      </c>
      <c r="G71" s="202">
        <v>0</v>
      </c>
      <c r="H71" s="203">
        <v>0</v>
      </c>
      <c r="I71" s="204">
        <v>0</v>
      </c>
      <c r="J71" s="204">
        <v>0</v>
      </c>
      <c r="K71" s="204">
        <v>0</v>
      </c>
      <c r="L71" s="206">
        <f>TE_Raw!C70</f>
        <v>12</v>
      </c>
      <c r="M71" s="204">
        <f>TE_Raw!D70</f>
        <v>122</v>
      </c>
      <c r="N71" s="207">
        <f>TE_Raw!E70</f>
        <v>1</v>
      </c>
      <c r="O71" s="204">
        <f>TE_Raw!F70</f>
        <v>0</v>
      </c>
      <c r="P71" s="11">
        <f>(J71*TERushYd)+(K71*TERushTD)+(L71*TERec)+(M71*TERecYd)+(N71*TERecTD)+(O71*TEFuml)+(I71*TERushAtt)</f>
        <v>24.200000000000003</v>
      </c>
      <c r="Q71" t="str">
        <f ca="1">IF(A71&lt;=TEStarters,"Starter",IF(A71&gt;TEStarters+TEBench,"Undrafted","Bench"))</f>
        <v>Undrafted</v>
      </c>
      <c r="R71">
        <f ca="1">IFERROR(MAX(P71-LARGE(TESheetCount,TEStarters),0),0)</f>
        <v>0</v>
      </c>
      <c r="S71">
        <f ca="1">IFERROR(IF(AllowNegative="Yes",P71-LARGE(TESheetCount,TECount),MAX(P71-LARGE(TESheetCount,TECount),0)),0)</f>
        <v>-78.460000000000008</v>
      </c>
      <c r="T71">
        <f ca="1">IF(TEStarters&gt;0,(S71-R71)*BenchPF+R71*StarterPF,0)</f>
        <v>-14.226124154982779</v>
      </c>
      <c r="U71">
        <f ca="1">T71*Auction!$A$2</f>
        <v>-14.226124154982779</v>
      </c>
      <c r="V71" s="6" t="str">
        <f>IF(OR(INDEX(Auction!$H$13:$H$656,MATCH(B71,Auction!$A$13:$A$656,0))&gt;0,IFERROR(INDEX(CheatSheet!$D$37:$D$64,MATCH(B71,CheatSheet!$A$37:$A$64,0)),"")&lt;&gt;""),"Yes","No")</f>
        <v>No</v>
      </c>
      <c r="W71" s="179"/>
      <c r="Y71" s="78">
        <f t="shared" ca="1" si="5"/>
        <v>1</v>
      </c>
      <c r="Z71">
        <f t="shared" ca="1" si="7"/>
        <v>-39.230000000000004</v>
      </c>
      <c r="AA71" s="116" t="str">
        <f t="shared" ca="1" si="6"/>
        <v>TE11</v>
      </c>
      <c r="AB71">
        <f ca="1">Z71*LeagueInfo!$H$5</f>
        <v>-14.445597827080844</v>
      </c>
    </row>
    <row r="72" spans="1:28" x14ac:dyDescent="0.25">
      <c r="A72">
        <f>RANK(P72,P$3:P$115)</f>
        <v>69</v>
      </c>
      <c r="B72" t="str">
        <f>TE_Raw!A71</f>
        <v>Shaun Beyer</v>
      </c>
      <c r="C72" t="s">
        <v>43</v>
      </c>
      <c r="D72" t="str">
        <f>_xlfn.IFNA(INDEX(BYEs!$E$2:$E$411,MATCH(B72,BYEs!$D$2:$D$411,0)),"N/A")</f>
        <v>N/A</v>
      </c>
      <c r="E72">
        <f>INDEX(BYEs!$B$2:$B$34,MATCH(F72,BYEs!$A$2:$A$34,0))</f>
        <v>14</v>
      </c>
      <c r="F72" t="str">
        <f>TE_Raw!B71</f>
        <v>GB</v>
      </c>
      <c r="G72" s="202">
        <v>0</v>
      </c>
      <c r="H72" s="203">
        <v>0</v>
      </c>
      <c r="I72" s="204">
        <v>0</v>
      </c>
      <c r="J72" s="204">
        <v>0</v>
      </c>
      <c r="K72" s="204">
        <v>0</v>
      </c>
      <c r="L72" s="206">
        <f>TE_Raw!C71</f>
        <v>12</v>
      </c>
      <c r="M72" s="204">
        <f>TE_Raw!D71</f>
        <v>122</v>
      </c>
      <c r="N72" s="207">
        <f>TE_Raw!E71</f>
        <v>1</v>
      </c>
      <c r="O72" s="204">
        <f>TE_Raw!F71</f>
        <v>0</v>
      </c>
      <c r="P72" s="11">
        <f>(J72*TERushYd)+(K72*TERushTD)+(L72*TERec)+(M72*TERecYd)+(N72*TERecTD)+(O72*TEFuml)+(I72*TERushAtt)</f>
        <v>24.200000000000003</v>
      </c>
      <c r="Q72" t="str">
        <f ca="1">IF(A72&lt;=TEStarters,"Starter",IF(A72&gt;TEStarters+TEBench,"Undrafted","Bench"))</f>
        <v>Undrafted</v>
      </c>
      <c r="R72">
        <f ca="1">IFERROR(MAX(P72-LARGE(TESheetCount,TEStarters),0),0)</f>
        <v>0</v>
      </c>
      <c r="S72">
        <f ca="1">IFERROR(IF(AllowNegative="Yes",P72-LARGE(TESheetCount,TECount),MAX(P72-LARGE(TESheetCount,TECount),0)),0)</f>
        <v>-78.460000000000008</v>
      </c>
      <c r="T72">
        <f ca="1">IF(TEStarters&gt;0,(S72-R72)*BenchPF+R72*StarterPF,0)</f>
        <v>-14.226124154982779</v>
      </c>
      <c r="U72">
        <f ca="1">T72*Auction!$A$2</f>
        <v>-14.226124154982779</v>
      </c>
      <c r="V72" s="6" t="str">
        <f>IF(OR(INDEX(Auction!$H$13:$H$656,MATCH(B72,Auction!$A$13:$A$656,0))&gt;0,IFERROR(INDEX(CheatSheet!$D$37:$D$64,MATCH(B72,CheatSheet!$A$37:$A$64,0)),"")&lt;&gt;""),"Yes","No")</f>
        <v>No</v>
      </c>
      <c r="W72" s="179"/>
      <c r="Y72" s="78">
        <f t="shared" ca="1" si="5"/>
        <v>1</v>
      </c>
      <c r="Z72">
        <f t="shared" ca="1" si="7"/>
        <v>-39.230000000000004</v>
      </c>
      <c r="AA72" s="116" t="str">
        <f t="shared" ca="1" si="6"/>
        <v>TE11</v>
      </c>
      <c r="AB72">
        <f ca="1">Z72*LeagueInfo!$H$5</f>
        <v>-14.445597827080844</v>
      </c>
    </row>
    <row r="73" spans="1:28" x14ac:dyDescent="0.25">
      <c r="A73">
        <f>RANK(P73,P$3:P$115)</f>
        <v>71</v>
      </c>
      <c r="B73" t="str">
        <f>TE_Raw!A72</f>
        <v>Chris Manhertz</v>
      </c>
      <c r="C73" t="s">
        <v>43</v>
      </c>
      <c r="D73" t="str">
        <f>_xlfn.IFNA(INDEX(BYEs!$E$2:$E$411,MATCH(B73,BYEs!$D$2:$D$411,0)),"N/A")</f>
        <v>N/A</v>
      </c>
      <c r="E73">
        <f>INDEX(BYEs!$B$2:$B$34,MATCH(F73,BYEs!$A$2:$A$34,0))</f>
        <v>11</v>
      </c>
      <c r="F73" t="str">
        <f>TE_Raw!B72</f>
        <v>JAC</v>
      </c>
      <c r="G73" s="202">
        <v>0</v>
      </c>
      <c r="H73" s="203">
        <v>0</v>
      </c>
      <c r="I73" s="204">
        <v>0</v>
      </c>
      <c r="J73" s="204">
        <v>0</v>
      </c>
      <c r="K73" s="204">
        <v>0</v>
      </c>
      <c r="L73" s="206">
        <f>TE_Raw!C72</f>
        <v>10.4</v>
      </c>
      <c r="M73" s="204">
        <f>TE_Raw!D72</f>
        <v>111.1</v>
      </c>
      <c r="N73" s="207">
        <f>TE_Raw!E72</f>
        <v>1.2</v>
      </c>
      <c r="O73" s="204">
        <f>TE_Raw!F72</f>
        <v>0</v>
      </c>
      <c r="P73" s="11">
        <f>(J73*TERushYd)+(K73*TERushTD)+(L73*TERec)+(M73*TERecYd)+(N73*TERecTD)+(O73*TEFuml)+(I73*TERushAtt)</f>
        <v>23.509999999999998</v>
      </c>
      <c r="Q73" t="str">
        <f ca="1">IF(A73&lt;=TEStarters,"Starter",IF(A73&gt;TEStarters+TEBench,"Undrafted","Bench"))</f>
        <v>Undrafted</v>
      </c>
      <c r="R73">
        <f ca="1">IFERROR(MAX(P73-LARGE(TESheetCount,TEStarters),0),0)</f>
        <v>0</v>
      </c>
      <c r="S73">
        <f ca="1">IFERROR(IF(AllowNegative="Yes",P73-LARGE(TESheetCount,TECount),MAX(P73-LARGE(TESheetCount,TECount),0)),0)</f>
        <v>-79.150000000000006</v>
      </c>
      <c r="T73">
        <f ca="1">IF(TEStarters&gt;0,(S73-R73)*BenchPF+R73*StarterPF,0)</f>
        <v>-14.351232817574394</v>
      </c>
      <c r="U73">
        <f ca="1">T73*Auction!$A$2</f>
        <v>-14.351232817574394</v>
      </c>
      <c r="V73" s="6" t="str">
        <f>IF(OR(INDEX(Auction!$H$13:$H$656,MATCH(B73,Auction!$A$13:$A$656,0))&gt;0,IFERROR(INDEX(CheatSheet!$D$37:$D$64,MATCH(B73,CheatSheet!$A$37:$A$64,0)),"")&lt;&gt;""),"Yes","No")</f>
        <v>No</v>
      </c>
      <c r="W73" s="179"/>
      <c r="Y73" s="78">
        <f t="shared" ca="1" si="5"/>
        <v>1</v>
      </c>
      <c r="Z73">
        <f t="shared" ca="1" si="7"/>
        <v>-39.575000000000003</v>
      </c>
      <c r="AA73" s="116" t="str">
        <f t="shared" ca="1" si="6"/>
        <v>TE11</v>
      </c>
      <c r="AB73">
        <f ca="1">Z73*LeagueInfo!$H$5</f>
        <v>-14.572636604810715</v>
      </c>
    </row>
    <row r="74" spans="1:28" x14ac:dyDescent="0.25">
      <c r="A74">
        <f>RANK(P74,P$3:P$115)</f>
        <v>72</v>
      </c>
      <c r="B74" t="str">
        <f>TE_Raw!A76</f>
        <v>Parker Hesse</v>
      </c>
      <c r="C74" t="s">
        <v>43</v>
      </c>
      <c r="D74" t="str">
        <f>_xlfn.IFNA(INDEX(BYEs!$E$2:$E$411,MATCH(B74,BYEs!$D$2:$D$411,0)),"N/A")</f>
        <v>N/A</v>
      </c>
      <c r="E74">
        <f>INDEX(BYEs!$B$2:$B$34,MATCH(F74,BYEs!$A$2:$A$34,0))</f>
        <v>14</v>
      </c>
      <c r="F74" t="str">
        <f>TE_Raw!B76</f>
        <v>ATL</v>
      </c>
      <c r="G74" s="202">
        <v>0</v>
      </c>
      <c r="H74" s="203">
        <v>0</v>
      </c>
      <c r="I74" s="204">
        <v>0</v>
      </c>
      <c r="J74" s="204">
        <v>0</v>
      </c>
      <c r="K74" s="204">
        <v>0</v>
      </c>
      <c r="L74" s="206">
        <f>TE_Raw!C76</f>
        <v>12.7</v>
      </c>
      <c r="M74" s="204">
        <f>TE_Raw!D76</f>
        <v>126.9</v>
      </c>
      <c r="N74" s="207">
        <f>TE_Raw!E76</f>
        <v>0.8</v>
      </c>
      <c r="O74" s="204">
        <f>TE_Raw!F76</f>
        <v>0.2</v>
      </c>
      <c r="P74" s="11">
        <f>(J74*TERushYd)+(K74*TERushTD)+(L74*TERec)+(M74*TERecYd)+(N74*TERecTD)+(O74*TEFuml)+(I74*TERushAtt)</f>
        <v>23.44</v>
      </c>
      <c r="Q74" t="str">
        <f ca="1">IF(A74&lt;=TEStarters,"Starter",IF(A74&gt;TEStarters+TEBench,"Undrafted","Bench"))</f>
        <v>Undrafted</v>
      </c>
      <c r="R74">
        <f ca="1">IFERROR(MAX(P74-LARGE(TESheetCount,TEStarters),0),0)</f>
        <v>0</v>
      </c>
      <c r="S74">
        <f ca="1">IFERROR(IF(AllowNegative="Yes",P74-LARGE(TESheetCount,TECount),MAX(P74-LARGE(TESheetCount,TECount),0)),0)</f>
        <v>-79.220000000000013</v>
      </c>
      <c r="T74">
        <f ca="1">IF(TEStarters&gt;0,(S74-R74)*BenchPF+R74*StarterPF,0)</f>
        <v>-14.363925000735865</v>
      </c>
      <c r="U74">
        <f ca="1">T74*Auction!$A$2</f>
        <v>-14.363925000735865</v>
      </c>
      <c r="V74" s="6" t="str">
        <f>IF(OR(INDEX(Auction!$H$13:$H$656,MATCH(B74,Auction!$A$13:$A$656,0))&gt;0,IFERROR(INDEX(CheatSheet!$D$37:$D$64,MATCH(B74,CheatSheet!$A$37:$A$64,0)),"")&lt;&gt;""),"Yes","No")</f>
        <v>No</v>
      </c>
      <c r="W74" s="179"/>
      <c r="Y74" s="78">
        <f t="shared" ca="1" si="5"/>
        <v>1</v>
      </c>
      <c r="Z74">
        <f t="shared" ca="1" si="7"/>
        <v>-39.610000000000007</v>
      </c>
      <c r="AA74" s="116" t="str">
        <f t="shared" ca="1" si="6"/>
        <v>TE11</v>
      </c>
      <c r="AB74">
        <f ca="1">Z74*LeagueInfo!$H$5</f>
        <v>-14.585524596754327</v>
      </c>
    </row>
    <row r="75" spans="1:28" x14ac:dyDescent="0.25">
      <c r="A75">
        <f>RANK(P75,P$3:P$115)</f>
        <v>73</v>
      </c>
      <c r="B75" t="str">
        <f>TE_Raw!A75</f>
        <v>Brock Wright</v>
      </c>
      <c r="C75" t="s">
        <v>43</v>
      </c>
      <c r="D75" t="str">
        <f>_xlfn.IFNA(INDEX(BYEs!$E$2:$E$411,MATCH(B75,BYEs!$D$2:$D$411,0)),"N/A")</f>
        <v>N/A</v>
      </c>
      <c r="E75">
        <f>INDEX(BYEs!$B$2:$B$34,MATCH(F75,BYEs!$A$2:$A$34,0))</f>
        <v>6</v>
      </c>
      <c r="F75" t="str">
        <f>TE_Raw!B75</f>
        <v>DET</v>
      </c>
      <c r="G75" s="202">
        <v>0</v>
      </c>
      <c r="H75" s="203">
        <v>0</v>
      </c>
      <c r="I75" s="204">
        <v>0</v>
      </c>
      <c r="J75" s="204">
        <v>0</v>
      </c>
      <c r="K75" s="204">
        <v>0</v>
      </c>
      <c r="L75" s="206">
        <f>TE_Raw!C75</f>
        <v>11.2</v>
      </c>
      <c r="M75" s="204">
        <f>TE_Raw!D75</f>
        <v>107.8</v>
      </c>
      <c r="N75" s="207">
        <f>TE_Raw!E75</f>
        <v>1.1000000000000001</v>
      </c>
      <c r="O75" s="204">
        <f>TE_Raw!F75</f>
        <v>0</v>
      </c>
      <c r="P75" s="11">
        <f>(J75*TERushYd)+(K75*TERushTD)+(L75*TERec)+(M75*TERecYd)+(N75*TERecTD)+(O75*TEFuml)+(I75*TERushAtt)</f>
        <v>22.980000000000004</v>
      </c>
      <c r="Q75" t="str">
        <f ca="1">IF(A75&lt;=TEStarters,"Starter",IF(A75&gt;TEStarters+TEBench,"Undrafted","Bench"))</f>
        <v>Undrafted</v>
      </c>
      <c r="R75">
        <f ca="1">IFERROR(MAX(P75-LARGE(TESheetCount,TEStarters),0),0)</f>
        <v>0</v>
      </c>
      <c r="S75">
        <f ca="1">IFERROR(IF(AllowNegative="Yes",P75-LARGE(TESheetCount,TECount),MAX(P75-LARGE(TESheetCount,TECount),0)),0)</f>
        <v>-79.680000000000007</v>
      </c>
      <c r="T75">
        <f ca="1">IF(TEStarters&gt;0,(S75-R75)*BenchPF+R75*StarterPF,0)</f>
        <v>-14.447330775796939</v>
      </c>
      <c r="U75">
        <f ca="1">T75*Auction!$A$2</f>
        <v>-14.447330775796939</v>
      </c>
      <c r="V75" s="6" t="str">
        <f>IF(OR(INDEX(Auction!$H$13:$H$656,MATCH(B75,Auction!$A$13:$A$656,0))&gt;0,IFERROR(INDEX(CheatSheet!$D$37:$D$64,MATCH(B75,CheatSheet!$A$37:$A$64,0)),"")&lt;&gt;""),"Yes","No")</f>
        <v>No</v>
      </c>
      <c r="W75" s="179"/>
      <c r="Y75" s="78">
        <f t="shared" ca="1" si="5"/>
        <v>1</v>
      </c>
      <c r="Z75">
        <f t="shared" ca="1" si="7"/>
        <v>-39.840000000000003</v>
      </c>
      <c r="AA75" s="116" t="str">
        <f t="shared" ca="1" si="6"/>
        <v>TE11</v>
      </c>
      <c r="AB75">
        <f ca="1">Z75*LeagueInfo!$H$5</f>
        <v>-14.670217115240908</v>
      </c>
    </row>
    <row r="76" spans="1:28" x14ac:dyDescent="0.25">
      <c r="A76">
        <f>RANK(P76,P$3:P$115)</f>
        <v>74</v>
      </c>
      <c r="B76" t="str">
        <f>TE_Raw!A73</f>
        <v>Kenny Yeboah</v>
      </c>
      <c r="C76" t="s">
        <v>43</v>
      </c>
      <c r="D76" t="str">
        <f>_xlfn.IFNA(INDEX(BYEs!$E$2:$E$411,MATCH(B76,BYEs!$D$2:$D$411,0)),"N/A")</f>
        <v>N/A</v>
      </c>
      <c r="E76">
        <f>INDEX(BYEs!$B$2:$B$34,MATCH(F76,BYEs!$A$2:$A$34,0))</f>
        <v>10</v>
      </c>
      <c r="F76" t="str">
        <f>TE_Raw!B73</f>
        <v>NYJ</v>
      </c>
      <c r="G76" s="202">
        <v>0</v>
      </c>
      <c r="H76" s="203">
        <v>0</v>
      </c>
      <c r="I76" s="204">
        <v>0</v>
      </c>
      <c r="J76" s="204">
        <v>0</v>
      </c>
      <c r="K76" s="204">
        <v>0</v>
      </c>
      <c r="L76" s="206">
        <f>TE_Raw!C73</f>
        <v>10</v>
      </c>
      <c r="M76" s="204">
        <f>TE_Raw!D73</f>
        <v>119</v>
      </c>
      <c r="N76" s="207">
        <f>TE_Raw!E73</f>
        <v>1</v>
      </c>
      <c r="O76" s="204">
        <f>TE_Raw!F73</f>
        <v>0</v>
      </c>
      <c r="P76" s="11">
        <f>(J76*TERushYd)+(K76*TERushTD)+(L76*TERec)+(M76*TERecYd)+(N76*TERecTD)+(O76*TEFuml)+(I76*TERushAtt)</f>
        <v>22.9</v>
      </c>
      <c r="Q76" t="str">
        <f ca="1">IF(A76&lt;=TEStarters,"Starter",IF(A76&gt;TEStarters+TEBench,"Undrafted","Bench"))</f>
        <v>Undrafted</v>
      </c>
      <c r="R76">
        <f ca="1">IFERROR(MAX(P76-LARGE(TESheetCount,TEStarters),0),0)</f>
        <v>0</v>
      </c>
      <c r="S76">
        <f ca="1">IFERROR(IF(AllowNegative="Yes",P76-LARGE(TESheetCount,TECount),MAX(P76-LARGE(TESheetCount,TECount),0)),0)</f>
        <v>-79.760000000000019</v>
      </c>
      <c r="T76">
        <f ca="1">IF(TEStarters&gt;0,(S76-R76)*BenchPF+R76*StarterPF,0)</f>
        <v>-14.461836127981476</v>
      </c>
      <c r="U76">
        <f ca="1">T76*Auction!$A$2</f>
        <v>-14.461836127981476</v>
      </c>
      <c r="V76" s="6" t="str">
        <f>IF(OR(INDEX(Auction!$H$13:$H$656,MATCH(B76,Auction!$A$13:$A$656,0))&gt;0,IFERROR(INDEX(CheatSheet!$D$37:$D$64,MATCH(B76,CheatSheet!$A$37:$A$64,0)),"")&lt;&gt;""),"Yes","No")</f>
        <v>No</v>
      </c>
      <c r="W76" s="179"/>
      <c r="Y76" s="78">
        <f t="shared" ca="1" si="5"/>
        <v>1</v>
      </c>
      <c r="Z76">
        <f t="shared" ca="1" si="7"/>
        <v>-39.88000000000001</v>
      </c>
      <c r="AA76" s="116" t="str">
        <f t="shared" ca="1" si="6"/>
        <v>TE11</v>
      </c>
      <c r="AB76">
        <f ca="1">Z76*LeagueInfo!$H$5</f>
        <v>-14.68494624889075</v>
      </c>
    </row>
    <row r="77" spans="1:28" x14ac:dyDescent="0.25">
      <c r="A77">
        <f>RANK(P77,P$3:P$115)</f>
        <v>75</v>
      </c>
      <c r="B77" t="str">
        <f>TE_Raw!A78</f>
        <v>Blake Bell</v>
      </c>
      <c r="C77" t="s">
        <v>43</v>
      </c>
      <c r="D77" t="str">
        <f>_xlfn.IFNA(INDEX(BYEs!$E$2:$E$411,MATCH(B77,BYEs!$D$2:$D$411,0)),"N/A")</f>
        <v>N/A</v>
      </c>
      <c r="E77">
        <f>INDEX(BYEs!$B$2:$B$34,MATCH(F77,BYEs!$A$2:$A$34,0))</f>
        <v>8</v>
      </c>
      <c r="F77" t="str">
        <f>TE_Raw!B78</f>
        <v>KC</v>
      </c>
      <c r="G77" s="202">
        <v>0</v>
      </c>
      <c r="H77" s="203">
        <v>0</v>
      </c>
      <c r="I77" s="204">
        <v>0</v>
      </c>
      <c r="J77" s="204">
        <v>0</v>
      </c>
      <c r="K77" s="204">
        <v>0</v>
      </c>
      <c r="L77" s="206">
        <f>TE_Raw!C78</f>
        <v>12.2</v>
      </c>
      <c r="M77" s="204">
        <f>TE_Raw!D78</f>
        <v>112.1</v>
      </c>
      <c r="N77" s="207">
        <f>TE_Raw!E78</f>
        <v>0.9</v>
      </c>
      <c r="O77" s="204">
        <f>TE_Raw!F78</f>
        <v>0</v>
      </c>
      <c r="P77" s="11">
        <f>(J77*TERushYd)+(K77*TERushTD)+(L77*TERec)+(M77*TERecYd)+(N77*TERecTD)+(O77*TEFuml)+(I77*TERushAtt)</f>
        <v>22.71</v>
      </c>
      <c r="Q77" t="str">
        <f ca="1">IF(A77&lt;=TEStarters,"Starter",IF(A77&gt;TEStarters+TEBench,"Undrafted","Bench"))</f>
        <v>Undrafted</v>
      </c>
      <c r="R77">
        <f ca="1">IFERROR(MAX(P77-LARGE(TESheetCount,TEStarters),0),0)</f>
        <v>0</v>
      </c>
      <c r="S77">
        <f ca="1">IFERROR(IF(AllowNegative="Yes",P77-LARGE(TESheetCount,TECount),MAX(P77-LARGE(TESheetCount,TECount),0)),0)</f>
        <v>-79.950000000000017</v>
      </c>
      <c r="T77">
        <f ca="1">IF(TEStarters&gt;0,(S77-R77)*BenchPF+R77*StarterPF,0)</f>
        <v>-14.496286339419747</v>
      </c>
      <c r="U77">
        <f ca="1">T77*Auction!$A$2</f>
        <v>-14.496286339419747</v>
      </c>
      <c r="V77" s="6" t="str">
        <f>IF(OR(INDEX(Auction!$H$13:$H$656,MATCH(B77,Auction!$A$13:$A$656,0))&gt;0,IFERROR(INDEX(CheatSheet!$D$37:$D$64,MATCH(B77,CheatSheet!$A$37:$A$64,0)),"")&lt;&gt;""),"Yes","No")</f>
        <v>No</v>
      </c>
      <c r="W77" s="179"/>
      <c r="Y77" s="78">
        <f t="shared" ca="1" si="5"/>
        <v>1</v>
      </c>
      <c r="Z77">
        <f t="shared" ca="1" si="7"/>
        <v>-39.975000000000009</v>
      </c>
      <c r="AA77" s="116" t="str">
        <f t="shared" ca="1" si="6"/>
        <v>TE11</v>
      </c>
      <c r="AB77">
        <f ca="1">Z77*LeagueInfo!$H$5</f>
        <v>-14.71992794130912</v>
      </c>
    </row>
    <row r="78" spans="1:28" x14ac:dyDescent="0.25">
      <c r="A78">
        <f>RANK(P78,P$3:P$115)</f>
        <v>76</v>
      </c>
      <c r="B78" t="str">
        <f>TE_Raw!A74</f>
        <v>Tyler Kroft</v>
      </c>
      <c r="C78" t="s">
        <v>43</v>
      </c>
      <c r="D78">
        <f>_xlfn.IFNA(INDEX(BYEs!$E$2:$E$411,MATCH(B78,BYEs!$D$2:$D$411,0)),"N/A")</f>
        <v>28</v>
      </c>
      <c r="E78">
        <f>INDEX(BYEs!$B$2:$B$34,MATCH(F78,BYEs!$A$2:$A$34,0))</f>
        <v>9</v>
      </c>
      <c r="F78" t="str">
        <f>TE_Raw!B74</f>
        <v>SF</v>
      </c>
      <c r="G78" s="202">
        <v>0</v>
      </c>
      <c r="H78" s="203">
        <v>0</v>
      </c>
      <c r="I78" s="204">
        <v>0</v>
      </c>
      <c r="J78" s="204">
        <v>0</v>
      </c>
      <c r="K78" s="204">
        <v>0</v>
      </c>
      <c r="L78" s="206">
        <f>TE_Raw!C74</f>
        <v>11.2</v>
      </c>
      <c r="M78" s="204">
        <f>TE_Raw!D74</f>
        <v>122.1</v>
      </c>
      <c r="N78" s="207">
        <f>TE_Raw!E74</f>
        <v>0.8</v>
      </c>
      <c r="O78" s="204">
        <f>TE_Raw!F74</f>
        <v>0</v>
      </c>
      <c r="P78" s="11">
        <f>(J78*TERushYd)+(K78*TERushTD)+(L78*TERec)+(M78*TERecYd)+(N78*TERecTD)+(O78*TEFuml)+(I78*TERushAtt)</f>
        <v>22.610000000000003</v>
      </c>
      <c r="Q78" t="str">
        <f ca="1">IF(A78&lt;=TEStarters,"Starter",IF(A78&gt;TEStarters+TEBench,"Undrafted","Bench"))</f>
        <v>Undrafted</v>
      </c>
      <c r="R78">
        <f ca="1">IFERROR(MAX(P78-LARGE(TESheetCount,TEStarters),0),0)</f>
        <v>0</v>
      </c>
      <c r="S78">
        <f ca="1">IFERROR(IF(AllowNegative="Yes",P78-LARGE(TESheetCount,TECount),MAX(P78-LARGE(TESheetCount,TECount),0)),0)</f>
        <v>-80.050000000000011</v>
      </c>
      <c r="T78">
        <f ca="1">IF(TEStarters&gt;0,(S78-R78)*BenchPF+R78*StarterPF,0)</f>
        <v>-14.514418029650415</v>
      </c>
      <c r="U78">
        <f ca="1">T78*Auction!$A$2</f>
        <v>-14.514418029650415</v>
      </c>
      <c r="V78" s="6" t="str">
        <f>IF(OR(INDEX(Auction!$H$13:$H$656,MATCH(B78,Auction!$A$13:$A$656,0))&gt;0,IFERROR(INDEX(CheatSheet!$D$37:$D$64,MATCH(B78,CheatSheet!$A$37:$A$64,0)),"")&lt;&gt;""),"Yes","No")</f>
        <v>No</v>
      </c>
      <c r="W78" s="179"/>
      <c r="Y78" s="78">
        <f t="shared" ca="1" si="5"/>
        <v>1</v>
      </c>
      <c r="Z78">
        <f t="shared" ca="1" si="7"/>
        <v>-40.025000000000006</v>
      </c>
      <c r="AA78" s="116" t="str">
        <f t="shared" ca="1" si="6"/>
        <v>TE11</v>
      </c>
      <c r="AB78">
        <f ca="1">Z78*LeagueInfo!$H$5</f>
        <v>-14.73833935837142</v>
      </c>
    </row>
    <row r="79" spans="1:28" x14ac:dyDescent="0.25">
      <c r="A79">
        <f>RANK(P79,P$3:P$115)</f>
        <v>77</v>
      </c>
      <c r="B79" t="str">
        <f>TE_Raw!A80</f>
        <v>Zach Gentry</v>
      </c>
      <c r="C79" t="s">
        <v>43</v>
      </c>
      <c r="D79" t="str">
        <f>_xlfn.IFNA(INDEX(BYEs!$E$2:$E$411,MATCH(B79,BYEs!$D$2:$D$411,0)),"N/A")</f>
        <v>N/A</v>
      </c>
      <c r="E79">
        <f>INDEX(BYEs!$B$2:$B$34,MATCH(F79,BYEs!$A$2:$A$34,0))</f>
        <v>9</v>
      </c>
      <c r="F79" t="str">
        <f>TE_Raw!B80</f>
        <v>PIT</v>
      </c>
      <c r="G79" s="202">
        <v>0</v>
      </c>
      <c r="H79" s="203">
        <v>0</v>
      </c>
      <c r="I79" s="204">
        <v>0</v>
      </c>
      <c r="J79" s="204">
        <v>0</v>
      </c>
      <c r="K79" s="204">
        <v>0</v>
      </c>
      <c r="L79" s="206">
        <f>TE_Raw!C80</f>
        <v>12</v>
      </c>
      <c r="M79" s="204">
        <f>TE_Raw!D80</f>
        <v>112.1</v>
      </c>
      <c r="N79" s="207">
        <f>TE_Raw!E80</f>
        <v>0.9</v>
      </c>
      <c r="O79" s="204">
        <f>TE_Raw!F80</f>
        <v>0</v>
      </c>
      <c r="P79" s="11">
        <f>(J79*TERushYd)+(K79*TERushTD)+(L79*TERec)+(M79*TERecYd)+(N79*TERecTD)+(O79*TEFuml)+(I79*TERushAtt)</f>
        <v>22.61</v>
      </c>
      <c r="Q79" t="str">
        <f ca="1">IF(A79&lt;=TEStarters,"Starter",IF(A79&gt;TEStarters+TEBench,"Undrafted","Bench"))</f>
        <v>Undrafted</v>
      </c>
      <c r="R79">
        <f ca="1">IFERROR(MAX(P79-LARGE(TESheetCount,TEStarters),0),0)</f>
        <v>0</v>
      </c>
      <c r="S79">
        <f ca="1">IFERROR(IF(AllowNegative="Yes",P79-LARGE(TESheetCount,TECount),MAX(P79-LARGE(TESheetCount,TECount),0)),0)</f>
        <v>-80.050000000000011</v>
      </c>
      <c r="T79">
        <f ca="1">IF(TEStarters&gt;0,(S79-R79)*BenchPF+R79*StarterPF,0)</f>
        <v>-14.514418029650415</v>
      </c>
      <c r="U79">
        <f ca="1">T79*Auction!$A$2</f>
        <v>-14.514418029650415</v>
      </c>
      <c r="V79" s="6" t="str">
        <f>IF(OR(INDEX(Auction!$H$13:$H$656,MATCH(B79,Auction!$A$13:$A$656,0))&gt;0,IFERROR(INDEX(CheatSheet!$D$37:$D$64,MATCH(B79,CheatSheet!$A$37:$A$64,0)),"")&lt;&gt;""),"Yes","No")</f>
        <v>No</v>
      </c>
      <c r="W79" s="179"/>
      <c r="Y79" s="78">
        <f t="shared" ca="1" si="5"/>
        <v>1</v>
      </c>
      <c r="Z79">
        <f t="shared" ca="1" si="7"/>
        <v>-40.025000000000006</v>
      </c>
      <c r="AA79" s="116" t="str">
        <f t="shared" ca="1" si="6"/>
        <v>TE11</v>
      </c>
      <c r="AB79">
        <f ca="1">Z79*LeagueInfo!$H$5</f>
        <v>-14.73833935837142</v>
      </c>
    </row>
    <row r="80" spans="1:28" x14ac:dyDescent="0.25">
      <c r="A80">
        <f>RANK(P80,P$3:P$115)</f>
        <v>78</v>
      </c>
      <c r="B80" t="str">
        <f>TE_Raw!A77</f>
        <v>Nick Boyle</v>
      </c>
      <c r="C80" t="s">
        <v>43</v>
      </c>
      <c r="D80" t="str">
        <f>_xlfn.IFNA(INDEX(BYEs!$E$2:$E$411,MATCH(B80,BYEs!$D$2:$D$411,0)),"N/A")</f>
        <v>N/A</v>
      </c>
      <c r="E80">
        <f>INDEX(BYEs!$B$2:$B$34,MATCH(F80,BYEs!$A$2:$A$34,0))</f>
        <v>10</v>
      </c>
      <c r="F80" t="str">
        <f>TE_Raw!B77</f>
        <v>BAL</v>
      </c>
      <c r="G80" s="202">
        <v>0</v>
      </c>
      <c r="H80" s="203">
        <v>0</v>
      </c>
      <c r="I80" s="204">
        <v>0</v>
      </c>
      <c r="J80" s="204">
        <v>0</v>
      </c>
      <c r="K80" s="204">
        <v>0</v>
      </c>
      <c r="L80" s="206">
        <f>TE_Raw!C77</f>
        <v>11.1</v>
      </c>
      <c r="M80" s="204">
        <f>TE_Raw!D77</f>
        <v>104.1</v>
      </c>
      <c r="N80" s="207">
        <f>TE_Raw!E77</f>
        <v>1.1000000000000001</v>
      </c>
      <c r="O80" s="204">
        <f>TE_Raw!F77</f>
        <v>0</v>
      </c>
      <c r="P80" s="11">
        <f>(J80*TERushYd)+(K80*TERushTD)+(L80*TERec)+(M80*TERecYd)+(N80*TERecTD)+(O80*TEFuml)+(I80*TERushAtt)</f>
        <v>22.560000000000002</v>
      </c>
      <c r="Q80" t="str">
        <f ca="1">IF(A80&lt;=TEStarters,"Starter",IF(A80&gt;TEStarters+TEBench,"Undrafted","Bench"))</f>
        <v>Undrafted</v>
      </c>
      <c r="R80">
        <f ca="1">IFERROR(MAX(P80-LARGE(TESheetCount,TEStarters),0),0)</f>
        <v>0</v>
      </c>
      <c r="S80">
        <f ca="1">IFERROR(IF(AllowNegative="Yes",P80-LARGE(TESheetCount,TECount),MAX(P80-LARGE(TESheetCount,TECount),0)),0)</f>
        <v>-80.100000000000009</v>
      </c>
      <c r="T80">
        <f ca="1">IF(TEStarters&gt;0,(S80-R80)*BenchPF+R80*StarterPF,0)</f>
        <v>-14.523483874765748</v>
      </c>
      <c r="U80">
        <f ca="1">T80*Auction!$A$2</f>
        <v>-14.523483874765748</v>
      </c>
      <c r="V80" s="6" t="str">
        <f>IF(OR(INDEX(Auction!$H$13:$H$656,MATCH(B80,Auction!$A$13:$A$656,0))&gt;0,IFERROR(INDEX(CheatSheet!$D$37:$D$64,MATCH(B80,CheatSheet!$A$37:$A$64,0)),"")&lt;&gt;""),"Yes","No")</f>
        <v>No</v>
      </c>
      <c r="W80" s="179"/>
      <c r="Y80" s="78">
        <f t="shared" ca="1" si="5"/>
        <v>1</v>
      </c>
      <c r="Z80">
        <f t="shared" ca="1" si="7"/>
        <v>-40.050000000000004</v>
      </c>
      <c r="AA80" s="116" t="str">
        <f t="shared" ca="1" si="6"/>
        <v>TE11</v>
      </c>
      <c r="AB80">
        <f ca="1">Z80*LeagueInfo!$H$5</f>
        <v>-14.747545066902569</v>
      </c>
    </row>
    <row r="81" spans="1:28" x14ac:dyDescent="0.25">
      <c r="A81">
        <f>RANK(P81,P$3:P$115)</f>
        <v>79</v>
      </c>
      <c r="B81" t="str">
        <f>TE_Raw!A82</f>
        <v>John FitzPatrick</v>
      </c>
      <c r="C81" t="s">
        <v>43</v>
      </c>
      <c r="D81" t="str">
        <f>_xlfn.IFNA(INDEX(BYEs!$E$2:$E$411,MATCH(B81,BYEs!$D$2:$D$411,0)),"N/A")</f>
        <v>N/A</v>
      </c>
      <c r="E81">
        <f>INDEX(BYEs!$B$2:$B$34,MATCH(F81,BYEs!$A$2:$A$34,0))</f>
        <v>14</v>
      </c>
      <c r="F81" t="str">
        <f>TE_Raw!B82</f>
        <v>ATL</v>
      </c>
      <c r="G81" s="202">
        <v>0</v>
      </c>
      <c r="H81" s="203">
        <v>0</v>
      </c>
      <c r="I81" s="204">
        <v>0</v>
      </c>
      <c r="J81" s="204">
        <v>0</v>
      </c>
      <c r="K81" s="204">
        <v>0</v>
      </c>
      <c r="L81" s="206">
        <f>TE_Raw!C82</f>
        <v>11</v>
      </c>
      <c r="M81" s="204">
        <f>TE_Raw!D82</f>
        <v>101</v>
      </c>
      <c r="N81" s="207">
        <f>TE_Raw!E82</f>
        <v>1</v>
      </c>
      <c r="O81" s="204">
        <f>TE_Raw!F82</f>
        <v>0</v>
      </c>
      <c r="P81" s="11">
        <f>(J81*TERushYd)+(K81*TERushTD)+(L81*TERec)+(M81*TERecYd)+(N81*TERecTD)+(O81*TEFuml)+(I81*TERushAtt)</f>
        <v>21.6</v>
      </c>
      <c r="Q81" t="str">
        <f ca="1">IF(A81&lt;=TEStarters,"Starter",IF(A81&gt;TEStarters+TEBench,"Undrafted","Bench"))</f>
        <v>Undrafted</v>
      </c>
      <c r="R81">
        <f ca="1">IFERROR(MAX(P81-LARGE(TESheetCount,TEStarters),0),0)</f>
        <v>0</v>
      </c>
      <c r="S81">
        <f ca="1">IFERROR(IF(AllowNegative="Yes",P81-LARGE(TESheetCount,TECount),MAX(P81-LARGE(TESheetCount,TECount),0)),0)</f>
        <v>-81.06</v>
      </c>
      <c r="T81">
        <f ca="1">IF(TEStarters&gt;0,(S81-R81)*BenchPF+R81*StarterPF,0)</f>
        <v>-14.697548100980169</v>
      </c>
      <c r="U81">
        <f ca="1">T81*Auction!$A$2</f>
        <v>-14.697548100980169</v>
      </c>
      <c r="V81" s="6" t="str">
        <f>IF(OR(INDEX(Auction!$H$13:$H$656,MATCH(B81,Auction!$A$13:$A$656,0))&gt;0,IFERROR(INDEX(CheatSheet!$D$37:$D$64,MATCH(B81,CheatSheet!$A$37:$A$64,0)),"")&lt;&gt;""),"Yes","No")</f>
        <v>No</v>
      </c>
      <c r="W81" s="179"/>
      <c r="Y81" s="78">
        <f t="shared" ca="1" si="5"/>
        <v>1</v>
      </c>
      <c r="Z81">
        <f t="shared" ca="1" si="7"/>
        <v>-40.53</v>
      </c>
      <c r="AA81" s="116" t="str">
        <f t="shared" ca="1" si="6"/>
        <v>TE11</v>
      </c>
      <c r="AB81">
        <f ca="1">Z81*LeagueInfo!$H$5</f>
        <v>-14.92429467070065</v>
      </c>
    </row>
    <row r="82" spans="1:28" x14ac:dyDescent="0.25">
      <c r="A82">
        <f>RANK(P82,P$3:P$115)</f>
        <v>80</v>
      </c>
      <c r="B82" t="str">
        <f>TE_Raw!A83</f>
        <v>Connor Heyward</v>
      </c>
      <c r="C82" t="s">
        <v>43</v>
      </c>
      <c r="D82" t="str">
        <f>_xlfn.IFNA(INDEX(BYEs!$E$2:$E$411,MATCH(B82,BYEs!$D$2:$D$411,0)),"N/A")</f>
        <v>N/A</v>
      </c>
      <c r="E82">
        <f>INDEX(BYEs!$B$2:$B$34,MATCH(F82,BYEs!$A$2:$A$34,0))</f>
        <v>9</v>
      </c>
      <c r="F82" t="str">
        <f>TE_Raw!B83</f>
        <v>PIT</v>
      </c>
      <c r="G82" s="202">
        <v>0</v>
      </c>
      <c r="H82" s="203">
        <v>0</v>
      </c>
      <c r="I82" s="204">
        <v>0</v>
      </c>
      <c r="J82" s="204">
        <v>0</v>
      </c>
      <c r="K82" s="204">
        <v>0</v>
      </c>
      <c r="L82" s="206">
        <f>TE_Raw!C83</f>
        <v>11.6</v>
      </c>
      <c r="M82" s="204">
        <f>TE_Raw!D83</f>
        <v>116.7</v>
      </c>
      <c r="N82" s="207">
        <f>TE_Raw!E83</f>
        <v>0.7</v>
      </c>
      <c r="O82" s="204">
        <f>TE_Raw!F83</f>
        <v>0.1</v>
      </c>
      <c r="P82" s="11">
        <f>(J82*TERushYd)+(K82*TERushTD)+(L82*TERec)+(M82*TERecYd)+(N82*TERecTD)+(O82*TEFuml)+(I82*TERushAtt)</f>
        <v>21.470000000000002</v>
      </c>
      <c r="Q82" t="str">
        <f ca="1">IF(A82&lt;=TEStarters,"Starter",IF(A82&gt;TEStarters+TEBench,"Undrafted","Bench"))</f>
        <v>Undrafted</v>
      </c>
      <c r="R82">
        <f ca="1">IFERROR(MAX(P82-LARGE(TESheetCount,TEStarters),0),0)</f>
        <v>0</v>
      </c>
      <c r="S82">
        <f ca="1">IFERROR(IF(AllowNegative="Yes",P82-LARGE(TESheetCount,TECount),MAX(P82-LARGE(TESheetCount,TECount),0)),0)</f>
        <v>-81.190000000000012</v>
      </c>
      <c r="T82">
        <f ca="1">IF(TEStarters&gt;0,(S82-R82)*BenchPF+R82*StarterPF,0)</f>
        <v>-14.721119298280041</v>
      </c>
      <c r="U82">
        <f ca="1">T82*Auction!$A$2</f>
        <v>-14.721119298280041</v>
      </c>
      <c r="V82" s="6" t="str">
        <f>IF(OR(INDEX(Auction!$H$13:$H$656,MATCH(B82,Auction!$A$13:$A$656,0))&gt;0,IFERROR(INDEX(CheatSheet!$D$37:$D$64,MATCH(B82,CheatSheet!$A$37:$A$64,0)),"")&lt;&gt;""),"Yes","No")</f>
        <v>No</v>
      </c>
      <c r="W82" s="179"/>
      <c r="Y82" s="78">
        <f t="shared" ca="1" si="5"/>
        <v>1</v>
      </c>
      <c r="Z82">
        <f t="shared" ca="1" si="7"/>
        <v>-40.595000000000006</v>
      </c>
      <c r="AA82" s="116" t="str">
        <f t="shared" ca="1" si="6"/>
        <v>TE11</v>
      </c>
      <c r="AB82">
        <f ca="1">Z82*LeagueInfo!$H$5</f>
        <v>-14.948229512881642</v>
      </c>
    </row>
    <row r="83" spans="1:28" x14ac:dyDescent="0.25">
      <c r="A83">
        <f>RANK(P83,P$3:P$115)</f>
        <v>81</v>
      </c>
      <c r="B83" t="str">
        <f>TE_Raw!A81</f>
        <v>Noah Gray</v>
      </c>
      <c r="C83" t="s">
        <v>43</v>
      </c>
      <c r="D83" t="str">
        <f>_xlfn.IFNA(INDEX(BYEs!$E$2:$E$411,MATCH(B83,BYEs!$D$2:$D$411,0)),"N/A")</f>
        <v>N/A</v>
      </c>
      <c r="E83">
        <f>INDEX(BYEs!$B$2:$B$34,MATCH(F83,BYEs!$A$2:$A$34,0))</f>
        <v>8</v>
      </c>
      <c r="F83" t="str">
        <f>TE_Raw!B81</f>
        <v>KC</v>
      </c>
      <c r="G83" s="202">
        <v>0</v>
      </c>
      <c r="H83" s="203">
        <v>0</v>
      </c>
      <c r="I83" s="204">
        <v>0</v>
      </c>
      <c r="J83" s="204">
        <v>0</v>
      </c>
      <c r="K83" s="204">
        <v>0</v>
      </c>
      <c r="L83" s="206">
        <f>TE_Raw!C81</f>
        <v>10.6</v>
      </c>
      <c r="M83" s="204">
        <f>TE_Raw!D81</f>
        <v>100</v>
      </c>
      <c r="N83" s="207">
        <f>TE_Raw!E81</f>
        <v>1</v>
      </c>
      <c r="O83" s="204">
        <f>TE_Raw!F81</f>
        <v>0</v>
      </c>
      <c r="P83" s="11">
        <f>(J83*TERushYd)+(K83*TERushTD)+(L83*TERec)+(M83*TERecYd)+(N83*TERecTD)+(O83*TEFuml)+(I83*TERushAtt)</f>
        <v>21.3</v>
      </c>
      <c r="Q83" t="str">
        <f ca="1">IF(A83&lt;=TEStarters,"Starter",IF(A83&gt;TEStarters+TEBench,"Undrafted","Bench"))</f>
        <v>Undrafted</v>
      </c>
      <c r="R83">
        <f ca="1">IFERROR(MAX(P83-LARGE(TESheetCount,TEStarters),0),0)</f>
        <v>0</v>
      </c>
      <c r="S83">
        <f ca="1">IFERROR(IF(AllowNegative="Yes",P83-LARGE(TESheetCount,TECount),MAX(P83-LARGE(TESheetCount,TECount),0)),0)</f>
        <v>-81.360000000000014</v>
      </c>
      <c r="T83">
        <f ca="1">IF(TEStarters&gt;0,(S83-R83)*BenchPF+R83*StarterPF,0)</f>
        <v>-14.751943171672178</v>
      </c>
      <c r="U83">
        <f ca="1">T83*Auction!$A$2</f>
        <v>-14.751943171672178</v>
      </c>
      <c r="V83" s="6" t="str">
        <f>IF(OR(INDEX(Auction!$H$13:$H$656,MATCH(B83,Auction!$A$13:$A$656,0))&gt;0,IFERROR(INDEX(CheatSheet!$D$37:$D$64,MATCH(B83,CheatSheet!$A$37:$A$64,0)),"")&lt;&gt;""),"Yes","No")</f>
        <v>No</v>
      </c>
      <c r="W83" s="179"/>
      <c r="Y83" s="78">
        <f t="shared" ca="1" si="5"/>
        <v>1</v>
      </c>
      <c r="Z83">
        <f t="shared" ca="1" si="7"/>
        <v>-40.680000000000007</v>
      </c>
      <c r="AA83" s="116" t="str">
        <f t="shared" ca="1" si="6"/>
        <v>TE11</v>
      </c>
      <c r="AB83">
        <f ca="1">Z83*LeagueInfo!$H$5</f>
        <v>-14.979528921887553</v>
      </c>
    </row>
    <row r="84" spans="1:28" x14ac:dyDescent="0.25">
      <c r="A84">
        <f>RANK(P84,P$3:P$115)</f>
        <v>82</v>
      </c>
      <c r="B84" t="str">
        <f>TE_Raw!A79</f>
        <v>Jody Fortson</v>
      </c>
      <c r="C84" t="s">
        <v>43</v>
      </c>
      <c r="D84" t="str">
        <f>_xlfn.IFNA(INDEX(BYEs!$E$2:$E$411,MATCH(B84,BYEs!$D$2:$D$411,0)),"N/A")</f>
        <v>N/A</v>
      </c>
      <c r="E84">
        <f>INDEX(BYEs!$B$2:$B$34,MATCH(F84,BYEs!$A$2:$A$34,0))</f>
        <v>8</v>
      </c>
      <c r="F84" t="str">
        <f>TE_Raw!B79</f>
        <v>KC</v>
      </c>
      <c r="G84" s="202">
        <v>0</v>
      </c>
      <c r="H84" s="203">
        <v>0</v>
      </c>
      <c r="I84" s="204">
        <v>0</v>
      </c>
      <c r="J84" s="204">
        <v>0</v>
      </c>
      <c r="K84" s="204">
        <v>0</v>
      </c>
      <c r="L84" s="206">
        <f>TE_Raw!C79</f>
        <v>9.3000000000000007</v>
      </c>
      <c r="M84" s="204">
        <f>TE_Raw!D79</f>
        <v>99</v>
      </c>
      <c r="N84" s="207">
        <f>TE_Raw!E79</f>
        <v>1.1000000000000001</v>
      </c>
      <c r="O84" s="204">
        <f>TE_Raw!F79</f>
        <v>0</v>
      </c>
      <c r="P84" s="11">
        <f>(J84*TERushYd)+(K84*TERushTD)+(L84*TERec)+(M84*TERecYd)+(N84*TERecTD)+(O84*TEFuml)+(I84*TERushAtt)</f>
        <v>21.150000000000002</v>
      </c>
      <c r="Q84" t="str">
        <f ca="1">IF(A84&lt;=TEStarters,"Starter",IF(A84&gt;TEStarters+TEBench,"Undrafted","Bench"))</f>
        <v>Undrafted</v>
      </c>
      <c r="R84">
        <f ca="1">IFERROR(MAX(P84-LARGE(TESheetCount,TEStarters),0),0)</f>
        <v>0</v>
      </c>
      <c r="S84">
        <f ca="1">IFERROR(IF(AllowNegative="Yes",P84-LARGE(TESheetCount,TECount),MAX(P84-LARGE(TESheetCount,TECount),0)),0)</f>
        <v>-81.510000000000005</v>
      </c>
      <c r="T84">
        <f ca="1">IF(TEStarters&gt;0,(S84-R84)*BenchPF+R84*StarterPF,0)</f>
        <v>-14.779140707018179</v>
      </c>
      <c r="U84">
        <f ca="1">T84*Auction!$A$2</f>
        <v>-14.779140707018179</v>
      </c>
      <c r="V84" s="6" t="str">
        <f>IF(OR(INDEX(Auction!$H$13:$H$656,MATCH(B84,Auction!$A$13:$A$656,0))&gt;0,IFERROR(INDEX(CheatSheet!$D$37:$D$64,MATCH(B84,CheatSheet!$A$37:$A$64,0)),"")&lt;&gt;""),"Yes","No")</f>
        <v>No</v>
      </c>
      <c r="W84" s="179"/>
      <c r="Y84" s="78">
        <f t="shared" ca="1" si="5"/>
        <v>1</v>
      </c>
      <c r="Z84">
        <f t="shared" ca="1" si="7"/>
        <v>-40.755000000000003</v>
      </c>
      <c r="AA84" s="116" t="str">
        <f t="shared" ca="1" si="6"/>
        <v>TE11</v>
      </c>
      <c r="AB84">
        <f ca="1">Z84*LeagueInfo!$H$5</f>
        <v>-15.007146047481003</v>
      </c>
    </row>
    <row r="85" spans="1:28" x14ac:dyDescent="0.25">
      <c r="A85">
        <f>RANK(P85,P$3:P$115)</f>
        <v>83</v>
      </c>
      <c r="B85" t="str">
        <f>TE_Raw!A84</f>
        <v>Drew Sample</v>
      </c>
      <c r="C85" t="s">
        <v>43</v>
      </c>
      <c r="D85" t="str">
        <f>_xlfn.IFNA(INDEX(BYEs!$E$2:$E$411,MATCH(B85,BYEs!$D$2:$D$411,0)),"N/A")</f>
        <v>N/A</v>
      </c>
      <c r="E85">
        <f>INDEX(BYEs!$B$2:$B$34,MATCH(F85,BYEs!$A$2:$A$34,0))</f>
        <v>10</v>
      </c>
      <c r="F85" t="str">
        <f>TE_Raw!B84</f>
        <v>CIN</v>
      </c>
      <c r="G85" s="202">
        <v>0</v>
      </c>
      <c r="H85" s="203">
        <v>0</v>
      </c>
      <c r="I85" s="204">
        <v>0</v>
      </c>
      <c r="J85" s="204">
        <v>0</v>
      </c>
      <c r="K85" s="204">
        <v>0</v>
      </c>
      <c r="L85" s="206">
        <f>TE_Raw!C84</f>
        <v>10.6</v>
      </c>
      <c r="M85" s="204">
        <f>TE_Raw!D84</f>
        <v>104.2</v>
      </c>
      <c r="N85" s="207">
        <f>TE_Raw!E84</f>
        <v>0.8</v>
      </c>
      <c r="O85" s="204">
        <f>TE_Raw!F84</f>
        <v>0</v>
      </c>
      <c r="P85" s="11">
        <f>(J85*TERushYd)+(K85*TERushTD)+(L85*TERec)+(M85*TERecYd)+(N85*TERecTD)+(O85*TEFuml)+(I85*TERushAtt)</f>
        <v>20.520000000000003</v>
      </c>
      <c r="Q85" t="str">
        <f ca="1">IF(A85&lt;=TEStarters,"Starter",IF(A85&gt;TEStarters+TEBench,"Undrafted","Bench"))</f>
        <v>Undrafted</v>
      </c>
      <c r="R85">
        <f ca="1">IFERROR(MAX(P85-LARGE(TESheetCount,TEStarters),0),0)</f>
        <v>0</v>
      </c>
      <c r="S85">
        <f ca="1">IFERROR(IF(AllowNegative="Yes",P85-LARGE(TESheetCount,TECount),MAX(P85-LARGE(TESheetCount,TECount),0)),0)</f>
        <v>-82.140000000000015</v>
      </c>
      <c r="T85">
        <f ca="1">IF(TEStarters&gt;0,(S85-R85)*BenchPF+R85*StarterPF,0)</f>
        <v>-14.893370355471395</v>
      </c>
      <c r="U85">
        <f ca="1">T85*Auction!$A$2</f>
        <v>-14.893370355471395</v>
      </c>
      <c r="V85" s="6" t="str">
        <f>IF(OR(INDEX(Auction!$H$13:$H$656,MATCH(B85,Auction!$A$13:$A$656,0))&gt;0,IFERROR(INDEX(CheatSheet!$D$37:$D$64,MATCH(B85,CheatSheet!$A$37:$A$64,0)),"")&lt;&gt;""),"Yes","No")</f>
        <v>No</v>
      </c>
      <c r="W85" s="179"/>
      <c r="Y85" s="78">
        <f t="shared" ca="1" si="5"/>
        <v>1</v>
      </c>
      <c r="Z85">
        <f t="shared" ca="1" si="7"/>
        <v>-41.070000000000007</v>
      </c>
      <c r="AA85" s="116" t="str">
        <f t="shared" ca="1" si="6"/>
        <v>TE11</v>
      </c>
      <c r="AB85">
        <f ca="1">Z85*LeagueInfo!$H$5</f>
        <v>-15.123137974973497</v>
      </c>
    </row>
    <row r="86" spans="1:28" x14ac:dyDescent="0.25">
      <c r="A86">
        <f>RANK(P86,P$3:P$115)</f>
        <v>84</v>
      </c>
      <c r="B86" t="str">
        <f>TE_Raw!A85</f>
        <v>Luke Farrell</v>
      </c>
      <c r="C86" t="s">
        <v>43</v>
      </c>
      <c r="D86" t="str">
        <f>_xlfn.IFNA(INDEX(BYEs!$E$2:$E$411,MATCH(B86,BYEs!$D$2:$D$411,0)),"N/A")</f>
        <v>N/A</v>
      </c>
      <c r="E86">
        <f>INDEX(BYEs!$B$2:$B$34,MATCH(F86,BYEs!$A$2:$A$34,0))</f>
        <v>11</v>
      </c>
      <c r="F86" t="str">
        <f>TE_Raw!B85</f>
        <v>JAC</v>
      </c>
      <c r="G86" s="202">
        <v>0</v>
      </c>
      <c r="H86" s="203">
        <v>0</v>
      </c>
      <c r="I86" s="204">
        <v>0</v>
      </c>
      <c r="J86" s="204">
        <v>0</v>
      </c>
      <c r="K86" s="204">
        <v>0</v>
      </c>
      <c r="L86" s="206">
        <f>TE_Raw!C85</f>
        <v>9.8000000000000007</v>
      </c>
      <c r="M86" s="204">
        <f>TE_Raw!D85</f>
        <v>90.5</v>
      </c>
      <c r="N86" s="207">
        <f>TE_Raw!E85</f>
        <v>0.8</v>
      </c>
      <c r="O86" s="204">
        <f>TE_Raw!F85</f>
        <v>0</v>
      </c>
      <c r="P86" s="11">
        <f>(J86*TERushYd)+(K86*TERushTD)+(L86*TERec)+(M86*TERecYd)+(N86*TERecTD)+(O86*TEFuml)+(I86*TERushAtt)</f>
        <v>18.75</v>
      </c>
      <c r="Q86" t="str">
        <f ca="1">IF(A86&lt;=TEStarters,"Starter",IF(A86&gt;TEStarters+TEBench,"Undrafted","Bench"))</f>
        <v>Undrafted</v>
      </c>
      <c r="R86">
        <f ca="1">IFERROR(MAX(P86-LARGE(TESheetCount,TEStarters),0),0)</f>
        <v>0</v>
      </c>
      <c r="S86">
        <f ca="1">IFERROR(IF(AllowNegative="Yes",P86-LARGE(TESheetCount,TECount),MAX(P86-LARGE(TESheetCount,TECount),0)),0)</f>
        <v>-83.910000000000011</v>
      </c>
      <c r="T86">
        <f ca="1">IF(TEStarters&gt;0,(S86-R86)*BenchPF+R86*StarterPF,0)</f>
        <v>-15.214301272554232</v>
      </c>
      <c r="U86">
        <f ca="1">T86*Auction!$A$2</f>
        <v>-15.214301272554232</v>
      </c>
      <c r="V86" s="6" t="str">
        <f>IF(OR(INDEX(Auction!$H$13:$H$656,MATCH(B86,Auction!$A$13:$A$656,0))&gt;0,IFERROR(INDEX(CheatSheet!$D$37:$D$64,MATCH(B86,CheatSheet!$A$37:$A$64,0)),"")&lt;&gt;""),"Yes","No")</f>
        <v>No</v>
      </c>
      <c r="W86" s="179"/>
      <c r="Y86" s="78">
        <f t="shared" ca="1" si="5"/>
        <v>1</v>
      </c>
      <c r="Z86">
        <f t="shared" ca="1" si="7"/>
        <v>-41.955000000000005</v>
      </c>
      <c r="AA86" s="116" t="str">
        <f t="shared" ca="1" si="6"/>
        <v>TE12</v>
      </c>
      <c r="AB86">
        <f ca="1">Z86*LeagueInfo!$H$5</f>
        <v>-15.449020056976211</v>
      </c>
    </row>
    <row r="87" spans="1:28" x14ac:dyDescent="0.25">
      <c r="A87">
        <f>RANK(P87,P$3:P$115)</f>
        <v>85</v>
      </c>
      <c r="B87" t="str">
        <f>TE_Raw!A86</f>
        <v>Ko Kieft</v>
      </c>
      <c r="C87" t="s">
        <v>43</v>
      </c>
      <c r="D87" t="str">
        <f>_xlfn.IFNA(INDEX(BYEs!$E$2:$E$411,MATCH(B87,BYEs!$D$2:$D$411,0)),"N/A")</f>
        <v>N/A</v>
      </c>
      <c r="E87">
        <f>INDEX(BYEs!$B$2:$B$34,MATCH(F87,BYEs!$A$2:$A$34,0))</f>
        <v>11</v>
      </c>
      <c r="F87" t="str">
        <f>TE_Raw!B86</f>
        <v>TB</v>
      </c>
      <c r="G87" s="202">
        <v>0</v>
      </c>
      <c r="H87" s="203">
        <v>0</v>
      </c>
      <c r="I87" s="204">
        <v>0</v>
      </c>
      <c r="J87" s="204">
        <v>0</v>
      </c>
      <c r="K87" s="204">
        <v>0</v>
      </c>
      <c r="L87" s="206">
        <f>TE_Raw!C86</f>
        <v>9.1999999999999993</v>
      </c>
      <c r="M87" s="204">
        <f>TE_Raw!D86</f>
        <v>91.7</v>
      </c>
      <c r="N87" s="207">
        <f>TE_Raw!E86</f>
        <v>0.7</v>
      </c>
      <c r="O87" s="204">
        <f>TE_Raw!F86</f>
        <v>0</v>
      </c>
      <c r="P87" s="11">
        <f>(J87*TERushYd)+(K87*TERushTD)+(L87*TERec)+(M87*TERecYd)+(N87*TERecTD)+(O87*TEFuml)+(I87*TERushAtt)</f>
        <v>17.97</v>
      </c>
      <c r="Q87" t="str">
        <f ca="1">IF(A87&lt;=TEStarters,"Starter",IF(A87&gt;TEStarters+TEBench,"Undrafted","Bench"))</f>
        <v>Undrafted</v>
      </c>
      <c r="R87">
        <f ca="1">IFERROR(MAX(P87-LARGE(TESheetCount,TEStarters),0),0)</f>
        <v>0</v>
      </c>
      <c r="S87">
        <f ca="1">IFERROR(IF(AllowNegative="Yes",P87-LARGE(TESheetCount,TECount),MAX(P87-LARGE(TESheetCount,TECount),0)),0)</f>
        <v>-84.690000000000012</v>
      </c>
      <c r="T87">
        <f ca="1">IF(TEStarters&gt;0,(S87-R87)*BenchPF+R87*StarterPF,0)</f>
        <v>-15.35572845635345</v>
      </c>
      <c r="U87">
        <f ca="1">T87*Auction!$A$2</f>
        <v>-15.35572845635345</v>
      </c>
      <c r="V87" s="6" t="str">
        <f>IF(OR(INDEX(Auction!$H$13:$H$656,MATCH(B87,Auction!$A$13:$A$656,0))&gt;0,IFERROR(INDEX(CheatSheet!$D$37:$D$64,MATCH(B87,CheatSheet!$A$37:$A$64,0)),"")&lt;&gt;""),"Yes","No")</f>
        <v>No</v>
      </c>
      <c r="W87" s="179"/>
      <c r="Y87" s="78">
        <f t="shared" ca="1" si="5"/>
        <v>1</v>
      </c>
      <c r="Z87">
        <f t="shared" ca="1" si="7"/>
        <v>-42.345000000000006</v>
      </c>
      <c r="AA87" s="116" t="str">
        <f t="shared" ca="1" si="6"/>
        <v>TE12</v>
      </c>
      <c r="AB87">
        <f ca="1">Z87*LeagueInfo!$H$5</f>
        <v>-15.592629110062155</v>
      </c>
    </row>
    <row r="88" spans="1:28" x14ac:dyDescent="0.25">
      <c r="A88">
        <f>RANK(P88,P$3:P$115)</f>
        <v>86</v>
      </c>
      <c r="B88" t="str">
        <f>TE_Raw!A87</f>
        <v>Peyton Hendershot</v>
      </c>
      <c r="C88" t="s">
        <v>43</v>
      </c>
      <c r="D88" t="str">
        <f>_xlfn.IFNA(INDEX(BYEs!$E$2:$E$411,MATCH(B88,BYEs!$D$2:$D$411,0)),"N/A")</f>
        <v>N/A</v>
      </c>
      <c r="E88">
        <f>INDEX(BYEs!$B$2:$B$34,MATCH(F88,BYEs!$A$2:$A$34,0))</f>
        <v>9</v>
      </c>
      <c r="F88" t="str">
        <f>TE_Raw!B87</f>
        <v>DAL</v>
      </c>
      <c r="G88" s="202">
        <v>0</v>
      </c>
      <c r="H88" s="203">
        <v>0</v>
      </c>
      <c r="I88" s="204">
        <v>0</v>
      </c>
      <c r="J88" s="204">
        <v>0</v>
      </c>
      <c r="K88" s="204">
        <v>0</v>
      </c>
      <c r="L88" s="206">
        <f>TE_Raw!C87</f>
        <v>8.3000000000000007</v>
      </c>
      <c r="M88" s="204">
        <f>TE_Raw!D87</f>
        <v>86.5</v>
      </c>
      <c r="N88" s="207">
        <f>TE_Raw!E87</f>
        <v>0.8</v>
      </c>
      <c r="O88" s="204">
        <f>TE_Raw!F87</f>
        <v>0.1</v>
      </c>
      <c r="P88" s="11">
        <f>(J88*TERushYd)+(K88*TERushTD)+(L88*TERec)+(M88*TERecYd)+(N88*TERecTD)+(O88*TEFuml)+(I88*TERushAtt)</f>
        <v>17.400000000000002</v>
      </c>
      <c r="Q88" t="str">
        <f ca="1">IF(A88&lt;=TEStarters,"Starter",IF(A88&gt;TEStarters+TEBench,"Undrafted","Bench"))</f>
        <v>Undrafted</v>
      </c>
      <c r="R88">
        <f ca="1">IFERROR(MAX(P88-LARGE(TESheetCount,TEStarters),0),0)</f>
        <v>0</v>
      </c>
      <c r="S88">
        <f ca="1">IFERROR(IF(AllowNegative="Yes",P88-LARGE(TESheetCount,TECount),MAX(P88-LARGE(TESheetCount,TECount),0)),0)</f>
        <v>-85.26</v>
      </c>
      <c r="T88">
        <f ca="1">IF(TEStarters&gt;0,(S88-R88)*BenchPF+R88*StarterPF,0)</f>
        <v>-15.459079090668261</v>
      </c>
      <c r="U88">
        <f ca="1">T88*Auction!$A$2</f>
        <v>-15.459079090668261</v>
      </c>
      <c r="V88" s="6" t="str">
        <f>IF(OR(INDEX(Auction!$H$13:$H$656,MATCH(B88,Auction!$A$13:$A$656,0))&gt;0,IFERROR(INDEX(CheatSheet!$D$37:$D$64,MATCH(B88,CheatSheet!$A$37:$A$64,0)),"")&lt;&gt;""),"Yes","No")</f>
        <v>No</v>
      </c>
      <c r="W88" s="179"/>
      <c r="Y88" s="78">
        <f t="shared" ca="1" si="5"/>
        <v>1</v>
      </c>
      <c r="Z88">
        <f t="shared" ca="1" si="7"/>
        <v>-42.63</v>
      </c>
      <c r="AA88" s="116" t="str">
        <f t="shared" ca="1" si="6"/>
        <v>TE12</v>
      </c>
      <c r="AB88">
        <f ca="1">Z88*LeagueInfo!$H$5</f>
        <v>-15.697574187317265</v>
      </c>
    </row>
    <row r="89" spans="1:28" x14ac:dyDescent="0.25">
      <c r="A89">
        <f>RANK(P89,P$3:P$115)</f>
        <v>87</v>
      </c>
      <c r="B89" t="str">
        <f>TE_Raw!A89</f>
        <v>Stephen Anderson</v>
      </c>
      <c r="C89" t="s">
        <v>43</v>
      </c>
      <c r="D89" t="str">
        <f>_xlfn.IFNA(INDEX(BYEs!$E$2:$E$411,MATCH(B89,BYEs!$D$2:$D$411,0)),"N/A")</f>
        <v>N/A</v>
      </c>
      <c r="E89">
        <f>INDEX(BYEs!$B$2:$B$34,MATCH(F89,BYEs!$A$2:$A$34,0))</f>
        <v>13</v>
      </c>
      <c r="F89" t="str">
        <f>TE_Raw!B89</f>
        <v>ARI</v>
      </c>
      <c r="G89" s="202">
        <v>0</v>
      </c>
      <c r="H89" s="203">
        <v>0</v>
      </c>
      <c r="I89" s="204">
        <v>0</v>
      </c>
      <c r="J89" s="204">
        <v>0</v>
      </c>
      <c r="K89" s="204">
        <v>0</v>
      </c>
      <c r="L89" s="206">
        <f>TE_Raw!C89</f>
        <v>8.1</v>
      </c>
      <c r="M89" s="204">
        <f>TE_Raw!D89</f>
        <v>84.1</v>
      </c>
      <c r="N89" s="207">
        <f>TE_Raw!E89</f>
        <v>0.7</v>
      </c>
      <c r="O89" s="204">
        <f>TE_Raw!F89</f>
        <v>0</v>
      </c>
      <c r="P89" s="11">
        <f>(J89*TERushYd)+(K89*TERushTD)+(L89*TERec)+(M89*TERecYd)+(N89*TERecTD)+(O89*TEFuml)+(I89*TERushAtt)</f>
        <v>16.66</v>
      </c>
      <c r="Q89" t="str">
        <f ca="1">IF(A89&lt;=TEStarters,"Starter",IF(A89&gt;TEStarters+TEBench,"Undrafted","Bench"))</f>
        <v>Undrafted</v>
      </c>
      <c r="R89">
        <f ca="1">IFERROR(MAX(P89-LARGE(TESheetCount,TEStarters),0),0)</f>
        <v>0</v>
      </c>
      <c r="S89">
        <f ca="1">IFERROR(IF(AllowNegative="Yes",P89-LARGE(TESheetCount,TECount),MAX(P89-LARGE(TESheetCount,TECount),0)),0)</f>
        <v>-86.000000000000014</v>
      </c>
      <c r="T89">
        <f ca="1">IF(TEStarters&gt;0,(S89-R89)*BenchPF+R89*StarterPF,0)</f>
        <v>-15.593253598375211</v>
      </c>
      <c r="U89">
        <f ca="1">T89*Auction!$A$2</f>
        <v>-15.593253598375211</v>
      </c>
      <c r="V89" s="6" t="str">
        <f>IF(OR(INDEX(Auction!$H$13:$H$656,MATCH(B89,Auction!$A$13:$A$656,0))&gt;0,IFERROR(INDEX(CheatSheet!$D$37:$D$64,MATCH(B89,CheatSheet!$A$37:$A$64,0)),"")&lt;&gt;""),"Yes","No")</f>
        <v>No</v>
      </c>
      <c r="W89" s="179"/>
      <c r="Y89" s="78">
        <f t="shared" ca="1" si="5"/>
        <v>1</v>
      </c>
      <c r="Z89">
        <f t="shared" ca="1" si="7"/>
        <v>-43.000000000000007</v>
      </c>
      <c r="AA89" s="116" t="str">
        <f t="shared" ca="1" si="6"/>
        <v>TE12</v>
      </c>
      <c r="AB89">
        <f ca="1">Z89*LeagueInfo!$H$5</f>
        <v>-15.833818673578289</v>
      </c>
    </row>
    <row r="90" spans="1:28" x14ac:dyDescent="0.25">
      <c r="A90">
        <f>RANK(P90,P$3:P$115)</f>
        <v>88</v>
      </c>
      <c r="B90" t="str">
        <f>TE_Raw!A88</f>
        <v>Devin Asiasi</v>
      </c>
      <c r="C90" t="s">
        <v>43</v>
      </c>
      <c r="D90" t="str">
        <f>_xlfn.IFNA(INDEX(BYEs!$E$2:$E$411,MATCH(B90,BYEs!$D$2:$D$411,0)),"N/A")</f>
        <v>N/A</v>
      </c>
      <c r="E90">
        <f>INDEX(BYEs!$B$2:$B$34,MATCH(F90,BYEs!$A$2:$A$34,0))</f>
        <v>10</v>
      </c>
      <c r="F90" t="str">
        <f>TE_Raw!B88</f>
        <v>CIN</v>
      </c>
      <c r="G90" s="202">
        <v>0</v>
      </c>
      <c r="H90" s="203">
        <v>0</v>
      </c>
      <c r="I90" s="204">
        <v>0</v>
      </c>
      <c r="J90" s="204">
        <v>0</v>
      </c>
      <c r="K90" s="204">
        <v>0</v>
      </c>
      <c r="L90" s="206">
        <f>TE_Raw!C88</f>
        <v>7</v>
      </c>
      <c r="M90" s="204">
        <f>TE_Raw!D88</f>
        <v>87.2</v>
      </c>
      <c r="N90" s="207">
        <f>TE_Raw!E88</f>
        <v>0.7</v>
      </c>
      <c r="O90" s="204">
        <f>TE_Raw!F88</f>
        <v>0</v>
      </c>
      <c r="P90" s="11">
        <f>(J90*TERushYd)+(K90*TERushTD)+(L90*TERec)+(M90*TERecYd)+(N90*TERecTD)+(O90*TEFuml)+(I90*TERushAtt)</f>
        <v>16.420000000000002</v>
      </c>
      <c r="Q90" t="str">
        <f ca="1">IF(A90&lt;=TEStarters,"Starter",IF(A90&gt;TEStarters+TEBench,"Undrafted","Bench"))</f>
        <v>Undrafted</v>
      </c>
      <c r="R90">
        <f ca="1">IFERROR(MAX(P90-LARGE(TESheetCount,TEStarters),0),0)</f>
        <v>0</v>
      </c>
      <c r="S90">
        <f ca="1">IFERROR(IF(AllowNegative="Yes",P90-LARGE(TESheetCount,TECount),MAX(P90-LARGE(TESheetCount,TECount),0)),0)</f>
        <v>-86.240000000000009</v>
      </c>
      <c r="T90">
        <f ca="1">IF(TEStarters&gt;0,(S90-R90)*BenchPF+R90*StarterPF,0)</f>
        <v>-15.636769654928816</v>
      </c>
      <c r="U90">
        <f ca="1">T90*Auction!$A$2</f>
        <v>-15.636769654928816</v>
      </c>
      <c r="V90" s="6" t="str">
        <f>IF(OR(INDEX(Auction!$H$13:$H$656,MATCH(B90,Auction!$A$13:$A$656,0))&gt;0,IFERROR(INDEX(CheatSheet!$D$37:$D$64,MATCH(B90,CheatSheet!$A$37:$A$64,0)),"")&lt;&gt;""),"Yes","No")</f>
        <v>No</v>
      </c>
      <c r="W90" s="179"/>
      <c r="Y90" s="78">
        <f t="shared" ca="1" si="5"/>
        <v>1</v>
      </c>
      <c r="Z90">
        <f t="shared" ca="1" si="7"/>
        <v>-43.120000000000005</v>
      </c>
      <c r="AA90" s="116" t="str">
        <f t="shared" ca="1" si="6"/>
        <v>TE12</v>
      </c>
      <c r="AB90">
        <f ca="1">Z90*LeagueInfo!$H$5</f>
        <v>-15.878006074527809</v>
      </c>
    </row>
    <row r="91" spans="1:28" x14ac:dyDescent="0.25">
      <c r="A91">
        <f>RANK(P91,P$3:P$115)</f>
        <v>89</v>
      </c>
      <c r="B91" t="str">
        <f>TE_Raw!A92</f>
        <v>Ross Dwelley</v>
      </c>
      <c r="C91" t="s">
        <v>43</v>
      </c>
      <c r="D91" t="str">
        <f>_xlfn.IFNA(INDEX(BYEs!$E$2:$E$411,MATCH(B91,BYEs!$D$2:$D$411,0)),"N/A")</f>
        <v>N/A</v>
      </c>
      <c r="E91">
        <f>INDEX(BYEs!$B$2:$B$34,MATCH(F91,BYEs!$A$2:$A$34,0))</f>
        <v>9</v>
      </c>
      <c r="F91" t="str">
        <f>TE_Raw!B92</f>
        <v>SF</v>
      </c>
      <c r="G91" s="202">
        <v>0</v>
      </c>
      <c r="H91" s="203">
        <v>0</v>
      </c>
      <c r="I91" s="204">
        <v>0</v>
      </c>
      <c r="J91" s="204">
        <v>0</v>
      </c>
      <c r="K91" s="204">
        <v>0</v>
      </c>
      <c r="L91" s="206">
        <f>TE_Raw!C92</f>
        <v>8.6999999999999993</v>
      </c>
      <c r="M91" s="204">
        <f>TE_Raw!D92</f>
        <v>79.2</v>
      </c>
      <c r="N91" s="207">
        <f>TE_Raw!E92</f>
        <v>0.6</v>
      </c>
      <c r="O91" s="204">
        <f>TE_Raw!F92</f>
        <v>0</v>
      </c>
      <c r="P91" s="11">
        <f>(J91*TERushYd)+(K91*TERushTD)+(L91*TERec)+(M91*TERecYd)+(N91*TERecTD)+(O91*TEFuml)+(I91*TERushAtt)</f>
        <v>15.87</v>
      </c>
      <c r="Q91" t="str">
        <f ca="1">IF(A91&lt;=TEStarters,"Starter",IF(A91&gt;TEStarters+TEBench,"Undrafted","Bench"))</f>
        <v>Undrafted</v>
      </c>
      <c r="R91">
        <f ca="1">IFERROR(MAX(P91-LARGE(TESheetCount,TEStarters),0),0)</f>
        <v>0</v>
      </c>
      <c r="S91">
        <f ca="1">IFERROR(IF(AllowNegative="Yes",P91-LARGE(TESheetCount,TECount),MAX(P91-LARGE(TESheetCount,TECount),0)),0)</f>
        <v>-86.79</v>
      </c>
      <c r="T91">
        <f ca="1">IF(TEStarters&gt;0,(S91-R91)*BenchPF+R91*StarterPF,0)</f>
        <v>-15.736493951197495</v>
      </c>
      <c r="U91">
        <f ca="1">T91*Auction!$A$2</f>
        <v>-15.736493951197495</v>
      </c>
      <c r="V91" s="6" t="str">
        <f>IF(OR(INDEX(Auction!$H$13:$H$656,MATCH(B91,Auction!$A$13:$A$656,0))&gt;0,IFERROR(INDEX(CheatSheet!$D$37:$D$64,MATCH(B91,CheatSheet!$A$37:$A$64,0)),"")&lt;&gt;""),"Yes","No")</f>
        <v>No</v>
      </c>
      <c r="W91" s="179"/>
      <c r="Y91" s="78">
        <f t="shared" ca="1" si="5"/>
        <v>1</v>
      </c>
      <c r="Z91">
        <f t="shared" ca="1" si="7"/>
        <v>-43.395000000000003</v>
      </c>
      <c r="AA91" s="116" t="str">
        <f t="shared" ca="1" si="6"/>
        <v>TE12</v>
      </c>
      <c r="AB91">
        <f ca="1">Z91*LeagueInfo!$H$5</f>
        <v>-15.979268868370461</v>
      </c>
    </row>
    <row r="92" spans="1:28" x14ac:dyDescent="0.25">
      <c r="A92">
        <f>RANK(P92,P$3:P$115)</f>
        <v>90</v>
      </c>
      <c r="B92" t="str">
        <f>TE_Raw!A90</f>
        <v>Johnny Mundt</v>
      </c>
      <c r="C92" t="s">
        <v>43</v>
      </c>
      <c r="D92" t="str">
        <f>_xlfn.IFNA(INDEX(BYEs!$E$2:$E$411,MATCH(B92,BYEs!$D$2:$D$411,0)),"N/A")</f>
        <v>N/A</v>
      </c>
      <c r="E92">
        <f>INDEX(BYEs!$B$2:$B$34,MATCH(F92,BYEs!$A$2:$A$34,0))</f>
        <v>7</v>
      </c>
      <c r="F92" t="str">
        <f>TE_Raw!B90</f>
        <v>MIN</v>
      </c>
      <c r="G92" s="202">
        <v>0</v>
      </c>
      <c r="H92" s="203">
        <v>0</v>
      </c>
      <c r="I92" s="204">
        <v>0</v>
      </c>
      <c r="J92" s="204">
        <v>0</v>
      </c>
      <c r="K92" s="204">
        <v>0</v>
      </c>
      <c r="L92" s="206">
        <f>TE_Raw!C90</f>
        <v>7.6</v>
      </c>
      <c r="M92" s="204">
        <f>TE_Raw!D90</f>
        <v>76.900000000000006</v>
      </c>
      <c r="N92" s="207">
        <f>TE_Raw!E90</f>
        <v>0.7</v>
      </c>
      <c r="O92" s="204">
        <f>TE_Raw!F90</f>
        <v>0</v>
      </c>
      <c r="P92" s="11">
        <f>(J92*TERushYd)+(K92*TERushTD)+(L92*TERec)+(M92*TERecYd)+(N92*TERecTD)+(O92*TEFuml)+(I92*TERushAtt)</f>
        <v>15.690000000000001</v>
      </c>
      <c r="Q92" t="str">
        <f ca="1">IF(A92&lt;=TEStarters,"Starter",IF(A92&gt;TEStarters+TEBench,"Undrafted","Bench"))</f>
        <v>Undrafted</v>
      </c>
      <c r="R92">
        <f ca="1">IFERROR(MAX(P92-LARGE(TESheetCount,TEStarters),0),0)</f>
        <v>0</v>
      </c>
      <c r="S92">
        <f ca="1">IFERROR(IF(AllowNegative="Yes",P92-LARGE(TESheetCount,TECount),MAX(P92-LARGE(TESheetCount,TECount),0)),0)</f>
        <v>-86.970000000000013</v>
      </c>
      <c r="T92">
        <f ca="1">IF(TEStarters&gt;0,(S92-R92)*BenchPF+R92*StarterPF,0)</f>
        <v>-15.7691309936127</v>
      </c>
      <c r="U92">
        <f ca="1">T92*Auction!$A$2</f>
        <v>-15.7691309936127</v>
      </c>
      <c r="V92" s="6" t="str">
        <f>IF(OR(INDEX(Auction!$H$13:$H$656,MATCH(B92,Auction!$A$13:$A$656,0))&gt;0,IFERROR(INDEX(CheatSheet!$D$37:$D$64,MATCH(B92,CheatSheet!$A$37:$A$64,0)),"")&lt;&gt;""),"Yes","No")</f>
        <v>No</v>
      </c>
      <c r="W92" s="179"/>
      <c r="Y92" s="78">
        <f t="shared" ca="1" si="5"/>
        <v>1</v>
      </c>
      <c r="Z92">
        <f t="shared" ca="1" si="7"/>
        <v>-43.485000000000007</v>
      </c>
      <c r="AA92" s="116" t="str">
        <f t="shared" ca="1" si="6"/>
        <v>TE12</v>
      </c>
      <c r="AB92">
        <f ca="1">Z92*LeagueInfo!$H$5</f>
        <v>-16.012409419082601</v>
      </c>
    </row>
    <row r="93" spans="1:28" x14ac:dyDescent="0.25">
      <c r="A93">
        <f>RANK(P93,P$3:P$115)</f>
        <v>91</v>
      </c>
      <c r="B93" t="str">
        <f>TE_Raw!A96</f>
        <v>Kevin Rader</v>
      </c>
      <c r="C93" t="s">
        <v>43</v>
      </c>
      <c r="D93" t="str">
        <f>_xlfn.IFNA(INDEX(BYEs!$E$2:$E$411,MATCH(B93,BYEs!$D$2:$D$411,0)),"N/A")</f>
        <v>N/A</v>
      </c>
      <c r="E93">
        <f>INDEX(BYEs!$B$2:$B$34,MATCH(F93,BYEs!$A$2:$A$34,0))</f>
        <v>6</v>
      </c>
      <c r="F93" t="str">
        <f>TE_Raw!B96</f>
        <v>TEN</v>
      </c>
      <c r="G93" s="202">
        <v>0</v>
      </c>
      <c r="H93" s="203">
        <v>0</v>
      </c>
      <c r="I93" s="204">
        <v>0</v>
      </c>
      <c r="J93" s="204">
        <v>0</v>
      </c>
      <c r="K93" s="204">
        <v>0</v>
      </c>
      <c r="L93" s="206">
        <f>TE_Raw!C96</f>
        <v>8.6</v>
      </c>
      <c r="M93" s="204">
        <f>TE_Raw!D96</f>
        <v>69.2</v>
      </c>
      <c r="N93" s="207">
        <f>TE_Raw!E96</f>
        <v>0.7</v>
      </c>
      <c r="O93" s="204">
        <f>TE_Raw!F96</f>
        <v>0</v>
      </c>
      <c r="P93" s="11">
        <f>(J93*TERushYd)+(K93*TERushTD)+(L93*TERec)+(M93*TERecYd)+(N93*TERecTD)+(O93*TEFuml)+(I93*TERushAtt)</f>
        <v>15.42</v>
      </c>
      <c r="Q93" t="str">
        <f ca="1">IF(A93&lt;=TEStarters,"Starter",IF(A93&gt;TEStarters+TEBench,"Undrafted","Bench"))</f>
        <v>Undrafted</v>
      </c>
      <c r="R93">
        <f ca="1">IFERROR(MAX(P93-LARGE(TESheetCount,TEStarters),0),0)</f>
        <v>0</v>
      </c>
      <c r="S93">
        <f ca="1">IFERROR(IF(AllowNegative="Yes",P93-LARGE(TESheetCount,TECount),MAX(P93-LARGE(TESheetCount,TECount),0)),0)</f>
        <v>-87.240000000000009</v>
      </c>
      <c r="T93">
        <f ca="1">IF(TEStarters&gt;0,(S93-R93)*BenchPF+R93*StarterPF,0)</f>
        <v>-15.818086557235505</v>
      </c>
      <c r="U93">
        <f ca="1">T93*Auction!$A$2</f>
        <v>-15.818086557235505</v>
      </c>
      <c r="V93" s="6" t="str">
        <f>IF(OR(INDEX(Auction!$H$13:$H$656,MATCH(B93,Auction!$A$13:$A$656,0))&gt;0,IFERROR(INDEX(CheatSheet!$D$37:$D$64,MATCH(B93,CheatSheet!$A$37:$A$64,0)),"")&lt;&gt;""),"Yes","No")</f>
        <v>No</v>
      </c>
      <c r="W93" s="179"/>
      <c r="Y93" s="78">
        <f t="shared" ca="1" si="5"/>
        <v>1</v>
      </c>
      <c r="Z93">
        <f t="shared" ca="1" si="7"/>
        <v>-43.620000000000005</v>
      </c>
      <c r="AA93" s="116" t="str">
        <f t="shared" ca="1" si="6"/>
        <v>TE12</v>
      </c>
      <c r="AB93">
        <f ca="1">Z93*LeagueInfo!$H$5</f>
        <v>-16.062120245150812</v>
      </c>
    </row>
    <row r="94" spans="1:28" x14ac:dyDescent="0.25">
      <c r="A94">
        <f>RANK(P94,P$3:P$115)</f>
        <v>92</v>
      </c>
      <c r="B94" t="str">
        <f>TE_Raw!A94</f>
        <v>Tre' McKitty</v>
      </c>
      <c r="C94" t="s">
        <v>43</v>
      </c>
      <c r="D94" t="str">
        <f>_xlfn.IFNA(INDEX(BYEs!$E$2:$E$411,MATCH(B94,BYEs!$D$2:$D$411,0)),"N/A")</f>
        <v>N/A</v>
      </c>
      <c r="E94">
        <f>INDEX(BYEs!$B$2:$B$34,MATCH(F94,BYEs!$A$2:$A$34,0))</f>
        <v>8</v>
      </c>
      <c r="F94" t="str">
        <f>TE_Raw!B94</f>
        <v>LAC</v>
      </c>
      <c r="G94" s="202">
        <v>0</v>
      </c>
      <c r="H94" s="203">
        <v>0</v>
      </c>
      <c r="I94" s="204">
        <v>0</v>
      </c>
      <c r="J94" s="204">
        <v>0</v>
      </c>
      <c r="K94" s="204">
        <v>0</v>
      </c>
      <c r="L94" s="206">
        <f>TE_Raw!C94</f>
        <v>8.4</v>
      </c>
      <c r="M94" s="204">
        <f>TE_Raw!D94</f>
        <v>80.599999999999994</v>
      </c>
      <c r="N94" s="207">
        <f>TE_Raw!E94</f>
        <v>0.5</v>
      </c>
      <c r="O94" s="204">
        <f>TE_Raw!F94</f>
        <v>0</v>
      </c>
      <c r="P94" s="11">
        <f>(J94*TERushYd)+(K94*TERushTD)+(L94*TERec)+(M94*TERecYd)+(N94*TERecTD)+(O94*TEFuml)+(I94*TERushAtt)</f>
        <v>15.260000000000002</v>
      </c>
      <c r="Q94" t="str">
        <f ca="1">IF(A94&lt;=TEStarters,"Starter",IF(A94&gt;TEStarters+TEBench,"Undrafted","Bench"))</f>
        <v>Undrafted</v>
      </c>
      <c r="R94">
        <f ca="1">IFERROR(MAX(P94-LARGE(TESheetCount,TEStarters),0),0)</f>
        <v>0</v>
      </c>
      <c r="S94">
        <f ca="1">IFERROR(IF(AllowNegative="Yes",P94-LARGE(TESheetCount,TECount),MAX(P94-LARGE(TESheetCount,TECount),0)),0)</f>
        <v>-87.4</v>
      </c>
      <c r="T94">
        <f ca="1">IF(TEStarters&gt;0,(S94-R94)*BenchPF+R94*StarterPF,0)</f>
        <v>-15.847097261604574</v>
      </c>
      <c r="U94">
        <f ca="1">T94*Auction!$A$2</f>
        <v>-15.847097261604574</v>
      </c>
      <c r="V94" s="6" t="str">
        <f>IF(OR(INDEX(Auction!$H$13:$H$656,MATCH(B94,Auction!$A$13:$A$656,0))&gt;0,IFERROR(INDEX(CheatSheet!$D$37:$D$64,MATCH(B94,CheatSheet!$A$37:$A$64,0)),"")&lt;&gt;""),"Yes","No")</f>
        <v>No</v>
      </c>
      <c r="W94" s="179"/>
      <c r="Y94" s="78">
        <f t="shared" ca="1" si="5"/>
        <v>1</v>
      </c>
      <c r="Z94">
        <f t="shared" ca="1" si="7"/>
        <v>-43.7</v>
      </c>
      <c r="AA94" s="116" t="str">
        <f t="shared" ca="1" si="6"/>
        <v>TE12</v>
      </c>
      <c r="AB94">
        <f ca="1">Z94*LeagueInfo!$H$5</f>
        <v>-16.091578512450493</v>
      </c>
    </row>
    <row r="95" spans="1:28" x14ac:dyDescent="0.25">
      <c r="A95">
        <f>RANK(P95,P$3:P$115)</f>
        <v>93</v>
      </c>
      <c r="B95" t="str">
        <f>TE_Raw!A91</f>
        <v>Nick Vannett</v>
      </c>
      <c r="C95" t="s">
        <v>43</v>
      </c>
      <c r="D95">
        <f>_xlfn.IFNA(INDEX(BYEs!$E$2:$E$411,MATCH(B95,BYEs!$D$2:$D$411,0)),"N/A")</f>
        <v>28</v>
      </c>
      <c r="E95">
        <f>INDEX(BYEs!$B$2:$B$34,MATCH(F95,BYEs!$A$2:$A$34,0))</f>
        <v>14</v>
      </c>
      <c r="F95" t="str">
        <f>TE_Raw!B91</f>
        <v>NO</v>
      </c>
      <c r="G95" s="202">
        <v>0</v>
      </c>
      <c r="H95" s="203">
        <v>0</v>
      </c>
      <c r="I95" s="204">
        <v>0</v>
      </c>
      <c r="J95" s="204">
        <v>0</v>
      </c>
      <c r="K95" s="204">
        <v>0</v>
      </c>
      <c r="L95" s="206">
        <f>TE_Raw!C91</f>
        <v>6.9</v>
      </c>
      <c r="M95" s="204">
        <f>TE_Raw!D91</f>
        <v>76</v>
      </c>
      <c r="N95" s="207">
        <f>TE_Raw!E91</f>
        <v>0.7</v>
      </c>
      <c r="O95" s="204">
        <f>TE_Raw!F91</f>
        <v>0</v>
      </c>
      <c r="P95" s="11">
        <f>(J95*TERushYd)+(K95*TERushTD)+(L95*TERec)+(M95*TERecYd)+(N95*TERecTD)+(O95*TEFuml)+(I95*TERushAtt)</f>
        <v>15.25</v>
      </c>
      <c r="Q95" t="str">
        <f ca="1">IF(A95&lt;=TEStarters,"Starter",IF(A95&gt;TEStarters+TEBench,"Undrafted","Bench"))</f>
        <v>Undrafted</v>
      </c>
      <c r="R95">
        <f ca="1">IFERROR(MAX(P95-LARGE(TESheetCount,TEStarters),0),0)</f>
        <v>0</v>
      </c>
      <c r="S95">
        <f ca="1">IFERROR(IF(AllowNegative="Yes",P95-LARGE(TESheetCount,TECount),MAX(P95-LARGE(TESheetCount,TECount),0)),0)</f>
        <v>-87.410000000000011</v>
      </c>
      <c r="T95">
        <f ca="1">IF(TEStarters&gt;0,(S95-R95)*BenchPF+R95*StarterPF,0)</f>
        <v>-15.848910430627642</v>
      </c>
      <c r="U95">
        <f ca="1">T95*Auction!$A$2</f>
        <v>-15.848910430627642</v>
      </c>
      <c r="V95" s="6" t="str">
        <f>IF(OR(INDEX(Auction!$H$13:$H$656,MATCH(B95,Auction!$A$13:$A$656,0))&gt;0,IFERROR(INDEX(CheatSheet!$D$37:$D$64,MATCH(B95,CheatSheet!$A$37:$A$64,0)),"")&lt;&gt;""),"Yes","No")</f>
        <v>No</v>
      </c>
      <c r="W95" s="179"/>
      <c r="Y95" s="78">
        <f t="shared" ca="1" si="5"/>
        <v>1</v>
      </c>
      <c r="Z95">
        <f t="shared" ca="1" si="7"/>
        <v>-43.705000000000005</v>
      </c>
      <c r="AA95" s="116" t="str">
        <f t="shared" ca="1" si="6"/>
        <v>TE12</v>
      </c>
      <c r="AB95">
        <f ca="1">Z95*LeagueInfo!$H$5</f>
        <v>-16.093419654156722</v>
      </c>
    </row>
    <row r="96" spans="1:28" x14ac:dyDescent="0.25">
      <c r="A96">
        <f>RANK(P96,P$3:P$115)</f>
        <v>94</v>
      </c>
      <c r="B96" t="str">
        <f>TE_Raw!A93</f>
        <v>Grant Calcaterra</v>
      </c>
      <c r="C96" t="s">
        <v>43</v>
      </c>
      <c r="D96" t="str">
        <f>_xlfn.IFNA(INDEX(BYEs!$E$2:$E$411,MATCH(B96,BYEs!$D$2:$D$411,0)),"N/A")</f>
        <v>N/A</v>
      </c>
      <c r="E96">
        <f>INDEX(BYEs!$B$2:$B$34,MATCH(F96,BYEs!$A$2:$A$34,0))</f>
        <v>7</v>
      </c>
      <c r="F96" t="str">
        <f>TE_Raw!B93</f>
        <v>PHI</v>
      </c>
      <c r="G96" s="202">
        <v>0</v>
      </c>
      <c r="H96" s="203">
        <v>0</v>
      </c>
      <c r="I96" s="204">
        <v>0</v>
      </c>
      <c r="J96" s="204">
        <v>0</v>
      </c>
      <c r="K96" s="204">
        <v>0</v>
      </c>
      <c r="L96" s="206">
        <f>TE_Raw!C93</f>
        <v>6.9</v>
      </c>
      <c r="M96" s="204">
        <f>TE_Raw!D93</f>
        <v>70.400000000000006</v>
      </c>
      <c r="N96" s="207">
        <f>TE_Raw!E93</f>
        <v>0.7</v>
      </c>
      <c r="O96" s="204">
        <f>TE_Raw!F93</f>
        <v>0</v>
      </c>
      <c r="P96" s="11">
        <f>(J96*TERushYd)+(K96*TERushTD)+(L96*TERec)+(M96*TERecYd)+(N96*TERecTD)+(O96*TEFuml)+(I96*TERushAtt)</f>
        <v>14.690000000000001</v>
      </c>
      <c r="Q96" t="str">
        <f ca="1">IF(A96&lt;=TEStarters,"Starter",IF(A96&gt;TEStarters+TEBench,"Undrafted","Bench"))</f>
        <v>Undrafted</v>
      </c>
      <c r="R96">
        <f ca="1">IFERROR(MAX(P96-LARGE(TESheetCount,TEStarters),0),0)</f>
        <v>0</v>
      </c>
      <c r="S96">
        <f ca="1">IFERROR(IF(AllowNegative="Yes",P96-LARGE(TESheetCount,TECount),MAX(P96-LARGE(TESheetCount,TECount),0)),0)</f>
        <v>-87.970000000000013</v>
      </c>
      <c r="T96">
        <f ca="1">IF(TEStarters&gt;0,(S96-R96)*BenchPF+R96*StarterPF,0)</f>
        <v>-15.950447895919389</v>
      </c>
      <c r="U96">
        <f ca="1">T96*Auction!$A$2</f>
        <v>-15.950447895919389</v>
      </c>
      <c r="V96" s="6" t="str">
        <f>IF(OR(INDEX(Auction!$H$13:$H$656,MATCH(B96,Auction!$A$13:$A$656,0))&gt;0,IFERROR(INDEX(CheatSheet!$D$37:$D$64,MATCH(B96,CheatSheet!$A$37:$A$64,0)),"")&lt;&gt;""),"Yes","No")</f>
        <v>No</v>
      </c>
      <c r="W96" s="179"/>
      <c r="Y96" s="78">
        <f t="shared" ca="1" si="5"/>
        <v>1</v>
      </c>
      <c r="Z96">
        <f t="shared" ca="1" si="7"/>
        <v>-43.985000000000007</v>
      </c>
      <c r="AA96" s="116" t="str">
        <f t="shared" ca="1" si="6"/>
        <v>TE12</v>
      </c>
      <c r="AB96">
        <f ca="1">Z96*LeagueInfo!$H$5</f>
        <v>-16.196523589705606</v>
      </c>
    </row>
    <row r="97" spans="1:28" x14ac:dyDescent="0.25">
      <c r="A97">
        <f>RANK(P97,P$3:P$115)</f>
        <v>95</v>
      </c>
      <c r="B97" t="str">
        <f>TE_Raw!A95</f>
        <v>Tyree Jackson</v>
      </c>
      <c r="C97" t="s">
        <v>43</v>
      </c>
      <c r="D97" t="str">
        <f>_xlfn.IFNA(INDEX(BYEs!$E$2:$E$411,MATCH(B97,BYEs!$D$2:$D$411,0)),"N/A")</f>
        <v>N/A</v>
      </c>
      <c r="E97">
        <f>INDEX(BYEs!$B$2:$B$34,MATCH(F97,BYEs!$A$2:$A$34,0))</f>
        <v>7</v>
      </c>
      <c r="F97" t="str">
        <f>TE_Raw!B95</f>
        <v>PHI</v>
      </c>
      <c r="G97" s="202">
        <v>0</v>
      </c>
      <c r="H97" s="203">
        <v>0</v>
      </c>
      <c r="I97" s="204">
        <v>0</v>
      </c>
      <c r="J97" s="204">
        <v>0</v>
      </c>
      <c r="K97" s="204">
        <v>0</v>
      </c>
      <c r="L97" s="206">
        <f>TE_Raw!C95</f>
        <v>7.2</v>
      </c>
      <c r="M97" s="204">
        <f>TE_Raw!D95</f>
        <v>69.3</v>
      </c>
      <c r="N97" s="207">
        <f>TE_Raw!E95</f>
        <v>0.7</v>
      </c>
      <c r="O97" s="204">
        <f>TE_Raw!F95</f>
        <v>0.1</v>
      </c>
      <c r="P97" s="11">
        <f>(J97*TERushYd)+(K97*TERushTD)+(L97*TERec)+(M97*TERecYd)+(N97*TERecTD)+(O97*TEFuml)+(I97*TERushAtt)</f>
        <v>14.53</v>
      </c>
      <c r="Q97" t="str">
        <f ca="1">IF(A97&lt;=TEStarters,"Starter",IF(A97&gt;TEStarters+TEBench,"Undrafted","Bench"))</f>
        <v>Undrafted</v>
      </c>
      <c r="R97">
        <f ca="1">IFERROR(MAX(P97-LARGE(TESheetCount,TEStarters),0),0)</f>
        <v>0</v>
      </c>
      <c r="S97">
        <f ca="1">IFERROR(IF(AllowNegative="Yes",P97-LARGE(TESheetCount,TECount),MAX(P97-LARGE(TESheetCount,TECount),0)),0)</f>
        <v>-88.13000000000001</v>
      </c>
      <c r="T97">
        <f ca="1">IF(TEStarters&gt;0,(S97-R97)*BenchPF+R97*StarterPF,0)</f>
        <v>-15.979458600288458</v>
      </c>
      <c r="U97">
        <f ca="1">T97*Auction!$A$2</f>
        <v>-15.979458600288458</v>
      </c>
      <c r="V97" s="6" t="str">
        <f>IF(OR(INDEX(Auction!$H$13:$H$656,MATCH(B97,Auction!$A$13:$A$656,0))&gt;0,IFERROR(INDEX(CheatSheet!$D$37:$D$64,MATCH(B97,CheatSheet!$A$37:$A$64,0)),"")&lt;&gt;""),"Yes","No")</f>
        <v>No</v>
      </c>
      <c r="W97" s="179"/>
      <c r="Y97" s="78">
        <f t="shared" ca="1" si="5"/>
        <v>1</v>
      </c>
      <c r="Z97">
        <f t="shared" ca="1" si="7"/>
        <v>-44.065000000000005</v>
      </c>
      <c r="AA97" s="116" t="str">
        <f t="shared" ca="1" si="6"/>
        <v>TE12</v>
      </c>
      <c r="AB97">
        <f ca="1">Z97*LeagueInfo!$H$5</f>
        <v>-16.225981857005287</v>
      </c>
    </row>
    <row r="98" spans="1:28" x14ac:dyDescent="0.25">
      <c r="A98">
        <f>RANK(P98,P$3:P$115)</f>
        <v>96</v>
      </c>
      <c r="B98" t="str">
        <f>TE_Raw!A97</f>
        <v>Chigoziem Okonkwo</v>
      </c>
      <c r="C98" t="s">
        <v>43</v>
      </c>
      <c r="D98" t="str">
        <f>_xlfn.IFNA(INDEX(BYEs!$E$2:$E$411,MATCH(B98,BYEs!$D$2:$D$411,0)),"N/A")</f>
        <v>N/A</v>
      </c>
      <c r="E98">
        <f>INDEX(BYEs!$B$2:$B$34,MATCH(F98,BYEs!$A$2:$A$34,0))</f>
        <v>6</v>
      </c>
      <c r="F98" t="str">
        <f>TE_Raw!B97</f>
        <v>TEN</v>
      </c>
      <c r="G98" s="202">
        <v>0</v>
      </c>
      <c r="H98" s="203">
        <v>0</v>
      </c>
      <c r="I98" s="204">
        <v>0</v>
      </c>
      <c r="J98" s="204">
        <v>0</v>
      </c>
      <c r="K98" s="204">
        <v>0</v>
      </c>
      <c r="L98" s="206">
        <f>TE_Raw!C97</f>
        <v>7</v>
      </c>
      <c r="M98" s="204">
        <f>TE_Raw!D97</f>
        <v>74</v>
      </c>
      <c r="N98" s="207">
        <f>TE_Raw!E97</f>
        <v>0.6</v>
      </c>
      <c r="O98" s="204">
        <f>TE_Raw!F97</f>
        <v>0</v>
      </c>
      <c r="P98" s="11">
        <f>(J98*TERushYd)+(K98*TERushTD)+(L98*TERec)+(M98*TERecYd)+(N98*TERecTD)+(O98*TEFuml)+(I98*TERushAtt)</f>
        <v>14.5</v>
      </c>
      <c r="Q98" t="str">
        <f ca="1">IF(A98&lt;=TEStarters,"Starter",IF(A98&gt;TEStarters+TEBench,"Undrafted","Bench"))</f>
        <v>Undrafted</v>
      </c>
      <c r="R98">
        <f ca="1">IFERROR(MAX(P98-LARGE(TESheetCount,TEStarters),0),0)</f>
        <v>0</v>
      </c>
      <c r="S98">
        <f ca="1">IFERROR(IF(AllowNegative="Yes",P98-LARGE(TESheetCount,TECount),MAX(P98-LARGE(TESheetCount,TECount),0)),0)</f>
        <v>-88.160000000000011</v>
      </c>
      <c r="T98">
        <f ca="1">IF(TEStarters&gt;0,(S98-R98)*BenchPF+R98*StarterPF,0)</f>
        <v>-15.984898107357658</v>
      </c>
      <c r="U98">
        <f ca="1">T98*Auction!$A$2</f>
        <v>-15.984898107357658</v>
      </c>
      <c r="V98" s="6" t="str">
        <f>IF(OR(INDEX(Auction!$H$13:$H$656,MATCH(B98,Auction!$A$13:$A$656,0))&gt;0,IFERROR(INDEX(CheatSheet!$D$37:$D$64,MATCH(B98,CheatSheet!$A$37:$A$64,0)),"")&lt;&gt;""),"Yes","No")</f>
        <v>No</v>
      </c>
      <c r="W98" s="179"/>
      <c r="Y98" s="78">
        <f t="shared" ca="1" si="5"/>
        <v>1</v>
      </c>
      <c r="Z98">
        <f t="shared" ca="1" si="7"/>
        <v>-44.080000000000005</v>
      </c>
      <c r="AA98" s="116" t="str">
        <f t="shared" ca="1" si="6"/>
        <v>TE12</v>
      </c>
      <c r="AB98">
        <f ca="1">Z98*LeagueInfo!$H$5</f>
        <v>-16.231505282123976</v>
      </c>
    </row>
    <row r="99" spans="1:28" x14ac:dyDescent="0.25">
      <c r="A99">
        <f>RANK(P99,P$3:P$115)</f>
        <v>97</v>
      </c>
      <c r="B99" t="str">
        <f>TE_Raw!A99</f>
        <v>MyCole Pruitt</v>
      </c>
      <c r="C99" t="s">
        <v>43</v>
      </c>
      <c r="D99" t="str">
        <f>_xlfn.IFNA(INDEX(BYEs!$E$2:$E$411,MATCH(B99,BYEs!$D$2:$D$411,0)),"N/A")</f>
        <v>N/A</v>
      </c>
      <c r="E99">
        <f>INDEX(BYEs!$B$2:$B$34,MATCH(F99,BYEs!$A$2:$A$34,0))</f>
        <v>14</v>
      </c>
      <c r="F99" t="str">
        <f>TE_Raw!B99</f>
        <v>ATL</v>
      </c>
      <c r="G99" s="202">
        <v>0</v>
      </c>
      <c r="H99" s="203">
        <v>0</v>
      </c>
      <c r="I99" s="204">
        <v>0</v>
      </c>
      <c r="J99" s="204">
        <v>0</v>
      </c>
      <c r="K99" s="204">
        <v>0</v>
      </c>
      <c r="L99" s="206">
        <f>TE_Raw!C99</f>
        <v>7.2</v>
      </c>
      <c r="M99" s="204">
        <f>TE_Raw!D99</f>
        <v>69.2</v>
      </c>
      <c r="N99" s="207">
        <f>TE_Raw!E99</f>
        <v>0.5</v>
      </c>
      <c r="O99" s="204">
        <f>TE_Raw!F99</f>
        <v>0</v>
      </c>
      <c r="P99" s="11">
        <f>(J99*TERushYd)+(K99*TERushTD)+(L99*TERec)+(M99*TERecYd)+(N99*TERecTD)+(O99*TEFuml)+(I99*TERushAtt)</f>
        <v>13.520000000000001</v>
      </c>
      <c r="Q99" t="str">
        <f ca="1">IF(A99&lt;=TEStarters,"Starter",IF(A99&gt;TEStarters+TEBench,"Undrafted","Bench"))</f>
        <v>Undrafted</v>
      </c>
      <c r="R99">
        <f ca="1">IFERROR(MAX(P99-LARGE(TESheetCount,TEStarters),0),0)</f>
        <v>0</v>
      </c>
      <c r="S99">
        <f ca="1">IFERROR(IF(AllowNegative="Yes",P99-LARGE(TESheetCount,TECount),MAX(P99-LARGE(TESheetCount,TECount),0)),0)</f>
        <v>-89.140000000000015</v>
      </c>
      <c r="T99">
        <f ca="1">IF(TEStarters&gt;0,(S99-R99)*BenchPF+R99*StarterPF,0)</f>
        <v>-16.162588671618213</v>
      </c>
      <c r="U99">
        <f ca="1">T99*Auction!$A$2</f>
        <v>-16.162588671618213</v>
      </c>
      <c r="V99" s="6" t="str">
        <f>IF(OR(INDEX(Auction!$H$13:$H$656,MATCH(B99,Auction!$A$13:$A$656,0))&gt;0,IFERROR(INDEX(CheatSheet!$D$37:$D$64,MATCH(B99,CheatSheet!$A$37:$A$64,0)),"")&lt;&gt;""),"Yes","No")</f>
        <v>No</v>
      </c>
      <c r="W99" s="179"/>
      <c r="Y99" s="78">
        <f t="shared" ref="Y99:Y115" ca="1" si="8">IFERROR(SUMIFS($Z$3:$Z$113,$Z$3:$Z$113,"&gt;0",$V$3:$V$113,"No")/SUMIF($Z$3:$Z$113,"&gt;0"),0)</f>
        <v>1</v>
      </c>
      <c r="Z99">
        <f t="shared" ca="1" si="7"/>
        <v>-44.570000000000007</v>
      </c>
      <c r="AA99" s="116" t="str">
        <f t="shared" ref="AA99:AA115" ca="1" si="9">CONCATENATE("TE",ROUND((LARGE($Z$3:$Z$113,1)-$Z99)/(STDEVP($Z$3:$Z$113)/2)+1,0))</f>
        <v>TE12</v>
      </c>
      <c r="AB99">
        <f ca="1">Z99*LeagueInfo!$H$5</f>
        <v>-16.411937169334522</v>
      </c>
    </row>
    <row r="100" spans="1:28" x14ac:dyDescent="0.25">
      <c r="A100">
        <f>RANK(P100,P$3:P$115)</f>
        <v>98</v>
      </c>
      <c r="B100" t="str">
        <f>TE_Raw!A100</f>
        <v>James Mitchell</v>
      </c>
      <c r="C100" t="s">
        <v>43</v>
      </c>
      <c r="D100" t="str">
        <f>_xlfn.IFNA(INDEX(BYEs!$E$2:$E$411,MATCH(B100,BYEs!$D$2:$D$411,0)),"N/A")</f>
        <v>N/A</v>
      </c>
      <c r="E100">
        <f>INDEX(BYEs!$B$2:$B$34,MATCH(F100,BYEs!$A$2:$A$34,0))</f>
        <v>6</v>
      </c>
      <c r="F100" t="str">
        <f>TE_Raw!B100</f>
        <v>DET</v>
      </c>
      <c r="G100" s="202">
        <v>0</v>
      </c>
      <c r="H100" s="203">
        <v>0</v>
      </c>
      <c r="I100" s="204">
        <v>0</v>
      </c>
      <c r="J100" s="204">
        <v>0</v>
      </c>
      <c r="K100" s="204">
        <v>0</v>
      </c>
      <c r="L100" s="206">
        <f>TE_Raw!C100</f>
        <v>6.9</v>
      </c>
      <c r="M100" s="204">
        <f>TE_Raw!D100</f>
        <v>62.2</v>
      </c>
      <c r="N100" s="207">
        <f>TE_Raw!E100</f>
        <v>0.6</v>
      </c>
      <c r="O100" s="204">
        <f>TE_Raw!F100</f>
        <v>0</v>
      </c>
      <c r="P100" s="11">
        <f>(J100*TERushYd)+(K100*TERushTD)+(L100*TERec)+(M100*TERecYd)+(N100*TERecTD)+(O100*TEFuml)+(I100*TERushAtt)</f>
        <v>13.270000000000001</v>
      </c>
      <c r="Q100" t="str">
        <f ca="1">IF(A100&lt;=TEStarters,"Starter",IF(A100&gt;TEStarters+TEBench,"Undrafted","Bench"))</f>
        <v>Undrafted</v>
      </c>
      <c r="R100">
        <f ca="1">IFERROR(MAX(P100-LARGE(TESheetCount,TEStarters),0),0)</f>
        <v>0</v>
      </c>
      <c r="S100">
        <f ca="1">IFERROR(IF(AllowNegative="Yes",P100-LARGE(TESheetCount,TECount),MAX(P100-LARGE(TESheetCount,TECount),0)),0)</f>
        <v>-89.390000000000015</v>
      </c>
      <c r="T100">
        <f ca="1">IF(TEStarters&gt;0,(S100-R100)*BenchPF+R100*StarterPF,0)</f>
        <v>-16.207917897194886</v>
      </c>
      <c r="U100">
        <f ca="1">T100*Auction!$A$2</f>
        <v>-16.207917897194886</v>
      </c>
      <c r="V100" s="6" t="str">
        <f>IF(OR(INDEX(Auction!$H$13:$H$656,MATCH(B100,Auction!$A$13:$A$656,0))&gt;0,IFERROR(INDEX(CheatSheet!$D$37:$D$64,MATCH(B100,CheatSheet!$A$37:$A$64,0)),"")&lt;&gt;""),"Yes","No")</f>
        <v>No</v>
      </c>
      <c r="W100" s="179"/>
      <c r="Y100" s="78">
        <f t="shared" ca="1" si="8"/>
        <v>1</v>
      </c>
      <c r="Z100">
        <f t="shared" ca="1" si="7"/>
        <v>-44.695000000000007</v>
      </c>
      <c r="AA100" s="116" t="str">
        <f t="shared" ca="1" si="9"/>
        <v>TE12</v>
      </c>
      <c r="AB100">
        <f ca="1">Z100*LeagueInfo!$H$5</f>
        <v>-16.457965711990273</v>
      </c>
    </row>
    <row r="101" spans="1:28" x14ac:dyDescent="0.25">
      <c r="A101">
        <f>RANK(P101,P$3:P$115)</f>
        <v>99</v>
      </c>
      <c r="B101" t="str">
        <f>TE_Raw!A104</f>
        <v>Jack Stoll</v>
      </c>
      <c r="C101" t="s">
        <v>43</v>
      </c>
      <c r="D101" t="str">
        <f>_xlfn.IFNA(INDEX(BYEs!$E$2:$E$411,MATCH(B101,BYEs!$D$2:$D$411,0)),"N/A")</f>
        <v>N/A</v>
      </c>
      <c r="E101">
        <f>INDEX(BYEs!$B$2:$B$34,MATCH(F101,BYEs!$A$2:$A$34,0))</f>
        <v>7</v>
      </c>
      <c r="F101" t="str">
        <f>TE_Raw!B104</f>
        <v>PHI</v>
      </c>
      <c r="G101" s="202">
        <v>0</v>
      </c>
      <c r="H101" s="203">
        <v>0</v>
      </c>
      <c r="I101" s="204">
        <v>0</v>
      </c>
      <c r="J101" s="204">
        <v>0</v>
      </c>
      <c r="K101" s="204">
        <v>0</v>
      </c>
      <c r="L101" s="206">
        <f>TE_Raw!C104</f>
        <v>7.1</v>
      </c>
      <c r="M101" s="204">
        <f>TE_Raw!D104</f>
        <v>73.7</v>
      </c>
      <c r="N101" s="207">
        <f>TE_Raw!E104</f>
        <v>0.3</v>
      </c>
      <c r="O101" s="204">
        <f>TE_Raw!F104</f>
        <v>0</v>
      </c>
      <c r="P101" s="11">
        <f>(J101*TERushYd)+(K101*TERushTD)+(L101*TERec)+(M101*TERecYd)+(N101*TERecTD)+(O101*TEFuml)+(I101*TERushAtt)</f>
        <v>12.720000000000002</v>
      </c>
      <c r="Q101" t="str">
        <f ca="1">IF(A101&lt;=TEStarters,"Starter",IF(A101&gt;TEStarters+TEBench,"Undrafted","Bench"))</f>
        <v>Undrafted</v>
      </c>
      <c r="R101">
        <f ca="1">IFERROR(MAX(P101-LARGE(TESheetCount,TEStarters),0),0)</f>
        <v>0</v>
      </c>
      <c r="S101">
        <f ca="1">IFERROR(IF(AllowNegative="Yes",P101-LARGE(TESheetCount,TECount),MAX(P101-LARGE(TESheetCount,TECount),0)),0)</f>
        <v>-89.940000000000012</v>
      </c>
      <c r="T101">
        <f ca="1">IF(TEStarters&gt;0,(S101-R101)*BenchPF+R101*StarterPF,0)</f>
        <v>-16.307642193463565</v>
      </c>
      <c r="U101">
        <f ca="1">T101*Auction!$A$2</f>
        <v>-16.307642193463565</v>
      </c>
      <c r="V101" s="6" t="str">
        <f>IF(OR(INDEX(Auction!$H$13:$H$656,MATCH(B101,Auction!$A$13:$A$656,0))&gt;0,IFERROR(INDEX(CheatSheet!$D$37:$D$64,MATCH(B101,CheatSheet!$A$37:$A$64,0)),"")&lt;&gt;""),"Yes","No")</f>
        <v>No</v>
      </c>
      <c r="W101" s="179"/>
      <c r="Y101" s="78">
        <f t="shared" ca="1" si="8"/>
        <v>1</v>
      </c>
      <c r="Z101">
        <f t="shared" ca="1" si="7"/>
        <v>-44.970000000000006</v>
      </c>
      <c r="AA101" s="116" t="str">
        <f t="shared" ca="1" si="9"/>
        <v>TE12</v>
      </c>
      <c r="AB101">
        <f ca="1">Z101*LeagueInfo!$H$5</f>
        <v>-16.559228505832923</v>
      </c>
    </row>
    <row r="102" spans="1:28" x14ac:dyDescent="0.25">
      <c r="A102">
        <f>RANK(P102,P$3:P$115)</f>
        <v>100</v>
      </c>
      <c r="B102" t="str">
        <f>TE_Raw!A101</f>
        <v>Armani Rogers</v>
      </c>
      <c r="C102" t="s">
        <v>43</v>
      </c>
      <c r="D102" t="str">
        <f>_xlfn.IFNA(INDEX(BYEs!$E$2:$E$411,MATCH(B102,BYEs!$D$2:$D$411,0)),"N/A")</f>
        <v>N/A</v>
      </c>
      <c r="E102">
        <f>INDEX(BYEs!$B$2:$B$34,MATCH(F102,BYEs!$A$2:$A$34,0))</f>
        <v>14</v>
      </c>
      <c r="F102" t="str">
        <f>TE_Raw!B101</f>
        <v>WAS</v>
      </c>
      <c r="G102" s="202">
        <v>0</v>
      </c>
      <c r="H102" s="203">
        <v>0</v>
      </c>
      <c r="I102" s="204">
        <v>0</v>
      </c>
      <c r="J102" s="204">
        <v>0</v>
      </c>
      <c r="K102" s="204">
        <v>0</v>
      </c>
      <c r="L102" s="206">
        <f>TE_Raw!C101</f>
        <v>6.2</v>
      </c>
      <c r="M102" s="204">
        <f>TE_Raw!D101</f>
        <v>65.099999999999994</v>
      </c>
      <c r="N102" s="207">
        <f>TE_Raw!E101</f>
        <v>0.5</v>
      </c>
      <c r="O102" s="204">
        <f>TE_Raw!F101</f>
        <v>0</v>
      </c>
      <c r="P102" s="11">
        <f>(J102*TERushYd)+(K102*TERushTD)+(L102*TERec)+(M102*TERecYd)+(N102*TERecTD)+(O102*TEFuml)+(I102*TERushAtt)</f>
        <v>12.61</v>
      </c>
      <c r="Q102" t="str">
        <f ca="1">IF(A102&lt;=TEStarters,"Starter",IF(A102&gt;TEStarters+TEBench,"Undrafted","Bench"))</f>
        <v>Undrafted</v>
      </c>
      <c r="R102">
        <f ca="1">IFERROR(MAX(P102-LARGE(TESheetCount,TEStarters),0),0)</f>
        <v>0</v>
      </c>
      <c r="S102">
        <f ca="1">IFERROR(IF(AllowNegative="Yes",P102-LARGE(TESheetCount,TECount),MAX(P102-LARGE(TESheetCount,TECount),0)),0)</f>
        <v>-90.050000000000011</v>
      </c>
      <c r="T102">
        <f ca="1">IF(TEStarters&gt;0,(S102-R102)*BenchPF+R102*StarterPF,0)</f>
        <v>-16.327587052717298</v>
      </c>
      <c r="U102">
        <f ca="1">T102*Auction!$A$2</f>
        <v>-16.327587052717298</v>
      </c>
      <c r="V102" s="6" t="str">
        <f>IF(OR(INDEX(Auction!$H$13:$H$656,MATCH(B102,Auction!$A$13:$A$656,0))&gt;0,IFERROR(INDEX(CheatSheet!$D$37:$D$64,MATCH(B102,CheatSheet!$A$37:$A$64,0)),"")&lt;&gt;""),"Yes","No")</f>
        <v>No</v>
      </c>
      <c r="W102" s="179"/>
      <c r="Y102" s="78">
        <f t="shared" ca="1" si="8"/>
        <v>1</v>
      </c>
      <c r="Z102">
        <f t="shared" ca="1" si="7"/>
        <v>-45.025000000000006</v>
      </c>
      <c r="AA102" s="116" t="str">
        <f t="shared" ca="1" si="9"/>
        <v>TE12</v>
      </c>
      <c r="AB102">
        <f ca="1">Z102*LeagueInfo!$H$5</f>
        <v>-16.579481064601453</v>
      </c>
    </row>
    <row r="103" spans="1:28" x14ac:dyDescent="0.25">
      <c r="A103">
        <f>RANK(P103,P$3:P$115)</f>
        <v>101</v>
      </c>
      <c r="B103" t="str">
        <f>TE_Raw!A98</f>
        <v>Juwan Johnson</v>
      </c>
      <c r="C103" t="s">
        <v>43</v>
      </c>
      <c r="D103" t="str">
        <f>_xlfn.IFNA(INDEX(BYEs!$E$2:$E$411,MATCH(B103,BYEs!$D$2:$D$411,0)),"N/A")</f>
        <v>N/A</v>
      </c>
      <c r="E103">
        <f>INDEX(BYEs!$B$2:$B$34,MATCH(F103,BYEs!$A$2:$A$34,0))</f>
        <v>14</v>
      </c>
      <c r="F103" t="str">
        <f>TE_Raw!B98</f>
        <v>NO</v>
      </c>
      <c r="G103" s="202">
        <v>0</v>
      </c>
      <c r="H103" s="203">
        <v>0</v>
      </c>
      <c r="I103" s="204">
        <v>0</v>
      </c>
      <c r="J103" s="204">
        <v>0</v>
      </c>
      <c r="K103" s="204">
        <v>0</v>
      </c>
      <c r="L103" s="206">
        <f>TE_Raw!C98</f>
        <v>4.7</v>
      </c>
      <c r="M103" s="204">
        <f>TE_Raw!D98</f>
        <v>52.3</v>
      </c>
      <c r="N103" s="207">
        <f>TE_Raw!E98</f>
        <v>0.8</v>
      </c>
      <c r="O103" s="204">
        <f>TE_Raw!F98</f>
        <v>0</v>
      </c>
      <c r="P103" s="11">
        <f>(J103*TERushYd)+(K103*TERushTD)+(L103*TERec)+(M103*TERecYd)+(N103*TERecTD)+(O103*TEFuml)+(I103*TERushAtt)</f>
        <v>12.38</v>
      </c>
      <c r="Q103" t="str">
        <f ca="1">IF(A103&lt;=TEStarters,"Starter",IF(A103&gt;TEStarters+TEBench,"Undrafted","Bench"))</f>
        <v>Undrafted</v>
      </c>
      <c r="R103">
        <f ca="1">IFERROR(MAX(P103-LARGE(TESheetCount,TEStarters),0),0)</f>
        <v>0</v>
      </c>
      <c r="S103">
        <f ca="1">IFERROR(IF(AllowNegative="Yes",P103-LARGE(TESheetCount,TECount),MAX(P103-LARGE(TESheetCount,TECount),0)),0)</f>
        <v>-90.280000000000015</v>
      </c>
      <c r="T103">
        <f ca="1">IF(TEStarters&gt;0,(S103-R103)*BenchPF+R103*StarterPF,0)</f>
        <v>-16.369289940247839</v>
      </c>
      <c r="U103">
        <f ca="1">T103*Auction!$A$2</f>
        <v>-16.369289940247839</v>
      </c>
      <c r="V103" s="6" t="str">
        <f>IF(OR(INDEX(Auction!$H$13:$H$656,MATCH(B103,Auction!$A$13:$A$656,0))&gt;0,IFERROR(INDEX(CheatSheet!$D$37:$D$64,MATCH(B103,CheatSheet!$A$37:$A$64,0)),"")&lt;&gt;""),"Yes","No")</f>
        <v>No</v>
      </c>
      <c r="W103" s="179"/>
      <c r="Y103" s="78">
        <f t="shared" ca="1" si="8"/>
        <v>1</v>
      </c>
      <c r="Z103">
        <f t="shared" ca="1" si="7"/>
        <v>-45.140000000000008</v>
      </c>
      <c r="AA103" s="116" t="str">
        <f t="shared" ca="1" si="9"/>
        <v>TE12</v>
      </c>
      <c r="AB103">
        <f ca="1">Z103*LeagueInfo!$H$5</f>
        <v>-16.621827323844744</v>
      </c>
    </row>
    <row r="104" spans="1:28" x14ac:dyDescent="0.25">
      <c r="A104">
        <f>RANK(P104,P$3:P$115)</f>
        <v>102</v>
      </c>
      <c r="B104" t="str">
        <f>TE_Raw!A102</f>
        <v>Ben Ellefson</v>
      </c>
      <c r="C104" t="s">
        <v>43</v>
      </c>
      <c r="D104" t="str">
        <f>_xlfn.IFNA(INDEX(BYEs!$E$2:$E$411,MATCH(B104,BYEs!$D$2:$D$411,0)),"N/A")</f>
        <v>N/A</v>
      </c>
      <c r="E104">
        <f>INDEX(BYEs!$B$2:$B$34,MATCH(F104,BYEs!$A$2:$A$34,0))</f>
        <v>7</v>
      </c>
      <c r="F104" t="str">
        <f>TE_Raw!B102</f>
        <v>MIN</v>
      </c>
      <c r="G104" s="202">
        <v>0</v>
      </c>
      <c r="H104" s="203">
        <v>0</v>
      </c>
      <c r="I104" s="204">
        <v>0</v>
      </c>
      <c r="J104" s="204">
        <v>0</v>
      </c>
      <c r="K104" s="204">
        <v>0</v>
      </c>
      <c r="L104" s="206">
        <f>TE_Raw!C102</f>
        <v>5.2</v>
      </c>
      <c r="M104" s="204">
        <f>TE_Raw!D102</f>
        <v>54.8</v>
      </c>
      <c r="N104" s="207">
        <f>TE_Raw!E102</f>
        <v>0.6</v>
      </c>
      <c r="O104" s="204">
        <f>TE_Raw!F102</f>
        <v>0</v>
      </c>
      <c r="P104" s="11">
        <f>(J104*TERushYd)+(K104*TERushTD)+(L104*TERec)+(M104*TERecYd)+(N104*TERecTD)+(O104*TEFuml)+(I104*TERushAtt)</f>
        <v>11.68</v>
      </c>
      <c r="Q104" t="str">
        <f ca="1">IF(A104&lt;=TEStarters,"Starter",IF(A104&gt;TEStarters+TEBench,"Undrafted","Bench"))</f>
        <v>Undrafted</v>
      </c>
      <c r="R104">
        <f ca="1">IFERROR(MAX(P104-LARGE(TESheetCount,TEStarters),0),0)</f>
        <v>0</v>
      </c>
      <c r="S104">
        <f ca="1">IFERROR(IF(AllowNegative="Yes",P104-LARGE(TESheetCount,TECount),MAX(P104-LARGE(TESheetCount,TECount),0)),0)</f>
        <v>-90.980000000000018</v>
      </c>
      <c r="T104">
        <f ca="1">IF(TEStarters&gt;0,(S104-R104)*BenchPF+R104*StarterPF,0)</f>
        <v>-16.496211771862523</v>
      </c>
      <c r="U104">
        <f ca="1">T104*Auction!$A$2</f>
        <v>-16.496211771862523</v>
      </c>
      <c r="V104" s="6" t="str">
        <f>IF(OR(INDEX(Auction!$H$13:$H$656,MATCH(B104,Auction!$A$13:$A$656,0))&gt;0,IFERROR(INDEX(CheatSheet!$D$37:$D$64,MATCH(B104,CheatSheet!$A$37:$A$64,0)),"")&lt;&gt;""),"Yes","No")</f>
        <v>No</v>
      </c>
      <c r="W104" s="179"/>
      <c r="Y104" s="78">
        <f t="shared" ca="1" si="8"/>
        <v>1</v>
      </c>
      <c r="Z104">
        <f t="shared" ca="1" si="7"/>
        <v>-45.490000000000009</v>
      </c>
      <c r="AA104" s="116" t="str">
        <f t="shared" ca="1" si="9"/>
        <v>TE12</v>
      </c>
      <c r="AB104">
        <f ca="1">Z104*LeagueInfo!$H$5</f>
        <v>-16.750707243280846</v>
      </c>
    </row>
    <row r="105" spans="1:28" x14ac:dyDescent="0.25">
      <c r="A105">
        <f>RANK(P105,P$3:P$115)</f>
        <v>103</v>
      </c>
      <c r="B105" t="str">
        <f>TE_Raw!A103</f>
        <v>Eric Tomlinson</v>
      </c>
      <c r="C105" t="s">
        <v>43</v>
      </c>
      <c r="D105" t="str">
        <f>_xlfn.IFNA(INDEX(BYEs!$E$2:$E$411,MATCH(B105,BYEs!$D$2:$D$411,0)),"N/A")</f>
        <v>N/A</v>
      </c>
      <c r="E105">
        <f>INDEX(BYEs!$B$2:$B$34,MATCH(F105,BYEs!$A$2:$A$34,0))</f>
        <v>9</v>
      </c>
      <c r="F105" t="str">
        <f>TE_Raw!B103</f>
        <v>DEN</v>
      </c>
      <c r="G105" s="202">
        <v>0</v>
      </c>
      <c r="H105" s="203">
        <v>0</v>
      </c>
      <c r="I105" s="204">
        <v>0</v>
      </c>
      <c r="J105" s="204">
        <v>0</v>
      </c>
      <c r="K105" s="204">
        <v>0</v>
      </c>
      <c r="L105" s="206">
        <f>TE_Raw!C103</f>
        <v>5.4</v>
      </c>
      <c r="M105" s="204">
        <f>TE_Raw!D103</f>
        <v>57.9</v>
      </c>
      <c r="N105" s="207">
        <f>TE_Raw!E103</f>
        <v>0.5</v>
      </c>
      <c r="O105" s="204">
        <f>TE_Raw!F103</f>
        <v>0</v>
      </c>
      <c r="P105" s="11">
        <f>(J105*TERushYd)+(K105*TERushTD)+(L105*TERec)+(M105*TERecYd)+(N105*TERecTD)+(O105*TEFuml)+(I105*TERushAtt)</f>
        <v>11.49</v>
      </c>
      <c r="Q105" t="str">
        <f ca="1">IF(A105&lt;=TEStarters,"Starter",IF(A105&gt;TEStarters+TEBench,"Undrafted","Bench"))</f>
        <v>Undrafted</v>
      </c>
      <c r="R105">
        <f ca="1">IFERROR(MAX(P105-LARGE(TESheetCount,TEStarters),0),0)</f>
        <v>0</v>
      </c>
      <c r="S105">
        <f ca="1">IFERROR(IF(AllowNegative="Yes",P105-LARGE(TESheetCount,TECount),MAX(P105-LARGE(TESheetCount,TECount),0)),0)</f>
        <v>-91.170000000000016</v>
      </c>
      <c r="T105">
        <f ca="1">IF(TEStarters&gt;0,(S105-R105)*BenchPF+R105*StarterPF,0)</f>
        <v>-16.530661983300792</v>
      </c>
      <c r="U105">
        <f ca="1">T105*Auction!$A$2</f>
        <v>-16.530661983300792</v>
      </c>
      <c r="V105" s="6" t="str">
        <f>IF(OR(INDEX(Auction!$H$13:$H$656,MATCH(B105,Auction!$A$13:$A$656,0))&gt;0,IFERROR(INDEX(CheatSheet!$D$37:$D$64,MATCH(B105,CheatSheet!$A$37:$A$64,0)),"")&lt;&gt;""),"Yes","No")</f>
        <v>No</v>
      </c>
      <c r="W105" s="179"/>
      <c r="Y105" s="78">
        <f t="shared" ca="1" si="8"/>
        <v>1</v>
      </c>
      <c r="Z105">
        <f t="shared" ca="1" si="7"/>
        <v>-45.585000000000008</v>
      </c>
      <c r="AA105" s="116" t="str">
        <f t="shared" ca="1" si="9"/>
        <v>TE12</v>
      </c>
      <c r="AB105">
        <f ca="1">Z105*LeagueInfo!$H$5</f>
        <v>-16.785688935699216</v>
      </c>
    </row>
    <row r="106" spans="1:28" x14ac:dyDescent="0.25">
      <c r="A106">
        <f>RANK(P106,P$3:P$115)</f>
        <v>104</v>
      </c>
      <c r="B106" t="str">
        <f>TE_Raw!A106</f>
        <v>Jesper Horsted</v>
      </c>
      <c r="C106" t="s">
        <v>43</v>
      </c>
      <c r="D106" t="str">
        <f>_xlfn.IFNA(INDEX(BYEs!$E$2:$E$411,MATCH(B106,BYEs!$D$2:$D$411,0)),"N/A")</f>
        <v>N/A</v>
      </c>
      <c r="E106">
        <f>INDEX(BYEs!$B$2:$B$34,MATCH(F106,BYEs!$A$2:$A$34,0))</f>
        <v>6</v>
      </c>
      <c r="F106" t="str">
        <f>TE_Raw!B106</f>
        <v>LV</v>
      </c>
      <c r="G106" s="202">
        <v>0</v>
      </c>
      <c r="H106" s="203">
        <v>0</v>
      </c>
      <c r="I106" s="204">
        <v>0</v>
      </c>
      <c r="J106" s="204">
        <v>0</v>
      </c>
      <c r="K106" s="204">
        <v>0</v>
      </c>
      <c r="L106" s="206">
        <f>TE_Raw!C106</f>
        <v>5.4</v>
      </c>
      <c r="M106" s="204">
        <f>TE_Raw!D106</f>
        <v>57.1</v>
      </c>
      <c r="N106" s="207">
        <f>TE_Raw!E106</f>
        <v>0.5</v>
      </c>
      <c r="O106" s="204">
        <f>TE_Raw!F106</f>
        <v>0</v>
      </c>
      <c r="P106" s="11">
        <f>(J106*TERushYd)+(K106*TERushTD)+(L106*TERec)+(M106*TERecYd)+(N106*TERecTD)+(O106*TEFuml)+(I106*TERushAtt)</f>
        <v>11.41</v>
      </c>
      <c r="Q106" t="str">
        <f ca="1">IF(A106&lt;=TEStarters,"Starter",IF(A106&gt;TEStarters+TEBench,"Undrafted","Bench"))</f>
        <v>Undrafted</v>
      </c>
      <c r="R106">
        <f ca="1">IFERROR(MAX(P106-LARGE(TESheetCount,TEStarters),0),0)</f>
        <v>0</v>
      </c>
      <c r="S106">
        <f ca="1">IFERROR(IF(AllowNegative="Yes",P106-LARGE(TESheetCount,TECount),MAX(P106-LARGE(TESheetCount,TECount),0)),0)</f>
        <v>-91.250000000000014</v>
      </c>
      <c r="T106">
        <f ca="1">IF(TEStarters&gt;0,(S106-R106)*BenchPF+R106*StarterPF,0)</f>
        <v>-16.545167335485328</v>
      </c>
      <c r="U106">
        <f ca="1">T106*Auction!$A$2</f>
        <v>-16.545167335485328</v>
      </c>
      <c r="V106" s="6" t="str">
        <f>IF(OR(INDEX(Auction!$H$13:$H$656,MATCH(B106,Auction!$A$13:$A$656,0))&gt;0,IFERROR(INDEX(CheatSheet!$D$37:$D$64,MATCH(B106,CheatSheet!$A$37:$A$64,0)),"")&lt;&gt;""),"Yes","No")</f>
        <v>No</v>
      </c>
      <c r="W106" s="179"/>
      <c r="Y106" s="78">
        <f t="shared" ca="1" si="8"/>
        <v>1</v>
      </c>
      <c r="Z106">
        <f t="shared" ca="1" si="7"/>
        <v>-45.625000000000007</v>
      </c>
      <c r="AA106" s="116" t="str">
        <f t="shared" ca="1" si="9"/>
        <v>TE12</v>
      </c>
      <c r="AB106">
        <f ca="1">Z106*LeagueInfo!$H$5</f>
        <v>-16.800418069349057</v>
      </c>
    </row>
    <row r="107" spans="1:28" x14ac:dyDescent="0.25">
      <c r="A107">
        <f>RANK(P107,P$3:P$115)</f>
        <v>105</v>
      </c>
      <c r="B107" t="str">
        <f>TE_Raw!A107</f>
        <v>Tommy Sweeney</v>
      </c>
      <c r="C107" t="s">
        <v>43</v>
      </c>
      <c r="D107" t="str">
        <f>_xlfn.IFNA(INDEX(BYEs!$E$2:$E$411,MATCH(B107,BYEs!$D$2:$D$411,0)),"N/A")</f>
        <v>N/A</v>
      </c>
      <c r="E107">
        <f>INDEX(BYEs!$B$2:$B$34,MATCH(F107,BYEs!$A$2:$A$34,0))</f>
        <v>7</v>
      </c>
      <c r="F107" t="str">
        <f>TE_Raw!B107</f>
        <v>BUF</v>
      </c>
      <c r="G107" s="202">
        <v>0</v>
      </c>
      <c r="H107" s="203">
        <v>0</v>
      </c>
      <c r="I107" s="204">
        <v>0</v>
      </c>
      <c r="J107" s="204">
        <v>0</v>
      </c>
      <c r="K107" s="204">
        <v>0</v>
      </c>
      <c r="L107" s="206">
        <f>TE_Raw!C107</f>
        <v>5.9</v>
      </c>
      <c r="M107" s="204">
        <f>TE_Raw!D107</f>
        <v>59.8</v>
      </c>
      <c r="N107" s="207">
        <f>TE_Raw!E107</f>
        <v>0.4</v>
      </c>
      <c r="O107" s="204">
        <f>TE_Raw!F107</f>
        <v>0</v>
      </c>
      <c r="P107" s="11">
        <f>(J107*TERushYd)+(K107*TERushTD)+(L107*TERec)+(M107*TERecYd)+(N107*TERecTD)+(O107*TEFuml)+(I107*TERushAtt)</f>
        <v>11.33</v>
      </c>
      <c r="Q107" t="str">
        <f ca="1">IF(A107&lt;=TEStarters,"Starter",IF(A107&gt;TEStarters+TEBench,"Undrafted","Bench"))</f>
        <v>Undrafted</v>
      </c>
      <c r="R107">
        <f ca="1">IFERROR(MAX(P107-LARGE(TESheetCount,TEStarters),0),0)</f>
        <v>0</v>
      </c>
      <c r="S107">
        <f ca="1">IFERROR(IF(AllowNegative="Yes",P107-LARGE(TESheetCount,TECount),MAX(P107-LARGE(TESheetCount,TECount),0)),0)</f>
        <v>-91.330000000000013</v>
      </c>
      <c r="T107">
        <f ca="1">IF(TEStarters&gt;0,(S107-R107)*BenchPF+R107*StarterPF,0)</f>
        <v>-16.55967268766986</v>
      </c>
      <c r="U107">
        <f ca="1">T107*Auction!$A$2</f>
        <v>-16.55967268766986</v>
      </c>
      <c r="V107" s="6" t="str">
        <f>IF(OR(INDEX(Auction!$H$13:$H$656,MATCH(B107,Auction!$A$13:$A$656,0))&gt;0,IFERROR(INDEX(CheatSheet!$D$37:$D$64,MATCH(B107,CheatSheet!$A$37:$A$64,0)),"")&lt;&gt;""),"Yes","No")</f>
        <v>No</v>
      </c>
      <c r="W107" s="179"/>
      <c r="Y107" s="78">
        <f t="shared" ca="1" si="8"/>
        <v>1</v>
      </c>
      <c r="Z107">
        <f t="shared" ca="1" si="7"/>
        <v>-45.665000000000006</v>
      </c>
      <c r="AA107" s="116" t="str">
        <f t="shared" ca="1" si="9"/>
        <v>TE12</v>
      </c>
      <c r="AB107">
        <f ca="1">Z107*LeagueInfo!$H$5</f>
        <v>-16.815147202998897</v>
      </c>
    </row>
    <row r="108" spans="1:28" x14ac:dyDescent="0.25">
      <c r="A108">
        <f>RANK(P108,P$3:P$115)</f>
        <v>106</v>
      </c>
      <c r="B108" t="str">
        <f>TE_Raw!A105</f>
        <v>Tanner Hudson</v>
      </c>
      <c r="C108" t="s">
        <v>43</v>
      </c>
      <c r="D108" t="str">
        <f>_xlfn.IFNA(INDEX(BYEs!$E$2:$E$411,MATCH(B108,BYEs!$D$2:$D$411,0)),"N/A")</f>
        <v>N/A</v>
      </c>
      <c r="E108">
        <f>INDEX(BYEs!$B$2:$B$34,MATCH(F108,BYEs!$A$2:$A$34,0))</f>
        <v>9</v>
      </c>
      <c r="F108" t="str">
        <f>TE_Raw!B105</f>
        <v>NYG</v>
      </c>
      <c r="G108" s="202">
        <v>0</v>
      </c>
      <c r="H108" s="203">
        <v>0</v>
      </c>
      <c r="I108" s="204">
        <v>0</v>
      </c>
      <c r="J108" s="204">
        <v>0</v>
      </c>
      <c r="K108" s="204">
        <v>0</v>
      </c>
      <c r="L108" s="206">
        <f>TE_Raw!C105</f>
        <v>5.7</v>
      </c>
      <c r="M108" s="204">
        <f>TE_Raw!D105</f>
        <v>62.1</v>
      </c>
      <c r="N108" s="207">
        <f>TE_Raw!E105</f>
        <v>0.4</v>
      </c>
      <c r="O108" s="204">
        <f>TE_Raw!F105</f>
        <v>0.1</v>
      </c>
      <c r="P108" s="11">
        <f>(J108*TERushYd)+(K108*TERushTD)+(L108*TERec)+(M108*TERecYd)+(N108*TERecTD)+(O108*TEFuml)+(I108*TERushAtt)</f>
        <v>11.260000000000002</v>
      </c>
      <c r="Q108" t="str">
        <f ca="1">IF(A108&lt;=TEStarters,"Starter",IF(A108&gt;TEStarters+TEBench,"Undrafted","Bench"))</f>
        <v>Undrafted</v>
      </c>
      <c r="R108">
        <f ca="1">IFERROR(MAX(P108-LARGE(TESheetCount,TEStarters),0),0)</f>
        <v>0</v>
      </c>
      <c r="S108">
        <f ca="1">IFERROR(IF(AllowNegative="Yes",P108-LARGE(TESheetCount,TECount),MAX(P108-LARGE(TESheetCount,TECount),0)),0)</f>
        <v>-91.4</v>
      </c>
      <c r="T108">
        <f ca="1">IF(TEStarters&gt;0,(S108-R108)*BenchPF+R108*StarterPF,0)</f>
        <v>-16.572364870831329</v>
      </c>
      <c r="U108">
        <f ca="1">T108*Auction!$A$2</f>
        <v>-16.572364870831329</v>
      </c>
      <c r="V108" s="6" t="str">
        <f>IF(OR(INDEX(Auction!$H$13:$H$656,MATCH(B108,Auction!$A$13:$A$656,0))&gt;0,IFERROR(INDEX(CheatSheet!$D$37:$D$64,MATCH(B108,CheatSheet!$A$37:$A$64,0)),"")&lt;&gt;""),"Yes","No")</f>
        <v>No</v>
      </c>
      <c r="W108" s="179"/>
      <c r="Y108" s="78">
        <f t="shared" ca="1" si="8"/>
        <v>1</v>
      </c>
      <c r="Z108">
        <f t="shared" ca="1" si="7"/>
        <v>-45.7</v>
      </c>
      <c r="AA108" s="116" t="str">
        <f t="shared" ca="1" si="9"/>
        <v>TE12</v>
      </c>
      <c r="AB108">
        <f ca="1">Z108*LeagueInfo!$H$5</f>
        <v>-16.828035194942505</v>
      </c>
    </row>
    <row r="109" spans="1:28" x14ac:dyDescent="0.25">
      <c r="A109">
        <f>RANK(P109,P$3:P$115)</f>
        <v>107</v>
      </c>
      <c r="B109" t="str">
        <f>TE_Raw!A108</f>
        <v>Hunter Long</v>
      </c>
      <c r="C109" t="s">
        <v>43</v>
      </c>
      <c r="D109" t="str">
        <f>_xlfn.IFNA(INDEX(BYEs!$E$2:$E$411,MATCH(B109,BYEs!$D$2:$D$411,0)),"N/A")</f>
        <v>N/A</v>
      </c>
      <c r="E109">
        <f>INDEX(BYEs!$B$2:$B$34,MATCH(F109,BYEs!$A$2:$A$34,0))</f>
        <v>11</v>
      </c>
      <c r="F109" t="str">
        <f>TE_Raw!B108</f>
        <v>MIA</v>
      </c>
      <c r="G109" s="202">
        <v>0</v>
      </c>
      <c r="H109" s="203">
        <v>0</v>
      </c>
      <c r="I109" s="204">
        <v>0</v>
      </c>
      <c r="J109" s="204">
        <v>0</v>
      </c>
      <c r="K109" s="204">
        <v>0</v>
      </c>
      <c r="L109" s="206">
        <f>TE_Raw!C108</f>
        <v>5.3</v>
      </c>
      <c r="M109" s="204">
        <f>TE_Raw!D108</f>
        <v>49.9</v>
      </c>
      <c r="N109" s="207">
        <f>TE_Raw!E108</f>
        <v>0.5</v>
      </c>
      <c r="O109" s="204">
        <f>TE_Raw!F108</f>
        <v>0</v>
      </c>
      <c r="P109" s="11">
        <f>(J109*TERushYd)+(K109*TERushTD)+(L109*TERec)+(M109*TERecYd)+(N109*TERecTD)+(O109*TEFuml)+(I109*TERushAtt)</f>
        <v>10.64</v>
      </c>
      <c r="Q109" t="str">
        <f ca="1">IF(A109&lt;=TEStarters,"Starter",IF(A109&gt;TEStarters+TEBench,"Undrafted","Bench"))</f>
        <v>Undrafted</v>
      </c>
      <c r="R109">
        <f ca="1">IFERROR(MAX(P109-LARGE(TESheetCount,TEStarters),0),0)</f>
        <v>0</v>
      </c>
      <c r="S109">
        <f ca="1">IFERROR(IF(AllowNegative="Yes",P109-LARGE(TESheetCount,TECount),MAX(P109-LARGE(TESheetCount,TECount),0)),0)</f>
        <v>-92.02000000000001</v>
      </c>
      <c r="T109">
        <f ca="1">IF(TEStarters&gt;0,(S109-R109)*BenchPF+R109*StarterPF,0)</f>
        <v>-16.684781350261478</v>
      </c>
      <c r="U109">
        <f ca="1">T109*Auction!$A$2</f>
        <v>-16.684781350261478</v>
      </c>
      <c r="V109" s="6" t="str">
        <f>IF(OR(INDEX(Auction!$H$13:$H$656,MATCH(B109,Auction!$A$13:$A$656,0))&gt;0,IFERROR(INDEX(CheatSheet!$D$37:$D$64,MATCH(B109,CheatSheet!$A$37:$A$64,0)),"")&lt;&gt;""),"Yes","No")</f>
        <v>No</v>
      </c>
      <c r="W109" s="179"/>
      <c r="Y109" s="78">
        <f t="shared" ca="1" si="8"/>
        <v>1</v>
      </c>
      <c r="Z109">
        <f t="shared" ca="1" si="7"/>
        <v>-46.010000000000005</v>
      </c>
      <c r="AA109" s="116" t="str">
        <f t="shared" ca="1" si="9"/>
        <v>TE12</v>
      </c>
      <c r="AB109">
        <f ca="1">Z109*LeagueInfo!$H$5</f>
        <v>-16.94218598072877</v>
      </c>
    </row>
    <row r="110" spans="1:28" x14ac:dyDescent="0.25">
      <c r="A110">
        <f>RANK(P110,P$3:P$115)</f>
        <v>108</v>
      </c>
      <c r="B110" t="str">
        <f>TE_Raw!A110</f>
        <v>Colby Parkinson</v>
      </c>
      <c r="C110" t="s">
        <v>43</v>
      </c>
      <c r="D110" t="str">
        <f>_xlfn.IFNA(INDEX(BYEs!$E$2:$E$411,MATCH(B110,BYEs!$D$2:$D$411,0)),"N/A")</f>
        <v>N/A</v>
      </c>
      <c r="E110">
        <f>INDEX(BYEs!$B$2:$B$34,MATCH(F110,BYEs!$A$2:$A$34,0))</f>
        <v>11</v>
      </c>
      <c r="F110" t="str">
        <f>TE_Raw!B110</f>
        <v>SEA</v>
      </c>
      <c r="G110" s="202">
        <v>0</v>
      </c>
      <c r="H110" s="203">
        <v>0</v>
      </c>
      <c r="I110" s="204">
        <v>0</v>
      </c>
      <c r="J110" s="204">
        <v>0</v>
      </c>
      <c r="K110" s="204">
        <v>0</v>
      </c>
      <c r="L110" s="206">
        <f>TE_Raw!C110</f>
        <v>5.4</v>
      </c>
      <c r="M110" s="204">
        <f>TE_Raw!D110</f>
        <v>52.1</v>
      </c>
      <c r="N110" s="207">
        <f>TE_Raw!E110</f>
        <v>0.4</v>
      </c>
      <c r="O110" s="204">
        <f>TE_Raw!F110</f>
        <v>0.1</v>
      </c>
      <c r="P110" s="11">
        <f>(J110*TERushYd)+(K110*TERushTD)+(L110*TERec)+(M110*TERecYd)+(N110*TERecTD)+(O110*TEFuml)+(I110*TERushAtt)</f>
        <v>10.110000000000003</v>
      </c>
      <c r="Q110" t="str">
        <f ca="1">IF(A110&lt;=TEStarters,"Starter",IF(A110&gt;TEStarters+TEBench,"Undrafted","Bench"))</f>
        <v>Undrafted</v>
      </c>
      <c r="R110">
        <f ca="1">IFERROR(MAX(P110-LARGE(TESheetCount,TEStarters),0),0)</f>
        <v>0</v>
      </c>
      <c r="S110">
        <f ca="1">IFERROR(IF(AllowNegative="Yes",P110-LARGE(TESheetCount,TECount),MAX(P110-LARGE(TESheetCount,TECount),0)),0)</f>
        <v>-92.550000000000011</v>
      </c>
      <c r="T110">
        <f ca="1">IF(TEStarters&gt;0,(S110-R110)*BenchPF+R110*StarterPF,0)</f>
        <v>-16.780879308484021</v>
      </c>
      <c r="U110">
        <f ca="1">T110*Auction!$A$2</f>
        <v>-16.780879308484021</v>
      </c>
      <c r="V110" s="6" t="str">
        <f>IF(OR(INDEX(Auction!$H$13:$H$656,MATCH(B110,Auction!$A$13:$A$656,0))&gt;0,IFERROR(INDEX(CheatSheet!$D$37:$D$64,MATCH(B110,CheatSheet!$A$37:$A$64,0)),"")&lt;&gt;""),"Yes","No")</f>
        <v>No</v>
      </c>
      <c r="W110" s="179"/>
      <c r="Y110" s="78">
        <f t="shared" ca="1" si="8"/>
        <v>1</v>
      </c>
      <c r="Z110">
        <f t="shared" ca="1" si="7"/>
        <v>-46.275000000000006</v>
      </c>
      <c r="AA110" s="116" t="str">
        <f t="shared" ca="1" si="9"/>
        <v>TE12</v>
      </c>
      <c r="AB110">
        <f ca="1">Z110*LeagueInfo!$H$5</f>
        <v>-17.039766491158961</v>
      </c>
    </row>
    <row r="111" spans="1:28" x14ac:dyDescent="0.25">
      <c r="A111">
        <f>RANK(P111,P$3:P$115)</f>
        <v>109</v>
      </c>
      <c r="B111" t="str">
        <f>TE_Raw!A109</f>
        <v>Eric Saubert</v>
      </c>
      <c r="C111" t="s">
        <v>43</v>
      </c>
      <c r="D111" t="str">
        <f>_xlfn.IFNA(INDEX(BYEs!$E$2:$E$411,MATCH(B111,BYEs!$D$2:$D$411,0)),"N/A")</f>
        <v>N/A</v>
      </c>
      <c r="E111">
        <f>INDEX(BYEs!$B$2:$B$34,MATCH(F111,BYEs!$A$2:$A$34,0))</f>
        <v>9</v>
      </c>
      <c r="F111" t="str">
        <f>TE_Raw!B109</f>
        <v>DEN</v>
      </c>
      <c r="G111" s="202">
        <v>0</v>
      </c>
      <c r="H111" s="203">
        <v>0</v>
      </c>
      <c r="I111" s="204">
        <v>0</v>
      </c>
      <c r="J111" s="204">
        <v>0</v>
      </c>
      <c r="K111" s="204">
        <v>0</v>
      </c>
      <c r="L111" s="206">
        <f>TE_Raw!C109</f>
        <v>4.9000000000000004</v>
      </c>
      <c r="M111" s="204">
        <f>TE_Raw!D109</f>
        <v>46.6</v>
      </c>
      <c r="N111" s="207">
        <f>TE_Raw!E109</f>
        <v>0.5</v>
      </c>
      <c r="O111" s="204">
        <f>TE_Raw!F109</f>
        <v>0</v>
      </c>
      <c r="P111" s="11">
        <f>(J111*TERushYd)+(K111*TERushTD)+(L111*TERec)+(M111*TERecYd)+(N111*TERecTD)+(O111*TEFuml)+(I111*TERushAtt)</f>
        <v>10.11</v>
      </c>
      <c r="Q111" t="str">
        <f ca="1">IF(A111&lt;=TEStarters,"Starter",IF(A111&gt;TEStarters+TEBench,"Undrafted","Bench"))</f>
        <v>Undrafted</v>
      </c>
      <c r="R111">
        <f ca="1">IFERROR(MAX(P111-LARGE(TESheetCount,TEStarters),0),0)</f>
        <v>0</v>
      </c>
      <c r="S111">
        <f ca="1">IFERROR(IF(AllowNegative="Yes",P111-LARGE(TESheetCount,TECount),MAX(P111-LARGE(TESheetCount,TECount),0)),0)</f>
        <v>-92.550000000000011</v>
      </c>
      <c r="T111">
        <f ca="1">IF(TEStarters&gt;0,(S111-R111)*BenchPF+R111*StarterPF,0)</f>
        <v>-16.780879308484021</v>
      </c>
      <c r="U111">
        <f ca="1">T111*Auction!$A$2</f>
        <v>-16.780879308484021</v>
      </c>
      <c r="V111" s="6" t="str">
        <f>IF(OR(INDEX(Auction!$H$13:$H$656,MATCH(B111,Auction!$A$13:$A$656,0))&gt;0,IFERROR(INDEX(CheatSheet!$D$37:$D$64,MATCH(B111,CheatSheet!$A$37:$A$64,0)),"")&lt;&gt;""),"Yes","No")</f>
        <v>No</v>
      </c>
      <c r="W111" s="179"/>
      <c r="Y111" s="78">
        <f t="shared" ca="1" si="8"/>
        <v>1</v>
      </c>
      <c r="Z111">
        <f t="shared" ca="1" si="7"/>
        <v>-46.275000000000006</v>
      </c>
      <c r="AA111" s="116" t="str">
        <f t="shared" ca="1" si="9"/>
        <v>TE12</v>
      </c>
      <c r="AB111">
        <f ca="1">Z111*LeagueInfo!$H$5</f>
        <v>-17.039766491158961</v>
      </c>
    </row>
    <row r="112" spans="1:28" x14ac:dyDescent="0.25">
      <c r="A112">
        <f>RANK(P112,P$3:P$115)</f>
        <v>110</v>
      </c>
      <c r="B112" t="str">
        <f>TE_Raw!A111</f>
        <v>Reggie Gilliam</v>
      </c>
      <c r="C112" t="s">
        <v>43</v>
      </c>
      <c r="D112" t="str">
        <f>_xlfn.IFNA(INDEX(BYEs!$E$2:$E$411,MATCH(B112,BYEs!$D$2:$D$411,0)),"N/A")</f>
        <v>N/A</v>
      </c>
      <c r="E112">
        <f>INDEX(BYEs!$B$2:$B$34,MATCH(F112,BYEs!$A$2:$A$34,0))</f>
        <v>7</v>
      </c>
      <c r="F112" t="str">
        <f>TE_Raw!B111</f>
        <v>BUF</v>
      </c>
      <c r="G112" s="202">
        <v>0</v>
      </c>
      <c r="H112" s="203">
        <v>0</v>
      </c>
      <c r="I112" s="204">
        <v>0</v>
      </c>
      <c r="J112" s="204">
        <v>0</v>
      </c>
      <c r="K112" s="204">
        <v>0</v>
      </c>
      <c r="L112" s="206">
        <f>TE_Raw!C111</f>
        <v>4.2</v>
      </c>
      <c r="M112" s="204">
        <f>TE_Raw!D111</f>
        <v>39.5</v>
      </c>
      <c r="N112" s="207">
        <f>TE_Raw!E111</f>
        <v>0.4</v>
      </c>
      <c r="O112" s="204">
        <f>TE_Raw!F111</f>
        <v>0</v>
      </c>
      <c r="P112" s="11">
        <f>(J112*TERushYd)+(K112*TERushTD)+(L112*TERec)+(M112*TERecYd)+(N112*TERecTD)+(O112*TEFuml)+(I112*TERushAtt)</f>
        <v>8.4500000000000011</v>
      </c>
      <c r="Q112" t="str">
        <f ca="1">IF(A112&lt;=TEStarters,"Starter",IF(A112&gt;TEStarters+TEBench,"Undrafted","Bench"))</f>
        <v>Undrafted</v>
      </c>
      <c r="R112">
        <f ca="1">IFERROR(MAX(P112-LARGE(TESheetCount,TEStarters),0),0)</f>
        <v>0</v>
      </c>
      <c r="S112">
        <f ca="1">IFERROR(IF(AllowNegative="Yes",P112-LARGE(TESheetCount,TECount),MAX(P112-LARGE(TESheetCount,TECount),0)),0)</f>
        <v>-94.210000000000008</v>
      </c>
      <c r="T112">
        <f ca="1">IF(TEStarters&gt;0,(S112-R112)*BenchPF+R112*StarterPF,0)</f>
        <v>-17.081865366313124</v>
      </c>
      <c r="U112">
        <f ca="1">T112*Auction!$A$2</f>
        <v>-17.081865366313124</v>
      </c>
      <c r="V112" s="6" t="str">
        <f>IF(OR(INDEX(Auction!$H$13:$H$656,MATCH(B112,Auction!$A$13:$A$656,0))&gt;0,IFERROR(INDEX(CheatSheet!$D$37:$D$64,MATCH(B112,CheatSheet!$A$37:$A$64,0)),"")&lt;&gt;""),"Yes","No")</f>
        <v>No</v>
      </c>
      <c r="W112" s="179"/>
      <c r="Y112" s="78">
        <f t="shared" ca="1" si="8"/>
        <v>1</v>
      </c>
      <c r="Z112">
        <f t="shared" ca="1" si="7"/>
        <v>-47.105000000000004</v>
      </c>
      <c r="AA112" s="116" t="str">
        <f t="shared" ca="1" si="9"/>
        <v>TE12</v>
      </c>
      <c r="AB112">
        <f ca="1">Z112*LeagueInfo!$H$5</f>
        <v>-17.345396014393145</v>
      </c>
    </row>
    <row r="113" spans="1:28" x14ac:dyDescent="0.25">
      <c r="A113">
        <f>RANK(P113,P$3:P$115)</f>
        <v>111</v>
      </c>
      <c r="B113" t="str">
        <f>TE_Raw!A112</f>
        <v>Jeremy Ruckert</v>
      </c>
      <c r="C113" t="s">
        <v>43</v>
      </c>
      <c r="D113" t="str">
        <f>_xlfn.IFNA(INDEX(BYEs!$E$2:$E$411,MATCH(B113,BYEs!$D$2:$D$411,0)),"N/A")</f>
        <v>N/A</v>
      </c>
      <c r="E113">
        <f>INDEX(BYEs!$B$2:$B$34,MATCH(F113,BYEs!$A$2:$A$34,0))</f>
        <v>10</v>
      </c>
      <c r="F113" t="str">
        <f>TE_Raw!B112</f>
        <v>NYJ</v>
      </c>
      <c r="G113" s="202">
        <v>0</v>
      </c>
      <c r="H113" s="203">
        <v>0</v>
      </c>
      <c r="I113" s="204">
        <v>0</v>
      </c>
      <c r="J113" s="204">
        <v>0</v>
      </c>
      <c r="K113" s="204">
        <v>0</v>
      </c>
      <c r="L113" s="206">
        <f>TE_Raw!C112</f>
        <v>3.9</v>
      </c>
      <c r="M113" s="204">
        <f>TE_Raw!D112</f>
        <v>39.1</v>
      </c>
      <c r="N113" s="207">
        <f>TE_Raw!E112</f>
        <v>0.3</v>
      </c>
      <c r="O113" s="204">
        <f>TE_Raw!F112</f>
        <v>0</v>
      </c>
      <c r="P113" s="11">
        <f>(J113*TERushYd)+(K113*TERushTD)+(L113*TERec)+(M113*TERecYd)+(N113*TERecTD)+(O113*TEFuml)+(I113*TERushAtt)</f>
        <v>7.66</v>
      </c>
      <c r="Q113" t="str">
        <f ca="1">IF(A113&lt;=TEStarters,"Starter",IF(A113&gt;TEStarters+TEBench,"Undrafted","Bench"))</f>
        <v>Undrafted</v>
      </c>
      <c r="R113">
        <f ca="1">IFERROR(MAX(P113-LARGE(TESheetCount,TEStarters),0),0)</f>
        <v>0</v>
      </c>
      <c r="S113">
        <f ca="1">IFERROR(IF(AllowNegative="Yes",P113-LARGE(TESheetCount,TECount),MAX(P113-LARGE(TESheetCount,TECount),0)),0)</f>
        <v>-95.000000000000014</v>
      </c>
      <c r="T113">
        <f ca="1">IF(TEStarters&gt;0,(S113-R113)*BenchPF+R113*StarterPF,0)</f>
        <v>-17.22510571913541</v>
      </c>
      <c r="U113">
        <f ca="1">T113*Auction!$A$2</f>
        <v>-17.22510571913541</v>
      </c>
      <c r="V113" s="6" t="str">
        <f>IF(OR(INDEX(Auction!$H$13:$H$656,MATCH(B113,Auction!$A$13:$A$656,0))&gt;0,IFERROR(INDEX(CheatSheet!$D$37:$D$64,MATCH(B113,CheatSheet!$A$37:$A$64,0)),"")&lt;&gt;""),"Yes","No")</f>
        <v>No</v>
      </c>
      <c r="W113" s="179"/>
      <c r="Y113" s="78">
        <f t="shared" ca="1" si="8"/>
        <v>1</v>
      </c>
      <c r="Z113">
        <f t="shared" ca="1" si="7"/>
        <v>-47.500000000000007</v>
      </c>
      <c r="AA113" s="116" t="str">
        <f t="shared" ca="1" si="9"/>
        <v>TE12</v>
      </c>
      <c r="AB113">
        <f ca="1">Z113*LeagueInfo!$H$5</f>
        <v>-17.490846209185321</v>
      </c>
    </row>
    <row r="114" spans="1:28" x14ac:dyDescent="0.25">
      <c r="A114">
        <f>RANK(P114,P$3:P$115)</f>
        <v>112</v>
      </c>
      <c r="B114" t="str">
        <f>TE_Raw!A113</f>
        <v>Colin Thompson</v>
      </c>
      <c r="C114" t="s">
        <v>43</v>
      </c>
      <c r="D114" t="str">
        <f>_xlfn.IFNA(INDEX(BYEs!$E$2:$E$411,MATCH(B114,BYEs!$D$2:$D$411,0)),"N/A")</f>
        <v>N/A</v>
      </c>
      <c r="E114">
        <f>INDEX(BYEs!$B$2:$B$34,MATCH(F114,BYEs!$A$2:$A$34,0))</f>
        <v>13</v>
      </c>
      <c r="F114" t="str">
        <f>TE_Raw!B113</f>
        <v>CAR</v>
      </c>
      <c r="G114" s="202">
        <v>0</v>
      </c>
      <c r="H114" s="203">
        <v>0</v>
      </c>
      <c r="I114" s="204">
        <v>0</v>
      </c>
      <c r="J114" s="204">
        <v>0</v>
      </c>
      <c r="K114" s="204">
        <v>0</v>
      </c>
      <c r="L114" s="206">
        <f>TE_Raw!C113</f>
        <v>3.7</v>
      </c>
      <c r="M114" s="204">
        <f>TE_Raw!D113</f>
        <v>37.299999999999997</v>
      </c>
      <c r="N114" s="207">
        <f>TE_Raw!E113</f>
        <v>0.3</v>
      </c>
      <c r="O114" s="204">
        <f>TE_Raw!F113</f>
        <v>0</v>
      </c>
      <c r="P114" s="11">
        <f>(J114*TERushYd)+(K114*TERushTD)+(L114*TERec)+(M114*TERecYd)+(N114*TERecTD)+(O114*TEFuml)+(I114*TERushAtt)</f>
        <v>7.38</v>
      </c>
      <c r="Q114" t="str">
        <f ca="1">IF(A114&lt;=TEStarters,"Starter",IF(A114&gt;TEStarters+TEBench,"Undrafted","Bench"))</f>
        <v>Undrafted</v>
      </c>
      <c r="R114">
        <f ca="1">IFERROR(MAX(P114-LARGE(TESheetCount,TEStarters),0),0)</f>
        <v>0</v>
      </c>
      <c r="S114">
        <f ca="1">IFERROR(IF(AllowNegative="Yes",P114-LARGE(TESheetCount,TECount),MAX(P114-LARGE(TESheetCount,TECount),0)),0)</f>
        <v>-95.280000000000015</v>
      </c>
      <c r="T114">
        <f ca="1">IF(TEStarters&gt;0,(S114-R114)*BenchPF+R114*StarterPF,0)</f>
        <v>-17.275874451781281</v>
      </c>
      <c r="U114">
        <f ca="1">T114*Auction!$A$2</f>
        <v>-17.275874451781281</v>
      </c>
      <c r="V114" s="6" t="str">
        <f>IF(OR(INDEX(Auction!$H$13:$H$656,MATCH(B114,Auction!$A$13:$A$656,0))&gt;0,IFERROR(INDEX(CheatSheet!$D$37:$D$64,MATCH(B114,CheatSheet!$A$37:$A$64,0)),"")&lt;&gt;""),"Yes","No")</f>
        <v>No</v>
      </c>
      <c r="W114" s="179"/>
      <c r="Y114" s="78">
        <f t="shared" ca="1" si="8"/>
        <v>1</v>
      </c>
      <c r="Z114">
        <f t="shared" ref="Z114:Z115" ca="1" si="10">AVERAGE(R114:S114)</f>
        <v>-47.640000000000008</v>
      </c>
      <c r="AA114" s="116" t="str">
        <f t="shared" ca="1" si="9"/>
        <v>TE12</v>
      </c>
      <c r="AB114">
        <f ca="1">Z114*LeagueInfo!$H$5</f>
        <v>-17.542398176959761</v>
      </c>
    </row>
    <row r="115" spans="1:28" x14ac:dyDescent="0.25">
      <c r="A115">
        <f>RANK(P115,P$3:P$115)</f>
        <v>113</v>
      </c>
      <c r="B115" t="str">
        <f>TE_Raw!A129</f>
        <v>Jordan Franks</v>
      </c>
      <c r="C115" t="s">
        <v>43</v>
      </c>
      <c r="D115" t="str">
        <f>_xlfn.IFNA(INDEX(BYEs!$E$2:$E$411,MATCH(B115,BYEs!$D$2:$D$411,0)),"N/A")</f>
        <v>N/A</v>
      </c>
      <c r="E115">
        <f>INDEX(BYEs!$B$2:$B$34,MATCH(F115,BYEs!$A$2:$A$34,0))</f>
        <v>8</v>
      </c>
      <c r="F115" t="str">
        <f>TE_Raw!B129</f>
        <v>KC</v>
      </c>
      <c r="G115" s="202">
        <v>0</v>
      </c>
      <c r="H115" s="203">
        <v>0</v>
      </c>
      <c r="I115" s="204">
        <v>0</v>
      </c>
      <c r="J115" s="204">
        <v>0</v>
      </c>
      <c r="K115" s="204">
        <v>0</v>
      </c>
      <c r="L115" s="206">
        <f>TE_Raw!C129</f>
        <v>0</v>
      </c>
      <c r="M115" s="204">
        <f>TE_Raw!D129</f>
        <v>0</v>
      </c>
      <c r="N115" s="207">
        <f>TE_Raw!E129</f>
        <v>0</v>
      </c>
      <c r="O115" s="204">
        <f>TE_Raw!F129</f>
        <v>0</v>
      </c>
      <c r="P115" s="11">
        <f>(J115*TERushYd)+(K115*TERushTD)+(L115*TERec)+(M115*TERecYd)+(N115*TERecTD)+(O115*TEFuml)+(I115*TERushAtt)</f>
        <v>0</v>
      </c>
      <c r="Q115" t="str">
        <f ca="1">IF(A115&lt;=TEStarters,"Starter",IF(A115&gt;TEStarters+TEBench,"Undrafted","Bench"))</f>
        <v>Undrafted</v>
      </c>
      <c r="R115">
        <f ca="1">IFERROR(MAX(P115-LARGE(TESheetCount,TEStarters),0),0)</f>
        <v>0</v>
      </c>
      <c r="S115">
        <f ca="1">IFERROR(IF(AllowNegative="Yes",P115-LARGE(TESheetCount,TECount),MAX(P115-LARGE(TESheetCount,TECount),0)),0)</f>
        <v>-102.66000000000001</v>
      </c>
      <c r="T115">
        <f ca="1">IF(TEStarters&gt;0,(S115-R115)*BenchPF+R115*StarterPF,0)</f>
        <v>-18.613993190804642</v>
      </c>
      <c r="U115">
        <f ca="1">T115*Auction!$A$2</f>
        <v>-18.613993190804642</v>
      </c>
      <c r="V115" s="6" t="str">
        <f>IF(OR(INDEX(Auction!$H$13:$H$656,MATCH(B115,Auction!$A$13:$A$656,0))&gt;0,IFERROR(INDEX(CheatSheet!$D$37:$D$64,MATCH(B115,CheatSheet!$A$37:$A$64,0)),"")&lt;&gt;""),"Yes","No")</f>
        <v>No</v>
      </c>
      <c r="W115" s="179"/>
      <c r="Y115" s="78">
        <f t="shared" ca="1" si="8"/>
        <v>1</v>
      </c>
      <c r="Z115">
        <f t="shared" ca="1" si="10"/>
        <v>-51.330000000000005</v>
      </c>
      <c r="AA115" s="116" t="str">
        <f t="shared" ca="1" si="9"/>
        <v>TE12</v>
      </c>
      <c r="AB115">
        <f ca="1">Z115*LeagueInfo!$H$5</f>
        <v>-18.901160756157523</v>
      </c>
    </row>
  </sheetData>
  <sortState xmlns:xlrd2="http://schemas.microsoft.com/office/spreadsheetml/2017/richdata2" ref="A3:V115">
    <sortCondition ref="A2:A160"/>
  </sortState>
  <mergeCells count="3">
    <mergeCell ref="G1:H1"/>
    <mergeCell ref="I1:K1"/>
    <mergeCell ref="L1:N1"/>
  </mergeCells>
  <conditionalFormatting sqref="L98:P110 G4:K110 Q4:Q110 F3:M3 P3:U3 A116:F176 G111:Q115 F4:F115 A3:E115 V3:V115 R4:U115">
    <cfRule type="expression" dxfId="76" priority="24">
      <formula>$V3="Yes"</formula>
    </cfRule>
  </conditionalFormatting>
  <conditionalFormatting sqref="G116:O176">
    <cfRule type="expression" dxfId="75" priority="17">
      <formula>$V116="Yes"</formula>
    </cfRule>
  </conditionalFormatting>
  <conditionalFormatting sqref="L47:P97">
    <cfRule type="expression" dxfId="74" priority="14">
      <formula>$V47="Yes"</formula>
    </cfRule>
  </conditionalFormatting>
  <conditionalFormatting sqref="L4:P46">
    <cfRule type="expression" dxfId="73" priority="11">
      <formula>$V4="Yes"</formula>
    </cfRule>
  </conditionalFormatting>
  <conditionalFormatting sqref="N3">
    <cfRule type="expression" dxfId="72" priority="5">
      <formula>$V3="Yes"</formula>
    </cfRule>
  </conditionalFormatting>
  <conditionalFormatting sqref="O3">
    <cfRule type="expression" dxfId="71" priority="4">
      <formula>$V3="Yes"</formula>
    </cfRule>
  </conditionalFormatting>
  <conditionalFormatting sqref="D2">
    <cfRule type="expression" dxfId="70" priority="3">
      <formula>#REF!="Yes"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LeagueInfo!$H$97:$H$100</xm:f>
          </x14:formula1>
          <xm:sqref>W3:W115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dimension ref="A1:G129"/>
  <sheetViews>
    <sheetView workbookViewId="0">
      <selection sqref="A1:G149"/>
    </sheetView>
  </sheetViews>
  <sheetFormatPr defaultColWidth="8.85546875" defaultRowHeight="15" x14ac:dyDescent="0.25"/>
  <cols>
    <col min="1" max="1" width="20.7109375" bestFit="1" customWidth="1"/>
    <col min="2" max="2" width="8.140625" bestFit="1" customWidth="1"/>
    <col min="3" max="3" width="16.7109375" bestFit="1" customWidth="1"/>
    <col min="4" max="4" width="16.85546875" bestFit="1" customWidth="1"/>
    <col min="5" max="5" width="16.7109375" bestFit="1" customWidth="1"/>
    <col min="6" max="6" width="10.140625" bestFit="1" customWidth="1"/>
    <col min="7" max="7" width="12.42578125" bestFit="1" customWidth="1"/>
  </cols>
  <sheetData>
    <row r="1" spans="1:7" x14ac:dyDescent="0.25">
      <c r="A1" t="s">
        <v>85</v>
      </c>
      <c r="B1" t="s">
        <v>452</v>
      </c>
      <c r="C1" t="s">
        <v>614</v>
      </c>
      <c r="D1" t="s">
        <v>615</v>
      </c>
      <c r="E1" t="s">
        <v>616</v>
      </c>
      <c r="F1" t="s">
        <v>612</v>
      </c>
      <c r="G1" t="s">
        <v>613</v>
      </c>
    </row>
    <row r="2" spans="1:7" x14ac:dyDescent="0.25">
      <c r="A2" t="s">
        <v>121</v>
      </c>
      <c r="B2" t="s">
        <v>296</v>
      </c>
      <c r="C2">
        <v>99.7</v>
      </c>
      <c r="D2">
        <v>1184.3</v>
      </c>
      <c r="E2">
        <v>9.3000000000000007</v>
      </c>
      <c r="F2">
        <v>0.5</v>
      </c>
      <c r="G2">
        <v>173.4</v>
      </c>
    </row>
    <row r="3" spans="1:7" x14ac:dyDescent="0.25">
      <c r="A3" t="s">
        <v>591</v>
      </c>
      <c r="B3" t="s">
        <v>295</v>
      </c>
      <c r="C3">
        <v>96</v>
      </c>
      <c r="D3">
        <v>1195.5</v>
      </c>
      <c r="E3">
        <v>8.9</v>
      </c>
      <c r="F3">
        <v>0.5</v>
      </c>
      <c r="G3">
        <v>172.1</v>
      </c>
    </row>
    <row r="4" spans="1:7" x14ac:dyDescent="0.25">
      <c r="A4" t="s">
        <v>973</v>
      </c>
      <c r="B4" t="s">
        <v>278</v>
      </c>
      <c r="C4">
        <v>73.2</v>
      </c>
      <c r="D4">
        <v>996.8</v>
      </c>
      <c r="E4">
        <v>4.7</v>
      </c>
      <c r="F4">
        <v>0.5</v>
      </c>
      <c r="G4">
        <v>126.7</v>
      </c>
    </row>
    <row r="5" spans="1:7" x14ac:dyDescent="0.25">
      <c r="A5" t="s">
        <v>743</v>
      </c>
      <c r="B5" t="s">
        <v>814</v>
      </c>
      <c r="C5">
        <v>77.400000000000006</v>
      </c>
      <c r="D5">
        <v>931.8</v>
      </c>
      <c r="E5">
        <v>5.0999999999999996</v>
      </c>
      <c r="F5">
        <v>0.5</v>
      </c>
      <c r="G5">
        <v>122.6</v>
      </c>
    </row>
    <row r="6" spans="1:7" x14ac:dyDescent="0.25">
      <c r="A6" t="s">
        <v>420</v>
      </c>
      <c r="B6" t="s">
        <v>301</v>
      </c>
      <c r="C6">
        <v>71.3</v>
      </c>
      <c r="D6">
        <v>872.8</v>
      </c>
      <c r="E6">
        <v>5.4</v>
      </c>
      <c r="F6">
        <v>0.5</v>
      </c>
      <c r="G6">
        <v>118.8</v>
      </c>
    </row>
    <row r="7" spans="1:7" x14ac:dyDescent="0.25">
      <c r="A7" t="s">
        <v>597</v>
      </c>
      <c r="B7" t="s">
        <v>285</v>
      </c>
      <c r="C7">
        <v>77.5</v>
      </c>
      <c r="D7">
        <v>805.7</v>
      </c>
      <c r="E7">
        <v>6.1</v>
      </c>
      <c r="F7">
        <v>0.4</v>
      </c>
      <c r="G7">
        <v>116.3</v>
      </c>
    </row>
    <row r="8" spans="1:7" x14ac:dyDescent="0.25">
      <c r="A8" t="s">
        <v>590</v>
      </c>
      <c r="B8" t="s">
        <v>293</v>
      </c>
      <c r="C8">
        <v>63.4</v>
      </c>
      <c r="D8">
        <v>793.8</v>
      </c>
      <c r="E8">
        <v>5</v>
      </c>
      <c r="F8">
        <v>0.5</v>
      </c>
      <c r="G8">
        <v>108.6</v>
      </c>
    </row>
    <row r="9" spans="1:7" x14ac:dyDescent="0.25">
      <c r="A9" t="s">
        <v>741</v>
      </c>
      <c r="B9" t="s">
        <v>287</v>
      </c>
      <c r="C9">
        <v>67.599999999999994</v>
      </c>
      <c r="D9">
        <v>692.5</v>
      </c>
      <c r="E9">
        <v>5.3</v>
      </c>
      <c r="F9">
        <v>0.4</v>
      </c>
      <c r="G9">
        <v>100.2</v>
      </c>
    </row>
    <row r="10" spans="1:7" x14ac:dyDescent="0.25">
      <c r="A10" t="s">
        <v>749</v>
      </c>
      <c r="B10" t="s">
        <v>289</v>
      </c>
      <c r="C10">
        <v>50.2</v>
      </c>
      <c r="D10">
        <v>608.70000000000005</v>
      </c>
      <c r="E10">
        <v>6.3</v>
      </c>
      <c r="F10">
        <v>0.1</v>
      </c>
      <c r="G10">
        <v>98.5</v>
      </c>
    </row>
    <row r="11" spans="1:7" x14ac:dyDescent="0.25">
      <c r="A11" t="s">
        <v>739</v>
      </c>
      <c r="B11" t="s">
        <v>276</v>
      </c>
      <c r="C11">
        <v>53.9</v>
      </c>
      <c r="D11">
        <v>618.6</v>
      </c>
      <c r="E11">
        <v>6</v>
      </c>
      <c r="F11">
        <v>0.1</v>
      </c>
      <c r="G11">
        <v>98</v>
      </c>
    </row>
    <row r="12" spans="1:7" x14ac:dyDescent="0.25">
      <c r="A12" t="s">
        <v>186</v>
      </c>
      <c r="B12" t="s">
        <v>294</v>
      </c>
      <c r="C12">
        <v>64.5</v>
      </c>
      <c r="D12">
        <v>661.2</v>
      </c>
      <c r="E12">
        <v>4.8</v>
      </c>
      <c r="F12">
        <v>0.4</v>
      </c>
      <c r="G12">
        <v>93.9</v>
      </c>
    </row>
    <row r="13" spans="1:7" x14ac:dyDescent="0.25">
      <c r="A13" t="s">
        <v>587</v>
      </c>
      <c r="B13" t="s">
        <v>298</v>
      </c>
      <c r="C13">
        <v>60.2</v>
      </c>
      <c r="D13">
        <v>656.8</v>
      </c>
      <c r="E13">
        <v>4</v>
      </c>
      <c r="F13">
        <v>0.4</v>
      </c>
      <c r="G13">
        <v>88.8</v>
      </c>
    </row>
    <row r="14" spans="1:7" x14ac:dyDescent="0.25">
      <c r="A14" t="s">
        <v>416</v>
      </c>
      <c r="B14" t="s">
        <v>303</v>
      </c>
      <c r="C14">
        <v>59.2</v>
      </c>
      <c r="D14">
        <v>595.1</v>
      </c>
      <c r="E14">
        <v>4.7</v>
      </c>
      <c r="F14">
        <v>0.4</v>
      </c>
      <c r="G14">
        <v>86.6</v>
      </c>
    </row>
    <row r="15" spans="1:7" x14ac:dyDescent="0.25">
      <c r="A15" t="s">
        <v>975</v>
      </c>
      <c r="B15" t="s">
        <v>288</v>
      </c>
      <c r="C15">
        <v>62.7</v>
      </c>
      <c r="D15">
        <v>579.6</v>
      </c>
      <c r="E15">
        <v>4.7</v>
      </c>
      <c r="F15">
        <v>0.5</v>
      </c>
      <c r="G15">
        <v>85.5</v>
      </c>
    </row>
    <row r="16" spans="1:7" x14ac:dyDescent="0.25">
      <c r="A16" t="s">
        <v>817</v>
      </c>
      <c r="B16" t="s">
        <v>299</v>
      </c>
      <c r="C16">
        <v>61.4</v>
      </c>
      <c r="D16">
        <v>638.5</v>
      </c>
      <c r="E16">
        <v>3.7</v>
      </c>
      <c r="F16">
        <v>0.5</v>
      </c>
      <c r="G16">
        <v>85.3</v>
      </c>
    </row>
    <row r="17" spans="1:7" x14ac:dyDescent="0.25">
      <c r="A17" t="s">
        <v>740</v>
      </c>
      <c r="B17" t="s">
        <v>279</v>
      </c>
      <c r="C17">
        <v>59.4</v>
      </c>
      <c r="D17">
        <v>639.4</v>
      </c>
      <c r="E17">
        <v>3.7</v>
      </c>
      <c r="F17">
        <v>0.4</v>
      </c>
      <c r="G17">
        <v>85.2</v>
      </c>
    </row>
    <row r="18" spans="1:7" x14ac:dyDescent="0.25">
      <c r="A18" t="s">
        <v>217</v>
      </c>
      <c r="B18" t="s">
        <v>308</v>
      </c>
      <c r="C18">
        <v>52.8</v>
      </c>
      <c r="D18">
        <v>591.20000000000005</v>
      </c>
      <c r="E18">
        <v>4.3</v>
      </c>
      <c r="F18">
        <v>0.4</v>
      </c>
      <c r="G18">
        <v>84.1</v>
      </c>
    </row>
    <row r="19" spans="1:7" x14ac:dyDescent="0.25">
      <c r="A19" t="s">
        <v>747</v>
      </c>
      <c r="B19" t="s">
        <v>297</v>
      </c>
      <c r="C19">
        <v>50.4</v>
      </c>
      <c r="D19">
        <v>557.6</v>
      </c>
      <c r="E19">
        <v>4.5</v>
      </c>
      <c r="F19">
        <v>0.1</v>
      </c>
      <c r="G19">
        <v>82.5</v>
      </c>
    </row>
    <row r="20" spans="1:7" x14ac:dyDescent="0.25">
      <c r="A20" t="s">
        <v>419</v>
      </c>
      <c r="B20" t="s">
        <v>286</v>
      </c>
      <c r="C20">
        <v>54.7</v>
      </c>
      <c r="D20">
        <v>563.5</v>
      </c>
      <c r="E20">
        <v>4.5</v>
      </c>
      <c r="F20">
        <v>0.9</v>
      </c>
      <c r="G20">
        <v>81.8</v>
      </c>
    </row>
    <row r="21" spans="1:7" x14ac:dyDescent="0.25">
      <c r="A21" t="s">
        <v>757</v>
      </c>
      <c r="B21" t="s">
        <v>275</v>
      </c>
      <c r="C21">
        <v>46</v>
      </c>
      <c r="D21">
        <v>523.1</v>
      </c>
      <c r="E21">
        <v>4.5999999999999996</v>
      </c>
      <c r="F21">
        <v>0.1</v>
      </c>
      <c r="G21">
        <v>79.5</v>
      </c>
    </row>
    <row r="22" spans="1:7" x14ac:dyDescent="0.25">
      <c r="A22" t="s">
        <v>826</v>
      </c>
      <c r="B22" t="s">
        <v>306</v>
      </c>
      <c r="C22">
        <v>49.9</v>
      </c>
      <c r="D22">
        <v>514.4</v>
      </c>
      <c r="E22">
        <v>4.7</v>
      </c>
      <c r="F22">
        <v>0.8</v>
      </c>
      <c r="G22">
        <v>78.2</v>
      </c>
    </row>
    <row r="23" spans="1:7" x14ac:dyDescent="0.25">
      <c r="A23" t="s">
        <v>437</v>
      </c>
      <c r="B23" t="s">
        <v>283</v>
      </c>
      <c r="C23">
        <v>49.3</v>
      </c>
      <c r="D23">
        <v>515.9</v>
      </c>
      <c r="E23">
        <v>4.5999999999999996</v>
      </c>
      <c r="F23">
        <v>0.4</v>
      </c>
      <c r="G23">
        <v>78.099999999999994</v>
      </c>
    </row>
    <row r="24" spans="1:7" x14ac:dyDescent="0.25">
      <c r="A24" t="s">
        <v>223</v>
      </c>
      <c r="B24" t="s">
        <v>291</v>
      </c>
      <c r="C24">
        <v>53.6</v>
      </c>
      <c r="D24">
        <v>550.6</v>
      </c>
      <c r="E24">
        <v>3.6</v>
      </c>
      <c r="F24">
        <v>0.4</v>
      </c>
      <c r="G24">
        <v>75.8</v>
      </c>
    </row>
    <row r="25" spans="1:7" x14ac:dyDescent="0.25">
      <c r="A25" t="s">
        <v>228</v>
      </c>
      <c r="B25" t="s">
        <v>284</v>
      </c>
      <c r="C25">
        <v>50.9</v>
      </c>
      <c r="D25">
        <v>497.8</v>
      </c>
      <c r="E25">
        <v>4.0999999999999996</v>
      </c>
      <c r="F25">
        <v>0.4</v>
      </c>
      <c r="G25">
        <v>73.2</v>
      </c>
    </row>
    <row r="26" spans="1:7" x14ac:dyDescent="0.25">
      <c r="A26" t="s">
        <v>588</v>
      </c>
      <c r="B26" t="s">
        <v>290</v>
      </c>
      <c r="C26">
        <v>41.9</v>
      </c>
      <c r="D26">
        <v>440.6</v>
      </c>
      <c r="E26">
        <v>4</v>
      </c>
      <c r="F26">
        <v>0.5</v>
      </c>
      <c r="G26">
        <v>67.099999999999994</v>
      </c>
    </row>
    <row r="27" spans="1:7" x14ac:dyDescent="0.25">
      <c r="A27" t="s">
        <v>748</v>
      </c>
      <c r="B27" t="s">
        <v>280</v>
      </c>
      <c r="C27">
        <v>36.4</v>
      </c>
      <c r="D27">
        <v>439.9</v>
      </c>
      <c r="E27">
        <v>3.5</v>
      </c>
      <c r="F27">
        <v>0.1</v>
      </c>
      <c r="G27">
        <v>64.7</v>
      </c>
    </row>
    <row r="28" spans="1:7" x14ac:dyDescent="0.25">
      <c r="A28" t="s">
        <v>979</v>
      </c>
      <c r="B28" t="s">
        <v>307</v>
      </c>
      <c r="C28">
        <v>41.7</v>
      </c>
      <c r="D28">
        <v>423.1</v>
      </c>
      <c r="E28">
        <v>2.9</v>
      </c>
      <c r="F28">
        <v>0.1</v>
      </c>
      <c r="G28">
        <v>59.6</v>
      </c>
    </row>
    <row r="29" spans="1:7" x14ac:dyDescent="0.25">
      <c r="A29" t="s">
        <v>172</v>
      </c>
      <c r="B29" t="s">
        <v>281</v>
      </c>
      <c r="C29">
        <v>33.200000000000003</v>
      </c>
      <c r="D29">
        <v>331.4</v>
      </c>
      <c r="E29">
        <v>3.2</v>
      </c>
      <c r="F29">
        <v>0.1</v>
      </c>
      <c r="G29">
        <v>52.5</v>
      </c>
    </row>
    <row r="30" spans="1:7" x14ac:dyDescent="0.25">
      <c r="A30" t="s">
        <v>2486</v>
      </c>
      <c r="B30" t="s">
        <v>295</v>
      </c>
      <c r="C30">
        <v>31.9</v>
      </c>
      <c r="D30">
        <v>351.9</v>
      </c>
      <c r="E30">
        <v>2.9</v>
      </c>
      <c r="F30">
        <v>0.2</v>
      </c>
      <c r="G30">
        <v>52.2</v>
      </c>
    </row>
    <row r="31" spans="1:7" x14ac:dyDescent="0.25">
      <c r="A31" t="s">
        <v>434</v>
      </c>
      <c r="B31" t="s">
        <v>304</v>
      </c>
      <c r="C31">
        <v>36.1</v>
      </c>
      <c r="D31">
        <v>358.5</v>
      </c>
      <c r="E31">
        <v>2.6</v>
      </c>
      <c r="F31">
        <v>0</v>
      </c>
      <c r="G31">
        <v>51.4</v>
      </c>
    </row>
    <row r="32" spans="1:7" x14ac:dyDescent="0.25">
      <c r="A32" t="s">
        <v>227</v>
      </c>
      <c r="B32" t="s">
        <v>281</v>
      </c>
      <c r="C32">
        <v>34.299999999999997</v>
      </c>
      <c r="D32">
        <v>317.3</v>
      </c>
      <c r="E32">
        <v>3.1</v>
      </c>
      <c r="F32">
        <v>0.1</v>
      </c>
      <c r="G32">
        <v>50.2</v>
      </c>
    </row>
    <row r="33" spans="1:7" x14ac:dyDescent="0.25">
      <c r="A33" t="s">
        <v>823</v>
      </c>
      <c r="B33" t="s">
        <v>277</v>
      </c>
      <c r="C33">
        <v>32.200000000000003</v>
      </c>
      <c r="D33">
        <v>335.2</v>
      </c>
      <c r="E33">
        <v>2.8</v>
      </c>
      <c r="F33">
        <v>0.4</v>
      </c>
      <c r="G33">
        <v>49.7</v>
      </c>
    </row>
    <row r="34" spans="1:7" x14ac:dyDescent="0.25">
      <c r="A34" t="s">
        <v>427</v>
      </c>
      <c r="B34" t="s">
        <v>276</v>
      </c>
      <c r="C34">
        <v>31.3</v>
      </c>
      <c r="D34">
        <v>333.2</v>
      </c>
      <c r="E34">
        <v>2.5</v>
      </c>
      <c r="F34">
        <v>0.1</v>
      </c>
      <c r="G34">
        <v>48.3</v>
      </c>
    </row>
    <row r="35" spans="1:7" x14ac:dyDescent="0.25">
      <c r="A35" t="s">
        <v>818</v>
      </c>
      <c r="B35" t="s">
        <v>306</v>
      </c>
      <c r="C35">
        <v>27.9</v>
      </c>
      <c r="D35">
        <v>295.3</v>
      </c>
      <c r="E35">
        <v>2.9</v>
      </c>
      <c r="F35">
        <v>0</v>
      </c>
      <c r="G35">
        <v>46.6</v>
      </c>
    </row>
    <row r="36" spans="1:7" x14ac:dyDescent="0.25">
      <c r="A36" t="s">
        <v>598</v>
      </c>
      <c r="B36" t="s">
        <v>304</v>
      </c>
      <c r="C36">
        <v>34</v>
      </c>
      <c r="D36">
        <v>328.3</v>
      </c>
      <c r="E36">
        <v>2.1</v>
      </c>
      <c r="F36">
        <v>0.1</v>
      </c>
      <c r="G36">
        <v>44.9</v>
      </c>
    </row>
    <row r="37" spans="1:7" x14ac:dyDescent="0.25">
      <c r="A37" t="s">
        <v>820</v>
      </c>
      <c r="B37" t="s">
        <v>308</v>
      </c>
      <c r="C37">
        <v>29</v>
      </c>
      <c r="D37">
        <v>305.10000000000002</v>
      </c>
      <c r="E37">
        <v>2.4</v>
      </c>
      <c r="F37">
        <v>0.4</v>
      </c>
      <c r="G37">
        <v>44.4</v>
      </c>
    </row>
    <row r="38" spans="1:7" x14ac:dyDescent="0.25">
      <c r="A38" t="s">
        <v>2472</v>
      </c>
      <c r="B38" t="s">
        <v>307</v>
      </c>
      <c r="C38">
        <v>37</v>
      </c>
      <c r="D38">
        <v>334</v>
      </c>
      <c r="E38">
        <v>2</v>
      </c>
      <c r="F38">
        <v>1</v>
      </c>
      <c r="G38">
        <v>43.4</v>
      </c>
    </row>
    <row r="39" spans="1:7" x14ac:dyDescent="0.25">
      <c r="A39" t="s">
        <v>753</v>
      </c>
      <c r="B39" t="s">
        <v>814</v>
      </c>
      <c r="C39">
        <v>25</v>
      </c>
      <c r="D39">
        <v>281.39999999999998</v>
      </c>
      <c r="E39">
        <v>2.4</v>
      </c>
      <c r="F39">
        <v>0</v>
      </c>
      <c r="G39">
        <v>42.5</v>
      </c>
    </row>
    <row r="40" spans="1:7" x14ac:dyDescent="0.25">
      <c r="A40" t="s">
        <v>643</v>
      </c>
      <c r="B40" t="s">
        <v>291</v>
      </c>
      <c r="C40">
        <v>26.2</v>
      </c>
      <c r="D40">
        <v>308.2</v>
      </c>
      <c r="E40">
        <v>1.8</v>
      </c>
      <c r="F40">
        <v>0.4</v>
      </c>
      <c r="G40">
        <v>41.1</v>
      </c>
    </row>
    <row r="41" spans="1:7" x14ac:dyDescent="0.25">
      <c r="A41" t="s">
        <v>982</v>
      </c>
      <c r="B41" t="s">
        <v>282</v>
      </c>
      <c r="C41">
        <v>27.2</v>
      </c>
      <c r="D41">
        <v>278.60000000000002</v>
      </c>
      <c r="E41">
        <v>2.2000000000000002</v>
      </c>
      <c r="F41">
        <v>0.1</v>
      </c>
      <c r="G41">
        <v>40.6</v>
      </c>
    </row>
    <row r="42" spans="1:7" x14ac:dyDescent="0.25">
      <c r="A42" t="s">
        <v>431</v>
      </c>
      <c r="B42" t="s">
        <v>284</v>
      </c>
      <c r="C42">
        <v>26.6</v>
      </c>
      <c r="D42">
        <v>236.9</v>
      </c>
      <c r="E42">
        <v>2.2999999999999998</v>
      </c>
      <c r="F42">
        <v>0</v>
      </c>
      <c r="G42">
        <v>37.5</v>
      </c>
    </row>
    <row r="43" spans="1:7" x14ac:dyDescent="0.25">
      <c r="A43" t="s">
        <v>2478</v>
      </c>
      <c r="B43" t="s">
        <v>292</v>
      </c>
      <c r="C43">
        <v>25.6</v>
      </c>
      <c r="D43">
        <v>262.39999999999998</v>
      </c>
      <c r="E43">
        <v>1.8</v>
      </c>
      <c r="F43">
        <v>0.2</v>
      </c>
      <c r="G43">
        <v>36.9</v>
      </c>
    </row>
    <row r="44" spans="1:7" x14ac:dyDescent="0.25">
      <c r="A44" t="s">
        <v>830</v>
      </c>
      <c r="B44" t="s">
        <v>296</v>
      </c>
      <c r="C44">
        <v>23</v>
      </c>
      <c r="D44">
        <v>253.5</v>
      </c>
      <c r="E44">
        <v>2</v>
      </c>
      <c r="F44">
        <v>1</v>
      </c>
      <c r="G44">
        <v>35.4</v>
      </c>
    </row>
    <row r="45" spans="1:7" x14ac:dyDescent="0.25">
      <c r="A45" t="s">
        <v>2473</v>
      </c>
      <c r="B45" t="s">
        <v>280</v>
      </c>
      <c r="C45">
        <v>22.3</v>
      </c>
      <c r="D45">
        <v>236.4</v>
      </c>
      <c r="E45">
        <v>2.1</v>
      </c>
      <c r="F45">
        <v>0.6</v>
      </c>
      <c r="G45">
        <v>35.299999999999997</v>
      </c>
    </row>
    <row r="46" spans="1:7" x14ac:dyDescent="0.25">
      <c r="A46" t="s">
        <v>974</v>
      </c>
      <c r="B46" t="s">
        <v>286</v>
      </c>
      <c r="C46">
        <v>21.1</v>
      </c>
      <c r="D46">
        <v>221</v>
      </c>
      <c r="E46">
        <v>2.2000000000000002</v>
      </c>
      <c r="F46">
        <v>0.1</v>
      </c>
      <c r="G46">
        <v>35.1</v>
      </c>
    </row>
    <row r="47" spans="1:7" x14ac:dyDescent="0.25">
      <c r="A47" t="s">
        <v>593</v>
      </c>
      <c r="B47" t="s">
        <v>307</v>
      </c>
      <c r="C47">
        <v>28.1</v>
      </c>
      <c r="D47">
        <v>270.7</v>
      </c>
      <c r="E47">
        <v>1.2</v>
      </c>
      <c r="F47">
        <v>0.5</v>
      </c>
      <c r="G47">
        <v>33.4</v>
      </c>
    </row>
    <row r="48" spans="1:7" x14ac:dyDescent="0.25">
      <c r="A48" t="s">
        <v>752</v>
      </c>
      <c r="B48" t="s">
        <v>278</v>
      </c>
      <c r="C48">
        <v>24.3</v>
      </c>
      <c r="D48">
        <v>248.6</v>
      </c>
      <c r="E48">
        <v>1.5</v>
      </c>
      <c r="F48">
        <v>0.5</v>
      </c>
      <c r="G48">
        <v>32.799999999999997</v>
      </c>
    </row>
    <row r="49" spans="1:7" x14ac:dyDescent="0.25">
      <c r="A49" t="s">
        <v>595</v>
      </c>
      <c r="B49" t="s">
        <v>298</v>
      </c>
      <c r="C49">
        <v>24</v>
      </c>
      <c r="D49">
        <v>238.1</v>
      </c>
      <c r="E49">
        <v>1.3</v>
      </c>
      <c r="F49">
        <v>0</v>
      </c>
      <c r="G49">
        <v>31.8</v>
      </c>
    </row>
    <row r="50" spans="1:7" x14ac:dyDescent="0.25">
      <c r="A50" t="s">
        <v>539</v>
      </c>
      <c r="B50" t="s">
        <v>277</v>
      </c>
      <c r="C50">
        <v>19</v>
      </c>
      <c r="D50">
        <v>202</v>
      </c>
      <c r="E50">
        <v>2</v>
      </c>
      <c r="F50">
        <v>1</v>
      </c>
      <c r="G50">
        <v>30.2</v>
      </c>
    </row>
    <row r="51" spans="1:7" x14ac:dyDescent="0.25">
      <c r="A51" t="s">
        <v>2474</v>
      </c>
      <c r="B51" t="s">
        <v>281</v>
      </c>
      <c r="C51">
        <v>19.7</v>
      </c>
      <c r="D51">
        <v>206.1</v>
      </c>
      <c r="E51">
        <v>1.7</v>
      </c>
      <c r="F51">
        <v>0.5</v>
      </c>
      <c r="G51">
        <v>30</v>
      </c>
    </row>
    <row r="52" spans="1:7" x14ac:dyDescent="0.25">
      <c r="A52" t="s">
        <v>196</v>
      </c>
      <c r="B52" t="s">
        <v>307</v>
      </c>
      <c r="C52">
        <v>19.100000000000001</v>
      </c>
      <c r="D52">
        <v>209.4</v>
      </c>
      <c r="E52">
        <v>1.5</v>
      </c>
      <c r="F52">
        <v>0.1</v>
      </c>
      <c r="G52">
        <v>29.6</v>
      </c>
    </row>
    <row r="53" spans="1:7" x14ac:dyDescent="0.25">
      <c r="A53" t="s">
        <v>2475</v>
      </c>
      <c r="B53" t="s">
        <v>294</v>
      </c>
      <c r="C53">
        <v>19.3</v>
      </c>
      <c r="D53">
        <v>202.1</v>
      </c>
      <c r="E53">
        <v>1.7</v>
      </c>
      <c r="F53">
        <v>0.5</v>
      </c>
      <c r="G53">
        <v>29.1</v>
      </c>
    </row>
    <row r="54" spans="1:7" x14ac:dyDescent="0.25">
      <c r="A54" t="s">
        <v>825</v>
      </c>
      <c r="B54" t="s">
        <v>307</v>
      </c>
      <c r="C54">
        <v>23.7</v>
      </c>
      <c r="D54">
        <v>224.3</v>
      </c>
      <c r="E54">
        <v>1.2</v>
      </c>
      <c r="F54">
        <v>0.4</v>
      </c>
      <c r="G54">
        <v>28.8</v>
      </c>
    </row>
    <row r="55" spans="1:7" x14ac:dyDescent="0.25">
      <c r="A55" t="s">
        <v>985</v>
      </c>
      <c r="B55" t="s">
        <v>280</v>
      </c>
      <c r="C55">
        <v>18.5</v>
      </c>
      <c r="D55">
        <v>207.4</v>
      </c>
      <c r="E55">
        <v>1.4</v>
      </c>
      <c r="F55">
        <v>0.1</v>
      </c>
      <c r="G55">
        <v>28.8</v>
      </c>
    </row>
    <row r="56" spans="1:7" x14ac:dyDescent="0.25">
      <c r="A56" t="s">
        <v>822</v>
      </c>
      <c r="B56" t="s">
        <v>275</v>
      </c>
      <c r="C56">
        <v>18.399999999999999</v>
      </c>
      <c r="D56">
        <v>194.7</v>
      </c>
      <c r="E56">
        <v>1.5</v>
      </c>
      <c r="F56">
        <v>0</v>
      </c>
      <c r="G56">
        <v>28.6</v>
      </c>
    </row>
    <row r="57" spans="1:7" x14ac:dyDescent="0.25">
      <c r="A57" t="s">
        <v>2476</v>
      </c>
      <c r="B57" t="s">
        <v>306</v>
      </c>
      <c r="C57">
        <v>17.5</v>
      </c>
      <c r="D57">
        <v>189.9</v>
      </c>
      <c r="E57">
        <v>1.4</v>
      </c>
      <c r="F57">
        <v>0.1</v>
      </c>
      <c r="G57">
        <v>27.1</v>
      </c>
    </row>
    <row r="58" spans="1:7" x14ac:dyDescent="0.25">
      <c r="A58" t="s">
        <v>594</v>
      </c>
      <c r="B58" t="s">
        <v>279</v>
      </c>
      <c r="C58">
        <v>19.100000000000001</v>
      </c>
      <c r="D58">
        <v>199.2</v>
      </c>
      <c r="E58">
        <v>1.2</v>
      </c>
      <c r="F58">
        <v>0.1</v>
      </c>
      <c r="G58">
        <v>27</v>
      </c>
    </row>
    <row r="59" spans="1:7" x14ac:dyDescent="0.25">
      <c r="A59" t="s">
        <v>981</v>
      </c>
      <c r="B59" t="s">
        <v>283</v>
      </c>
      <c r="C59">
        <v>16.8</v>
      </c>
      <c r="D59">
        <v>188.2</v>
      </c>
      <c r="E59">
        <v>1.2</v>
      </c>
      <c r="F59">
        <v>0</v>
      </c>
      <c r="G59">
        <v>26.2</v>
      </c>
    </row>
    <row r="60" spans="1:7" x14ac:dyDescent="0.25">
      <c r="A60" t="s">
        <v>596</v>
      </c>
      <c r="B60" t="s">
        <v>282</v>
      </c>
      <c r="C60">
        <v>18.5</v>
      </c>
      <c r="D60">
        <v>182.6</v>
      </c>
      <c r="E60">
        <v>1</v>
      </c>
      <c r="F60">
        <v>0.1</v>
      </c>
      <c r="G60">
        <v>24.3</v>
      </c>
    </row>
    <row r="61" spans="1:7" x14ac:dyDescent="0.25">
      <c r="A61" t="s">
        <v>421</v>
      </c>
      <c r="B61" t="s">
        <v>275</v>
      </c>
      <c r="C61">
        <v>16.5</v>
      </c>
      <c r="D61">
        <v>169</v>
      </c>
      <c r="E61">
        <v>1.2</v>
      </c>
      <c r="F61">
        <v>0.4</v>
      </c>
      <c r="G61">
        <v>23.5</v>
      </c>
    </row>
    <row r="62" spans="1:7" x14ac:dyDescent="0.25">
      <c r="A62" t="s">
        <v>321</v>
      </c>
      <c r="B62" t="s">
        <v>299</v>
      </c>
      <c r="C62">
        <v>15.5</v>
      </c>
      <c r="D62">
        <v>157</v>
      </c>
      <c r="E62">
        <v>1.2</v>
      </c>
      <c r="F62">
        <v>0.1</v>
      </c>
      <c r="G62">
        <v>22.9</v>
      </c>
    </row>
    <row r="63" spans="1:7" x14ac:dyDescent="0.25">
      <c r="A63" t="s">
        <v>997</v>
      </c>
      <c r="B63" t="s">
        <v>292</v>
      </c>
      <c r="C63">
        <v>15.8</v>
      </c>
      <c r="D63">
        <v>153.30000000000001</v>
      </c>
      <c r="E63">
        <v>1.2</v>
      </c>
      <c r="F63">
        <v>0.1</v>
      </c>
      <c r="G63">
        <v>22</v>
      </c>
    </row>
    <row r="64" spans="1:7" x14ac:dyDescent="0.25">
      <c r="A64" t="s">
        <v>993</v>
      </c>
      <c r="B64" t="s">
        <v>289</v>
      </c>
      <c r="C64">
        <v>14</v>
      </c>
      <c r="D64">
        <v>148</v>
      </c>
      <c r="E64">
        <v>1</v>
      </c>
      <c r="F64">
        <v>0</v>
      </c>
      <c r="G64">
        <v>20.8</v>
      </c>
    </row>
    <row r="65" spans="1:7" x14ac:dyDescent="0.25">
      <c r="A65" t="s">
        <v>2480</v>
      </c>
      <c r="B65" t="s">
        <v>285</v>
      </c>
      <c r="C65">
        <v>14.1</v>
      </c>
      <c r="D65">
        <v>147</v>
      </c>
      <c r="E65">
        <v>1</v>
      </c>
      <c r="F65">
        <v>0</v>
      </c>
      <c r="G65">
        <v>20.3</v>
      </c>
    </row>
    <row r="66" spans="1:7" x14ac:dyDescent="0.25">
      <c r="A66" t="s">
        <v>424</v>
      </c>
      <c r="B66" t="s">
        <v>294</v>
      </c>
      <c r="C66">
        <v>14.3</v>
      </c>
      <c r="D66">
        <v>153.69999999999999</v>
      </c>
      <c r="E66">
        <v>0.7</v>
      </c>
      <c r="F66">
        <v>0</v>
      </c>
      <c r="G66">
        <v>19.7</v>
      </c>
    </row>
    <row r="67" spans="1:7" x14ac:dyDescent="0.25">
      <c r="A67" t="s">
        <v>2479</v>
      </c>
      <c r="B67" t="s">
        <v>296</v>
      </c>
      <c r="C67">
        <v>14</v>
      </c>
      <c r="D67">
        <v>136</v>
      </c>
      <c r="E67">
        <v>1</v>
      </c>
      <c r="F67">
        <v>0</v>
      </c>
      <c r="G67">
        <v>19.600000000000001</v>
      </c>
    </row>
    <row r="68" spans="1:7" x14ac:dyDescent="0.25">
      <c r="A68" t="s">
        <v>977</v>
      </c>
      <c r="B68" t="s">
        <v>303</v>
      </c>
      <c r="C68">
        <v>12</v>
      </c>
      <c r="D68">
        <v>132</v>
      </c>
      <c r="E68">
        <v>1</v>
      </c>
      <c r="F68">
        <v>0</v>
      </c>
      <c r="G68">
        <v>19.2</v>
      </c>
    </row>
    <row r="69" spans="1:7" x14ac:dyDescent="0.25">
      <c r="A69" t="s">
        <v>824</v>
      </c>
      <c r="B69" t="s">
        <v>303</v>
      </c>
      <c r="C69">
        <v>12</v>
      </c>
      <c r="D69">
        <v>126.3</v>
      </c>
      <c r="E69">
        <v>1.1000000000000001</v>
      </c>
      <c r="F69">
        <v>0.1</v>
      </c>
      <c r="G69">
        <v>19.2</v>
      </c>
    </row>
    <row r="70" spans="1:7" x14ac:dyDescent="0.25">
      <c r="A70" t="s">
        <v>2489</v>
      </c>
      <c r="B70" t="s">
        <v>297</v>
      </c>
      <c r="C70">
        <v>12</v>
      </c>
      <c r="D70">
        <v>122</v>
      </c>
      <c r="E70">
        <v>1</v>
      </c>
      <c r="F70">
        <v>0</v>
      </c>
      <c r="G70">
        <v>18.2</v>
      </c>
    </row>
    <row r="71" spans="1:7" x14ac:dyDescent="0.25">
      <c r="A71" t="s">
        <v>2680</v>
      </c>
      <c r="B71" t="s">
        <v>275</v>
      </c>
      <c r="C71">
        <v>12</v>
      </c>
      <c r="D71">
        <v>122</v>
      </c>
      <c r="E71">
        <v>1</v>
      </c>
      <c r="F71">
        <v>0</v>
      </c>
      <c r="G71">
        <v>18.2</v>
      </c>
    </row>
    <row r="72" spans="1:7" x14ac:dyDescent="0.25">
      <c r="A72" t="s">
        <v>435</v>
      </c>
      <c r="B72" t="s">
        <v>291</v>
      </c>
      <c r="C72">
        <v>10.4</v>
      </c>
      <c r="D72">
        <v>111.1</v>
      </c>
      <c r="E72">
        <v>1.2</v>
      </c>
      <c r="F72">
        <v>0</v>
      </c>
      <c r="G72">
        <v>17.899999999999999</v>
      </c>
    </row>
    <row r="73" spans="1:7" x14ac:dyDescent="0.25">
      <c r="A73" t="s">
        <v>1030</v>
      </c>
      <c r="B73" t="s">
        <v>304</v>
      </c>
      <c r="C73">
        <v>10</v>
      </c>
      <c r="D73">
        <v>119</v>
      </c>
      <c r="E73">
        <v>1</v>
      </c>
      <c r="F73">
        <v>0</v>
      </c>
      <c r="G73">
        <v>17.899999999999999</v>
      </c>
    </row>
    <row r="74" spans="1:7" x14ac:dyDescent="0.25">
      <c r="A74" t="s">
        <v>432</v>
      </c>
      <c r="B74" t="s">
        <v>301</v>
      </c>
      <c r="C74">
        <v>11.2</v>
      </c>
      <c r="D74">
        <v>122.1</v>
      </c>
      <c r="E74">
        <v>0.8</v>
      </c>
      <c r="F74">
        <v>0</v>
      </c>
      <c r="G74">
        <v>17.100000000000001</v>
      </c>
    </row>
    <row r="75" spans="1:7" x14ac:dyDescent="0.25">
      <c r="A75" t="s">
        <v>2481</v>
      </c>
      <c r="B75" t="s">
        <v>287</v>
      </c>
      <c r="C75">
        <v>11.2</v>
      </c>
      <c r="D75">
        <v>107.8</v>
      </c>
      <c r="E75">
        <v>1.1000000000000001</v>
      </c>
      <c r="F75">
        <v>0</v>
      </c>
      <c r="G75">
        <v>17</v>
      </c>
    </row>
    <row r="76" spans="1:7" x14ac:dyDescent="0.25">
      <c r="A76" t="s">
        <v>2493</v>
      </c>
      <c r="B76" t="s">
        <v>278</v>
      </c>
      <c r="C76">
        <v>12.7</v>
      </c>
      <c r="D76">
        <v>126.9</v>
      </c>
      <c r="E76">
        <v>0.8</v>
      </c>
      <c r="F76">
        <v>0.2</v>
      </c>
      <c r="G76">
        <v>17</v>
      </c>
    </row>
    <row r="77" spans="1:7" x14ac:dyDescent="0.25">
      <c r="A77" t="s">
        <v>425</v>
      </c>
      <c r="B77" t="s">
        <v>295</v>
      </c>
      <c r="C77">
        <v>11.1</v>
      </c>
      <c r="D77">
        <v>104.1</v>
      </c>
      <c r="E77">
        <v>1.1000000000000001</v>
      </c>
      <c r="F77">
        <v>0</v>
      </c>
      <c r="G77">
        <v>16.7</v>
      </c>
    </row>
    <row r="78" spans="1:7" x14ac:dyDescent="0.25">
      <c r="A78" t="s">
        <v>756</v>
      </c>
      <c r="B78" t="s">
        <v>296</v>
      </c>
      <c r="C78">
        <v>12.2</v>
      </c>
      <c r="D78">
        <v>112.1</v>
      </c>
      <c r="E78">
        <v>0.9</v>
      </c>
      <c r="F78">
        <v>0</v>
      </c>
      <c r="G78">
        <v>16.600000000000001</v>
      </c>
    </row>
    <row r="79" spans="1:7" x14ac:dyDescent="0.25">
      <c r="A79" t="s">
        <v>2484</v>
      </c>
      <c r="B79" t="s">
        <v>296</v>
      </c>
      <c r="C79">
        <v>9.3000000000000007</v>
      </c>
      <c r="D79">
        <v>99</v>
      </c>
      <c r="E79">
        <v>1.1000000000000001</v>
      </c>
      <c r="F79">
        <v>0</v>
      </c>
      <c r="G79">
        <v>16.5</v>
      </c>
    </row>
    <row r="80" spans="1:7" x14ac:dyDescent="0.25">
      <c r="A80" t="s">
        <v>754</v>
      </c>
      <c r="B80" t="s">
        <v>288</v>
      </c>
      <c r="C80">
        <v>12</v>
      </c>
      <c r="D80">
        <v>112.1</v>
      </c>
      <c r="E80">
        <v>0.9</v>
      </c>
      <c r="F80">
        <v>0</v>
      </c>
      <c r="G80">
        <v>16.399999999999999</v>
      </c>
    </row>
    <row r="81" spans="1:7" x14ac:dyDescent="0.25">
      <c r="A81" t="s">
        <v>978</v>
      </c>
      <c r="B81" t="s">
        <v>296</v>
      </c>
      <c r="C81">
        <v>10.6</v>
      </c>
      <c r="D81">
        <v>100</v>
      </c>
      <c r="E81">
        <v>1</v>
      </c>
      <c r="F81">
        <v>0</v>
      </c>
      <c r="G81">
        <v>16.2</v>
      </c>
    </row>
    <row r="82" spans="1:7" x14ac:dyDescent="0.25">
      <c r="A82" t="s">
        <v>2497</v>
      </c>
      <c r="B82" t="s">
        <v>278</v>
      </c>
      <c r="C82">
        <v>11</v>
      </c>
      <c r="D82">
        <v>101</v>
      </c>
      <c r="E82">
        <v>1</v>
      </c>
      <c r="F82">
        <v>0</v>
      </c>
      <c r="G82">
        <v>16.100000000000001</v>
      </c>
    </row>
    <row r="83" spans="1:7" x14ac:dyDescent="0.25">
      <c r="A83" t="s">
        <v>2482</v>
      </c>
      <c r="B83" t="s">
        <v>288</v>
      </c>
      <c r="C83">
        <v>11.6</v>
      </c>
      <c r="D83">
        <v>116.7</v>
      </c>
      <c r="E83">
        <v>0.7</v>
      </c>
      <c r="F83">
        <v>0.1</v>
      </c>
      <c r="G83">
        <v>15.7</v>
      </c>
    </row>
    <row r="84" spans="1:7" x14ac:dyDescent="0.25">
      <c r="A84" t="s">
        <v>751</v>
      </c>
      <c r="B84" t="s">
        <v>290</v>
      </c>
      <c r="C84">
        <v>10.6</v>
      </c>
      <c r="D84">
        <v>104.2</v>
      </c>
      <c r="E84">
        <v>0.8</v>
      </c>
      <c r="F84">
        <v>0</v>
      </c>
      <c r="G84">
        <v>15.3</v>
      </c>
    </row>
    <row r="85" spans="1:7" x14ac:dyDescent="0.25">
      <c r="A85" t="s">
        <v>980</v>
      </c>
      <c r="B85" t="s">
        <v>291</v>
      </c>
      <c r="C85">
        <v>9.8000000000000007</v>
      </c>
      <c r="D85">
        <v>90.5</v>
      </c>
      <c r="E85">
        <v>0.8</v>
      </c>
      <c r="F85">
        <v>0</v>
      </c>
      <c r="G85">
        <v>13.6</v>
      </c>
    </row>
    <row r="86" spans="1:7" x14ac:dyDescent="0.25">
      <c r="A86" t="s">
        <v>2483</v>
      </c>
      <c r="B86" t="s">
        <v>281</v>
      </c>
      <c r="C86">
        <v>9.1999999999999993</v>
      </c>
      <c r="D86">
        <v>91.7</v>
      </c>
      <c r="E86">
        <v>0.7</v>
      </c>
      <c r="F86">
        <v>0</v>
      </c>
      <c r="G86">
        <v>13.3</v>
      </c>
    </row>
    <row r="87" spans="1:7" x14ac:dyDescent="0.25">
      <c r="A87" t="s">
        <v>2681</v>
      </c>
      <c r="B87" t="s">
        <v>285</v>
      </c>
      <c r="C87">
        <v>8.3000000000000007</v>
      </c>
      <c r="D87">
        <v>86.5</v>
      </c>
      <c r="E87">
        <v>0.8</v>
      </c>
      <c r="F87">
        <v>0.1</v>
      </c>
      <c r="G87">
        <v>13.1</v>
      </c>
    </row>
    <row r="88" spans="1:7" x14ac:dyDescent="0.25">
      <c r="A88" t="s">
        <v>816</v>
      </c>
      <c r="B88" t="s">
        <v>290</v>
      </c>
      <c r="C88">
        <v>7</v>
      </c>
      <c r="D88">
        <v>87.2</v>
      </c>
      <c r="E88">
        <v>0.7</v>
      </c>
      <c r="F88">
        <v>0</v>
      </c>
      <c r="G88">
        <v>12.7</v>
      </c>
    </row>
    <row r="89" spans="1:7" x14ac:dyDescent="0.25">
      <c r="A89" t="s">
        <v>2738</v>
      </c>
      <c r="B89" t="s">
        <v>294</v>
      </c>
      <c r="C89">
        <v>8.1</v>
      </c>
      <c r="D89">
        <v>84.1</v>
      </c>
      <c r="E89">
        <v>0.7</v>
      </c>
      <c r="F89">
        <v>0</v>
      </c>
      <c r="G89">
        <v>12.4</v>
      </c>
    </row>
    <row r="90" spans="1:7" x14ac:dyDescent="0.25">
      <c r="A90" t="s">
        <v>760</v>
      </c>
      <c r="B90" t="s">
        <v>297</v>
      </c>
      <c r="C90">
        <v>7.6</v>
      </c>
      <c r="D90">
        <v>76.900000000000006</v>
      </c>
      <c r="E90">
        <v>0.7</v>
      </c>
      <c r="F90">
        <v>0</v>
      </c>
      <c r="G90">
        <v>12</v>
      </c>
    </row>
    <row r="91" spans="1:7" x14ac:dyDescent="0.25">
      <c r="A91" t="s">
        <v>430</v>
      </c>
      <c r="B91" t="s">
        <v>277</v>
      </c>
      <c r="C91">
        <v>6.9</v>
      </c>
      <c r="D91">
        <v>76</v>
      </c>
      <c r="E91">
        <v>0.7</v>
      </c>
      <c r="F91">
        <v>0</v>
      </c>
      <c r="G91">
        <v>11.9</v>
      </c>
    </row>
    <row r="92" spans="1:7" x14ac:dyDescent="0.25">
      <c r="A92" t="s">
        <v>761</v>
      </c>
      <c r="B92" t="s">
        <v>301</v>
      </c>
      <c r="C92">
        <v>8.6999999999999993</v>
      </c>
      <c r="D92">
        <v>79.2</v>
      </c>
      <c r="E92">
        <v>0.6</v>
      </c>
      <c r="F92">
        <v>0</v>
      </c>
      <c r="G92">
        <v>11.8</v>
      </c>
    </row>
    <row r="93" spans="1:7" x14ac:dyDescent="0.25">
      <c r="A93" t="s">
        <v>2488</v>
      </c>
      <c r="B93" t="s">
        <v>293</v>
      </c>
      <c r="C93">
        <v>6.9</v>
      </c>
      <c r="D93">
        <v>70.400000000000006</v>
      </c>
      <c r="E93">
        <v>0.7</v>
      </c>
      <c r="F93">
        <v>0</v>
      </c>
      <c r="G93">
        <v>11.2</v>
      </c>
    </row>
    <row r="94" spans="1:7" x14ac:dyDescent="0.25">
      <c r="A94" t="s">
        <v>983</v>
      </c>
      <c r="B94" t="s">
        <v>286</v>
      </c>
      <c r="C94">
        <v>8.4</v>
      </c>
      <c r="D94">
        <v>80.599999999999994</v>
      </c>
      <c r="E94">
        <v>0.5</v>
      </c>
      <c r="F94">
        <v>0</v>
      </c>
      <c r="G94">
        <v>11.2</v>
      </c>
    </row>
    <row r="95" spans="1:7" x14ac:dyDescent="0.25">
      <c r="A95" t="s">
        <v>657</v>
      </c>
      <c r="B95" t="s">
        <v>293</v>
      </c>
      <c r="C95">
        <v>7.2</v>
      </c>
      <c r="D95">
        <v>69.3</v>
      </c>
      <c r="E95">
        <v>0.7</v>
      </c>
      <c r="F95">
        <v>0.1</v>
      </c>
      <c r="G95">
        <v>11</v>
      </c>
    </row>
    <row r="96" spans="1:7" x14ac:dyDescent="0.25">
      <c r="A96" t="s">
        <v>986</v>
      </c>
      <c r="B96" t="s">
        <v>284</v>
      </c>
      <c r="C96">
        <v>8.6</v>
      </c>
      <c r="D96">
        <v>69.2</v>
      </c>
      <c r="E96">
        <v>0.7</v>
      </c>
      <c r="F96">
        <v>0</v>
      </c>
      <c r="G96">
        <v>10.9</v>
      </c>
    </row>
    <row r="97" spans="1:7" x14ac:dyDescent="0.25">
      <c r="A97" t="s">
        <v>2491</v>
      </c>
      <c r="B97" t="s">
        <v>284</v>
      </c>
      <c r="C97">
        <v>7</v>
      </c>
      <c r="D97">
        <v>74</v>
      </c>
      <c r="E97">
        <v>0.6</v>
      </c>
      <c r="F97">
        <v>0</v>
      </c>
      <c r="G97">
        <v>10.9</v>
      </c>
    </row>
    <row r="98" spans="1:7" x14ac:dyDescent="0.25">
      <c r="A98" t="s">
        <v>962</v>
      </c>
      <c r="B98" t="s">
        <v>277</v>
      </c>
      <c r="C98">
        <v>4.7</v>
      </c>
      <c r="D98">
        <v>52.3</v>
      </c>
      <c r="E98">
        <v>0.8</v>
      </c>
      <c r="F98">
        <v>0</v>
      </c>
      <c r="G98">
        <v>10.3</v>
      </c>
    </row>
    <row r="99" spans="1:7" x14ac:dyDescent="0.25">
      <c r="A99" t="s">
        <v>2622</v>
      </c>
      <c r="B99" t="s">
        <v>278</v>
      </c>
      <c r="C99">
        <v>7.2</v>
      </c>
      <c r="D99">
        <v>69.2</v>
      </c>
      <c r="E99">
        <v>0.5</v>
      </c>
      <c r="F99">
        <v>0</v>
      </c>
      <c r="G99">
        <v>10</v>
      </c>
    </row>
    <row r="100" spans="1:7" x14ac:dyDescent="0.25">
      <c r="A100" t="s">
        <v>2490</v>
      </c>
      <c r="B100" t="s">
        <v>287</v>
      </c>
      <c r="C100">
        <v>6.9</v>
      </c>
      <c r="D100">
        <v>62.2</v>
      </c>
      <c r="E100">
        <v>0.6</v>
      </c>
      <c r="F100">
        <v>0</v>
      </c>
      <c r="G100">
        <v>9.6999999999999993</v>
      </c>
    </row>
    <row r="101" spans="1:7" x14ac:dyDescent="0.25">
      <c r="A101" t="s">
        <v>2668</v>
      </c>
      <c r="B101" t="s">
        <v>283</v>
      </c>
      <c r="C101">
        <v>6.2</v>
      </c>
      <c r="D101">
        <v>65.099999999999994</v>
      </c>
      <c r="E101">
        <v>0.5</v>
      </c>
      <c r="F101">
        <v>0</v>
      </c>
      <c r="G101">
        <v>9.5</v>
      </c>
    </row>
    <row r="102" spans="1:7" x14ac:dyDescent="0.25">
      <c r="A102" t="s">
        <v>984</v>
      </c>
      <c r="B102" t="s">
        <v>297</v>
      </c>
      <c r="C102">
        <v>5.2</v>
      </c>
      <c r="D102">
        <v>54.8</v>
      </c>
      <c r="E102">
        <v>0.6</v>
      </c>
      <c r="F102">
        <v>0</v>
      </c>
      <c r="G102">
        <v>9.1</v>
      </c>
    </row>
    <row r="103" spans="1:7" x14ac:dyDescent="0.25">
      <c r="A103" t="s">
        <v>438</v>
      </c>
      <c r="B103" t="s">
        <v>306</v>
      </c>
      <c r="C103">
        <v>5.4</v>
      </c>
      <c r="D103">
        <v>57.9</v>
      </c>
      <c r="E103">
        <v>0.5</v>
      </c>
      <c r="F103">
        <v>0</v>
      </c>
      <c r="G103">
        <v>8.9</v>
      </c>
    </row>
    <row r="104" spans="1:7" x14ac:dyDescent="0.25">
      <c r="A104" t="s">
        <v>2492</v>
      </c>
      <c r="B104" t="s">
        <v>293</v>
      </c>
      <c r="C104">
        <v>7.1</v>
      </c>
      <c r="D104">
        <v>73.7</v>
      </c>
      <c r="E104">
        <v>0.3</v>
      </c>
      <c r="F104">
        <v>0</v>
      </c>
      <c r="G104">
        <v>8.9</v>
      </c>
    </row>
    <row r="105" spans="1:7" x14ac:dyDescent="0.25">
      <c r="A105" t="s">
        <v>750</v>
      </c>
      <c r="B105" t="s">
        <v>292</v>
      </c>
      <c r="C105">
        <v>5.7</v>
      </c>
      <c r="D105">
        <v>62.1</v>
      </c>
      <c r="E105">
        <v>0.4</v>
      </c>
      <c r="F105">
        <v>0.1</v>
      </c>
      <c r="G105">
        <v>8.6</v>
      </c>
    </row>
    <row r="106" spans="1:7" x14ac:dyDescent="0.25">
      <c r="A106" t="s">
        <v>821</v>
      </c>
      <c r="B106" t="s">
        <v>814</v>
      </c>
      <c r="C106">
        <v>5.4</v>
      </c>
      <c r="D106">
        <v>57.1</v>
      </c>
      <c r="E106">
        <v>0.5</v>
      </c>
      <c r="F106">
        <v>0</v>
      </c>
      <c r="G106">
        <v>8.5</v>
      </c>
    </row>
    <row r="107" spans="1:7" x14ac:dyDescent="0.25">
      <c r="A107" t="s">
        <v>758</v>
      </c>
      <c r="B107" t="s">
        <v>289</v>
      </c>
      <c r="C107">
        <v>5.9</v>
      </c>
      <c r="D107">
        <v>59.8</v>
      </c>
      <c r="E107">
        <v>0.4</v>
      </c>
      <c r="F107">
        <v>0</v>
      </c>
      <c r="G107">
        <v>8.3000000000000007</v>
      </c>
    </row>
    <row r="108" spans="1:7" x14ac:dyDescent="0.25">
      <c r="A108" t="s">
        <v>976</v>
      </c>
      <c r="B108" t="s">
        <v>298</v>
      </c>
      <c r="C108">
        <v>5.3</v>
      </c>
      <c r="D108">
        <v>49.9</v>
      </c>
      <c r="E108">
        <v>0.5</v>
      </c>
      <c r="F108">
        <v>0</v>
      </c>
      <c r="G108">
        <v>7.7</v>
      </c>
    </row>
    <row r="109" spans="1:7" x14ac:dyDescent="0.25">
      <c r="A109" t="s">
        <v>436</v>
      </c>
      <c r="B109" t="s">
        <v>306</v>
      </c>
      <c r="C109">
        <v>4.9000000000000004</v>
      </c>
      <c r="D109">
        <v>46.6</v>
      </c>
      <c r="E109">
        <v>0.5</v>
      </c>
      <c r="F109">
        <v>0</v>
      </c>
      <c r="G109">
        <v>7.4</v>
      </c>
    </row>
    <row r="110" spans="1:7" x14ac:dyDescent="0.25">
      <c r="A110" t="s">
        <v>829</v>
      </c>
      <c r="B110" t="s">
        <v>279</v>
      </c>
      <c r="C110">
        <v>5.4</v>
      </c>
      <c r="D110">
        <v>52.1</v>
      </c>
      <c r="E110">
        <v>0.4</v>
      </c>
      <c r="F110">
        <v>0.1</v>
      </c>
      <c r="G110">
        <v>7.4</v>
      </c>
    </row>
    <row r="111" spans="1:7" x14ac:dyDescent="0.25">
      <c r="A111" t="s">
        <v>911</v>
      </c>
      <c r="B111" t="s">
        <v>289</v>
      </c>
      <c r="C111">
        <v>4.2</v>
      </c>
      <c r="D111">
        <v>39.5</v>
      </c>
      <c r="E111">
        <v>0.4</v>
      </c>
      <c r="F111">
        <v>0</v>
      </c>
      <c r="G111">
        <v>6.5</v>
      </c>
    </row>
    <row r="112" spans="1:7" x14ac:dyDescent="0.25">
      <c r="A112" t="s">
        <v>2494</v>
      </c>
      <c r="B112" t="s">
        <v>304</v>
      </c>
      <c r="C112">
        <v>3.9</v>
      </c>
      <c r="D112">
        <v>39.1</v>
      </c>
      <c r="E112">
        <v>0.3</v>
      </c>
      <c r="F112">
        <v>0</v>
      </c>
      <c r="G112">
        <v>5.7</v>
      </c>
    </row>
    <row r="113" spans="1:7" x14ac:dyDescent="0.25">
      <c r="A113" t="s">
        <v>987</v>
      </c>
      <c r="B113" t="s">
        <v>282</v>
      </c>
      <c r="C113">
        <v>3.7</v>
      </c>
      <c r="D113">
        <v>37.299999999999997</v>
      </c>
      <c r="E113">
        <v>0.3</v>
      </c>
      <c r="F113">
        <v>0</v>
      </c>
      <c r="G113">
        <v>5.6</v>
      </c>
    </row>
    <row r="114" spans="1:7" x14ac:dyDescent="0.25">
      <c r="A114" t="s">
        <v>831</v>
      </c>
      <c r="B114" t="s">
        <v>303</v>
      </c>
      <c r="C114">
        <v>3.8</v>
      </c>
      <c r="D114">
        <v>39</v>
      </c>
      <c r="E114">
        <v>0.3</v>
      </c>
      <c r="F114">
        <v>0</v>
      </c>
      <c r="G114">
        <v>5.6</v>
      </c>
    </row>
    <row r="115" spans="1:7" x14ac:dyDescent="0.25">
      <c r="A115" t="s">
        <v>819</v>
      </c>
      <c r="B115" t="s">
        <v>282</v>
      </c>
      <c r="C115">
        <v>3.7</v>
      </c>
      <c r="D115">
        <v>37.6</v>
      </c>
      <c r="E115">
        <v>0.3</v>
      </c>
      <c r="F115">
        <v>0</v>
      </c>
      <c r="G115">
        <v>5.5</v>
      </c>
    </row>
    <row r="116" spans="1:7" x14ac:dyDescent="0.25">
      <c r="A116" t="s">
        <v>2682</v>
      </c>
      <c r="B116" t="s">
        <v>299</v>
      </c>
      <c r="C116">
        <v>3.6</v>
      </c>
      <c r="D116">
        <v>37.4</v>
      </c>
      <c r="E116">
        <v>0.3</v>
      </c>
      <c r="F116">
        <v>0</v>
      </c>
      <c r="G116">
        <v>5.3</v>
      </c>
    </row>
    <row r="117" spans="1:7" x14ac:dyDescent="0.25">
      <c r="A117" t="s">
        <v>2477</v>
      </c>
      <c r="B117" t="s">
        <v>295</v>
      </c>
      <c r="C117">
        <v>2.6</v>
      </c>
      <c r="D117">
        <v>27.5</v>
      </c>
      <c r="E117">
        <v>0.3</v>
      </c>
      <c r="F117">
        <v>0</v>
      </c>
      <c r="G117">
        <v>4.2</v>
      </c>
    </row>
    <row r="118" spans="1:7" x14ac:dyDescent="0.25">
      <c r="A118" t="s">
        <v>745</v>
      </c>
      <c r="B118" t="s">
        <v>295</v>
      </c>
      <c r="C118">
        <v>2.6</v>
      </c>
      <c r="D118">
        <v>26.1</v>
      </c>
      <c r="E118">
        <v>0.2</v>
      </c>
      <c r="F118">
        <v>0</v>
      </c>
      <c r="G118">
        <v>4.0999999999999996</v>
      </c>
    </row>
    <row r="119" spans="1:7" x14ac:dyDescent="0.25">
      <c r="A119" t="s">
        <v>827</v>
      </c>
      <c r="B119" t="s">
        <v>301</v>
      </c>
      <c r="C119">
        <v>2.5</v>
      </c>
      <c r="D119">
        <v>23.2</v>
      </c>
      <c r="E119">
        <v>0.2</v>
      </c>
      <c r="F119">
        <v>0</v>
      </c>
      <c r="G119">
        <v>3.7</v>
      </c>
    </row>
    <row r="120" spans="1:7" x14ac:dyDescent="0.25">
      <c r="A120" t="s">
        <v>2485</v>
      </c>
      <c r="B120" t="s">
        <v>283</v>
      </c>
      <c r="C120">
        <v>2.1</v>
      </c>
      <c r="D120">
        <v>22.4</v>
      </c>
      <c r="E120">
        <v>0.2</v>
      </c>
      <c r="F120">
        <v>0</v>
      </c>
      <c r="G120">
        <v>3.3</v>
      </c>
    </row>
    <row r="121" spans="1:7" x14ac:dyDescent="0.25">
      <c r="A121" t="s">
        <v>2683</v>
      </c>
      <c r="B121" t="s">
        <v>289</v>
      </c>
      <c r="C121">
        <v>1.9</v>
      </c>
      <c r="D121">
        <v>19.399999999999999</v>
      </c>
      <c r="E121">
        <v>0.2</v>
      </c>
      <c r="F121">
        <v>0</v>
      </c>
      <c r="G121">
        <v>3</v>
      </c>
    </row>
    <row r="122" spans="1:7" x14ac:dyDescent="0.25">
      <c r="A122" t="s">
        <v>2684</v>
      </c>
      <c r="B122" t="s">
        <v>298</v>
      </c>
      <c r="C122">
        <v>1.9</v>
      </c>
      <c r="D122">
        <v>18.8</v>
      </c>
      <c r="E122">
        <v>0.2</v>
      </c>
      <c r="F122">
        <v>0</v>
      </c>
      <c r="G122">
        <v>2.9</v>
      </c>
    </row>
    <row r="123" spans="1:7" x14ac:dyDescent="0.25">
      <c r="A123" t="s">
        <v>2496</v>
      </c>
      <c r="B123" t="s">
        <v>290</v>
      </c>
      <c r="C123">
        <v>1.8</v>
      </c>
      <c r="D123">
        <v>18.399999999999999</v>
      </c>
      <c r="E123">
        <v>0.2</v>
      </c>
      <c r="F123">
        <v>0</v>
      </c>
      <c r="G123">
        <v>2.8</v>
      </c>
    </row>
    <row r="124" spans="1:7" x14ac:dyDescent="0.25">
      <c r="A124" t="s">
        <v>2685</v>
      </c>
      <c r="B124" t="s">
        <v>287</v>
      </c>
      <c r="C124">
        <v>1.8</v>
      </c>
      <c r="D124">
        <v>18.100000000000001</v>
      </c>
      <c r="E124">
        <v>0.2</v>
      </c>
      <c r="F124">
        <v>0</v>
      </c>
      <c r="G124">
        <v>2.7</v>
      </c>
    </row>
    <row r="125" spans="1:7" x14ac:dyDescent="0.25">
      <c r="A125" t="s">
        <v>599</v>
      </c>
      <c r="B125" t="s">
        <v>298</v>
      </c>
      <c r="C125">
        <v>0.9</v>
      </c>
      <c r="D125">
        <v>8.9</v>
      </c>
      <c r="E125">
        <v>0.1</v>
      </c>
      <c r="F125">
        <v>0</v>
      </c>
      <c r="G125">
        <v>1.4</v>
      </c>
    </row>
    <row r="126" spans="1:7" x14ac:dyDescent="0.25">
      <c r="A126" t="s">
        <v>247</v>
      </c>
      <c r="B126" t="s">
        <v>308</v>
      </c>
      <c r="C126">
        <v>1</v>
      </c>
      <c r="D126">
        <v>9.3000000000000007</v>
      </c>
      <c r="E126">
        <v>0</v>
      </c>
      <c r="F126">
        <v>0</v>
      </c>
      <c r="G126">
        <v>0.9</v>
      </c>
    </row>
    <row r="127" spans="1:7" x14ac:dyDescent="0.25">
      <c r="A127" t="s">
        <v>828</v>
      </c>
      <c r="B127" t="s">
        <v>277</v>
      </c>
      <c r="C127">
        <v>0</v>
      </c>
      <c r="D127">
        <v>0</v>
      </c>
      <c r="E127">
        <v>0</v>
      </c>
      <c r="F127">
        <v>0</v>
      </c>
      <c r="G127">
        <v>0</v>
      </c>
    </row>
    <row r="128" spans="1:7" x14ac:dyDescent="0.25">
      <c r="A128" t="s">
        <v>2495</v>
      </c>
      <c r="B128" t="s">
        <v>308</v>
      </c>
      <c r="C128">
        <v>0</v>
      </c>
      <c r="D128">
        <v>0</v>
      </c>
      <c r="E128">
        <v>0</v>
      </c>
      <c r="F128">
        <v>0</v>
      </c>
      <c r="G128">
        <v>0</v>
      </c>
    </row>
    <row r="129" spans="1:7" x14ac:dyDescent="0.25">
      <c r="A129" t="s">
        <v>759</v>
      </c>
      <c r="B129" t="s">
        <v>296</v>
      </c>
      <c r="C129">
        <v>0</v>
      </c>
      <c r="D129">
        <v>0</v>
      </c>
      <c r="E129">
        <v>0</v>
      </c>
      <c r="F129">
        <v>0</v>
      </c>
      <c r="G129">
        <v>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F35"/>
  <sheetViews>
    <sheetView topLeftCell="A13" workbookViewId="0">
      <selection activeCell="F21" sqref="F21"/>
    </sheetView>
  </sheetViews>
  <sheetFormatPr defaultColWidth="8.85546875" defaultRowHeight="15" x14ac:dyDescent="0.25"/>
  <cols>
    <col min="1" max="1" width="19.42578125" bestFit="1" customWidth="1"/>
    <col min="2" max="2" width="8.140625" bestFit="1" customWidth="1"/>
    <col min="3" max="3" width="5.7109375" bestFit="1" customWidth="1"/>
    <col min="4" max="4" width="7" bestFit="1" customWidth="1"/>
    <col min="5" max="5" width="6.5703125" bestFit="1" customWidth="1"/>
    <col min="6" max="6" width="7.42578125" bestFit="1" customWidth="1"/>
  </cols>
  <sheetData>
    <row r="1" spans="1:6" x14ac:dyDescent="0.25">
      <c r="A1" t="s">
        <v>85</v>
      </c>
      <c r="B1" t="s">
        <v>452</v>
      </c>
      <c r="C1" t="s">
        <v>618</v>
      </c>
      <c r="D1" t="s">
        <v>619</v>
      </c>
      <c r="E1" t="s">
        <v>620</v>
      </c>
      <c r="F1" t="s">
        <v>263</v>
      </c>
    </row>
    <row r="2" spans="1:6" x14ac:dyDescent="0.25">
      <c r="A2" t="s">
        <v>156</v>
      </c>
      <c r="B2" t="s">
        <v>295</v>
      </c>
      <c r="C2">
        <v>29.9</v>
      </c>
      <c r="D2">
        <v>34.200000000000003</v>
      </c>
      <c r="E2">
        <v>39.9</v>
      </c>
      <c r="F2">
        <v>129.80000000000001</v>
      </c>
    </row>
    <row r="3" spans="1:6" x14ac:dyDescent="0.25">
      <c r="A3" t="s">
        <v>451</v>
      </c>
      <c r="B3" t="s">
        <v>296</v>
      </c>
      <c r="C3">
        <v>27.7</v>
      </c>
      <c r="D3">
        <v>31.6</v>
      </c>
      <c r="E3">
        <v>46.3</v>
      </c>
      <c r="F3">
        <v>129.5</v>
      </c>
    </row>
    <row r="4" spans="1:6" x14ac:dyDescent="0.25">
      <c r="A4" t="s">
        <v>601</v>
      </c>
      <c r="B4" t="s">
        <v>814</v>
      </c>
      <c r="C4">
        <v>30.6</v>
      </c>
      <c r="D4">
        <v>35.799999999999997</v>
      </c>
      <c r="E4">
        <v>37.299999999999997</v>
      </c>
      <c r="F4">
        <v>129.19999999999999</v>
      </c>
    </row>
    <row r="5" spans="1:6" x14ac:dyDescent="0.25">
      <c r="A5" t="s">
        <v>764</v>
      </c>
      <c r="B5" t="s">
        <v>303</v>
      </c>
      <c r="C5">
        <v>29.2</v>
      </c>
      <c r="D5">
        <v>34.4</v>
      </c>
      <c r="E5">
        <v>41.3</v>
      </c>
      <c r="F5">
        <v>128.9</v>
      </c>
    </row>
    <row r="6" spans="1:6" x14ac:dyDescent="0.25">
      <c r="A6" t="s">
        <v>248</v>
      </c>
      <c r="B6" t="s">
        <v>281</v>
      </c>
      <c r="C6">
        <v>26.6</v>
      </c>
      <c r="D6">
        <v>32.6</v>
      </c>
      <c r="E6">
        <v>47.6</v>
      </c>
      <c r="F6">
        <v>127.3</v>
      </c>
    </row>
    <row r="7" spans="1:6" x14ac:dyDescent="0.25">
      <c r="A7" t="s">
        <v>815</v>
      </c>
      <c r="B7" t="s">
        <v>289</v>
      </c>
      <c r="C7">
        <v>27</v>
      </c>
      <c r="D7">
        <v>33.299999999999997</v>
      </c>
      <c r="E7">
        <v>45.6</v>
      </c>
      <c r="F7">
        <v>126.7</v>
      </c>
    </row>
    <row r="8" spans="1:6" x14ac:dyDescent="0.25">
      <c r="A8" t="s">
        <v>765</v>
      </c>
      <c r="B8" t="s">
        <v>297</v>
      </c>
      <c r="C8">
        <v>29.8</v>
      </c>
      <c r="D8">
        <v>34.9</v>
      </c>
      <c r="E8">
        <v>36.9</v>
      </c>
      <c r="F8">
        <v>126.4</v>
      </c>
    </row>
    <row r="9" spans="1:6" x14ac:dyDescent="0.25">
      <c r="A9" t="s">
        <v>242</v>
      </c>
      <c r="B9" t="s">
        <v>294</v>
      </c>
      <c r="C9">
        <v>27</v>
      </c>
      <c r="D9">
        <v>33.799999999999997</v>
      </c>
      <c r="E9">
        <v>43.6</v>
      </c>
      <c r="F9">
        <v>124.7</v>
      </c>
    </row>
    <row r="10" spans="1:6" x14ac:dyDescent="0.25">
      <c r="A10" t="s">
        <v>801</v>
      </c>
      <c r="B10" t="s">
        <v>276</v>
      </c>
      <c r="C10">
        <v>28.6</v>
      </c>
      <c r="D10">
        <v>33.299999999999997</v>
      </c>
      <c r="E10">
        <v>38.700000000000003</v>
      </c>
      <c r="F10">
        <v>124.6</v>
      </c>
    </row>
    <row r="11" spans="1:6" x14ac:dyDescent="0.25">
      <c r="A11" t="s">
        <v>913</v>
      </c>
      <c r="B11" t="s">
        <v>290</v>
      </c>
      <c r="C11">
        <v>28.7</v>
      </c>
      <c r="D11">
        <v>34.5</v>
      </c>
      <c r="E11">
        <v>38.200000000000003</v>
      </c>
      <c r="F11">
        <v>124.4</v>
      </c>
    </row>
    <row r="12" spans="1:6" x14ac:dyDescent="0.25">
      <c r="A12" t="s">
        <v>206</v>
      </c>
      <c r="B12" t="s">
        <v>275</v>
      </c>
      <c r="C12">
        <v>26.3</v>
      </c>
      <c r="D12">
        <v>32.6</v>
      </c>
      <c r="E12">
        <v>45.5</v>
      </c>
      <c r="F12">
        <v>124.3</v>
      </c>
    </row>
    <row r="13" spans="1:6" x14ac:dyDescent="0.25">
      <c r="A13" t="s">
        <v>909</v>
      </c>
      <c r="B13" t="s">
        <v>280</v>
      </c>
      <c r="C13">
        <v>28.1</v>
      </c>
      <c r="D13">
        <v>33.9</v>
      </c>
      <c r="E13">
        <v>38.700000000000003</v>
      </c>
      <c r="F13">
        <v>123</v>
      </c>
    </row>
    <row r="14" spans="1:6" x14ac:dyDescent="0.25">
      <c r="A14" t="s">
        <v>448</v>
      </c>
      <c r="B14" t="s">
        <v>301</v>
      </c>
      <c r="C14">
        <v>27.2</v>
      </c>
      <c r="D14">
        <v>31.9</v>
      </c>
      <c r="E14">
        <v>40.799999999999997</v>
      </c>
      <c r="F14">
        <v>122.4</v>
      </c>
    </row>
    <row r="15" spans="1:6" x14ac:dyDescent="0.25">
      <c r="A15" t="s">
        <v>239</v>
      </c>
      <c r="B15" t="s">
        <v>306</v>
      </c>
      <c r="C15">
        <v>27.1</v>
      </c>
      <c r="D15">
        <v>32.799999999999997</v>
      </c>
      <c r="E15">
        <v>40.200000000000003</v>
      </c>
      <c r="F15">
        <v>121.6</v>
      </c>
    </row>
    <row r="16" spans="1:6" x14ac:dyDescent="0.25">
      <c r="A16" t="s">
        <v>249</v>
      </c>
      <c r="B16" t="s">
        <v>286</v>
      </c>
      <c r="C16">
        <v>26.2</v>
      </c>
      <c r="D16">
        <v>30.9</v>
      </c>
      <c r="E16">
        <v>42</v>
      </c>
      <c r="F16">
        <v>120.5</v>
      </c>
    </row>
    <row r="17" spans="1:6" x14ac:dyDescent="0.25">
      <c r="A17" t="s">
        <v>179</v>
      </c>
      <c r="B17" t="s">
        <v>288</v>
      </c>
      <c r="C17">
        <v>29.1</v>
      </c>
      <c r="D17">
        <v>34.4</v>
      </c>
      <c r="E17">
        <v>32.4</v>
      </c>
      <c r="F17">
        <v>119.7</v>
      </c>
    </row>
    <row r="18" spans="1:6" x14ac:dyDescent="0.25">
      <c r="A18" t="s">
        <v>446</v>
      </c>
      <c r="B18" t="s">
        <v>284</v>
      </c>
      <c r="C18">
        <v>25.6</v>
      </c>
      <c r="D18">
        <v>30.7</v>
      </c>
      <c r="E18">
        <v>40.5</v>
      </c>
      <c r="F18">
        <v>117.1</v>
      </c>
    </row>
    <row r="19" spans="1:6" x14ac:dyDescent="0.25">
      <c r="A19" t="s">
        <v>224</v>
      </c>
      <c r="B19" t="s">
        <v>277</v>
      </c>
      <c r="C19">
        <v>26.5</v>
      </c>
      <c r="D19">
        <v>31.2</v>
      </c>
      <c r="E19">
        <v>36.700000000000003</v>
      </c>
      <c r="F19">
        <v>116</v>
      </c>
    </row>
    <row r="20" spans="1:6" x14ac:dyDescent="0.25">
      <c r="A20" t="s">
        <v>450</v>
      </c>
      <c r="B20" t="s">
        <v>293</v>
      </c>
      <c r="C20">
        <v>27.8</v>
      </c>
      <c r="D20">
        <v>32.5</v>
      </c>
      <c r="E20">
        <v>32.5</v>
      </c>
      <c r="F20">
        <v>116</v>
      </c>
    </row>
    <row r="21" spans="1:6" x14ac:dyDescent="0.25">
      <c r="A21" t="s">
        <v>802</v>
      </c>
      <c r="B21" t="s">
        <v>278</v>
      </c>
      <c r="C21">
        <v>27.5</v>
      </c>
      <c r="D21">
        <v>31.4</v>
      </c>
      <c r="E21">
        <v>33.4</v>
      </c>
      <c r="F21">
        <v>115.9</v>
      </c>
    </row>
    <row r="22" spans="1:6" x14ac:dyDescent="0.25">
      <c r="A22" t="s">
        <v>603</v>
      </c>
      <c r="B22" t="s">
        <v>298</v>
      </c>
      <c r="C22">
        <v>25.6</v>
      </c>
      <c r="D22">
        <v>31.6</v>
      </c>
      <c r="E22">
        <v>37.6</v>
      </c>
      <c r="F22">
        <v>114.5</v>
      </c>
    </row>
    <row r="23" spans="1:6" x14ac:dyDescent="0.25">
      <c r="A23" t="s">
        <v>243</v>
      </c>
      <c r="B23" t="s">
        <v>299</v>
      </c>
      <c r="C23">
        <v>26.5</v>
      </c>
      <c r="D23">
        <v>31.9</v>
      </c>
      <c r="E23">
        <v>33.6</v>
      </c>
      <c r="F23">
        <v>113</v>
      </c>
    </row>
    <row r="24" spans="1:6" x14ac:dyDescent="0.25">
      <c r="A24" t="s">
        <v>245</v>
      </c>
      <c r="B24" t="s">
        <v>292</v>
      </c>
      <c r="C24">
        <v>27.4</v>
      </c>
      <c r="D24">
        <v>32.6</v>
      </c>
      <c r="E24">
        <v>30.5</v>
      </c>
      <c r="F24">
        <v>112.7</v>
      </c>
    </row>
    <row r="25" spans="1:6" x14ac:dyDescent="0.25">
      <c r="A25" t="s">
        <v>763</v>
      </c>
      <c r="B25" t="s">
        <v>287</v>
      </c>
      <c r="C25">
        <v>26.1</v>
      </c>
      <c r="D25">
        <v>30.2</v>
      </c>
      <c r="E25">
        <v>34.200000000000003</v>
      </c>
      <c r="F25">
        <v>112.4</v>
      </c>
    </row>
    <row r="26" spans="1:6" x14ac:dyDescent="0.25">
      <c r="A26" t="s">
        <v>813</v>
      </c>
      <c r="B26" t="s">
        <v>283</v>
      </c>
      <c r="C26">
        <v>25.9</v>
      </c>
      <c r="D26">
        <v>31.4</v>
      </c>
      <c r="E26">
        <v>32.1</v>
      </c>
      <c r="F26">
        <v>109.8</v>
      </c>
    </row>
    <row r="27" spans="1:6" x14ac:dyDescent="0.25">
      <c r="A27" t="s">
        <v>2686</v>
      </c>
      <c r="B27" t="s">
        <v>282</v>
      </c>
      <c r="C27">
        <v>25.9</v>
      </c>
      <c r="D27">
        <v>30.1</v>
      </c>
      <c r="E27">
        <v>29.8</v>
      </c>
      <c r="F27">
        <v>107.6</v>
      </c>
    </row>
    <row r="28" spans="1:6" x14ac:dyDescent="0.25">
      <c r="A28" t="s">
        <v>2498</v>
      </c>
      <c r="B28" t="s">
        <v>308</v>
      </c>
      <c r="C28">
        <v>24.2</v>
      </c>
      <c r="D28">
        <v>29.1</v>
      </c>
      <c r="E28">
        <v>33</v>
      </c>
      <c r="F28">
        <v>105.6</v>
      </c>
    </row>
    <row r="29" spans="1:6" x14ac:dyDescent="0.25">
      <c r="A29" t="s">
        <v>447</v>
      </c>
      <c r="B29" t="s">
        <v>279</v>
      </c>
      <c r="C29">
        <v>23.6</v>
      </c>
      <c r="D29">
        <v>28.6</v>
      </c>
      <c r="E29">
        <v>33.5</v>
      </c>
      <c r="F29">
        <v>104.4</v>
      </c>
    </row>
    <row r="30" spans="1:6" x14ac:dyDescent="0.25">
      <c r="A30" t="s">
        <v>602</v>
      </c>
      <c r="B30" t="s">
        <v>307</v>
      </c>
      <c r="C30">
        <v>24.4</v>
      </c>
      <c r="D30">
        <v>29.2</v>
      </c>
      <c r="E30">
        <v>30</v>
      </c>
      <c r="F30">
        <v>103.2</v>
      </c>
    </row>
    <row r="31" spans="1:6" x14ac:dyDescent="0.25">
      <c r="A31" t="s">
        <v>449</v>
      </c>
      <c r="B31" t="s">
        <v>304</v>
      </c>
      <c r="C31">
        <v>23.9</v>
      </c>
      <c r="D31">
        <v>29.3</v>
      </c>
      <c r="E31">
        <v>31.2</v>
      </c>
      <c r="F31">
        <v>102.9</v>
      </c>
    </row>
    <row r="32" spans="1:6" x14ac:dyDescent="0.25">
      <c r="A32" t="s">
        <v>2499</v>
      </c>
      <c r="B32" t="s">
        <v>291</v>
      </c>
      <c r="C32">
        <v>24.1</v>
      </c>
      <c r="D32">
        <v>29</v>
      </c>
      <c r="E32">
        <v>30.4</v>
      </c>
      <c r="F32">
        <v>102.7</v>
      </c>
    </row>
    <row r="33" spans="1:6" x14ac:dyDescent="0.25">
      <c r="A33" t="s">
        <v>635</v>
      </c>
      <c r="B33" t="s">
        <v>285</v>
      </c>
      <c r="C33">
        <v>19.5</v>
      </c>
      <c r="D33">
        <v>20.2</v>
      </c>
      <c r="E33">
        <v>34.5</v>
      </c>
      <c r="F33">
        <v>93</v>
      </c>
    </row>
    <row r="34" spans="1:6" x14ac:dyDescent="0.25">
      <c r="A34" t="s">
        <v>2746</v>
      </c>
      <c r="B34" t="s">
        <v>282</v>
      </c>
      <c r="C34">
        <v>12.6</v>
      </c>
      <c r="D34">
        <v>0</v>
      </c>
      <c r="E34">
        <v>15.3</v>
      </c>
      <c r="F34">
        <v>53.3</v>
      </c>
    </row>
    <row r="35" spans="1:6" x14ac:dyDescent="0.25">
      <c r="A35" t="s">
        <v>2747</v>
      </c>
      <c r="B35" t="s">
        <v>291</v>
      </c>
      <c r="C35">
        <v>11.8</v>
      </c>
      <c r="D35">
        <v>0</v>
      </c>
      <c r="E35">
        <v>9.9</v>
      </c>
      <c r="F35">
        <v>45.1</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C33"/>
  <sheetViews>
    <sheetView workbookViewId="0">
      <selection activeCell="A34" sqref="A34:XFD35"/>
    </sheetView>
  </sheetViews>
  <sheetFormatPr defaultColWidth="8.85546875" defaultRowHeight="15" x14ac:dyDescent="0.25"/>
  <cols>
    <col min="1" max="1" width="8.42578125" bestFit="1" customWidth="1"/>
    <col min="2" max="2" width="19.42578125" bestFit="1" customWidth="1"/>
    <col min="3" max="3" width="4" bestFit="1" customWidth="1"/>
    <col min="4" max="4" width="4.5703125" bestFit="1" customWidth="1"/>
    <col min="5" max="5" width="3.85546875" bestFit="1" customWidth="1"/>
    <col min="6" max="6" width="5.85546875" bestFit="1" customWidth="1"/>
    <col min="7" max="9" width="5" bestFit="1" customWidth="1"/>
    <col min="10" max="10" width="6" bestFit="1" customWidth="1"/>
    <col min="11" max="18" width="0" hidden="1" customWidth="1"/>
    <col min="19" max="20" width="8.42578125" bestFit="1" customWidth="1"/>
    <col min="21" max="21" width="7.7109375" bestFit="1" customWidth="1"/>
    <col min="22" max="22" width="7.140625" bestFit="1" customWidth="1"/>
    <col min="23" max="25" width="8.85546875" hidden="1" customWidth="1"/>
    <col min="26" max="26" width="7.140625" bestFit="1" customWidth="1"/>
    <col min="27" max="27" width="8.42578125" bestFit="1" customWidth="1"/>
  </cols>
  <sheetData>
    <row r="1" spans="1:29" x14ac:dyDescent="0.25">
      <c r="A1" s="100" t="s">
        <v>253</v>
      </c>
      <c r="B1" s="100" t="s">
        <v>439</v>
      </c>
      <c r="C1" s="100" t="s">
        <v>20</v>
      </c>
      <c r="D1" s="100" t="s">
        <v>795</v>
      </c>
      <c r="E1" s="100" t="s">
        <v>440</v>
      </c>
      <c r="F1" s="100" t="s">
        <v>441</v>
      </c>
      <c r="G1" s="100" t="s">
        <v>442</v>
      </c>
      <c r="H1" s="100" t="s">
        <v>443</v>
      </c>
      <c r="I1" s="100" t="s">
        <v>444</v>
      </c>
      <c r="J1" s="100" t="s">
        <v>445</v>
      </c>
      <c r="K1" s="100"/>
      <c r="L1" s="100"/>
      <c r="M1" s="100"/>
      <c r="N1" s="100"/>
      <c r="O1" s="100"/>
      <c r="P1" s="100"/>
      <c r="Q1" s="100"/>
      <c r="R1" s="100"/>
      <c r="S1" s="100" t="s">
        <v>267</v>
      </c>
      <c r="T1" s="100" t="s">
        <v>267</v>
      </c>
      <c r="U1" s="100" t="s">
        <v>269</v>
      </c>
      <c r="V1" s="100" t="s">
        <v>270</v>
      </c>
      <c r="Z1" s="100" t="s">
        <v>272</v>
      </c>
      <c r="AA1" s="100" t="s">
        <v>273</v>
      </c>
    </row>
    <row r="2" spans="1:29" x14ac:dyDescent="0.25">
      <c r="A2">
        <f t="shared" ref="A2:A33" si="0">RANK(J2,J$2:J$33)</f>
        <v>1</v>
      </c>
      <c r="B2" t="str">
        <f>K[[#This Row],[Player]]</f>
        <v>Justin Tucker</v>
      </c>
      <c r="C2" t="s">
        <v>48</v>
      </c>
      <c r="D2">
        <f>_xlfn.IFNA(INDEX(BYEs!$E$2:$E$411,MATCH(B2,BYEs!$D$2:$D$411,0)),"N/A")</f>
        <v>31</v>
      </c>
      <c r="E2">
        <f>INDEX(BYEs!$B$2:$B$34,MATCH(F2,BYEs!$A$2:$A$34,0))</f>
        <v>10</v>
      </c>
      <c r="F2" t="str">
        <f>K[[#This Row],[Team]]</f>
        <v>BAL</v>
      </c>
      <c r="G2">
        <f>K[[#This Row],[FG]]</f>
        <v>29.9</v>
      </c>
      <c r="H2">
        <f>K[[#This Row],[FGA]]</f>
        <v>34.200000000000003</v>
      </c>
      <c r="I2">
        <f>K[[#This Row],[XPT]]</f>
        <v>39.9</v>
      </c>
      <c r="J2">
        <f>K[[#This Row],[FPTS]]</f>
        <v>129.80000000000001</v>
      </c>
      <c r="S2" s="75">
        <f>IF(A2&lt;=LeagueInfo!$B$7,1,0)</f>
        <v>1</v>
      </c>
      <c r="T2" s="75">
        <f>S2</f>
        <v>1</v>
      </c>
      <c r="U2" s="6" t="str">
        <f>IF(OR(INDEX(Auction!$H$13:$H$656,MATCH(B2,Auction!$A$13:$A$656,0))&gt;0,IFERROR(INDEX(CheatSheet!$D$5:$D$34,MATCH(B2,CheatSheet!$A$5:$A$34,0)),"")&lt;&gt;""),"Yes","No")</f>
        <v>No</v>
      </c>
      <c r="V2" s="179"/>
      <c r="Z2" s="115">
        <f ca="1">IF(LeagueInfo!$D$8=0,0,IF(AllowNegative="Yes",J2-INDIRECT("J"&amp;LeagueInfo!$B$7+1),MAX(J2-INDIRECT("J"&amp;LeagueInfo!$B$7+1),0)))</f>
        <v>6.8000000000000114</v>
      </c>
      <c r="AA2" s="116" t="str">
        <f t="shared" ref="AA2:AA33" si="1">CONCATENATE("K",ROUND((LARGE($J$2:$J$33,1)-$J2)/STDEVPA($J$3:$J$33)/2+1,0))</f>
        <v>K1</v>
      </c>
    </row>
    <row r="3" spans="1:29" x14ac:dyDescent="0.25">
      <c r="A3">
        <f t="shared" si="0"/>
        <v>2</v>
      </c>
      <c r="B3" t="str">
        <f>K[[#This Row],[Player]]</f>
        <v>Harrison Butker</v>
      </c>
      <c r="C3" t="s">
        <v>48</v>
      </c>
      <c r="D3">
        <f>_xlfn.IFNA(INDEX(BYEs!$E$2:$E$411,MATCH(B3,BYEs!$D$2:$D$411,0)),"N/A")</f>
        <v>26</v>
      </c>
      <c r="E3">
        <f>INDEX(BYEs!$B$2:$B$34,MATCH(F3,BYEs!$A$2:$A$34,0))</f>
        <v>8</v>
      </c>
      <c r="F3" t="str">
        <f>K[[#This Row],[Team]]</f>
        <v>KC</v>
      </c>
      <c r="G3">
        <f>K[[#This Row],[FG]]</f>
        <v>27.7</v>
      </c>
      <c r="H3">
        <f>K[[#This Row],[FGA]]</f>
        <v>31.6</v>
      </c>
      <c r="I3">
        <f>K[[#This Row],[XPT]]</f>
        <v>46.3</v>
      </c>
      <c r="J3">
        <f>K[[#This Row],[FPTS]]</f>
        <v>129.5</v>
      </c>
      <c r="S3" s="75">
        <f>IF(A3&lt;=LeagueInfo!$B$7,1,0)</f>
        <v>1</v>
      </c>
      <c r="T3" s="75">
        <f t="shared" ref="T3:T33" si="2">S3</f>
        <v>1</v>
      </c>
      <c r="U3" s="6" t="str">
        <f>IF(OR(INDEX(Auction!$H$13:$H$656,MATCH(B3,Auction!$A$13:$A$656,0))&gt;0,IFERROR(INDEX(CheatSheet!$D$5:$D$34,MATCH(B3,CheatSheet!$A$5:$A$34,0)),"")&lt;&gt;""),"Yes","No")</f>
        <v>No</v>
      </c>
      <c r="V3" s="179"/>
      <c r="Z3" s="115">
        <f ca="1">IF(LeagueInfo!$D$8=0,0,IF(AllowNegative="Yes",J3-INDIRECT("J"&amp;LeagueInfo!$B$7+1),MAX(J3-INDIRECT("J"&amp;LeagueInfo!$B$7+1),0)))</f>
        <v>6.5</v>
      </c>
      <c r="AA3" s="116" t="str">
        <f t="shared" si="1"/>
        <v>K1</v>
      </c>
      <c r="AC3" s="115"/>
    </row>
    <row r="4" spans="1:29" x14ac:dyDescent="0.25">
      <c r="A4">
        <f t="shared" si="0"/>
        <v>3</v>
      </c>
      <c r="B4" t="str">
        <f>K[[#This Row],[Player]]</f>
        <v>Daniel Carlson</v>
      </c>
      <c r="C4" t="s">
        <v>48</v>
      </c>
      <c r="D4" t="str">
        <f>_xlfn.IFNA(INDEX(BYEs!$E$2:$E$411,MATCH(B4,BYEs!$D$2:$D$411,0)),"N/A")</f>
        <v>N/A</v>
      </c>
      <c r="E4">
        <f>INDEX(BYEs!$B$2:$B$34,MATCH(F4,BYEs!$A$2:$A$34,0))</f>
        <v>6</v>
      </c>
      <c r="F4" t="str">
        <f>K[[#This Row],[Team]]</f>
        <v>LV</v>
      </c>
      <c r="G4">
        <f>K[[#This Row],[FG]]</f>
        <v>30.6</v>
      </c>
      <c r="H4">
        <f>K[[#This Row],[FGA]]</f>
        <v>35.799999999999997</v>
      </c>
      <c r="I4">
        <f>K[[#This Row],[XPT]]</f>
        <v>37.299999999999997</v>
      </c>
      <c r="J4">
        <f>K[[#This Row],[FPTS]]</f>
        <v>129.19999999999999</v>
      </c>
      <c r="S4" s="75">
        <f>IF(A4&lt;=LeagueInfo!$B$7,1,0)</f>
        <v>1</v>
      </c>
      <c r="T4" s="75">
        <f t="shared" si="2"/>
        <v>1</v>
      </c>
      <c r="U4" s="6" t="str">
        <f>IF(OR(INDEX(Auction!$H$13:$H$656,MATCH(B4,Auction!$A$13:$A$656,0))&gt;0,IFERROR(INDEX(CheatSheet!$D$5:$D$34,MATCH(B4,CheatSheet!$A$5:$A$34,0)),"")&lt;&gt;""),"Yes","No")</f>
        <v>No</v>
      </c>
      <c r="V4" s="179"/>
      <c r="Z4" s="115">
        <f ca="1">IF(LeagueInfo!$D$8=0,0,IF(AllowNegative="Yes",J4-INDIRECT("J"&amp;LeagueInfo!$B$7+1),MAX(J4-INDIRECT("J"&amp;LeagueInfo!$B$7+1),0)))</f>
        <v>6.1999999999999886</v>
      </c>
      <c r="AA4" s="116" t="str">
        <f t="shared" si="1"/>
        <v>K1</v>
      </c>
    </row>
    <row r="5" spans="1:29" x14ac:dyDescent="0.25">
      <c r="A5">
        <f t="shared" si="0"/>
        <v>4</v>
      </c>
      <c r="B5" t="str">
        <f>K[[#This Row],[Player]]</f>
        <v>Matt Gay</v>
      </c>
      <c r="C5" t="s">
        <v>48</v>
      </c>
      <c r="D5" t="str">
        <f>_xlfn.IFNA(INDEX(BYEs!$E$2:$E$411,MATCH(B5,BYEs!$D$2:$D$411,0)),"N/A")</f>
        <v>N/A</v>
      </c>
      <c r="E5">
        <f>INDEX(BYEs!$B$2:$B$34,MATCH(F5,BYEs!$A$2:$A$34,0))</f>
        <v>7</v>
      </c>
      <c r="F5" t="str">
        <f>K[[#This Row],[Team]]</f>
        <v>LAR</v>
      </c>
      <c r="G5">
        <f>K[[#This Row],[FG]]</f>
        <v>29.2</v>
      </c>
      <c r="H5">
        <f>K[[#This Row],[FGA]]</f>
        <v>34.4</v>
      </c>
      <c r="I5">
        <f>K[[#This Row],[XPT]]</f>
        <v>41.3</v>
      </c>
      <c r="J5">
        <f>K[[#This Row],[FPTS]]</f>
        <v>128.9</v>
      </c>
      <c r="S5" s="75">
        <f>IF(A5&lt;=LeagueInfo!$B$7,1,0)</f>
        <v>1</v>
      </c>
      <c r="T5" s="75">
        <f t="shared" si="2"/>
        <v>1</v>
      </c>
      <c r="U5" s="6" t="str">
        <f>IF(OR(INDEX(Auction!$H$13:$H$656,MATCH(B5,Auction!$A$13:$A$656,0))&gt;0,IFERROR(INDEX(CheatSheet!$D$5:$D$34,MATCH(B5,CheatSheet!$A$5:$A$34,0)),"")&lt;&gt;""),"Yes","No")</f>
        <v>No</v>
      </c>
      <c r="V5" s="179"/>
      <c r="Z5" s="115">
        <f ca="1">IF(LeagueInfo!$D$8=0,0,IF(AllowNegative="Yes",J5-INDIRECT("J"&amp;LeagueInfo!$B$7+1),MAX(J5-INDIRECT("J"&amp;LeagueInfo!$B$7+1),0)))</f>
        <v>5.9000000000000057</v>
      </c>
      <c r="AA5" s="116" t="str">
        <f t="shared" si="1"/>
        <v>K1</v>
      </c>
    </row>
    <row r="6" spans="1:29" x14ac:dyDescent="0.25">
      <c r="A6">
        <f t="shared" si="0"/>
        <v>5</v>
      </c>
      <c r="B6" t="str">
        <f>K[[#This Row],[Player]]</f>
        <v>Ryan Succop</v>
      </c>
      <c r="C6" t="s">
        <v>48</v>
      </c>
      <c r="D6">
        <f>_xlfn.IFNA(INDEX(BYEs!$E$2:$E$411,MATCH(B6,BYEs!$D$2:$D$411,0)),"N/A")</f>
        <v>34</v>
      </c>
      <c r="E6">
        <f>INDEX(BYEs!$B$2:$B$34,MATCH(F6,BYEs!$A$2:$A$34,0))</f>
        <v>11</v>
      </c>
      <c r="F6" t="str">
        <f>K[[#This Row],[Team]]</f>
        <v>TB</v>
      </c>
      <c r="G6">
        <f>K[[#This Row],[FG]]</f>
        <v>26.6</v>
      </c>
      <c r="H6">
        <f>K[[#This Row],[FGA]]</f>
        <v>32.6</v>
      </c>
      <c r="I6">
        <f>K[[#This Row],[XPT]]</f>
        <v>47.6</v>
      </c>
      <c r="J6">
        <f>K[[#This Row],[FPTS]]</f>
        <v>127.3</v>
      </c>
      <c r="S6" s="75">
        <f>IF(A6&lt;=LeagueInfo!$B$7,1,0)</f>
        <v>1</v>
      </c>
      <c r="T6" s="75">
        <f t="shared" si="2"/>
        <v>1</v>
      </c>
      <c r="U6" s="6" t="str">
        <f>IF(OR(INDEX(Auction!$H$13:$H$656,MATCH(B6,Auction!$A$13:$A$656,0))&gt;0,IFERROR(INDEX(CheatSheet!$D$5:$D$34,MATCH(B6,CheatSheet!$A$5:$A$34,0)),"")&lt;&gt;""),"Yes","No")</f>
        <v>No</v>
      </c>
      <c r="V6" s="179"/>
      <c r="Z6" s="115">
        <f ca="1">IF(LeagueInfo!$D$8=0,0,IF(AllowNegative="Yes",J6-INDIRECT("J"&amp;LeagueInfo!$B$7+1),MAX(J6-INDIRECT("J"&amp;LeagueInfo!$B$7+1),0)))</f>
        <v>4.2999999999999972</v>
      </c>
      <c r="AA6" s="116" t="str">
        <f t="shared" si="1"/>
        <v>K1</v>
      </c>
    </row>
    <row r="7" spans="1:29" x14ac:dyDescent="0.25">
      <c r="A7">
        <f t="shared" si="0"/>
        <v>6</v>
      </c>
      <c r="B7" t="str">
        <f>K[[#This Row],[Player]]</f>
        <v>Tyler Bass</v>
      </c>
      <c r="C7" t="s">
        <v>48</v>
      </c>
      <c r="D7" t="str">
        <f>_xlfn.IFNA(INDEX(BYEs!$E$2:$E$411,MATCH(B7,BYEs!$D$2:$D$411,0)),"N/A")</f>
        <v>N/A</v>
      </c>
      <c r="E7">
        <f>INDEX(BYEs!$B$2:$B$34,MATCH(F7,BYEs!$A$2:$A$34,0))</f>
        <v>7</v>
      </c>
      <c r="F7" t="str">
        <f>K[[#This Row],[Team]]</f>
        <v>BUF</v>
      </c>
      <c r="G7">
        <f>K[[#This Row],[FG]]</f>
        <v>27</v>
      </c>
      <c r="H7">
        <f>K[[#This Row],[FGA]]</f>
        <v>33.299999999999997</v>
      </c>
      <c r="I7">
        <f>K[[#This Row],[XPT]]</f>
        <v>45.6</v>
      </c>
      <c r="J7">
        <f>K[[#This Row],[FPTS]]</f>
        <v>126.7</v>
      </c>
      <c r="S7" s="75">
        <f>IF(A7&lt;=LeagueInfo!$B$7,1,0)</f>
        <v>1</v>
      </c>
      <c r="T7" s="75">
        <f t="shared" si="2"/>
        <v>1</v>
      </c>
      <c r="U7" s="6" t="str">
        <f>IF(OR(INDEX(Auction!$H$13:$H$656,MATCH(B7,Auction!$A$13:$A$656,0))&gt;0,IFERROR(INDEX(CheatSheet!$D$5:$D$34,MATCH(B7,CheatSheet!$A$5:$A$34,0)),"")&lt;&gt;""),"Yes","No")</f>
        <v>No</v>
      </c>
      <c r="V7" s="179"/>
      <c r="Z7" s="115">
        <f ca="1">IF(LeagueInfo!$D$8=0,0,IF(AllowNegative="Yes",J7-INDIRECT("J"&amp;LeagueInfo!$B$7+1),MAX(J7-INDIRECT("J"&amp;LeagueInfo!$B$7+1),0)))</f>
        <v>3.7000000000000028</v>
      </c>
      <c r="AA7" s="116" t="str">
        <f t="shared" si="1"/>
        <v>K1</v>
      </c>
    </row>
    <row r="8" spans="1:29" x14ac:dyDescent="0.25">
      <c r="A8">
        <f t="shared" si="0"/>
        <v>7</v>
      </c>
      <c r="B8" t="str">
        <f>K[[#This Row],[Player]]</f>
        <v>Greg Joseph</v>
      </c>
      <c r="C8" t="s">
        <v>48</v>
      </c>
      <c r="D8" t="str">
        <f>_xlfn.IFNA(INDEX(BYEs!$E$2:$E$411,MATCH(B8,BYEs!$D$2:$D$411,0)),"N/A")</f>
        <v>N/A</v>
      </c>
      <c r="E8">
        <f>INDEX(BYEs!$B$2:$B$34,MATCH(F8,BYEs!$A$2:$A$34,0))</f>
        <v>7</v>
      </c>
      <c r="F8" t="str">
        <f>K[[#This Row],[Team]]</f>
        <v>MIN</v>
      </c>
      <c r="G8">
        <f>K[[#This Row],[FG]]</f>
        <v>29.8</v>
      </c>
      <c r="H8">
        <f>K[[#This Row],[FGA]]</f>
        <v>34.9</v>
      </c>
      <c r="I8">
        <f>K[[#This Row],[XPT]]</f>
        <v>36.9</v>
      </c>
      <c r="J8">
        <f>K[[#This Row],[FPTS]]</f>
        <v>126.4</v>
      </c>
      <c r="S8" s="75">
        <f>IF(A8&lt;=LeagueInfo!$B$7,1,0)</f>
        <v>1</v>
      </c>
      <c r="T8" s="75">
        <f t="shared" si="2"/>
        <v>1</v>
      </c>
      <c r="U8" s="6" t="str">
        <f>IF(OR(INDEX(Auction!$H$13:$H$656,MATCH(B8,Auction!$A$13:$A$656,0))&gt;0,IFERROR(INDEX(CheatSheet!$D$5:$D$34,MATCH(B8,CheatSheet!$A$5:$A$34,0)),"")&lt;&gt;""),"Yes","No")</f>
        <v>No</v>
      </c>
      <c r="V8" s="179"/>
      <c r="Z8" s="115">
        <f ca="1">IF(LeagueInfo!$D$8=0,0,IF(AllowNegative="Yes",J8-INDIRECT("J"&amp;LeagueInfo!$B$7+1),MAX(J8-INDIRECT("J"&amp;LeagueInfo!$B$7+1),0)))</f>
        <v>3.4000000000000057</v>
      </c>
      <c r="AA8" s="116" t="str">
        <f t="shared" si="1"/>
        <v>K1</v>
      </c>
    </row>
    <row r="9" spans="1:29" x14ac:dyDescent="0.25">
      <c r="A9">
        <f t="shared" si="0"/>
        <v>8</v>
      </c>
      <c r="B9" t="str">
        <f>K[[#This Row],[Player]]</f>
        <v>Matt Prater</v>
      </c>
      <c r="C9" t="s">
        <v>48</v>
      </c>
      <c r="D9">
        <f>_xlfn.IFNA(INDEX(BYEs!$E$2:$E$411,MATCH(B9,BYEs!$D$2:$D$411,0)),"N/A")</f>
        <v>37</v>
      </c>
      <c r="E9">
        <f>INDEX(BYEs!$B$2:$B$34,MATCH(F9,BYEs!$A$2:$A$34,0))</f>
        <v>13</v>
      </c>
      <c r="F9" t="str">
        <f>K[[#This Row],[Team]]</f>
        <v>ARI</v>
      </c>
      <c r="G9">
        <f>K[[#This Row],[FG]]</f>
        <v>27</v>
      </c>
      <c r="H9">
        <f>K[[#This Row],[FGA]]</f>
        <v>33.799999999999997</v>
      </c>
      <c r="I9">
        <f>K[[#This Row],[XPT]]</f>
        <v>43.6</v>
      </c>
      <c r="J9">
        <f>K[[#This Row],[FPTS]]</f>
        <v>124.7</v>
      </c>
      <c r="S9" s="75">
        <f>IF(A9&lt;=LeagueInfo!$B$7,1,0)</f>
        <v>1</v>
      </c>
      <c r="T9" s="75">
        <f t="shared" si="2"/>
        <v>1</v>
      </c>
      <c r="U9" s="6" t="str">
        <f>IF(OR(INDEX(Auction!$H$13:$H$656,MATCH(B9,Auction!$A$13:$A$656,0))&gt;0,IFERROR(INDEX(CheatSheet!$D$5:$D$34,MATCH(B9,CheatSheet!$A$5:$A$34,0)),"")&lt;&gt;""),"Yes","No")</f>
        <v>No</v>
      </c>
      <c r="V9" s="179"/>
      <c r="Z9" s="115">
        <f ca="1">IF(LeagueInfo!$D$8=0,0,IF(AllowNegative="Yes",J9-INDIRECT("J"&amp;LeagueInfo!$B$7+1),MAX(J9-INDIRECT("J"&amp;LeagueInfo!$B$7+1),0)))</f>
        <v>1.7000000000000028</v>
      </c>
      <c r="AA9" s="116" t="str">
        <f t="shared" si="1"/>
        <v>K1</v>
      </c>
    </row>
    <row r="10" spans="1:29" x14ac:dyDescent="0.25">
      <c r="A10">
        <f t="shared" si="0"/>
        <v>9</v>
      </c>
      <c r="B10" t="str">
        <f>K[[#This Row],[Player]]</f>
        <v>Nick Folk</v>
      </c>
      <c r="C10" t="s">
        <v>48</v>
      </c>
      <c r="D10" t="str">
        <f>_xlfn.IFNA(INDEX(BYEs!$E$2:$E$411,MATCH(B10,BYEs!$D$2:$D$411,0)),"N/A")</f>
        <v>N/A</v>
      </c>
      <c r="E10">
        <f>INDEX(BYEs!$B$2:$B$34,MATCH(F10,BYEs!$A$2:$A$34,0))</f>
        <v>10</v>
      </c>
      <c r="F10" t="str">
        <f>K[[#This Row],[Team]]</f>
        <v>NE</v>
      </c>
      <c r="G10">
        <f>K[[#This Row],[FG]]</f>
        <v>28.6</v>
      </c>
      <c r="H10">
        <f>K[[#This Row],[FGA]]</f>
        <v>33.299999999999997</v>
      </c>
      <c r="I10">
        <f>K[[#This Row],[XPT]]</f>
        <v>38.700000000000003</v>
      </c>
      <c r="J10">
        <f>K[[#This Row],[FPTS]]</f>
        <v>124.6</v>
      </c>
      <c r="S10" s="75">
        <f>IF(A10&lt;=LeagueInfo!$B$7,1,0)</f>
        <v>1</v>
      </c>
      <c r="T10" s="75">
        <f t="shared" si="2"/>
        <v>1</v>
      </c>
      <c r="U10" s="6" t="str">
        <f>IF(OR(INDEX(Auction!$H$13:$H$656,MATCH(B10,Auction!$A$13:$A$656,0))&gt;0,IFERROR(INDEX(CheatSheet!$D$5:$D$34,MATCH(B10,CheatSheet!$A$5:$A$34,0)),"")&lt;&gt;""),"Yes","No")</f>
        <v>No</v>
      </c>
      <c r="V10" s="179"/>
      <c r="Z10" s="115">
        <f ca="1">IF(LeagueInfo!$D$8=0,0,IF(AllowNegative="Yes",J10-INDIRECT("J"&amp;LeagueInfo!$B$7+1),MAX(J10-INDIRECT("J"&amp;LeagueInfo!$B$7+1),0)))</f>
        <v>1.5999999999999943</v>
      </c>
      <c r="AA10" s="116" t="str">
        <f t="shared" si="1"/>
        <v>K1</v>
      </c>
    </row>
    <row r="11" spans="1:29" x14ac:dyDescent="0.25">
      <c r="A11">
        <f t="shared" si="0"/>
        <v>10</v>
      </c>
      <c r="B11" t="str">
        <f>K[[#This Row],[Player]]</f>
        <v>Evan McPherson</v>
      </c>
      <c r="C11" t="s">
        <v>48</v>
      </c>
      <c r="D11" t="str">
        <f>_xlfn.IFNA(INDEX(BYEs!$E$2:$E$411,MATCH(B11,BYEs!$D$2:$D$411,0)),"N/A")</f>
        <v>N/A</v>
      </c>
      <c r="E11">
        <f>INDEX(BYEs!$B$2:$B$34,MATCH(F11,BYEs!$A$2:$A$34,0))</f>
        <v>10</v>
      </c>
      <c r="F11" t="str">
        <f>K[[#This Row],[Team]]</f>
        <v>CIN</v>
      </c>
      <c r="G11">
        <f>K[[#This Row],[FG]]</f>
        <v>28.7</v>
      </c>
      <c r="H11">
        <f>K[[#This Row],[FGA]]</f>
        <v>34.5</v>
      </c>
      <c r="I11">
        <f>K[[#This Row],[XPT]]</f>
        <v>38.200000000000003</v>
      </c>
      <c r="J11">
        <f>K[[#This Row],[FPTS]]</f>
        <v>124.4</v>
      </c>
      <c r="S11" s="75">
        <f>IF(A11&lt;=LeagueInfo!$B$7,1,0)</f>
        <v>1</v>
      </c>
      <c r="T11" s="75">
        <f t="shared" si="2"/>
        <v>1</v>
      </c>
      <c r="U11" s="6" t="str">
        <f>IF(OR(INDEX(Auction!$H$13:$H$656,MATCH(B11,Auction!$A$13:$A$656,0))&gt;0,IFERROR(INDEX(CheatSheet!$D$5:$D$34,MATCH(B11,CheatSheet!$A$5:$A$34,0)),"")&lt;&gt;""),"Yes","No")</f>
        <v>No</v>
      </c>
      <c r="V11" s="179"/>
      <c r="Z11" s="115">
        <f ca="1">IF(LeagueInfo!$D$8=0,0,IF(AllowNegative="Yes",J11-INDIRECT("J"&amp;LeagueInfo!$B$7+1),MAX(J11-INDIRECT("J"&amp;LeagueInfo!$B$7+1),0)))</f>
        <v>1.4000000000000057</v>
      </c>
      <c r="AA11" s="116" t="str">
        <f t="shared" si="1"/>
        <v>K1</v>
      </c>
    </row>
    <row r="12" spans="1:29" x14ac:dyDescent="0.25">
      <c r="A12">
        <f t="shared" si="0"/>
        <v>11</v>
      </c>
      <c r="B12" t="str">
        <f>K[[#This Row],[Player]]</f>
        <v>Mason Crosby</v>
      </c>
      <c r="C12" t="s">
        <v>48</v>
      </c>
      <c r="D12">
        <f>_xlfn.IFNA(INDEX(BYEs!$E$2:$E$411,MATCH(B12,BYEs!$D$2:$D$411,0)),"N/A")</f>
        <v>36</v>
      </c>
      <c r="E12">
        <f>INDEX(BYEs!$B$2:$B$34,MATCH(F12,BYEs!$A$2:$A$34,0))</f>
        <v>14</v>
      </c>
      <c r="F12" t="str">
        <f>K[[#This Row],[Team]]</f>
        <v>GB</v>
      </c>
      <c r="G12">
        <f>K[[#This Row],[FG]]</f>
        <v>26.3</v>
      </c>
      <c r="H12">
        <f>K[[#This Row],[FGA]]</f>
        <v>32.6</v>
      </c>
      <c r="I12">
        <f>K[[#This Row],[XPT]]</f>
        <v>45.5</v>
      </c>
      <c r="J12">
        <f>K[[#This Row],[FPTS]]</f>
        <v>124.3</v>
      </c>
      <c r="S12" s="75">
        <f>IF(A12&lt;=LeagueInfo!$B$7,1,0)</f>
        <v>1</v>
      </c>
      <c r="T12" s="75">
        <f t="shared" si="2"/>
        <v>1</v>
      </c>
      <c r="U12" s="6" t="str">
        <f>IF(OR(INDEX(Auction!$H$13:$H$656,MATCH(B12,Auction!$A$13:$A$656,0))&gt;0,IFERROR(INDEX(CheatSheet!$D$5:$D$34,MATCH(B12,CheatSheet!$A$5:$A$34,0)),"")&lt;&gt;""),"Yes","No")</f>
        <v>No</v>
      </c>
      <c r="V12" s="179"/>
      <c r="Z12" s="115">
        <f ca="1">IF(LeagueInfo!$D$8=0,0,IF(AllowNegative="Yes",J12-INDIRECT("J"&amp;LeagueInfo!$B$7+1),MAX(J12-INDIRECT("J"&amp;LeagueInfo!$B$7+1),0)))</f>
        <v>1.2999999999999972</v>
      </c>
      <c r="AA12" s="116" t="str">
        <f t="shared" si="1"/>
        <v>K1</v>
      </c>
    </row>
    <row r="13" spans="1:29" x14ac:dyDescent="0.25">
      <c r="A13">
        <f t="shared" si="0"/>
        <v>12</v>
      </c>
      <c r="B13" t="str">
        <f>K[[#This Row],[Player]]</f>
        <v>Rodrigo Blankenship</v>
      </c>
      <c r="C13" t="s">
        <v>48</v>
      </c>
      <c r="D13" t="str">
        <f>_xlfn.IFNA(INDEX(BYEs!$E$2:$E$411,MATCH(B13,BYEs!$D$2:$D$411,0)),"N/A")</f>
        <v>N/A</v>
      </c>
      <c r="E13">
        <f>INDEX(BYEs!$B$2:$B$34,MATCH(F13,BYEs!$A$2:$A$34,0))</f>
        <v>14</v>
      </c>
      <c r="F13" t="str">
        <f>K[[#This Row],[Team]]</f>
        <v>IND</v>
      </c>
      <c r="G13">
        <f>K[[#This Row],[FG]]</f>
        <v>28.1</v>
      </c>
      <c r="H13">
        <f>K[[#This Row],[FGA]]</f>
        <v>33.9</v>
      </c>
      <c r="I13">
        <f>K[[#This Row],[XPT]]</f>
        <v>38.700000000000003</v>
      </c>
      <c r="J13">
        <f>K[[#This Row],[FPTS]]</f>
        <v>123</v>
      </c>
      <c r="S13" s="75">
        <f>IF(A13&lt;=LeagueInfo!$B$7,1,0)</f>
        <v>1</v>
      </c>
      <c r="T13" s="75">
        <f t="shared" si="2"/>
        <v>1</v>
      </c>
      <c r="U13" s="6" t="str">
        <f>IF(OR(INDEX(Auction!$H$13:$H$656,MATCH(B13,Auction!$A$13:$A$656,0))&gt;0,IFERROR(INDEX(CheatSheet!$D$5:$D$34,MATCH(B13,CheatSheet!$A$5:$A$34,0)),"")&lt;&gt;""),"Yes","No")</f>
        <v>No</v>
      </c>
      <c r="V13" s="179"/>
      <c r="Z13" s="115">
        <f ca="1">IF(LeagueInfo!$D$8=0,0,IF(AllowNegative="Yes",J13-INDIRECT("J"&amp;LeagueInfo!$B$7+1),MAX(J13-INDIRECT("J"&amp;LeagueInfo!$B$7+1),0)))</f>
        <v>0</v>
      </c>
      <c r="AA13" s="116" t="str">
        <f t="shared" si="1"/>
        <v>K1</v>
      </c>
    </row>
    <row r="14" spans="1:29" x14ac:dyDescent="0.25">
      <c r="A14">
        <f t="shared" si="0"/>
        <v>13</v>
      </c>
      <c r="B14" t="str">
        <f>K[[#This Row],[Player]]</f>
        <v>Robbie Gould</v>
      </c>
      <c r="C14" t="s">
        <v>48</v>
      </c>
      <c r="D14">
        <f>_xlfn.IFNA(INDEX(BYEs!$E$2:$E$411,MATCH(B14,BYEs!$D$2:$D$411,0)),"N/A")</f>
        <v>39</v>
      </c>
      <c r="E14">
        <f>INDEX(BYEs!$B$2:$B$34,MATCH(F14,BYEs!$A$2:$A$34,0))</f>
        <v>9</v>
      </c>
      <c r="F14" t="str">
        <f>K[[#This Row],[Team]]</f>
        <v>SF</v>
      </c>
      <c r="G14">
        <f>K[[#This Row],[FG]]</f>
        <v>27.2</v>
      </c>
      <c r="H14">
        <f>K[[#This Row],[FGA]]</f>
        <v>31.9</v>
      </c>
      <c r="I14">
        <f>K[[#This Row],[XPT]]</f>
        <v>40.799999999999997</v>
      </c>
      <c r="J14">
        <f>K[[#This Row],[FPTS]]</f>
        <v>122.4</v>
      </c>
      <c r="S14" s="75">
        <f>IF(A14&lt;=LeagueInfo!$B$7,1,0)</f>
        <v>0</v>
      </c>
      <c r="T14" s="75">
        <f t="shared" si="2"/>
        <v>0</v>
      </c>
      <c r="U14" s="6" t="str">
        <f>IF(OR(INDEX(Auction!$H$13:$H$656,MATCH(B14,Auction!$A$13:$A$656,0))&gt;0,IFERROR(INDEX(CheatSheet!$D$5:$D$34,MATCH(B14,CheatSheet!$A$5:$A$34,0)),"")&lt;&gt;""),"Yes","No")</f>
        <v>No</v>
      </c>
      <c r="V14" s="179"/>
      <c r="Z14" s="115">
        <f ca="1">IF(LeagueInfo!$D$8=0,0,IF(AllowNegative="Yes",J14-INDIRECT("J"&amp;LeagueInfo!$B$7+1),MAX(J14-INDIRECT("J"&amp;LeagueInfo!$B$7+1),0)))</f>
        <v>-0.59999999999999432</v>
      </c>
      <c r="AA14" s="116" t="str">
        <f t="shared" si="1"/>
        <v>K1</v>
      </c>
    </row>
    <row r="15" spans="1:29" x14ac:dyDescent="0.25">
      <c r="A15">
        <f t="shared" si="0"/>
        <v>14</v>
      </c>
      <c r="B15" t="str">
        <f>K[[#This Row],[Player]]</f>
        <v>Brandon McManus</v>
      </c>
      <c r="C15" t="s">
        <v>48</v>
      </c>
      <c r="D15">
        <f>_xlfn.IFNA(INDEX(BYEs!$E$2:$E$411,MATCH(B15,BYEs!$D$2:$D$411,0)),"N/A")</f>
        <v>30</v>
      </c>
      <c r="E15">
        <f>INDEX(BYEs!$B$2:$B$34,MATCH(F15,BYEs!$A$2:$A$34,0))</f>
        <v>9</v>
      </c>
      <c r="F15" t="str">
        <f>K[[#This Row],[Team]]</f>
        <v>DEN</v>
      </c>
      <c r="G15">
        <f>K[[#This Row],[FG]]</f>
        <v>27.1</v>
      </c>
      <c r="H15">
        <f>K[[#This Row],[FGA]]</f>
        <v>32.799999999999997</v>
      </c>
      <c r="I15">
        <f>K[[#This Row],[XPT]]</f>
        <v>40.200000000000003</v>
      </c>
      <c r="J15">
        <f>K[[#This Row],[FPTS]]</f>
        <v>121.6</v>
      </c>
      <c r="S15" s="75">
        <f>IF(A15&lt;=LeagueInfo!$B$7,1,0)</f>
        <v>0</v>
      </c>
      <c r="T15" s="75">
        <f t="shared" si="2"/>
        <v>0</v>
      </c>
      <c r="U15" s="6" t="str">
        <f>IF(OR(INDEX(Auction!$H$13:$H$656,MATCH(B15,Auction!$A$13:$A$656,0))&gt;0,IFERROR(INDEX(CheatSheet!$D$5:$D$34,MATCH(B15,CheatSheet!$A$5:$A$34,0)),"")&lt;&gt;""),"Yes","No")</f>
        <v>No</v>
      </c>
      <c r="V15" s="179"/>
      <c r="Z15" s="115">
        <f ca="1">IF(LeagueInfo!$D$8=0,0,IF(AllowNegative="Yes",J15-INDIRECT("J"&amp;LeagueInfo!$B$7+1),MAX(J15-INDIRECT("J"&amp;LeagueInfo!$B$7+1),0)))</f>
        <v>-1.4000000000000057</v>
      </c>
      <c r="AA15" s="116" t="str">
        <f t="shared" si="1"/>
        <v>K1</v>
      </c>
    </row>
    <row r="16" spans="1:29" x14ac:dyDescent="0.25">
      <c r="A16">
        <f t="shared" si="0"/>
        <v>15</v>
      </c>
      <c r="B16" t="str">
        <f>K[[#This Row],[Player]]</f>
        <v>Dustin Hopkins</v>
      </c>
      <c r="C16" t="s">
        <v>48</v>
      </c>
      <c r="D16" t="str">
        <f>_xlfn.IFNA(INDEX(BYEs!$E$2:$E$411,MATCH(B16,BYEs!$D$2:$D$411,0)),"N/A")</f>
        <v>N/A</v>
      </c>
      <c r="E16">
        <f>INDEX(BYEs!$B$2:$B$34,MATCH(F16,BYEs!$A$2:$A$34,0))</f>
        <v>8</v>
      </c>
      <c r="F16" t="str">
        <f>K[[#This Row],[Team]]</f>
        <v>LAC</v>
      </c>
      <c r="G16">
        <f>K[[#This Row],[FG]]</f>
        <v>26.2</v>
      </c>
      <c r="H16">
        <f>K[[#This Row],[FGA]]</f>
        <v>30.9</v>
      </c>
      <c r="I16">
        <f>K[[#This Row],[XPT]]</f>
        <v>42</v>
      </c>
      <c r="J16">
        <f>K[[#This Row],[FPTS]]</f>
        <v>120.5</v>
      </c>
      <c r="S16" s="75">
        <f>IF(A16&lt;=LeagueInfo!$B$7,1,0)</f>
        <v>0</v>
      </c>
      <c r="T16" s="75">
        <f t="shared" si="2"/>
        <v>0</v>
      </c>
      <c r="U16" s="6" t="str">
        <f>IF(OR(INDEX(Auction!$H$13:$H$656,MATCH(B16,Auction!$A$13:$A$656,0))&gt;0,IFERROR(INDEX(CheatSheet!$D$5:$D$34,MATCH(B16,CheatSheet!$A$5:$A$34,0)),"")&lt;&gt;""),"Yes","No")</f>
        <v>No</v>
      </c>
      <c r="V16" s="179"/>
      <c r="Z16" s="115">
        <f ca="1">IF(LeagueInfo!$D$8=0,0,IF(AllowNegative="Yes",J16-INDIRECT("J"&amp;LeagueInfo!$B$7+1),MAX(J16-INDIRECT("J"&amp;LeagueInfo!$B$7+1),0)))</f>
        <v>-2.5</v>
      </c>
      <c r="AA16" s="116" t="str">
        <f t="shared" si="1"/>
        <v>K1</v>
      </c>
    </row>
    <row r="17" spans="1:27" x14ac:dyDescent="0.25">
      <c r="A17">
        <f t="shared" si="0"/>
        <v>16</v>
      </c>
      <c r="B17" t="str">
        <f>K[[#This Row],[Player]]</f>
        <v>Chris Boswell</v>
      </c>
      <c r="C17" t="s">
        <v>48</v>
      </c>
      <c r="D17">
        <f>_xlfn.IFNA(INDEX(BYEs!$E$2:$E$411,MATCH(B17,BYEs!$D$2:$D$411,0)),"N/A")</f>
        <v>30</v>
      </c>
      <c r="E17">
        <f>INDEX(BYEs!$B$2:$B$34,MATCH(F17,BYEs!$A$2:$A$34,0))</f>
        <v>9</v>
      </c>
      <c r="F17" t="str">
        <f>K[[#This Row],[Team]]</f>
        <v>PIT</v>
      </c>
      <c r="G17">
        <f>K[[#This Row],[FG]]</f>
        <v>29.1</v>
      </c>
      <c r="H17">
        <f>K[[#This Row],[FGA]]</f>
        <v>34.4</v>
      </c>
      <c r="I17">
        <f>K[[#This Row],[XPT]]</f>
        <v>32.4</v>
      </c>
      <c r="J17">
        <f>K[[#This Row],[FPTS]]</f>
        <v>119.7</v>
      </c>
      <c r="S17" s="75">
        <f>IF(A17&lt;=LeagueInfo!$B$7,1,0)</f>
        <v>0</v>
      </c>
      <c r="T17" s="75">
        <f t="shared" si="2"/>
        <v>0</v>
      </c>
      <c r="U17" s="6" t="str">
        <f>IF(OR(INDEX(Auction!$H$13:$H$656,MATCH(B17,Auction!$A$13:$A$656,0))&gt;0,IFERROR(INDEX(CheatSheet!$D$5:$D$34,MATCH(B17,CheatSheet!$A$5:$A$34,0)),"")&lt;&gt;""),"Yes","No")</f>
        <v>No</v>
      </c>
      <c r="V17" s="179"/>
      <c r="Z17" s="115">
        <f ca="1">IF(LeagueInfo!$D$8=0,0,IF(AllowNegative="Yes",J17-INDIRECT("J"&amp;LeagueInfo!$B$7+1),MAX(J17-INDIRECT("J"&amp;LeagueInfo!$B$7+1),0)))</f>
        <v>-3.2999999999999972</v>
      </c>
      <c r="AA17" s="116" t="str">
        <f t="shared" si="1"/>
        <v>K2</v>
      </c>
    </row>
    <row r="18" spans="1:27" x14ac:dyDescent="0.25">
      <c r="A18">
        <f t="shared" si="0"/>
        <v>17</v>
      </c>
      <c r="B18" t="str">
        <f>K[[#This Row],[Player]]</f>
        <v>Randy Bullock</v>
      </c>
      <c r="C18" t="s">
        <v>48</v>
      </c>
      <c r="D18" t="str">
        <f>_xlfn.IFNA(INDEX(BYEs!$E$2:$E$411,MATCH(B18,BYEs!$D$2:$D$411,0)),"N/A")</f>
        <v>N/A</v>
      </c>
      <c r="E18">
        <f>INDEX(BYEs!$B$2:$B$34,MATCH(F18,BYEs!$A$2:$A$34,0))</f>
        <v>6</v>
      </c>
      <c r="F18" t="str">
        <f>K[[#This Row],[Team]]</f>
        <v>TEN</v>
      </c>
      <c r="G18">
        <f>K[[#This Row],[FG]]</f>
        <v>25.6</v>
      </c>
      <c r="H18">
        <f>K[[#This Row],[FGA]]</f>
        <v>30.7</v>
      </c>
      <c r="I18">
        <f>K[[#This Row],[XPT]]</f>
        <v>40.5</v>
      </c>
      <c r="J18">
        <f>K[[#This Row],[FPTS]]</f>
        <v>117.1</v>
      </c>
      <c r="S18" s="75">
        <f>IF(A18&lt;=LeagueInfo!$B$7,1,0)</f>
        <v>0</v>
      </c>
      <c r="T18" s="75">
        <f t="shared" si="2"/>
        <v>0</v>
      </c>
      <c r="U18" s="6" t="str">
        <f>IF(OR(INDEX(Auction!$H$13:$H$656,MATCH(B18,Auction!$A$13:$A$656,0))&gt;0,IFERROR(INDEX(CheatSheet!$D$5:$D$34,MATCH(B18,CheatSheet!$A$5:$A$34,0)),"")&lt;&gt;""),"Yes","No")</f>
        <v>No</v>
      </c>
      <c r="V18" s="179"/>
      <c r="Z18" s="115">
        <f ca="1">IF(LeagueInfo!$D$8=0,0,IF(AllowNegative="Yes",J18-INDIRECT("J"&amp;LeagueInfo!$B$7+1),MAX(J18-INDIRECT("J"&amp;LeagueInfo!$B$7+1),0)))</f>
        <v>-5.9000000000000057</v>
      </c>
      <c r="AA18" s="116" t="str">
        <f t="shared" si="1"/>
        <v>K2</v>
      </c>
    </row>
    <row r="19" spans="1:27" x14ac:dyDescent="0.25">
      <c r="A19">
        <f t="shared" si="0"/>
        <v>18</v>
      </c>
      <c r="B19" t="str">
        <f>K[[#This Row],[Player]]</f>
        <v>Wil Lutz</v>
      </c>
      <c r="C19" t="s">
        <v>48</v>
      </c>
      <c r="D19">
        <f>_xlfn.IFNA(INDEX(BYEs!$E$2:$E$411,MATCH(B19,BYEs!$D$2:$D$411,0)),"N/A")</f>
        <v>27</v>
      </c>
      <c r="E19">
        <f>INDEX(BYEs!$B$2:$B$34,MATCH(F19,BYEs!$A$2:$A$34,0))</f>
        <v>14</v>
      </c>
      <c r="F19" t="str">
        <f>K[[#This Row],[Team]]</f>
        <v>NO</v>
      </c>
      <c r="G19">
        <f>K[[#This Row],[FG]]</f>
        <v>26.5</v>
      </c>
      <c r="H19">
        <f>K[[#This Row],[FGA]]</f>
        <v>31.2</v>
      </c>
      <c r="I19">
        <f>K[[#This Row],[XPT]]</f>
        <v>36.700000000000003</v>
      </c>
      <c r="J19">
        <f>K[[#This Row],[FPTS]]</f>
        <v>116</v>
      </c>
      <c r="S19" s="75">
        <f>IF(A19&lt;=LeagueInfo!$B$7,1,0)</f>
        <v>0</v>
      </c>
      <c r="T19" s="75">
        <f t="shared" si="2"/>
        <v>0</v>
      </c>
      <c r="U19" s="6" t="str">
        <f>IF(OR(INDEX(Auction!$H$13:$H$656,MATCH(B19,Auction!$A$13:$A$656,0))&gt;0,IFERROR(INDEX(CheatSheet!$D$5:$D$34,MATCH(B19,CheatSheet!$A$5:$A$34,0)),"")&lt;&gt;""),"Yes","No")</f>
        <v>No</v>
      </c>
      <c r="V19" s="179"/>
      <c r="Z19" s="115">
        <f ca="1">IF(LeagueInfo!$D$8=0,0,IF(AllowNegative="Yes",J19-INDIRECT("J"&amp;LeagueInfo!$B$7+1),MAX(J19-INDIRECT("J"&amp;LeagueInfo!$B$7+1),0)))</f>
        <v>-7</v>
      </c>
      <c r="AA19" s="116" t="str">
        <f t="shared" si="1"/>
        <v>K2</v>
      </c>
    </row>
    <row r="20" spans="1:27" x14ac:dyDescent="0.25">
      <c r="A20">
        <f t="shared" si="0"/>
        <v>18</v>
      </c>
      <c r="B20" t="str">
        <f>K[[#This Row],[Player]]</f>
        <v>Jake Elliott</v>
      </c>
      <c r="C20" t="s">
        <v>48</v>
      </c>
      <c r="D20">
        <f>_xlfn.IFNA(INDEX(BYEs!$E$2:$E$411,MATCH(B20,BYEs!$D$2:$D$411,0)),"N/A")</f>
        <v>26</v>
      </c>
      <c r="E20">
        <f>INDEX(BYEs!$B$2:$B$34,MATCH(F20,BYEs!$A$2:$A$34,0))</f>
        <v>7</v>
      </c>
      <c r="F20" t="str">
        <f>K[[#This Row],[Team]]</f>
        <v>PHI</v>
      </c>
      <c r="G20">
        <f>K[[#This Row],[FG]]</f>
        <v>27.8</v>
      </c>
      <c r="H20">
        <f>K[[#This Row],[FGA]]</f>
        <v>32.5</v>
      </c>
      <c r="I20">
        <f>K[[#This Row],[XPT]]</f>
        <v>32.5</v>
      </c>
      <c r="J20">
        <f>K[[#This Row],[FPTS]]</f>
        <v>116</v>
      </c>
      <c r="S20" s="75">
        <f>IF(A20&lt;=LeagueInfo!$B$7,1,0)</f>
        <v>0</v>
      </c>
      <c r="T20" s="75">
        <f t="shared" si="2"/>
        <v>0</v>
      </c>
      <c r="U20" s="6" t="str">
        <f>IF(OR(INDEX(Auction!$H$13:$H$656,MATCH(B20,Auction!$A$13:$A$656,0))&gt;0,IFERROR(INDEX(CheatSheet!$D$5:$D$34,MATCH(B20,CheatSheet!$A$5:$A$34,0)),"")&lt;&gt;""),"Yes","No")</f>
        <v>No</v>
      </c>
      <c r="V20" s="179"/>
      <c r="Z20" s="115">
        <f ca="1">IF(LeagueInfo!$D$8=0,0,IF(AllowNegative="Yes",J20-INDIRECT("J"&amp;LeagueInfo!$B$7+1),MAX(J20-INDIRECT("J"&amp;LeagueInfo!$B$7+1),0)))</f>
        <v>-7</v>
      </c>
      <c r="AA20" s="116" t="str">
        <f t="shared" si="1"/>
        <v>K2</v>
      </c>
    </row>
    <row r="21" spans="1:27" x14ac:dyDescent="0.25">
      <c r="A21">
        <f t="shared" si="0"/>
        <v>20</v>
      </c>
      <c r="B21" t="str">
        <f>K[[#This Row],[Player]]</f>
        <v>Younghoe Koo</v>
      </c>
      <c r="C21" t="s">
        <v>48</v>
      </c>
      <c r="D21" t="str">
        <f>_xlfn.IFNA(INDEX(BYEs!$E$2:$E$411,MATCH(B21,BYEs!$D$2:$D$411,0)),"N/A")</f>
        <v>N/A</v>
      </c>
      <c r="E21">
        <f>INDEX(BYEs!$B$2:$B$34,MATCH(F21,BYEs!$A$2:$A$34,0))</f>
        <v>14</v>
      </c>
      <c r="F21" t="str">
        <f>K[[#This Row],[Team]]</f>
        <v>ATL</v>
      </c>
      <c r="G21">
        <f>K[[#This Row],[FG]]</f>
        <v>27.5</v>
      </c>
      <c r="H21">
        <f>K[[#This Row],[FGA]]</f>
        <v>31.4</v>
      </c>
      <c r="I21">
        <f>K[[#This Row],[XPT]]</f>
        <v>33.4</v>
      </c>
      <c r="J21">
        <f>K[[#This Row],[FPTS]]</f>
        <v>115.9</v>
      </c>
      <c r="S21" s="75">
        <f>IF(A21&lt;=LeagueInfo!$B$7,1,0)</f>
        <v>0</v>
      </c>
      <c r="T21" s="75">
        <f t="shared" si="2"/>
        <v>0</v>
      </c>
      <c r="U21" s="6" t="str">
        <f>IF(OR(INDEX(Auction!$H$13:$H$656,MATCH(B21,Auction!$A$13:$A$656,0))&gt;0,IFERROR(INDEX(CheatSheet!$D$5:$D$34,MATCH(B21,CheatSheet!$A$5:$A$34,0)),"")&lt;&gt;""),"Yes","No")</f>
        <v>No</v>
      </c>
      <c r="V21" s="179"/>
      <c r="Z21" s="115">
        <f ca="1">IF(LeagueInfo!$D$8=0,0,IF(AllowNegative="Yes",J21-INDIRECT("J"&amp;LeagueInfo!$B$7+1),MAX(J21-INDIRECT("J"&amp;LeagueInfo!$B$7+1),0)))</f>
        <v>-7.0999999999999943</v>
      </c>
      <c r="AA21" s="116" t="str">
        <f t="shared" si="1"/>
        <v>K2</v>
      </c>
    </row>
    <row r="22" spans="1:27" x14ac:dyDescent="0.25">
      <c r="A22">
        <f t="shared" si="0"/>
        <v>21</v>
      </c>
      <c r="B22" t="str">
        <f>K[[#This Row],[Player]]</f>
        <v>Jason Sanders</v>
      </c>
      <c r="C22" t="s">
        <v>48</v>
      </c>
      <c r="D22" t="str">
        <f>_xlfn.IFNA(INDEX(BYEs!$E$2:$E$411,MATCH(B22,BYEs!$D$2:$D$411,0)),"N/A")</f>
        <v>N/A</v>
      </c>
      <c r="E22">
        <f>INDEX(BYEs!$B$2:$B$34,MATCH(F22,BYEs!$A$2:$A$34,0))</f>
        <v>11</v>
      </c>
      <c r="F22" t="str">
        <f>K[[#This Row],[Team]]</f>
        <v>MIA</v>
      </c>
      <c r="G22">
        <f>K[[#This Row],[FG]]</f>
        <v>25.6</v>
      </c>
      <c r="H22">
        <f>K[[#This Row],[FGA]]</f>
        <v>31.6</v>
      </c>
      <c r="I22">
        <f>K[[#This Row],[XPT]]</f>
        <v>37.6</v>
      </c>
      <c r="J22">
        <f>K[[#This Row],[FPTS]]</f>
        <v>114.5</v>
      </c>
      <c r="S22" s="75">
        <f>IF(A22&lt;=LeagueInfo!$B$7,1,0)</f>
        <v>0</v>
      </c>
      <c r="T22" s="75">
        <f t="shared" si="2"/>
        <v>0</v>
      </c>
      <c r="U22" s="6" t="str">
        <f>IF(OR(INDEX(Auction!$H$13:$H$656,MATCH(B22,Auction!$A$13:$A$656,0))&gt;0,IFERROR(INDEX(CheatSheet!$D$5:$D$34,MATCH(B22,CheatSheet!$A$5:$A$34,0)),"")&lt;&gt;""),"Yes","No")</f>
        <v>No</v>
      </c>
      <c r="V22" s="179"/>
      <c r="Z22" s="115">
        <f ca="1">IF(LeagueInfo!$D$8=0,0,IF(AllowNegative="Yes",J22-INDIRECT("J"&amp;LeagueInfo!$B$7+1),MAX(J22-INDIRECT("J"&amp;LeagueInfo!$B$7+1),0)))</f>
        <v>-8.5</v>
      </c>
      <c r="AA22" s="116" t="str">
        <f t="shared" si="1"/>
        <v>K2</v>
      </c>
    </row>
    <row r="23" spans="1:27" x14ac:dyDescent="0.25">
      <c r="A23">
        <f t="shared" si="0"/>
        <v>22</v>
      </c>
      <c r="B23" t="str">
        <f>K[[#This Row],[Player]]</f>
        <v>Cairo Santos</v>
      </c>
      <c r="C23" t="s">
        <v>48</v>
      </c>
      <c r="D23">
        <f>_xlfn.IFNA(INDEX(BYEs!$E$2:$E$411,MATCH(B23,BYEs!$D$2:$D$411,0)),"N/A")</f>
        <v>29</v>
      </c>
      <c r="E23">
        <f>INDEX(BYEs!$B$2:$B$34,MATCH(F23,BYEs!$A$2:$A$34,0))</f>
        <v>14</v>
      </c>
      <c r="F23" t="str">
        <f>K[[#This Row],[Team]]</f>
        <v>CHI</v>
      </c>
      <c r="G23">
        <f>K[[#This Row],[FG]]</f>
        <v>26.5</v>
      </c>
      <c r="H23">
        <f>K[[#This Row],[FGA]]</f>
        <v>31.9</v>
      </c>
      <c r="I23">
        <f>K[[#This Row],[XPT]]</f>
        <v>33.6</v>
      </c>
      <c r="J23">
        <f>K[[#This Row],[FPTS]]</f>
        <v>113</v>
      </c>
      <c r="S23" s="75">
        <f>IF(A23&lt;=LeagueInfo!$B$7,1,0)</f>
        <v>0</v>
      </c>
      <c r="T23" s="75">
        <f t="shared" si="2"/>
        <v>0</v>
      </c>
      <c r="U23" s="6" t="str">
        <f>IF(OR(INDEX(Auction!$H$13:$H$656,MATCH(B23,Auction!$A$13:$A$656,0))&gt;0,IFERROR(INDEX(CheatSheet!$D$5:$D$34,MATCH(B23,CheatSheet!$A$5:$A$34,0)),"")&lt;&gt;""),"Yes","No")</f>
        <v>No</v>
      </c>
      <c r="V23" s="179"/>
      <c r="Z23" s="115">
        <f ca="1">IF(LeagueInfo!$D$8=0,0,IF(AllowNegative="Yes",J23-INDIRECT("J"&amp;LeagueInfo!$B$7+1),MAX(J23-INDIRECT("J"&amp;LeagueInfo!$B$7+1),0)))</f>
        <v>-10</v>
      </c>
      <c r="AA23" s="116" t="str">
        <f t="shared" si="1"/>
        <v>K2</v>
      </c>
    </row>
    <row r="24" spans="1:27" x14ac:dyDescent="0.25">
      <c r="A24">
        <f t="shared" si="0"/>
        <v>23</v>
      </c>
      <c r="B24" t="str">
        <f>K[[#This Row],[Player]]</f>
        <v>Graham Gano</v>
      </c>
      <c r="C24" t="s">
        <v>48</v>
      </c>
      <c r="D24">
        <f>_xlfn.IFNA(INDEX(BYEs!$E$2:$E$411,MATCH(B24,BYEs!$D$2:$D$411,0)),"N/A")</f>
        <v>34</v>
      </c>
      <c r="E24">
        <f>INDEX(BYEs!$B$2:$B$34,MATCH(F24,BYEs!$A$2:$A$34,0))</f>
        <v>9</v>
      </c>
      <c r="F24" t="str">
        <f>K[[#This Row],[Team]]</f>
        <v>NYG</v>
      </c>
      <c r="G24">
        <f>K[[#This Row],[FG]]</f>
        <v>27.4</v>
      </c>
      <c r="H24">
        <f>K[[#This Row],[FGA]]</f>
        <v>32.6</v>
      </c>
      <c r="I24">
        <f>K[[#This Row],[XPT]]</f>
        <v>30.5</v>
      </c>
      <c r="J24">
        <f>K[[#This Row],[FPTS]]</f>
        <v>112.7</v>
      </c>
      <c r="S24" s="75">
        <f>IF(A24&lt;=LeagueInfo!$B$7,1,0)</f>
        <v>0</v>
      </c>
      <c r="T24" s="75">
        <f t="shared" si="2"/>
        <v>0</v>
      </c>
      <c r="U24" s="6" t="str">
        <f>IF(OR(INDEX(Auction!$H$13:$H$656,MATCH(B24,Auction!$A$13:$A$656,0))&gt;0,IFERROR(INDEX(CheatSheet!$D$5:$D$34,MATCH(B24,CheatSheet!$A$5:$A$34,0)),"")&lt;&gt;""),"Yes","No")</f>
        <v>No</v>
      </c>
      <c r="V24" s="179"/>
      <c r="Z24" s="115">
        <f ca="1">IF(LeagueInfo!$D$8=0,0,IF(AllowNegative="Yes",J24-INDIRECT("J"&amp;LeagueInfo!$B$7+1),MAX(J24-INDIRECT("J"&amp;LeagueInfo!$B$7+1),0)))</f>
        <v>-10.299999999999997</v>
      </c>
      <c r="AA24" s="116" t="str">
        <f t="shared" si="1"/>
        <v>K2</v>
      </c>
    </row>
    <row r="25" spans="1:27" x14ac:dyDescent="0.25">
      <c r="A25">
        <f t="shared" si="0"/>
        <v>24</v>
      </c>
      <c r="B25" t="str">
        <f>K[[#This Row],[Player]]</f>
        <v>Austin Seibert</v>
      </c>
      <c r="C25" t="s">
        <v>48</v>
      </c>
      <c r="D25" t="str">
        <f>_xlfn.IFNA(INDEX(BYEs!$E$2:$E$411,MATCH(B25,BYEs!$D$2:$D$411,0)),"N/A")</f>
        <v>N/A</v>
      </c>
      <c r="E25">
        <f>INDEX(BYEs!$B$2:$B$34,MATCH(F25,BYEs!$A$2:$A$34,0))</f>
        <v>6</v>
      </c>
      <c r="F25" t="str">
        <f>K[[#This Row],[Team]]</f>
        <v>DET</v>
      </c>
      <c r="G25">
        <f>K[[#This Row],[FG]]</f>
        <v>26.1</v>
      </c>
      <c r="H25">
        <f>K[[#This Row],[FGA]]</f>
        <v>30.2</v>
      </c>
      <c r="I25">
        <f>K[[#This Row],[XPT]]</f>
        <v>34.200000000000003</v>
      </c>
      <c r="J25">
        <f>K[[#This Row],[FPTS]]</f>
        <v>112.4</v>
      </c>
      <c r="S25" s="75">
        <f>IF(A25&lt;=LeagueInfo!$B$7,1,0)</f>
        <v>0</v>
      </c>
      <c r="T25" s="75">
        <f t="shared" si="2"/>
        <v>0</v>
      </c>
      <c r="U25" s="6" t="str">
        <f>IF(OR(INDEX(Auction!$H$13:$H$656,MATCH(B25,Auction!$A$13:$A$656,0))&gt;0,IFERROR(INDEX(CheatSheet!$D$5:$D$34,MATCH(B25,CheatSheet!$A$5:$A$34,0)),"")&lt;&gt;""),"Yes","No")</f>
        <v>No</v>
      </c>
      <c r="V25" s="179"/>
      <c r="Z25" s="115">
        <f ca="1">IF(LeagueInfo!$D$8=0,0,IF(AllowNegative="Yes",J25-INDIRECT("J"&amp;LeagueInfo!$B$7+1),MAX(J25-INDIRECT("J"&amp;LeagueInfo!$B$7+1),0)))</f>
        <v>-10.599999999999994</v>
      </c>
      <c r="AA25" s="116" t="str">
        <f t="shared" si="1"/>
        <v>K2</v>
      </c>
    </row>
    <row r="26" spans="1:27" x14ac:dyDescent="0.25">
      <c r="A26">
        <f t="shared" si="0"/>
        <v>25</v>
      </c>
      <c r="B26" t="str">
        <f>K[[#This Row],[Player]]</f>
        <v>Joey Slye</v>
      </c>
      <c r="C26" t="s">
        <v>48</v>
      </c>
      <c r="D26" t="str">
        <f>_xlfn.IFNA(INDEX(BYEs!$E$2:$E$411,MATCH(B26,BYEs!$D$2:$D$411,0)),"N/A")</f>
        <v>N/A</v>
      </c>
      <c r="E26">
        <f>INDEX(BYEs!$B$2:$B$34,MATCH(F26,BYEs!$A$2:$A$34,0))</f>
        <v>14</v>
      </c>
      <c r="F26" t="str">
        <f>K[[#This Row],[Team]]</f>
        <v>WAS</v>
      </c>
      <c r="G26">
        <f>K[[#This Row],[FG]]</f>
        <v>25.9</v>
      </c>
      <c r="H26">
        <f>K[[#This Row],[FGA]]</f>
        <v>31.4</v>
      </c>
      <c r="I26">
        <f>K[[#This Row],[XPT]]</f>
        <v>32.1</v>
      </c>
      <c r="J26">
        <f>K[[#This Row],[FPTS]]</f>
        <v>109.8</v>
      </c>
      <c r="S26" s="75">
        <f>IF(A26&lt;=LeagueInfo!$B$7,1,0)</f>
        <v>0</v>
      </c>
      <c r="T26" s="75">
        <f t="shared" si="2"/>
        <v>0</v>
      </c>
      <c r="U26" s="6" t="str">
        <f>IF(OR(INDEX(Auction!$H$13:$H$656,MATCH(B26,Auction!$A$13:$A$656,0))&gt;0,IFERROR(INDEX(CheatSheet!$D$5:$D$34,MATCH(B26,CheatSheet!$A$5:$A$34,0)),"")&lt;&gt;""),"Yes","No")</f>
        <v>No</v>
      </c>
      <c r="V26" s="179"/>
      <c r="Z26" s="115">
        <f ca="1">IF(LeagueInfo!$D$8=0,0,IF(AllowNegative="Yes",J26-INDIRECT("J"&amp;LeagueInfo!$B$7+1),MAX(J26-INDIRECT("J"&amp;LeagueInfo!$B$7+1),0)))</f>
        <v>-13.200000000000003</v>
      </c>
      <c r="AA26" s="116" t="str">
        <f t="shared" si="1"/>
        <v>K2</v>
      </c>
    </row>
    <row r="27" spans="1:27" x14ac:dyDescent="0.25">
      <c r="A27">
        <f t="shared" si="0"/>
        <v>26</v>
      </c>
      <c r="B27" t="str">
        <f>K[[#This Row],[Player]]</f>
        <v>Eddy Pineiro</v>
      </c>
      <c r="C27" t="s">
        <v>48</v>
      </c>
      <c r="D27" t="str">
        <f>_xlfn.IFNA(INDEX(BYEs!$E$2:$E$411,MATCH(B27,BYEs!$D$2:$D$411,0)),"N/A")</f>
        <v>N/A</v>
      </c>
      <c r="E27">
        <f>INDEX(BYEs!$B$2:$B$34,MATCH(F27,BYEs!$A$2:$A$34,0))</f>
        <v>13</v>
      </c>
      <c r="F27" t="str">
        <f>K[[#This Row],[Team]]</f>
        <v>CAR</v>
      </c>
      <c r="G27">
        <f>K[[#This Row],[FG]]</f>
        <v>25.9</v>
      </c>
      <c r="H27">
        <f>K[[#This Row],[FGA]]</f>
        <v>30.1</v>
      </c>
      <c r="I27">
        <f>K[[#This Row],[XPT]]</f>
        <v>29.8</v>
      </c>
      <c r="J27">
        <f>K[[#This Row],[FPTS]]</f>
        <v>107.6</v>
      </c>
      <c r="S27" s="75">
        <f>IF(A27&lt;=LeagueInfo!$B$7,1,0)</f>
        <v>0</v>
      </c>
      <c r="T27" s="75">
        <f t="shared" si="2"/>
        <v>0</v>
      </c>
      <c r="U27" s="6" t="str">
        <f>IF(OR(INDEX(Auction!$H$13:$H$656,MATCH(B27,Auction!$A$13:$A$656,0))&gt;0,IFERROR(INDEX(CheatSheet!$D$5:$D$34,MATCH(B27,CheatSheet!$A$5:$A$34,0)),"")&lt;&gt;""),"Yes","No")</f>
        <v>No</v>
      </c>
      <c r="V27" s="179"/>
      <c r="Z27" s="115">
        <f ca="1">IF(LeagueInfo!$D$8=0,0,IF(AllowNegative="Yes",J27-INDIRECT("J"&amp;LeagueInfo!$B$7+1),MAX(J27-INDIRECT("J"&amp;LeagueInfo!$B$7+1),0)))</f>
        <v>-15.400000000000006</v>
      </c>
      <c r="AA27" s="116" t="str">
        <f t="shared" si="1"/>
        <v>K2</v>
      </c>
    </row>
    <row r="28" spans="1:27" x14ac:dyDescent="0.25">
      <c r="A28">
        <f t="shared" si="0"/>
        <v>27</v>
      </c>
      <c r="B28" t="str">
        <f>K[[#This Row],[Player]]</f>
        <v>Cade York</v>
      </c>
      <c r="C28" t="s">
        <v>48</v>
      </c>
      <c r="D28" t="str">
        <f>_xlfn.IFNA(INDEX(BYEs!$E$2:$E$411,MATCH(B28,BYEs!$D$2:$D$411,0)),"N/A")</f>
        <v>N/A</v>
      </c>
      <c r="E28">
        <f>INDEX(BYEs!$B$2:$B$34,MATCH(F28,BYEs!$A$2:$A$34,0))</f>
        <v>9</v>
      </c>
      <c r="F28" t="str">
        <f>K[[#This Row],[Team]]</f>
        <v>CLE</v>
      </c>
      <c r="G28">
        <f>K[[#This Row],[FG]]</f>
        <v>24.2</v>
      </c>
      <c r="H28">
        <f>K[[#This Row],[FGA]]</f>
        <v>29.1</v>
      </c>
      <c r="I28">
        <f>K[[#This Row],[XPT]]</f>
        <v>33</v>
      </c>
      <c r="J28">
        <f>K[[#This Row],[FPTS]]</f>
        <v>105.6</v>
      </c>
      <c r="S28" s="75">
        <f>IF(A28&lt;=LeagueInfo!$B$7,1,0)</f>
        <v>0</v>
      </c>
      <c r="T28" s="75">
        <f t="shared" si="2"/>
        <v>0</v>
      </c>
      <c r="U28" s="6" t="str">
        <f>IF(OR(INDEX(Auction!$H$13:$H$656,MATCH(B28,Auction!$A$13:$A$656,0))&gt;0,IFERROR(INDEX(CheatSheet!$D$5:$D$34,MATCH(B28,CheatSheet!$A$5:$A$34,0)),"")&lt;&gt;""),"Yes","No")</f>
        <v>No</v>
      </c>
      <c r="V28" s="179"/>
      <c r="Z28" s="115">
        <f ca="1">IF(LeagueInfo!$D$8=0,0,IF(AllowNegative="Yes",J28-INDIRECT("J"&amp;LeagueInfo!$B$7+1),MAX(J28-INDIRECT("J"&amp;LeagueInfo!$B$7+1),0)))</f>
        <v>-17.400000000000006</v>
      </c>
      <c r="AA28" s="116" t="str">
        <f t="shared" si="1"/>
        <v>K2</v>
      </c>
    </row>
    <row r="29" spans="1:27" x14ac:dyDescent="0.25">
      <c r="A29">
        <f t="shared" si="0"/>
        <v>28</v>
      </c>
      <c r="B29" t="str">
        <f>K[[#This Row],[Player]]</f>
        <v>Jason Myers</v>
      </c>
      <c r="C29" t="s">
        <v>48</v>
      </c>
      <c r="D29" t="str">
        <f>_xlfn.IFNA(INDEX(BYEs!$E$2:$E$411,MATCH(B29,BYEs!$D$2:$D$411,0)),"N/A")</f>
        <v>N/A</v>
      </c>
      <c r="E29">
        <f>INDEX(BYEs!$B$2:$B$34,MATCH(F29,BYEs!$A$2:$A$34,0))</f>
        <v>11</v>
      </c>
      <c r="F29" t="str">
        <f>K[[#This Row],[Team]]</f>
        <v>SEA</v>
      </c>
      <c r="G29">
        <f>K[[#This Row],[FG]]</f>
        <v>23.6</v>
      </c>
      <c r="H29">
        <f>K[[#This Row],[FGA]]</f>
        <v>28.6</v>
      </c>
      <c r="I29">
        <f>K[[#This Row],[XPT]]</f>
        <v>33.5</v>
      </c>
      <c r="J29">
        <f>K[[#This Row],[FPTS]]</f>
        <v>104.4</v>
      </c>
      <c r="S29" s="75">
        <f>IF(A29&lt;=LeagueInfo!$B$7,1,0)</f>
        <v>0</v>
      </c>
      <c r="T29" s="75">
        <f t="shared" si="2"/>
        <v>0</v>
      </c>
      <c r="U29" s="6" t="str">
        <f>IF(OR(INDEX(Auction!$H$13:$H$656,MATCH(B29,Auction!$A$13:$A$656,0))&gt;0,IFERROR(INDEX(CheatSheet!$D$5:$D$34,MATCH(B29,CheatSheet!$A$5:$A$34,0)),"")&lt;&gt;""),"Yes","No")</f>
        <v>No</v>
      </c>
      <c r="V29" s="179"/>
      <c r="Z29" s="115">
        <f ca="1">IF(LeagueInfo!$D$8=0,0,IF(AllowNegative="Yes",J29-INDIRECT("J"&amp;LeagueInfo!$B$7+1),MAX(J29-INDIRECT("J"&amp;LeagueInfo!$B$7+1),0)))</f>
        <v>-18.599999999999994</v>
      </c>
      <c r="AA29" s="116" t="str">
        <f t="shared" si="1"/>
        <v>K2</v>
      </c>
    </row>
    <row r="30" spans="1:27" x14ac:dyDescent="0.25">
      <c r="A30">
        <f t="shared" si="0"/>
        <v>29</v>
      </c>
      <c r="B30" t="str">
        <f>K[[#This Row],[Player]]</f>
        <v>Ka'imi Fairbairn</v>
      </c>
      <c r="C30" t="s">
        <v>48</v>
      </c>
      <c r="D30" t="str">
        <f>_xlfn.IFNA(INDEX(BYEs!$E$2:$E$411,MATCH(B30,BYEs!$D$2:$D$411,0)),"N/A")</f>
        <v>N/A</v>
      </c>
      <c r="E30">
        <f>INDEX(BYEs!$B$2:$B$34,MATCH(F30,BYEs!$A$2:$A$34,0))</f>
        <v>6</v>
      </c>
      <c r="F30" t="str">
        <f>K[[#This Row],[Team]]</f>
        <v>HOU</v>
      </c>
      <c r="G30">
        <f>K[[#This Row],[FG]]</f>
        <v>24.4</v>
      </c>
      <c r="H30">
        <f>K[[#This Row],[FGA]]</f>
        <v>29.2</v>
      </c>
      <c r="I30">
        <f>K[[#This Row],[XPT]]</f>
        <v>30</v>
      </c>
      <c r="J30">
        <f>K[[#This Row],[FPTS]]</f>
        <v>103.2</v>
      </c>
      <c r="S30" s="75">
        <f>IF(A30&lt;=LeagueInfo!$B$7,1,0)</f>
        <v>0</v>
      </c>
      <c r="T30" s="75">
        <f t="shared" si="2"/>
        <v>0</v>
      </c>
      <c r="U30" s="6" t="str">
        <f>IF(OR(INDEX(Auction!$H$13:$H$656,MATCH(B30,Auction!$A$13:$A$656,0))&gt;0,IFERROR(INDEX(CheatSheet!$D$5:$D$34,MATCH(B30,CheatSheet!$A$5:$A$34,0)),"")&lt;&gt;""),"Yes","No")</f>
        <v>No</v>
      </c>
      <c r="V30" s="179"/>
      <c r="Z30" s="115">
        <f ca="1">IF(LeagueInfo!$D$8=0,0,IF(AllowNegative="Yes",J30-INDIRECT("J"&amp;LeagueInfo!$B$7+1),MAX(J30-INDIRECT("J"&amp;LeagueInfo!$B$7+1),0)))</f>
        <v>-19.799999999999997</v>
      </c>
      <c r="AA30" s="116" t="str">
        <f t="shared" si="1"/>
        <v>K2</v>
      </c>
    </row>
    <row r="31" spans="1:27" x14ac:dyDescent="0.25">
      <c r="A31">
        <f t="shared" si="0"/>
        <v>30</v>
      </c>
      <c r="B31" t="str">
        <f>K[[#This Row],[Player]]</f>
        <v>Greg Zuerlein</v>
      </c>
      <c r="C31" t="s">
        <v>48</v>
      </c>
      <c r="D31">
        <f>_xlfn.IFNA(INDEX(BYEs!$E$2:$E$411,MATCH(B31,BYEs!$D$2:$D$411,0)),"N/A")</f>
        <v>33</v>
      </c>
      <c r="E31">
        <f>INDEX(BYEs!$B$2:$B$34,MATCH(F31,BYEs!$A$2:$A$34,0))</f>
        <v>10</v>
      </c>
      <c r="F31" t="str">
        <f>K[[#This Row],[Team]]</f>
        <v>NYJ</v>
      </c>
      <c r="G31">
        <f>K[[#This Row],[FG]]</f>
        <v>23.9</v>
      </c>
      <c r="H31">
        <f>K[[#This Row],[FGA]]</f>
        <v>29.3</v>
      </c>
      <c r="I31">
        <f>K[[#This Row],[XPT]]</f>
        <v>31.2</v>
      </c>
      <c r="J31">
        <f>K[[#This Row],[FPTS]]</f>
        <v>102.9</v>
      </c>
      <c r="S31" s="75">
        <f>IF(A31&lt;=LeagueInfo!$B$7,1,0)</f>
        <v>0</v>
      </c>
      <c r="T31" s="75">
        <f t="shared" si="2"/>
        <v>0</v>
      </c>
      <c r="U31" s="6" t="str">
        <f>IF(OR(INDEX(Auction!$H$13:$H$656,MATCH(B31,Auction!$A$13:$A$656,0))&gt;0,IFERROR(INDEX(CheatSheet!$D$5:$D$34,MATCH(B31,CheatSheet!$A$5:$A$34,0)),"")&lt;&gt;""),"Yes","No")</f>
        <v>No</v>
      </c>
      <c r="V31" s="179"/>
      <c r="Z31" s="115">
        <f ca="1">IF(LeagueInfo!$D$8=0,0,IF(AllowNegative="Yes",J31-INDIRECT("J"&amp;LeagueInfo!$B$7+1),MAX(J31-INDIRECT("J"&amp;LeagueInfo!$B$7+1),0)))</f>
        <v>-20.099999999999994</v>
      </c>
      <c r="AA31" s="116" t="str">
        <f t="shared" si="1"/>
        <v>K2</v>
      </c>
    </row>
    <row r="32" spans="1:27" x14ac:dyDescent="0.25">
      <c r="A32">
        <f t="shared" si="0"/>
        <v>31</v>
      </c>
      <c r="B32" t="str">
        <f>K[[#This Row],[Player]]</f>
        <v>Riley Patterson</v>
      </c>
      <c r="C32" t="s">
        <v>48</v>
      </c>
      <c r="D32" t="str">
        <f>_xlfn.IFNA(INDEX(BYEs!$E$2:$E$411,MATCH(B32,BYEs!$D$2:$D$411,0)),"N/A")</f>
        <v>N/A</v>
      </c>
      <c r="E32">
        <f>INDEX(BYEs!$B$2:$B$34,MATCH(F32,BYEs!$A$2:$A$34,0))</f>
        <v>11</v>
      </c>
      <c r="F32" t="str">
        <f>K[[#This Row],[Team]]</f>
        <v>JAC</v>
      </c>
      <c r="G32">
        <f>K[[#This Row],[FG]]</f>
        <v>24.1</v>
      </c>
      <c r="H32">
        <f>K[[#This Row],[FGA]]</f>
        <v>29</v>
      </c>
      <c r="I32">
        <f>K[[#This Row],[XPT]]</f>
        <v>30.4</v>
      </c>
      <c r="J32">
        <f>K[[#This Row],[FPTS]]</f>
        <v>102.7</v>
      </c>
      <c r="S32" s="75">
        <f>IF(A32&lt;=LeagueInfo!$B$7,1,0)</f>
        <v>0</v>
      </c>
      <c r="T32" s="75">
        <f t="shared" si="2"/>
        <v>0</v>
      </c>
      <c r="U32" s="6" t="str">
        <f>IF(OR(INDEX(Auction!$H$13:$H$656,MATCH(B32,Auction!$A$13:$A$656,0))&gt;0,IFERROR(INDEX(CheatSheet!$D$5:$D$34,MATCH(B32,CheatSheet!$A$5:$A$34,0)),"")&lt;&gt;""),"Yes","No")</f>
        <v>No</v>
      </c>
      <c r="V32" s="179"/>
      <c r="Z32" s="115">
        <f ca="1">IF(LeagueInfo!$D$8=0,0,IF(AllowNegative="Yes",J32-INDIRECT("J"&amp;LeagueInfo!$B$7+1),MAX(J32-INDIRECT("J"&amp;LeagueInfo!$B$7+1),0)))</f>
        <v>-20.299999999999997</v>
      </c>
      <c r="AA32" s="116" t="str">
        <f t="shared" si="1"/>
        <v>K2</v>
      </c>
    </row>
    <row r="33" spans="1:27" x14ac:dyDescent="0.25">
      <c r="A33">
        <f t="shared" si="0"/>
        <v>32</v>
      </c>
      <c r="B33" t="str">
        <f>K[[#This Row],[Player]]</f>
        <v>Brett Maher</v>
      </c>
      <c r="C33" t="s">
        <v>48</v>
      </c>
      <c r="D33">
        <f>_xlfn.IFNA(INDEX(BYEs!$E$2:$E$411,MATCH(B33,BYEs!$D$2:$D$411,0)),"N/A")</f>
        <v>31</v>
      </c>
      <c r="E33">
        <f>INDEX(BYEs!$B$2:$B$34,MATCH(F33,BYEs!$A$2:$A$34,0))</f>
        <v>9</v>
      </c>
      <c r="F33" t="str">
        <f>K[[#This Row],[Team]]</f>
        <v>DAL</v>
      </c>
      <c r="G33">
        <f>K[[#This Row],[FG]]</f>
        <v>19.5</v>
      </c>
      <c r="H33">
        <f>K[[#This Row],[FGA]]</f>
        <v>20.2</v>
      </c>
      <c r="I33">
        <f>K[[#This Row],[XPT]]</f>
        <v>34.5</v>
      </c>
      <c r="J33">
        <f>K[[#This Row],[FPTS]]</f>
        <v>93</v>
      </c>
      <c r="S33" s="75">
        <f>IF(A33&lt;=LeagueInfo!$B$7,1,0)</f>
        <v>0</v>
      </c>
      <c r="T33" s="75">
        <f t="shared" si="2"/>
        <v>0</v>
      </c>
      <c r="U33" s="6" t="str">
        <f>IF(OR(INDEX(Auction!$H$13:$H$656,MATCH(B33,Auction!$A$13:$A$656,0))&gt;0,IFERROR(INDEX(CheatSheet!$D$5:$D$34,MATCH(B33,CheatSheet!$A$5:$A$34,0)),"")&lt;&gt;""),"Yes","No")</f>
        <v>No</v>
      </c>
      <c r="V33" s="179"/>
      <c r="Z33" s="115">
        <f ca="1">IF(LeagueInfo!$D$8=0,0,IF(AllowNegative="Yes",J33-INDIRECT("J"&amp;LeagueInfo!$B$7+1),MAX(J33-INDIRECT("J"&amp;LeagueInfo!$B$7+1),0)))</f>
        <v>-30</v>
      </c>
      <c r="AA33" s="116" t="str">
        <f t="shared" si="1"/>
        <v>K3</v>
      </c>
    </row>
  </sheetData>
  <sortState xmlns:xlrd2="http://schemas.microsoft.com/office/spreadsheetml/2017/richdata2" ref="A2:P37">
    <sortCondition descending="1" ref="J2"/>
  </sortState>
  <conditionalFormatting sqref="A2:AA33">
    <cfRule type="expression" dxfId="69" priority="5">
      <formula>$U2="Yes"</formula>
    </cfRule>
  </conditionalFormatting>
  <conditionalFormatting sqref="D1">
    <cfRule type="expression" dxfId="68" priority="3">
      <formula>#REF!="Yes"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LeagueInfo!$H$97:$H$99</xm:f>
          </x14:formula1>
          <xm:sqref>V2:V33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C46"/>
  <sheetViews>
    <sheetView workbookViewId="0">
      <selection activeCell="Z18" sqref="Z18"/>
    </sheetView>
  </sheetViews>
  <sheetFormatPr defaultColWidth="8.85546875" defaultRowHeight="15" x14ac:dyDescent="0.25"/>
  <cols>
    <col min="1" max="1" width="4.85546875" bestFit="1" customWidth="1"/>
    <col min="2" max="2" width="24.140625" bestFit="1" customWidth="1"/>
    <col min="3" max="3" width="4.28515625" bestFit="1" customWidth="1"/>
    <col min="4" max="4" width="4.5703125" bestFit="1" customWidth="1"/>
    <col min="5" max="5" width="3.85546875" bestFit="1" customWidth="1"/>
    <col min="6" max="6" width="5.42578125" bestFit="1" customWidth="1"/>
    <col min="7" max="19" width="0" hidden="1" customWidth="1"/>
    <col min="20" max="21" width="3.7109375" bestFit="1" customWidth="1"/>
    <col min="22" max="22" width="7.7109375" bestFit="1" customWidth="1"/>
    <col min="23" max="23" width="7.140625" bestFit="1" customWidth="1"/>
    <col min="24" max="25" width="9.140625" hidden="1" customWidth="1"/>
    <col min="26" max="26" width="7.140625" bestFit="1" customWidth="1"/>
    <col min="27" max="27" width="5.28515625" bestFit="1" customWidth="1"/>
    <col min="29" max="29" width="1.42578125" bestFit="1" customWidth="1"/>
  </cols>
  <sheetData>
    <row r="1" spans="1:27" x14ac:dyDescent="0.25">
      <c r="A1" s="100" t="s">
        <v>253</v>
      </c>
      <c r="B1" s="100" t="s">
        <v>452</v>
      </c>
      <c r="C1" s="100" t="s">
        <v>20</v>
      </c>
      <c r="D1" s="100" t="s">
        <v>795</v>
      </c>
      <c r="E1" s="100" t="s">
        <v>440</v>
      </c>
      <c r="F1" s="100" t="s">
        <v>452</v>
      </c>
      <c r="G1" s="100"/>
      <c r="H1" s="100"/>
      <c r="I1" s="100"/>
      <c r="J1" s="100"/>
      <c r="K1" s="100"/>
      <c r="L1" s="100"/>
      <c r="M1" s="100"/>
      <c r="N1" s="100"/>
      <c r="O1" s="100"/>
      <c r="P1" s="100"/>
      <c r="Q1" s="100"/>
      <c r="R1" s="100"/>
      <c r="S1" s="100"/>
      <c r="T1" s="100" t="s">
        <v>267</v>
      </c>
      <c r="U1" s="100" t="s">
        <v>267</v>
      </c>
      <c r="V1" s="100" t="s">
        <v>269</v>
      </c>
      <c r="W1" s="100" t="s">
        <v>270</v>
      </c>
      <c r="Z1" s="100" t="s">
        <v>272</v>
      </c>
      <c r="AA1" s="100" t="s">
        <v>273</v>
      </c>
    </row>
    <row r="2" spans="1:27" x14ac:dyDescent="0.25">
      <c r="A2">
        <v>1</v>
      </c>
      <c r="B2" t="str">
        <f>DEF[[#This Row],[Player]]</f>
        <v>Tampa Bay Buccaneers</v>
      </c>
      <c r="C2" t="s">
        <v>54</v>
      </c>
      <c r="D2" t="str">
        <f>_xlfn.IFNA(INDEX(BYEs!$E$2:$E$411,MATCH(B2,BYEs!$D$2:$D$411,0)),"N/A")</f>
        <v>N/A</v>
      </c>
      <c r="E2">
        <f>VLOOKUP(F2,BYEs!$A$2:$B$33,2)</f>
        <v>11</v>
      </c>
      <c r="F2" t="str">
        <f>INDEX(BYEs!$A$2:$A$34,MATCH(B2,BYEs!$C$2:$C$34,0))</f>
        <v>TB</v>
      </c>
      <c r="T2" s="75">
        <f>IF(A2&lt;=LeagueInfo!$B$8,1,0)</f>
        <v>1</v>
      </c>
      <c r="U2" s="75">
        <f>T2</f>
        <v>1</v>
      </c>
      <c r="V2" s="6" t="str">
        <f>IF(OR(INDEX(Auction!$H$13:$H$656,MATCH(B2,Auction!$A$13:$A$656,0))&gt;0,IFERROR(INDEX(CheatSheet!$D$5:$D$34,MATCH(B2,CheatSheet!$A$5:$A$34,0)),"")&lt;&gt;""),"Yes","No")</f>
        <v>No</v>
      </c>
      <c r="W2" s="179"/>
      <c r="Z2">
        <v>0</v>
      </c>
      <c r="AA2" s="116" t="s">
        <v>453</v>
      </c>
    </row>
    <row r="3" spans="1:27" x14ac:dyDescent="0.25">
      <c r="A3">
        <v>2</v>
      </c>
      <c r="B3" t="str">
        <f>DEF[[#This Row],[Player]]</f>
        <v>Pittsburgh Steelers</v>
      </c>
      <c r="C3" t="s">
        <v>54</v>
      </c>
      <c r="D3" t="str">
        <f>_xlfn.IFNA(INDEX(BYEs!$E$2:$E$411,MATCH(B3,BYEs!$D$2:$D$411,0)),"N/A")</f>
        <v>N/A</v>
      </c>
      <c r="E3">
        <f>VLOOKUP(F3,BYEs!$A$2:$B$33,2)</f>
        <v>9</v>
      </c>
      <c r="F3" t="str">
        <f>INDEX(BYEs!$A$2:$A$34,MATCH(B3,BYEs!$C$2:$C$34,0))</f>
        <v>PIT</v>
      </c>
      <c r="T3" s="75">
        <f>IF(A3&lt;=LeagueInfo!$B$8,1,0)</f>
        <v>1</v>
      </c>
      <c r="U3" s="75">
        <f t="shared" ref="U3:U33" si="0">T3</f>
        <v>1</v>
      </c>
      <c r="V3" s="6" t="str">
        <f>IF(OR(INDEX(Auction!$H$13:$H$656,MATCH(B3,Auction!$A$13:$A$656,0))&gt;0,IFERROR(INDEX(CheatSheet!$D$5:$D$34,MATCH(B3,CheatSheet!$A$5:$A$34,0)),"")&lt;&gt;""),"Yes","No")</f>
        <v>No</v>
      </c>
      <c r="W3" s="179"/>
      <c r="Z3">
        <v>0</v>
      </c>
      <c r="AA3" s="116" t="s">
        <v>454</v>
      </c>
    </row>
    <row r="4" spans="1:27" x14ac:dyDescent="0.25">
      <c r="A4">
        <v>3</v>
      </c>
      <c r="B4" t="str">
        <f>DEF[[#This Row],[Player]]</f>
        <v>Buffalo Bills</v>
      </c>
      <c r="C4" t="s">
        <v>54</v>
      </c>
      <c r="D4" t="str">
        <f>_xlfn.IFNA(INDEX(BYEs!$E$2:$E$411,MATCH(B4,BYEs!$D$2:$D$411,0)),"N/A")</f>
        <v>N/A</v>
      </c>
      <c r="E4">
        <f>VLOOKUP(F4,BYEs!$A$2:$B$33,2)</f>
        <v>7</v>
      </c>
      <c r="F4" t="str">
        <f>INDEX(BYEs!$A$2:$A$34,MATCH(B4,BYEs!$C$2:$C$34,0))</f>
        <v>BUF</v>
      </c>
      <c r="T4" s="75">
        <f>IF(A4&lt;=LeagueInfo!$B$8,1,0)</f>
        <v>1</v>
      </c>
      <c r="U4" s="75">
        <f t="shared" si="0"/>
        <v>1</v>
      </c>
      <c r="V4" s="6" t="str">
        <f>IF(OR(INDEX(Auction!$H$13:$H$656,MATCH(B4,Auction!$A$13:$A$656,0))&gt;0,IFERROR(INDEX(CheatSheet!$D$5:$D$34,MATCH(B4,CheatSheet!$A$5:$A$34,0)),"")&lt;&gt;""),"Yes","No")</f>
        <v>No</v>
      </c>
      <c r="W4" s="179"/>
      <c r="Z4">
        <v>0</v>
      </c>
      <c r="AA4" s="116" t="s">
        <v>454</v>
      </c>
    </row>
    <row r="5" spans="1:27" x14ac:dyDescent="0.25">
      <c r="A5">
        <v>4</v>
      </c>
      <c r="B5" t="str">
        <f>DEF[[#This Row],[Player]]</f>
        <v>Green Bay Packers</v>
      </c>
      <c r="C5" t="s">
        <v>54</v>
      </c>
      <c r="D5" t="str">
        <f>_xlfn.IFNA(INDEX(BYEs!$E$2:$E$411,MATCH(B5,BYEs!$D$2:$D$411,0)),"N/A")</f>
        <v>N/A</v>
      </c>
      <c r="E5">
        <f>VLOOKUP(F5,BYEs!$A$2:$B$33,2)</f>
        <v>14</v>
      </c>
      <c r="F5" t="str">
        <f>INDEX(BYEs!$A$2:$A$34,MATCH(B5,BYEs!$C$2:$C$34,0))</f>
        <v>GB</v>
      </c>
      <c r="T5" s="75">
        <f>IF(A5&lt;=LeagueInfo!$B$8,1,0)</f>
        <v>1</v>
      </c>
      <c r="U5" s="75">
        <f t="shared" si="0"/>
        <v>1</v>
      </c>
      <c r="V5" s="6" t="str">
        <f>IF(OR(INDEX(Auction!$H$13:$H$656,MATCH(B5,Auction!$A$13:$A$656,0))&gt;0,IFERROR(INDEX(CheatSheet!$D$5:$D$34,MATCH(B5,CheatSheet!$A$5:$A$34,0)),"")&lt;&gt;""),"Yes","No")</f>
        <v>No</v>
      </c>
      <c r="W5" s="179"/>
      <c r="Z5">
        <v>0</v>
      </c>
      <c r="AA5" s="116" t="s">
        <v>454</v>
      </c>
    </row>
    <row r="6" spans="1:27" x14ac:dyDescent="0.25">
      <c r="A6">
        <v>5</v>
      </c>
      <c r="B6" t="str">
        <f>DEF[[#This Row],[Player]]</f>
        <v>Dallas Cowboys</v>
      </c>
      <c r="C6" t="s">
        <v>54</v>
      </c>
      <c r="D6" t="str">
        <f>_xlfn.IFNA(INDEX(BYEs!$E$2:$E$411,MATCH(B6,BYEs!$D$2:$D$411,0)),"N/A")</f>
        <v>N/A</v>
      </c>
      <c r="E6">
        <f>VLOOKUP(F6,BYEs!$A$2:$B$33,2)</f>
        <v>9</v>
      </c>
      <c r="F6" t="str">
        <f>INDEX(BYEs!$A$2:$A$34,MATCH(B6,BYEs!$C$2:$C$34,0))</f>
        <v>DAL</v>
      </c>
      <c r="T6" s="75">
        <f>IF(A6&lt;=LeagueInfo!$B$8,1,0)</f>
        <v>1</v>
      </c>
      <c r="U6" s="75">
        <f t="shared" si="0"/>
        <v>1</v>
      </c>
      <c r="V6" s="6" t="str">
        <f>IF(OR(INDEX(Auction!$H$13:$H$656,MATCH(B6,Auction!$A$13:$A$656,0))&gt;0,IFERROR(INDEX(CheatSheet!$D$5:$D$34,MATCH(B6,CheatSheet!$A$5:$A$34,0)),"")&lt;&gt;""),"Yes","No")</f>
        <v>No</v>
      </c>
      <c r="W6" s="179"/>
      <c r="Z6">
        <v>0</v>
      </c>
      <c r="AA6" s="116" t="s">
        <v>456</v>
      </c>
    </row>
    <row r="7" spans="1:27" x14ac:dyDescent="0.25">
      <c r="A7">
        <v>6</v>
      </c>
      <c r="B7" t="str">
        <f>DEF[[#This Row],[Player]]</f>
        <v>Los Angeles Rams</v>
      </c>
      <c r="C7" t="s">
        <v>54</v>
      </c>
      <c r="D7" t="str">
        <f>_xlfn.IFNA(INDEX(BYEs!$E$2:$E$411,MATCH(B7,BYEs!$D$2:$D$411,0)),"N/A")</f>
        <v>N/A</v>
      </c>
      <c r="E7">
        <f>VLOOKUP(F7,BYEs!$A$2:$B$33,2)</f>
        <v>7</v>
      </c>
      <c r="F7" t="str">
        <f>INDEX(BYEs!$A$2:$A$34,MATCH(B7,BYEs!$C$2:$C$34,0))</f>
        <v>LAR</v>
      </c>
      <c r="T7" s="75">
        <f>IF(A7&lt;=LeagueInfo!$B$8,1,0)</f>
        <v>1</v>
      </c>
      <c r="U7" s="75">
        <f>T7</f>
        <v>1</v>
      </c>
      <c r="V7" s="6" t="str">
        <f>IF(OR(INDEX(Auction!$H$13:$H$656,MATCH(B7,Auction!$A$13:$A$656,0))&gt;0,IFERROR(INDEX(CheatSheet!$D$5:$D$34,MATCH(B7,CheatSheet!$A$5:$A$34,0)),"")&lt;&gt;""),"Yes","No")</f>
        <v>No</v>
      </c>
      <c r="W7" s="179"/>
      <c r="Z7">
        <v>0</v>
      </c>
      <c r="AA7" s="116" t="s">
        <v>456</v>
      </c>
    </row>
    <row r="8" spans="1:27" x14ac:dyDescent="0.25">
      <c r="A8">
        <v>7</v>
      </c>
      <c r="B8" t="str">
        <f>DEF[[#This Row],[Player]]</f>
        <v>New Orleans Saints</v>
      </c>
      <c r="C8" t="s">
        <v>54</v>
      </c>
      <c r="D8" t="str">
        <f>_xlfn.IFNA(INDEX(BYEs!$E$2:$E$411,MATCH(B8,BYEs!$D$2:$D$411,0)),"N/A")</f>
        <v>N/A</v>
      </c>
      <c r="E8">
        <f>VLOOKUP(F8,BYEs!$A$2:$B$33,2)</f>
        <v>14</v>
      </c>
      <c r="F8" t="str">
        <f>INDEX(BYEs!$A$2:$A$34,MATCH(B8,BYEs!$C$2:$C$34,0))</f>
        <v>NO</v>
      </c>
      <c r="T8" s="75">
        <f>IF(A8&lt;=LeagueInfo!$B$8,1,0)</f>
        <v>1</v>
      </c>
      <c r="U8" s="75">
        <f>T8</f>
        <v>1</v>
      </c>
      <c r="V8" s="6" t="str">
        <f>IF(OR(INDEX(Auction!$H$13:$H$656,MATCH(B8,Auction!$A$13:$A$656,0))&gt;0,IFERROR(INDEX(CheatSheet!$D$5:$D$34,MATCH(B8,CheatSheet!$A$5:$A$34,0)),"")&lt;&gt;""),"Yes","No")</f>
        <v>No</v>
      </c>
      <c r="W8" s="179"/>
      <c r="Z8">
        <v>0</v>
      </c>
      <c r="AA8" s="116" t="s">
        <v>456</v>
      </c>
    </row>
    <row r="9" spans="1:27" x14ac:dyDescent="0.25">
      <c r="A9">
        <v>8</v>
      </c>
      <c r="B9" t="str">
        <f>DEF[[#This Row],[Player]]</f>
        <v>Miami Dolphins</v>
      </c>
      <c r="C9" t="s">
        <v>54</v>
      </c>
      <c r="D9" t="str">
        <f>_xlfn.IFNA(INDEX(BYEs!$E$2:$E$411,MATCH(B9,BYEs!$D$2:$D$411,0)),"N/A")</f>
        <v>N/A</v>
      </c>
      <c r="E9">
        <f>VLOOKUP(F9,BYEs!$A$2:$B$33,2)</f>
        <v>11</v>
      </c>
      <c r="F9" t="str">
        <f>INDEX(BYEs!$A$2:$A$34,MATCH(B9,BYEs!$C$2:$C$34,0))</f>
        <v>MIA</v>
      </c>
      <c r="T9" s="75">
        <f>IF(A9&lt;=LeagueInfo!$B$8,1,0)</f>
        <v>1</v>
      </c>
      <c r="U9" s="75">
        <f>T9</f>
        <v>1</v>
      </c>
      <c r="V9" s="6" t="str">
        <f>IF(OR(INDEX(Auction!$H$13:$H$656,MATCH(B9,Auction!$A$13:$A$656,0))&gt;0,IFERROR(INDEX(CheatSheet!$D$5:$D$34,MATCH(B9,CheatSheet!$A$5:$A$34,0)),"")&lt;&gt;""),"Yes","No")</f>
        <v>No</v>
      </c>
      <c r="W9" s="179"/>
      <c r="Z9">
        <v>0</v>
      </c>
      <c r="AA9" s="116" t="s">
        <v>456</v>
      </c>
    </row>
    <row r="10" spans="1:27" x14ac:dyDescent="0.25">
      <c r="A10">
        <v>9</v>
      </c>
      <c r="B10" t="str">
        <f>DEF[[#This Row],[Player]]</f>
        <v>Los Angeles Chargers</v>
      </c>
      <c r="C10" t="s">
        <v>54</v>
      </c>
      <c r="D10" t="str">
        <f>_xlfn.IFNA(INDEX(BYEs!$E$2:$E$411,MATCH(B10,BYEs!$D$2:$D$411,0)),"N/A")</f>
        <v>N/A</v>
      </c>
      <c r="E10">
        <f>VLOOKUP(F10,BYEs!$A$2:$B$33,2)</f>
        <v>8</v>
      </c>
      <c r="F10" t="str">
        <f>INDEX(BYEs!$A$2:$A$34,MATCH(B10,BYEs!$C$2:$C$34,0))</f>
        <v>LAC</v>
      </c>
      <c r="T10" s="75">
        <f>IF(A10&lt;=LeagueInfo!$B$8,1,0)</f>
        <v>1</v>
      </c>
      <c r="U10" s="75">
        <f t="shared" si="0"/>
        <v>1</v>
      </c>
      <c r="V10" s="6" t="str">
        <f>IF(OR(INDEX(Auction!$H$13:$H$656,MATCH(B10,Auction!$A$13:$A$656,0))&gt;0,IFERROR(INDEX(CheatSheet!$D$5:$D$34,MATCH(B10,CheatSheet!$A$5:$A$34,0)),"")&lt;&gt;""),"Yes","No")</f>
        <v>No</v>
      </c>
      <c r="W10" s="179"/>
      <c r="Z10">
        <v>0</v>
      </c>
      <c r="AA10" s="116" t="s">
        <v>456</v>
      </c>
    </row>
    <row r="11" spans="1:27" x14ac:dyDescent="0.25">
      <c r="A11">
        <v>10</v>
      </c>
      <c r="B11" t="str">
        <f>DEF[[#This Row],[Player]]</f>
        <v>San Francisco 49ers</v>
      </c>
      <c r="C11" t="s">
        <v>54</v>
      </c>
      <c r="D11" t="str">
        <f>_xlfn.IFNA(INDEX(BYEs!$E$2:$E$411,MATCH(B11,BYEs!$D$2:$D$411,0)),"N/A")</f>
        <v>N/A</v>
      </c>
      <c r="E11">
        <f>VLOOKUP(F11,BYEs!$A$2:$B$33,2)</f>
        <v>9</v>
      </c>
      <c r="F11" t="str">
        <f>INDEX(BYEs!$A$2:$A$34,MATCH(B11,BYEs!$C$2:$C$34,0))</f>
        <v>SF</v>
      </c>
      <c r="T11" s="75">
        <f>IF(A11&lt;=LeagueInfo!$B$8,1,0)</f>
        <v>1</v>
      </c>
      <c r="U11" s="75">
        <f t="shared" si="0"/>
        <v>1</v>
      </c>
      <c r="V11" s="6" t="str">
        <f>IF(OR(INDEX(Auction!$H$13:$H$656,MATCH(B11,Auction!$A$13:$A$656,0))&gt;0,IFERROR(INDEX(CheatSheet!$D$5:$D$34,MATCH(B11,CheatSheet!$A$5:$A$34,0)),"")&lt;&gt;""),"Yes","No")</f>
        <v>No</v>
      </c>
      <c r="W11" s="179"/>
      <c r="Z11">
        <v>0</v>
      </c>
      <c r="AA11" s="116" t="s">
        <v>457</v>
      </c>
    </row>
    <row r="12" spans="1:27" x14ac:dyDescent="0.25">
      <c r="A12">
        <v>11</v>
      </c>
      <c r="B12" t="str">
        <f>DEF[[#This Row],[Player]]</f>
        <v>Indianapolis Colts</v>
      </c>
      <c r="C12" t="s">
        <v>54</v>
      </c>
      <c r="D12" t="str">
        <f>_xlfn.IFNA(INDEX(BYEs!$E$2:$E$411,MATCH(B12,BYEs!$D$2:$D$411,0)),"N/A")</f>
        <v>N/A</v>
      </c>
      <c r="E12">
        <f>VLOOKUP(F12,BYEs!$A$2:$B$33,2)</f>
        <v>14</v>
      </c>
      <c r="F12" t="str">
        <f>INDEX(BYEs!$A$2:$A$34,MATCH(B12,BYEs!$C$2:$C$34,0))</f>
        <v>IND</v>
      </c>
      <c r="T12" s="75">
        <f>IF(A12&lt;=LeagueInfo!$B$8,1,0)</f>
        <v>1</v>
      </c>
      <c r="U12" s="75">
        <f t="shared" si="0"/>
        <v>1</v>
      </c>
      <c r="V12" s="6" t="str">
        <f>IF(OR(INDEX(Auction!$H$13:$H$656,MATCH(B12,Auction!$A$13:$A$656,0))&gt;0,IFERROR(INDEX(CheatSheet!$D$5:$D$34,MATCH(B12,CheatSheet!$A$5:$A$34,0)),"")&lt;&gt;""),"Yes","No")</f>
        <v>No</v>
      </c>
      <c r="W12" s="179"/>
      <c r="Z12">
        <v>0</v>
      </c>
      <c r="AA12" s="116" t="s">
        <v>457</v>
      </c>
    </row>
    <row r="13" spans="1:27" x14ac:dyDescent="0.25">
      <c r="A13">
        <v>12</v>
      </c>
      <c r="B13" t="str">
        <f>DEF[[#This Row],[Player]]</f>
        <v>Minnesota Vikings</v>
      </c>
      <c r="C13" t="s">
        <v>54</v>
      </c>
      <c r="D13" t="str">
        <f>_xlfn.IFNA(INDEX(BYEs!$E$2:$E$411,MATCH(B13,BYEs!$D$2:$D$411,0)),"N/A")</f>
        <v>N/A</v>
      </c>
      <c r="E13">
        <f>VLOOKUP(F13,BYEs!$A$2:$B$33,2)</f>
        <v>7</v>
      </c>
      <c r="F13" t="str">
        <f>INDEX(BYEs!$A$2:$A$34,MATCH(B13,BYEs!$C$2:$C$34,0))</f>
        <v>MIN</v>
      </c>
      <c r="T13" s="75">
        <f>IF(A13&lt;=LeagueInfo!$B$8,1,0)</f>
        <v>1</v>
      </c>
      <c r="U13" s="75">
        <f t="shared" si="0"/>
        <v>1</v>
      </c>
      <c r="V13" s="6" t="str">
        <f>IF(OR(INDEX(Auction!$H$13:$H$656,MATCH(B13,Auction!$A$13:$A$656,0))&gt;0,IFERROR(INDEX(CheatSheet!$D$5:$D$34,MATCH(B13,CheatSheet!$A$5:$A$34,0)),"")&lt;&gt;""),"Yes","No")</f>
        <v>No</v>
      </c>
      <c r="W13" s="179"/>
      <c r="Z13">
        <v>0</v>
      </c>
      <c r="AA13" s="116" t="s">
        <v>457</v>
      </c>
    </row>
    <row r="14" spans="1:27" x14ac:dyDescent="0.25">
      <c r="A14">
        <v>13</v>
      </c>
      <c r="B14" t="str">
        <f>DEF[[#This Row],[Player]]</f>
        <v>New England Patriots</v>
      </c>
      <c r="C14" t="s">
        <v>54</v>
      </c>
      <c r="D14" t="str">
        <f>_xlfn.IFNA(INDEX(BYEs!$E$2:$E$411,MATCH(B14,BYEs!$D$2:$D$411,0)),"N/A")</f>
        <v>N/A</v>
      </c>
      <c r="E14">
        <f>VLOOKUP(F14,BYEs!$A$2:$B$33,2)</f>
        <v>10</v>
      </c>
      <c r="F14" t="str">
        <f>INDEX(BYEs!$A$2:$A$34,MATCH(B14,BYEs!$C$2:$C$34,0))</f>
        <v>NE</v>
      </c>
      <c r="T14" s="75">
        <f>IF(A14&lt;=LeagueInfo!$B$8,1,0)</f>
        <v>0</v>
      </c>
      <c r="U14" s="75">
        <f t="shared" si="0"/>
        <v>0</v>
      </c>
      <c r="V14" s="6" t="str">
        <f>IF(OR(INDEX(Auction!$H$13:$H$656,MATCH(B14,Auction!$A$13:$A$656,0))&gt;0,IFERROR(INDEX(CheatSheet!$D$5:$D$34,MATCH(B14,CheatSheet!$A$5:$A$34,0)),"")&lt;&gt;""),"Yes","No")</f>
        <v>No</v>
      </c>
      <c r="W14" s="179"/>
      <c r="Z14">
        <v>0</v>
      </c>
      <c r="AA14" s="116" t="s">
        <v>457</v>
      </c>
    </row>
    <row r="15" spans="1:27" x14ac:dyDescent="0.25">
      <c r="A15">
        <v>14</v>
      </c>
      <c r="B15" t="str">
        <f>DEF[[#This Row],[Player]]</f>
        <v>Cleveland Browns</v>
      </c>
      <c r="C15" t="s">
        <v>54</v>
      </c>
      <c r="D15" t="str">
        <f>_xlfn.IFNA(INDEX(BYEs!$E$2:$E$411,MATCH(B15,BYEs!$D$2:$D$411,0)),"N/A")</f>
        <v>N/A</v>
      </c>
      <c r="E15">
        <f>VLOOKUP(F15,BYEs!$A$2:$B$33,2)</f>
        <v>9</v>
      </c>
      <c r="F15" t="str">
        <f>INDEX(BYEs!$A$2:$A$34,MATCH(B15,BYEs!$C$2:$C$34,0))</f>
        <v>CLE</v>
      </c>
      <c r="T15" s="75">
        <f>IF(A15&lt;=LeagueInfo!$B$8,1,0)</f>
        <v>0</v>
      </c>
      <c r="U15" s="75">
        <f t="shared" si="0"/>
        <v>0</v>
      </c>
      <c r="V15" s="6" t="str">
        <f>IF(OR(INDEX(Auction!$H$13:$H$656,MATCH(B15,Auction!$A$13:$A$656,0))&gt;0,IFERROR(INDEX(CheatSheet!$D$5:$D$34,MATCH(B15,CheatSheet!$A$5:$A$34,0)),"")&lt;&gt;""),"Yes","No")</f>
        <v>No</v>
      </c>
      <c r="W15" s="179"/>
      <c r="Z15">
        <v>0</v>
      </c>
      <c r="AA15" s="116" t="s">
        <v>458</v>
      </c>
    </row>
    <row r="16" spans="1:27" x14ac:dyDescent="0.25">
      <c r="A16">
        <v>15</v>
      </c>
      <c r="B16" t="str">
        <f>DEF[[#This Row],[Player]]</f>
        <v>Kansas City Chiefs</v>
      </c>
      <c r="C16" t="s">
        <v>54</v>
      </c>
      <c r="D16" t="str">
        <f>_xlfn.IFNA(INDEX(BYEs!$E$2:$E$411,MATCH(B16,BYEs!$D$2:$D$411,0)),"N/A")</f>
        <v>N/A</v>
      </c>
      <c r="E16">
        <f>VLOOKUP(F16,BYEs!$A$2:$B$33,2)</f>
        <v>8</v>
      </c>
      <c r="F16" t="str">
        <f>INDEX(BYEs!$A$2:$A$34,MATCH(B16,BYEs!$C$2:$C$34,0))</f>
        <v>KC</v>
      </c>
      <c r="T16" s="75">
        <f>IF(A16&lt;=LeagueInfo!$B$8,1,0)</f>
        <v>0</v>
      </c>
      <c r="U16" s="75">
        <f t="shared" si="0"/>
        <v>0</v>
      </c>
      <c r="V16" s="6" t="str">
        <f>IF(OR(INDEX(Auction!$H$13:$H$656,MATCH(B16,Auction!$A$13:$A$656,0))&gt;0,IFERROR(INDEX(CheatSheet!$D$5:$D$34,MATCH(B16,CheatSheet!$A$5:$A$34,0)),"")&lt;&gt;""),"Yes","No")</f>
        <v>No</v>
      </c>
      <c r="W16" s="179"/>
      <c r="Z16">
        <v>0</v>
      </c>
      <c r="AA16" s="116" t="s">
        <v>458</v>
      </c>
    </row>
    <row r="17" spans="1:27" x14ac:dyDescent="0.25">
      <c r="A17">
        <v>16</v>
      </c>
      <c r="B17" t="str">
        <f>DEF[[#This Row],[Player]]</f>
        <v>Arizona Cardinals</v>
      </c>
      <c r="C17" t="s">
        <v>54</v>
      </c>
      <c r="D17" t="str">
        <f>_xlfn.IFNA(INDEX(BYEs!$E$2:$E$411,MATCH(B17,BYEs!$D$2:$D$411,0)),"N/A")</f>
        <v>N/A</v>
      </c>
      <c r="E17">
        <f>VLOOKUP(F17,BYEs!$A$2:$B$33,2)</f>
        <v>13</v>
      </c>
      <c r="F17" t="str">
        <f>INDEX(BYEs!$A$2:$A$34,MATCH(B17,BYEs!$C$2:$C$34,0))</f>
        <v>ARI</v>
      </c>
      <c r="T17" s="75">
        <f>IF(A17&lt;=LeagueInfo!$B$8,1,0)</f>
        <v>0</v>
      </c>
      <c r="U17" s="75">
        <f t="shared" si="0"/>
        <v>0</v>
      </c>
      <c r="V17" s="6" t="str">
        <f>IF(OR(INDEX(Auction!$H$13:$H$656,MATCH(B17,Auction!$A$13:$A$656,0))&gt;0,IFERROR(INDEX(CheatSheet!$D$5:$D$34,MATCH(B17,CheatSheet!$A$5:$A$34,0)),"")&lt;&gt;""),"Yes","No")</f>
        <v>No</v>
      </c>
      <c r="W17" s="179"/>
      <c r="Z17">
        <v>0</v>
      </c>
      <c r="AA17" s="116" t="s">
        <v>458</v>
      </c>
    </row>
    <row r="18" spans="1:27" x14ac:dyDescent="0.25">
      <c r="A18">
        <v>17</v>
      </c>
      <c r="B18" t="str">
        <f>DEF[[#This Row],[Player]]</f>
        <v>Denver Broncos</v>
      </c>
      <c r="C18" t="s">
        <v>54</v>
      </c>
      <c r="D18" t="str">
        <f>_xlfn.IFNA(INDEX(BYEs!$E$2:$E$411,MATCH(B18,BYEs!$D$2:$D$411,0)),"N/A")</f>
        <v>N/A</v>
      </c>
      <c r="E18">
        <f>VLOOKUP(F18,BYEs!$A$2:$B$33,2)</f>
        <v>9</v>
      </c>
      <c r="F18" t="str">
        <f>INDEX(BYEs!$A$2:$A$34,MATCH(B18,BYEs!$C$2:$C$34,0))</f>
        <v>DEN</v>
      </c>
      <c r="T18" s="75">
        <f>IF(A18&lt;=LeagueInfo!$B$8,1,0)</f>
        <v>0</v>
      </c>
      <c r="U18" s="75">
        <f>T18</f>
        <v>0</v>
      </c>
      <c r="V18" s="6" t="str">
        <f>IF(OR(INDEX(Auction!$H$13:$H$656,MATCH(B18,Auction!$A$13:$A$656,0))&gt;0,IFERROR(INDEX(CheatSheet!$D$5:$D$34,MATCH(B18,CheatSheet!$A$5:$A$34,0)),"")&lt;&gt;""),"Yes","No")</f>
        <v>No</v>
      </c>
      <c r="W18" s="179"/>
      <c r="Z18">
        <v>0</v>
      </c>
      <c r="AA18" s="116" t="s">
        <v>458</v>
      </c>
    </row>
    <row r="19" spans="1:27" x14ac:dyDescent="0.25">
      <c r="A19">
        <v>18</v>
      </c>
      <c r="B19" t="str">
        <f>DEF[[#This Row],[Player]]</f>
        <v>Washington Commanders</v>
      </c>
      <c r="C19" t="s">
        <v>54</v>
      </c>
      <c r="D19" t="str">
        <f>_xlfn.IFNA(INDEX(BYEs!$E$2:$E$411,MATCH(B19,BYEs!$D$2:$D$411,0)),"N/A")</f>
        <v>N/A</v>
      </c>
      <c r="E19">
        <f>VLOOKUP(F19,BYEs!$A$2:$B$33,2)</f>
        <v>14</v>
      </c>
      <c r="F19" t="str">
        <f>INDEX(BYEs!$A$2:$A$34,MATCH(B19,BYEs!$C$2:$C$34,0))</f>
        <v>WAS</v>
      </c>
      <c r="T19" s="75">
        <f>IF(A19&lt;=LeagueInfo!$B$8,1,0)</f>
        <v>0</v>
      </c>
      <c r="U19" s="75">
        <f t="shared" si="0"/>
        <v>0</v>
      </c>
      <c r="V19" s="6" t="str">
        <f>IF(OR(INDEX(Auction!$H$13:$H$656,MATCH(B19,Auction!$A$13:$A$656,0))&gt;0,IFERROR(INDEX(CheatSheet!$D$5:$D$34,MATCH(B19,CheatSheet!$A$5:$A$34,0)),"")&lt;&gt;""),"Yes","No")</f>
        <v>No</v>
      </c>
      <c r="W19" s="179"/>
      <c r="Z19">
        <v>0</v>
      </c>
      <c r="AA19" s="116" t="s">
        <v>458</v>
      </c>
    </row>
    <row r="20" spans="1:27" x14ac:dyDescent="0.25">
      <c r="A20">
        <v>19</v>
      </c>
      <c r="B20" t="str">
        <f>DEF[[#This Row],[Player]]</f>
        <v>Cincinnati Bengals</v>
      </c>
      <c r="C20" t="s">
        <v>54</v>
      </c>
      <c r="D20" t="str">
        <f>_xlfn.IFNA(INDEX(BYEs!$E$2:$E$411,MATCH(B20,BYEs!$D$2:$D$411,0)),"N/A")</f>
        <v>N/A</v>
      </c>
      <c r="E20">
        <f>VLOOKUP(F20,BYEs!$A$2:$B$33,2)</f>
        <v>10</v>
      </c>
      <c r="F20" t="str">
        <f>INDEX(BYEs!$A$2:$A$34,MATCH(B20,BYEs!$C$2:$C$34,0))</f>
        <v>CIN</v>
      </c>
      <c r="T20" s="75">
        <f>IF(A20&lt;=LeagueInfo!$B$8,1,0)</f>
        <v>0</v>
      </c>
      <c r="U20" s="75">
        <f t="shared" si="0"/>
        <v>0</v>
      </c>
      <c r="V20" s="6" t="str">
        <f>IF(OR(INDEX(Auction!$H$13:$H$656,MATCH(B20,Auction!$A$13:$A$656,0))&gt;0,IFERROR(INDEX(CheatSheet!$D$5:$D$34,MATCH(B20,CheatSheet!$A$5:$A$34,0)),"")&lt;&gt;""),"Yes","No")</f>
        <v>No</v>
      </c>
      <c r="W20" s="179"/>
      <c r="Z20">
        <v>0</v>
      </c>
      <c r="AA20" s="116" t="s">
        <v>458</v>
      </c>
    </row>
    <row r="21" spans="1:27" x14ac:dyDescent="0.25">
      <c r="A21">
        <v>20</v>
      </c>
      <c r="B21" t="str">
        <f>DEF[[#This Row],[Player]]</f>
        <v>Baltimore Ravens</v>
      </c>
      <c r="C21" t="s">
        <v>54</v>
      </c>
      <c r="D21" t="str">
        <f>_xlfn.IFNA(INDEX(BYEs!$E$2:$E$411,MATCH(B21,BYEs!$D$2:$D$411,0)),"N/A")</f>
        <v>N/A</v>
      </c>
      <c r="E21">
        <f>VLOOKUP(F21,BYEs!$A$2:$B$33,2)</f>
        <v>10</v>
      </c>
      <c r="F21" t="str">
        <f>INDEX(BYEs!$A$2:$A$34,MATCH(B21,BYEs!$C$2:$C$34,0))</f>
        <v>BAL</v>
      </c>
      <c r="T21" s="75">
        <f>IF(A21&lt;=LeagueInfo!$B$8,1,0)</f>
        <v>0</v>
      </c>
      <c r="U21" s="75">
        <f t="shared" si="0"/>
        <v>0</v>
      </c>
      <c r="V21" s="6" t="str">
        <f>IF(OR(INDEX(Auction!$H$13:$H$656,MATCH(B21,Auction!$A$13:$A$656,0))&gt;0,IFERROR(INDEX(CheatSheet!$D$5:$D$34,MATCH(B21,CheatSheet!$A$5:$A$34,0)),"")&lt;&gt;""),"Yes","No")</f>
        <v>No</v>
      </c>
      <c r="W21" s="179"/>
      <c r="Z21">
        <v>0</v>
      </c>
      <c r="AA21" s="116" t="s">
        <v>458</v>
      </c>
    </row>
    <row r="22" spans="1:27" x14ac:dyDescent="0.25">
      <c r="A22">
        <v>21</v>
      </c>
      <c r="B22" t="str">
        <f>DEF[[#This Row],[Player]]</f>
        <v>Philadelphia Eagles</v>
      </c>
      <c r="C22" t="s">
        <v>54</v>
      </c>
      <c r="D22" t="str">
        <f>_xlfn.IFNA(INDEX(BYEs!$E$2:$E$411,MATCH(B22,BYEs!$D$2:$D$411,0)),"N/A")</f>
        <v>N/A</v>
      </c>
      <c r="E22">
        <f>VLOOKUP(F22,BYEs!$A$2:$B$33,2)</f>
        <v>7</v>
      </c>
      <c r="F22" t="str">
        <f>INDEX(BYEs!$A$2:$A$34,MATCH(B22,BYEs!$C$2:$C$34,0))</f>
        <v>PHI</v>
      </c>
      <c r="T22" s="75">
        <f>IF(A22&lt;=LeagueInfo!$B$8,1,0)</f>
        <v>0</v>
      </c>
      <c r="U22" s="75">
        <f t="shared" si="0"/>
        <v>0</v>
      </c>
      <c r="V22" s="6" t="str">
        <f>IF(OR(INDEX(Auction!$H$13:$H$656,MATCH(B22,Auction!$A$13:$A$656,0))&gt;0,IFERROR(INDEX(CheatSheet!$D$5:$D$34,MATCH(B22,CheatSheet!$A$5:$A$34,0)),"")&lt;&gt;""),"Yes","No")</f>
        <v>No</v>
      </c>
      <c r="W22" s="179"/>
      <c r="Z22">
        <v>0</v>
      </c>
      <c r="AA22" s="116" t="s">
        <v>458</v>
      </c>
    </row>
    <row r="23" spans="1:27" x14ac:dyDescent="0.25">
      <c r="A23">
        <v>22</v>
      </c>
      <c r="B23" t="str">
        <f>DEF[[#This Row],[Player]]</f>
        <v>Chicago Bears</v>
      </c>
      <c r="C23" t="s">
        <v>54</v>
      </c>
      <c r="D23" t="str">
        <f>_xlfn.IFNA(INDEX(BYEs!$E$2:$E$411,MATCH(B23,BYEs!$D$2:$D$411,0)),"N/A")</f>
        <v>N/A</v>
      </c>
      <c r="E23">
        <f>VLOOKUP(F23,BYEs!$A$2:$B$33,2)</f>
        <v>14</v>
      </c>
      <c r="F23" t="str">
        <f>INDEX(BYEs!$A$2:$A$34,MATCH(B23,BYEs!$C$2:$C$34,0))</f>
        <v>CHI</v>
      </c>
      <c r="T23" s="75">
        <f>IF(A23&lt;=LeagueInfo!$B$8,1,0)</f>
        <v>0</v>
      </c>
      <c r="U23" s="75">
        <f t="shared" si="0"/>
        <v>0</v>
      </c>
      <c r="V23" s="6" t="str">
        <f>IF(OR(INDEX(Auction!$H$13:$H$656,MATCH(B23,Auction!$A$13:$A$656,0))&gt;0,IFERROR(INDEX(CheatSheet!$D$5:$D$34,MATCH(B23,CheatSheet!$A$5:$A$34,0)),"")&lt;&gt;""),"Yes","No")</f>
        <v>No</v>
      </c>
      <c r="W23" s="179"/>
      <c r="Z23">
        <v>0</v>
      </c>
      <c r="AA23" s="116" t="s">
        <v>458</v>
      </c>
    </row>
    <row r="24" spans="1:27" x14ac:dyDescent="0.25">
      <c r="A24">
        <v>23</v>
      </c>
      <c r="B24" t="str">
        <f>DEF[[#This Row],[Player]]</f>
        <v>Tennessee Titans</v>
      </c>
      <c r="C24" t="s">
        <v>54</v>
      </c>
      <c r="D24" t="str">
        <f>_xlfn.IFNA(INDEX(BYEs!$E$2:$E$411,MATCH(B24,BYEs!$D$2:$D$411,0)),"N/A")</f>
        <v>N/A</v>
      </c>
      <c r="E24">
        <f>VLOOKUP(F24,BYEs!$A$2:$B$33,2)</f>
        <v>6</v>
      </c>
      <c r="F24" t="str">
        <f>INDEX(BYEs!$A$2:$A$34,MATCH(B24,BYEs!$C$2:$C$34,0))</f>
        <v>TEN</v>
      </c>
      <c r="T24" s="75">
        <f>IF(A24&lt;=LeagueInfo!$B$8,1,0)</f>
        <v>0</v>
      </c>
      <c r="U24" s="75">
        <f t="shared" si="0"/>
        <v>0</v>
      </c>
      <c r="V24" s="6" t="str">
        <f>IF(OR(INDEX(Auction!$H$13:$H$656,MATCH(B24,Auction!$A$13:$A$656,0))&gt;0,IFERROR(INDEX(CheatSheet!$D$5:$D$34,MATCH(B24,CheatSheet!$A$5:$A$34,0)),"")&lt;&gt;""),"Yes","No")</f>
        <v>No</v>
      </c>
      <c r="W24" s="179"/>
      <c r="Z24">
        <v>0</v>
      </c>
      <c r="AA24" s="116" t="s">
        <v>458</v>
      </c>
    </row>
    <row r="25" spans="1:27" x14ac:dyDescent="0.25">
      <c r="A25">
        <v>24</v>
      </c>
      <c r="B25" t="str">
        <f>DEF[[#This Row],[Player]]</f>
        <v>Carolina Panthers</v>
      </c>
      <c r="C25" t="s">
        <v>54</v>
      </c>
      <c r="D25" t="str">
        <f>_xlfn.IFNA(INDEX(BYEs!$E$2:$E$411,MATCH(B25,BYEs!$D$2:$D$411,0)),"N/A")</f>
        <v>N/A</v>
      </c>
      <c r="E25">
        <f>VLOOKUP(F25,BYEs!$A$2:$B$33,2)</f>
        <v>13</v>
      </c>
      <c r="F25" t="str">
        <f>INDEX(BYEs!$A$2:$A$34,MATCH(B25,BYEs!$C$2:$C$34,0))</f>
        <v>CAR</v>
      </c>
      <c r="T25" s="75">
        <f>IF(A25&lt;=LeagueInfo!$B$8,1,0)</f>
        <v>0</v>
      </c>
      <c r="U25" s="75">
        <f t="shared" si="0"/>
        <v>0</v>
      </c>
      <c r="V25" s="6" t="str">
        <f>IF(OR(INDEX(Auction!$H$13:$H$656,MATCH(B25,Auction!$A$13:$A$656,0))&gt;0,IFERROR(INDEX(CheatSheet!$D$5:$D$34,MATCH(B25,CheatSheet!$A$5:$A$34,0)),"")&lt;&gt;""),"Yes","No")</f>
        <v>No</v>
      </c>
      <c r="W25" s="179"/>
      <c r="Z25">
        <v>0</v>
      </c>
      <c r="AA25" s="116" t="s">
        <v>458</v>
      </c>
    </row>
    <row r="26" spans="1:27" x14ac:dyDescent="0.25">
      <c r="A26">
        <v>25</v>
      </c>
      <c r="B26" t="str">
        <f>DEF[[#This Row],[Player]]</f>
        <v>New York Giants</v>
      </c>
      <c r="C26" t="s">
        <v>54</v>
      </c>
      <c r="D26" t="str">
        <f>_xlfn.IFNA(INDEX(BYEs!$E$2:$E$411,MATCH(B26,BYEs!$D$2:$D$411,0)),"N/A")</f>
        <v>N/A</v>
      </c>
      <c r="E26">
        <f>VLOOKUP(F26,BYEs!$A$2:$B$33,2)</f>
        <v>9</v>
      </c>
      <c r="F26" t="str">
        <f>INDEX(BYEs!$A$2:$A$34,MATCH(B26,BYEs!$C$2:$C$34,0))</f>
        <v>NYG</v>
      </c>
      <c r="T26" s="75">
        <f>IF(A26&lt;=LeagueInfo!$B$8,1,0)</f>
        <v>0</v>
      </c>
      <c r="U26" s="75">
        <f t="shared" si="0"/>
        <v>0</v>
      </c>
      <c r="V26" s="6" t="str">
        <f>IF(OR(INDEX(Auction!$H$13:$H$656,MATCH(B26,Auction!$A$13:$A$656,0))&gt;0,IFERROR(INDEX(CheatSheet!$D$5:$D$34,MATCH(B26,CheatSheet!$A$5:$A$34,0)),"")&lt;&gt;""),"Yes","No")</f>
        <v>No</v>
      </c>
      <c r="W26" s="179"/>
      <c r="Z26">
        <v>0</v>
      </c>
      <c r="AA26" s="116" t="s">
        <v>458</v>
      </c>
    </row>
    <row r="27" spans="1:27" x14ac:dyDescent="0.25">
      <c r="A27">
        <v>26</v>
      </c>
      <c r="B27" t="str">
        <f>DEF[[#This Row],[Player]]</f>
        <v>Jacksonville Jaguars</v>
      </c>
      <c r="C27" t="s">
        <v>54</v>
      </c>
      <c r="D27" t="str">
        <f>_xlfn.IFNA(INDEX(BYEs!$E$2:$E$411,MATCH(B27,BYEs!$D$2:$D$411,0)),"N/A")</f>
        <v>N/A</v>
      </c>
      <c r="E27">
        <f>VLOOKUP(F27,BYEs!$A$2:$B$33,2)</f>
        <v>11</v>
      </c>
      <c r="F27" t="str">
        <f>INDEX(BYEs!$A$2:$A$34,MATCH(B27,BYEs!$C$2:$C$34,0))</f>
        <v>JAC</v>
      </c>
      <c r="T27" s="75">
        <f>IF(A27&lt;=LeagueInfo!$B$8,1,0)</f>
        <v>0</v>
      </c>
      <c r="U27" s="75">
        <f t="shared" si="0"/>
        <v>0</v>
      </c>
      <c r="V27" s="6" t="str">
        <f>IF(OR(INDEX(Auction!$H$13:$H$656,MATCH(B27,Auction!$A$13:$A$656,0))&gt;0,IFERROR(INDEX(CheatSheet!$D$5:$D$34,MATCH(B27,CheatSheet!$A$5:$A$34,0)),"")&lt;&gt;""),"Yes","No")</f>
        <v>No</v>
      </c>
      <c r="W27" s="179"/>
      <c r="Z27">
        <v>0</v>
      </c>
      <c r="AA27" s="116" t="s">
        <v>458</v>
      </c>
    </row>
    <row r="28" spans="1:27" x14ac:dyDescent="0.25">
      <c r="A28">
        <v>27</v>
      </c>
      <c r="B28" t="str">
        <f>DEF[[#This Row],[Player]]</f>
        <v>Seattle Seahawks</v>
      </c>
      <c r="C28" t="s">
        <v>54</v>
      </c>
      <c r="D28" t="str">
        <f>_xlfn.IFNA(INDEX(BYEs!$E$2:$E$411,MATCH(B28,BYEs!$D$2:$D$411,0)),"N/A")</f>
        <v>N/A</v>
      </c>
      <c r="E28">
        <f>VLOOKUP(F28,BYEs!$A$2:$B$33,2)</f>
        <v>9</v>
      </c>
      <c r="F28" t="str">
        <f>INDEX(BYEs!$A$2:$A$34,MATCH(B28,BYEs!$C$2:$C$34,0))</f>
        <v>SEA</v>
      </c>
      <c r="T28" s="75">
        <f>IF(A28&lt;=LeagueInfo!$B$8,1,0)</f>
        <v>0</v>
      </c>
      <c r="U28" s="75">
        <f t="shared" si="0"/>
        <v>0</v>
      </c>
      <c r="V28" s="6" t="str">
        <f>IF(OR(INDEX(Auction!$H$13:$H$656,MATCH(B28,Auction!$A$13:$A$656,0))&gt;0,IFERROR(INDEX(CheatSheet!$D$5:$D$34,MATCH(B28,CheatSheet!$A$5:$A$34,0)),"")&lt;&gt;""),"Yes","No")</f>
        <v>No</v>
      </c>
      <c r="W28" s="179"/>
      <c r="Z28">
        <v>0</v>
      </c>
      <c r="AA28" s="116" t="s">
        <v>458</v>
      </c>
    </row>
    <row r="29" spans="1:27" x14ac:dyDescent="0.25">
      <c r="A29">
        <v>28</v>
      </c>
      <c r="B29" t="str">
        <f>DEF[[#This Row],[Player]]</f>
        <v>Houston Texans</v>
      </c>
      <c r="C29" t="s">
        <v>54</v>
      </c>
      <c r="D29" t="str">
        <f>_xlfn.IFNA(INDEX(BYEs!$E$2:$E$411,MATCH(B29,BYEs!$D$2:$D$411,0)),"N/A")</f>
        <v>N/A</v>
      </c>
      <c r="E29">
        <f>VLOOKUP(F29,BYEs!$A$2:$B$33,2)</f>
        <v>6</v>
      </c>
      <c r="F29" t="str">
        <f>INDEX(BYEs!$A$2:$A$34,MATCH(B29,BYEs!$C$2:$C$34,0))</f>
        <v>HOU</v>
      </c>
      <c r="T29" s="75">
        <f>IF(A29&lt;=LeagueInfo!$B$8,1,0)</f>
        <v>0</v>
      </c>
      <c r="U29" s="75">
        <f t="shared" si="0"/>
        <v>0</v>
      </c>
      <c r="V29" s="6" t="str">
        <f>IF(OR(INDEX(Auction!$H$13:$H$656,MATCH(B29,Auction!$A$13:$A$656,0))&gt;0,IFERROR(INDEX(CheatSheet!$D$5:$D$34,MATCH(B29,CheatSheet!$A$5:$A$34,0)),"")&lt;&gt;""),"Yes","No")</f>
        <v>No</v>
      </c>
      <c r="W29" s="179"/>
      <c r="Z29">
        <v>0</v>
      </c>
      <c r="AA29" s="116" t="s">
        <v>458</v>
      </c>
    </row>
    <row r="30" spans="1:27" x14ac:dyDescent="0.25">
      <c r="A30">
        <v>29</v>
      </c>
      <c r="B30" t="str">
        <f>DEF[[#This Row],[Player]]</f>
        <v>New York Jets</v>
      </c>
      <c r="C30" t="s">
        <v>54</v>
      </c>
      <c r="D30" t="str">
        <f>_xlfn.IFNA(INDEX(BYEs!$E$2:$E$411,MATCH(B30,BYEs!$D$2:$D$411,0)),"N/A")</f>
        <v>N/A</v>
      </c>
      <c r="E30">
        <f>VLOOKUP(F30,BYEs!$A$2:$B$33,2)</f>
        <v>10</v>
      </c>
      <c r="F30" t="str">
        <f>INDEX(BYEs!$A$2:$A$34,MATCH(B30,BYEs!$C$2:$C$34,0))</f>
        <v>NYJ</v>
      </c>
      <c r="T30" s="75">
        <f>IF(A30&lt;=LeagueInfo!$B$8,1,0)</f>
        <v>0</v>
      </c>
      <c r="U30" s="75">
        <f t="shared" si="0"/>
        <v>0</v>
      </c>
      <c r="V30" s="6" t="str">
        <f>IF(OR(INDEX(Auction!$H$13:$H$656,MATCH(B30,Auction!$A$13:$A$656,0))&gt;0,IFERROR(INDEX(CheatSheet!$D$5:$D$34,MATCH(B30,CheatSheet!$A$5:$A$34,0)),"")&lt;&gt;""),"Yes","No")</f>
        <v>No</v>
      </c>
      <c r="W30" s="179"/>
      <c r="Z30">
        <v>0</v>
      </c>
      <c r="AA30" s="116" t="s">
        <v>458</v>
      </c>
    </row>
    <row r="31" spans="1:27" x14ac:dyDescent="0.25">
      <c r="A31">
        <v>30</v>
      </c>
      <c r="B31" t="str">
        <f>DEF[[#This Row],[Player]]</f>
        <v>Las Vegas Raiders</v>
      </c>
      <c r="C31" t="s">
        <v>54</v>
      </c>
      <c r="D31" t="str">
        <f>_xlfn.IFNA(INDEX(BYEs!$E$2:$E$411,MATCH(B31,BYEs!$D$2:$D$411,0)),"N/A")</f>
        <v>N/A</v>
      </c>
      <c r="E31">
        <f>VLOOKUP(F31,BYEs!$A$2:$B$33,2)</f>
        <v>7</v>
      </c>
      <c r="F31" t="str">
        <f>INDEX(BYEs!$A$2:$A$34,MATCH(B31,BYEs!$C$2:$C$34,0))</f>
        <v>LV</v>
      </c>
      <c r="T31" s="75">
        <f>IF(A31&lt;=LeagueInfo!$B$8,1,0)</f>
        <v>0</v>
      </c>
      <c r="U31" s="75">
        <f t="shared" si="0"/>
        <v>0</v>
      </c>
      <c r="V31" s="6" t="str">
        <f>IF(OR(INDEX(Auction!$H$13:$H$656,MATCH(B31,Auction!$A$13:$A$656,0))&gt;0,IFERROR(INDEX(CheatSheet!$D$5:$D$34,MATCH(B31,CheatSheet!$A$5:$A$34,0)),"")&lt;&gt;""),"Yes","No")</f>
        <v>No</v>
      </c>
      <c r="W31" s="179"/>
      <c r="Z31">
        <v>0</v>
      </c>
      <c r="AA31" s="116" t="s">
        <v>458</v>
      </c>
    </row>
    <row r="32" spans="1:27" x14ac:dyDescent="0.25">
      <c r="A32">
        <v>31</v>
      </c>
      <c r="B32" t="str">
        <f>DEF[[#This Row],[Player]]</f>
        <v>Detroit Lions</v>
      </c>
      <c r="C32" t="s">
        <v>54</v>
      </c>
      <c r="D32" t="str">
        <f>_xlfn.IFNA(INDEX(BYEs!$E$2:$E$411,MATCH(B32,BYEs!$D$2:$D$411,0)),"N/A")</f>
        <v>N/A</v>
      </c>
      <c r="E32">
        <f>VLOOKUP(F32,BYEs!$A$2:$B$33,2)</f>
        <v>6</v>
      </c>
      <c r="F32" t="str">
        <f>INDEX(BYEs!$A$2:$A$34,MATCH(B32,BYEs!$C$2:$C$34,0))</f>
        <v>DET</v>
      </c>
      <c r="T32" s="75">
        <f>IF(A32&lt;=LeagueInfo!$B$8,1,0)</f>
        <v>0</v>
      </c>
      <c r="U32" s="75">
        <f t="shared" si="0"/>
        <v>0</v>
      </c>
      <c r="V32" s="6" t="str">
        <f>IF(OR(INDEX(Auction!$H$13:$H$656,MATCH(B32,Auction!$A$13:$A$656,0))&gt;0,IFERROR(INDEX(CheatSheet!$D$5:$D$34,MATCH(B32,CheatSheet!$A$5:$A$34,0)),"")&lt;&gt;""),"Yes","No")</f>
        <v>No</v>
      </c>
      <c r="W32" s="179"/>
      <c r="Z32">
        <v>0</v>
      </c>
      <c r="AA32" s="116" t="s">
        <v>458</v>
      </c>
    </row>
    <row r="33" spans="1:29" x14ac:dyDescent="0.25">
      <c r="A33">
        <v>32</v>
      </c>
      <c r="B33" t="str">
        <f>DEF[[#This Row],[Player]]</f>
        <v>Atlanta Falcons</v>
      </c>
      <c r="C33" t="s">
        <v>54</v>
      </c>
      <c r="D33" t="str">
        <f>_xlfn.IFNA(INDEX(BYEs!$E$2:$E$411,MATCH(B33,BYEs!$D$2:$D$411,0)),"N/A")</f>
        <v>N/A</v>
      </c>
      <c r="E33">
        <f>VLOOKUP(F33,BYEs!$A$2:$B$33,2)</f>
        <v>14</v>
      </c>
      <c r="F33" t="str">
        <f>INDEX(BYEs!$A$2:$A$34,MATCH(B33,BYEs!$C$2:$C$34,0))</f>
        <v>ATL</v>
      </c>
      <c r="T33" s="75">
        <f>IF(A33&lt;=LeagueInfo!$B$8,1,0)</f>
        <v>0</v>
      </c>
      <c r="U33" s="75">
        <f t="shared" si="0"/>
        <v>0</v>
      </c>
      <c r="V33" s="6" t="str">
        <f>IF(OR(INDEX(Auction!$H$13:$H$656,MATCH(B33,Auction!$A$13:$A$656,0))&gt;0,IFERROR(INDEX(CheatSheet!$D$5:$D$34,MATCH(B33,CheatSheet!$A$5:$A$34,0)),"")&lt;&gt;""),"Yes","No")</f>
        <v>No</v>
      </c>
      <c r="W33" s="179"/>
      <c r="Z33">
        <v>0</v>
      </c>
      <c r="AA33" s="116" t="s">
        <v>458</v>
      </c>
    </row>
    <row r="46" spans="1:29" x14ac:dyDescent="0.25">
      <c r="AC46" t="s">
        <v>510</v>
      </c>
    </row>
  </sheetData>
  <sortState xmlns:xlrd2="http://schemas.microsoft.com/office/spreadsheetml/2017/richdata2" ref="B2:U33">
    <sortCondition ref="B2"/>
  </sortState>
  <conditionalFormatting sqref="A2:C33 E2:U33 W2:AA33">
    <cfRule type="expression" dxfId="67" priority="4">
      <formula>$V2="Yes"</formula>
    </cfRule>
  </conditionalFormatting>
  <conditionalFormatting sqref="D2:D33">
    <cfRule type="expression" dxfId="66" priority="2">
      <formula>$V2="Yes"</formula>
    </cfRule>
  </conditionalFormatting>
  <conditionalFormatting sqref="V2:V33">
    <cfRule type="expression" dxfId="65" priority="1">
      <formula>$V2="Yes"</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000-000000000000}">
          <x14:formula1>
            <xm:f>LeagueInfo!$H$97:$H$99</xm:f>
          </x14:formula1>
          <xm:sqref>W2:W35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E411"/>
  <sheetViews>
    <sheetView workbookViewId="0">
      <selection activeCell="I14" sqref="I14"/>
    </sheetView>
  </sheetViews>
  <sheetFormatPr defaultColWidth="8.85546875" defaultRowHeight="15" x14ac:dyDescent="0.25"/>
  <cols>
    <col min="3" max="3" width="21.140625" bestFit="1" customWidth="1"/>
    <col min="4" max="4" width="24.28515625" bestFit="1" customWidth="1"/>
  </cols>
  <sheetData>
    <row r="1" spans="1:5" x14ac:dyDescent="0.25">
      <c r="A1" s="5" t="s">
        <v>452</v>
      </c>
      <c r="B1" s="5" t="s">
        <v>440</v>
      </c>
      <c r="C1" s="5" t="s">
        <v>767</v>
      </c>
      <c r="D1" s="5" t="s">
        <v>85</v>
      </c>
      <c r="E1" s="5" t="s">
        <v>775</v>
      </c>
    </row>
    <row r="2" spans="1:5" x14ac:dyDescent="0.25">
      <c r="A2" t="s">
        <v>294</v>
      </c>
      <c r="B2">
        <v>13</v>
      </c>
      <c r="C2" t="s">
        <v>205</v>
      </c>
      <c r="D2" t="s">
        <v>701</v>
      </c>
      <c r="E2">
        <v>24</v>
      </c>
    </row>
    <row r="3" spans="1:5" x14ac:dyDescent="0.25">
      <c r="A3" t="s">
        <v>278</v>
      </c>
      <c r="B3">
        <v>14</v>
      </c>
      <c r="C3" t="s">
        <v>178</v>
      </c>
      <c r="D3" t="s">
        <v>101</v>
      </c>
      <c r="E3">
        <v>33</v>
      </c>
    </row>
    <row r="4" spans="1:5" x14ac:dyDescent="0.25">
      <c r="A4" t="s">
        <v>295</v>
      </c>
      <c r="B4">
        <v>10</v>
      </c>
      <c r="C4" t="s">
        <v>230</v>
      </c>
      <c r="D4" t="s">
        <v>346</v>
      </c>
      <c r="E4">
        <v>26</v>
      </c>
    </row>
    <row r="5" spans="1:5" x14ac:dyDescent="0.25">
      <c r="A5" t="s">
        <v>289</v>
      </c>
      <c r="B5">
        <v>7</v>
      </c>
      <c r="C5" t="s">
        <v>246</v>
      </c>
      <c r="D5" t="s">
        <v>112</v>
      </c>
      <c r="E5">
        <v>37</v>
      </c>
    </row>
    <row r="6" spans="1:5" x14ac:dyDescent="0.25">
      <c r="A6" t="s">
        <v>282</v>
      </c>
      <c r="B6">
        <v>13</v>
      </c>
      <c r="C6" t="s">
        <v>455</v>
      </c>
      <c r="D6" t="s">
        <v>379</v>
      </c>
      <c r="E6">
        <v>28</v>
      </c>
    </row>
    <row r="7" spans="1:5" x14ac:dyDescent="0.25">
      <c r="A7" t="s">
        <v>299</v>
      </c>
      <c r="B7">
        <v>14</v>
      </c>
      <c r="C7" t="s">
        <v>460</v>
      </c>
      <c r="D7" t="s">
        <v>423</v>
      </c>
      <c r="E7">
        <v>26</v>
      </c>
    </row>
    <row r="8" spans="1:5" x14ac:dyDescent="0.25">
      <c r="A8" t="s">
        <v>290</v>
      </c>
      <c r="B8">
        <v>10</v>
      </c>
      <c r="C8" t="s">
        <v>237</v>
      </c>
      <c r="D8" t="s">
        <v>210</v>
      </c>
      <c r="E8">
        <v>30</v>
      </c>
    </row>
    <row r="9" spans="1:5" x14ac:dyDescent="0.25">
      <c r="A9" t="s">
        <v>308</v>
      </c>
      <c r="B9">
        <v>9</v>
      </c>
      <c r="C9" t="s">
        <v>463</v>
      </c>
      <c r="D9" t="s">
        <v>209</v>
      </c>
      <c r="E9">
        <v>48</v>
      </c>
    </row>
    <row r="10" spans="1:5" x14ac:dyDescent="0.25">
      <c r="A10" t="s">
        <v>285</v>
      </c>
      <c r="B10">
        <v>9</v>
      </c>
      <c r="C10" t="s">
        <v>222</v>
      </c>
      <c r="D10" t="s">
        <v>634</v>
      </c>
      <c r="E10">
        <v>36</v>
      </c>
    </row>
    <row r="11" spans="1:5" x14ac:dyDescent="0.25">
      <c r="A11" t="s">
        <v>306</v>
      </c>
      <c r="B11">
        <v>9</v>
      </c>
      <c r="C11" t="s">
        <v>152</v>
      </c>
      <c r="D11" t="s">
        <v>378</v>
      </c>
      <c r="E11">
        <v>29</v>
      </c>
    </row>
    <row r="12" spans="1:5" x14ac:dyDescent="0.25">
      <c r="A12" t="s">
        <v>287</v>
      </c>
      <c r="B12">
        <v>6</v>
      </c>
      <c r="C12" t="s">
        <v>459</v>
      </c>
      <c r="D12" t="s">
        <v>776</v>
      </c>
      <c r="E12">
        <v>26</v>
      </c>
    </row>
    <row r="13" spans="1:5" x14ac:dyDescent="0.25">
      <c r="A13" t="s">
        <v>275</v>
      </c>
      <c r="B13">
        <v>14</v>
      </c>
      <c r="C13" t="s">
        <v>235</v>
      </c>
      <c r="D13" t="s">
        <v>772</v>
      </c>
      <c r="E13">
        <v>37</v>
      </c>
    </row>
    <row r="14" spans="1:5" x14ac:dyDescent="0.25">
      <c r="A14" t="s">
        <v>307</v>
      </c>
      <c r="B14">
        <v>6</v>
      </c>
      <c r="C14" t="s">
        <v>177</v>
      </c>
      <c r="D14" t="s">
        <v>666</v>
      </c>
      <c r="E14">
        <v>23</v>
      </c>
    </row>
    <row r="15" spans="1:5" x14ac:dyDescent="0.25">
      <c r="A15" t="s">
        <v>280</v>
      </c>
      <c r="B15">
        <v>14</v>
      </c>
      <c r="C15" t="s">
        <v>461</v>
      </c>
      <c r="D15" t="s">
        <v>344</v>
      </c>
      <c r="E15">
        <v>30</v>
      </c>
    </row>
    <row r="16" spans="1:5" x14ac:dyDescent="0.25">
      <c r="A16" t="s">
        <v>291</v>
      </c>
      <c r="B16">
        <v>11</v>
      </c>
      <c r="C16" t="s">
        <v>236</v>
      </c>
      <c r="D16" t="s">
        <v>219</v>
      </c>
      <c r="E16">
        <v>29</v>
      </c>
    </row>
    <row r="17" spans="1:5" x14ac:dyDescent="0.25">
      <c r="A17" t="s">
        <v>296</v>
      </c>
      <c r="B17">
        <v>8</v>
      </c>
      <c r="C17" t="s">
        <v>182</v>
      </c>
      <c r="D17" t="s">
        <v>117</v>
      </c>
      <c r="E17">
        <v>27</v>
      </c>
    </row>
    <row r="18" spans="1:5" x14ac:dyDescent="0.25">
      <c r="A18" t="s">
        <v>814</v>
      </c>
      <c r="B18">
        <v>6</v>
      </c>
      <c r="C18" t="s">
        <v>812</v>
      </c>
      <c r="D18" t="s">
        <v>119</v>
      </c>
      <c r="E18">
        <v>31</v>
      </c>
    </row>
    <row r="19" spans="1:5" x14ac:dyDescent="0.25">
      <c r="A19" t="s">
        <v>286</v>
      </c>
      <c r="B19">
        <v>8</v>
      </c>
      <c r="C19" t="s">
        <v>229</v>
      </c>
      <c r="D19" t="s">
        <v>335</v>
      </c>
      <c r="E19">
        <v>26</v>
      </c>
    </row>
    <row r="20" spans="1:5" x14ac:dyDescent="0.25">
      <c r="A20" t="s">
        <v>303</v>
      </c>
      <c r="B20">
        <v>7</v>
      </c>
      <c r="C20" t="s">
        <v>192</v>
      </c>
      <c r="D20" t="s">
        <v>105</v>
      </c>
      <c r="E20">
        <v>27</v>
      </c>
    </row>
    <row r="21" spans="1:5" x14ac:dyDescent="0.25">
      <c r="A21" t="s">
        <v>298</v>
      </c>
      <c r="B21">
        <v>11</v>
      </c>
      <c r="C21" t="s">
        <v>167</v>
      </c>
      <c r="D21" t="s">
        <v>159</v>
      </c>
      <c r="E21">
        <v>28</v>
      </c>
    </row>
    <row r="22" spans="1:5" x14ac:dyDescent="0.25">
      <c r="A22" t="s">
        <v>297</v>
      </c>
      <c r="B22">
        <v>7</v>
      </c>
      <c r="C22" t="s">
        <v>194</v>
      </c>
      <c r="D22" t="s">
        <v>128</v>
      </c>
      <c r="E22">
        <v>31</v>
      </c>
    </row>
    <row r="23" spans="1:5" x14ac:dyDescent="0.25">
      <c r="A23" t="s">
        <v>276</v>
      </c>
      <c r="B23">
        <v>10</v>
      </c>
      <c r="C23" t="s">
        <v>183</v>
      </c>
      <c r="D23" t="s">
        <v>197</v>
      </c>
      <c r="E23">
        <v>33</v>
      </c>
    </row>
    <row r="24" spans="1:5" x14ac:dyDescent="0.25">
      <c r="A24" t="s">
        <v>277</v>
      </c>
      <c r="B24">
        <v>14</v>
      </c>
      <c r="C24" t="s">
        <v>464</v>
      </c>
      <c r="D24" t="s">
        <v>704</v>
      </c>
      <c r="E24">
        <v>24</v>
      </c>
    </row>
    <row r="25" spans="1:5" x14ac:dyDescent="0.25">
      <c r="A25" t="s">
        <v>292</v>
      </c>
      <c r="B25">
        <v>9</v>
      </c>
      <c r="C25" t="s">
        <v>231</v>
      </c>
      <c r="D25" t="s">
        <v>568</v>
      </c>
      <c r="E25">
        <v>25</v>
      </c>
    </row>
    <row r="26" spans="1:5" x14ac:dyDescent="0.25">
      <c r="A26" t="s">
        <v>304</v>
      </c>
      <c r="B26">
        <v>10</v>
      </c>
      <c r="C26" t="s">
        <v>244</v>
      </c>
      <c r="D26" t="s">
        <v>94</v>
      </c>
      <c r="E26">
        <v>33</v>
      </c>
    </row>
    <row r="27" spans="1:5" x14ac:dyDescent="0.25">
      <c r="A27" t="s">
        <v>293</v>
      </c>
      <c r="B27">
        <v>7</v>
      </c>
      <c r="C27" t="s">
        <v>225</v>
      </c>
      <c r="D27" t="s">
        <v>572</v>
      </c>
      <c r="E27">
        <v>24</v>
      </c>
    </row>
    <row r="28" spans="1:5" x14ac:dyDescent="0.25">
      <c r="A28" t="s">
        <v>288</v>
      </c>
      <c r="B28">
        <v>9</v>
      </c>
      <c r="C28" t="s">
        <v>232</v>
      </c>
      <c r="D28" t="s">
        <v>549</v>
      </c>
      <c r="E28">
        <v>26</v>
      </c>
    </row>
    <row r="29" spans="1:5" x14ac:dyDescent="0.25">
      <c r="A29" t="s">
        <v>301</v>
      </c>
      <c r="B29">
        <v>9</v>
      </c>
      <c r="C29" t="s">
        <v>462</v>
      </c>
      <c r="D29" t="s">
        <v>228</v>
      </c>
      <c r="E29">
        <v>26</v>
      </c>
    </row>
    <row r="30" spans="1:5" x14ac:dyDescent="0.25">
      <c r="A30" t="s">
        <v>279</v>
      </c>
      <c r="B30">
        <v>11</v>
      </c>
      <c r="C30" t="s">
        <v>160</v>
      </c>
      <c r="D30" t="s">
        <v>777</v>
      </c>
      <c r="E30">
        <v>28</v>
      </c>
    </row>
    <row r="31" spans="1:5" x14ac:dyDescent="0.25">
      <c r="A31" t="s">
        <v>281</v>
      </c>
      <c r="B31">
        <v>11</v>
      </c>
      <c r="C31" t="s">
        <v>226</v>
      </c>
      <c r="D31" t="s">
        <v>533</v>
      </c>
      <c r="E31">
        <v>26</v>
      </c>
    </row>
    <row r="32" spans="1:5" x14ac:dyDescent="0.25">
      <c r="A32" t="s">
        <v>284</v>
      </c>
      <c r="B32">
        <v>6</v>
      </c>
      <c r="C32" t="s">
        <v>201</v>
      </c>
      <c r="D32" t="s">
        <v>158</v>
      </c>
      <c r="E32">
        <v>39</v>
      </c>
    </row>
    <row r="33" spans="1:5" x14ac:dyDescent="0.25">
      <c r="A33" t="s">
        <v>283</v>
      </c>
      <c r="B33">
        <v>14</v>
      </c>
      <c r="C33" t="s">
        <v>1035</v>
      </c>
      <c r="D33" t="s">
        <v>418</v>
      </c>
      <c r="E33">
        <v>40</v>
      </c>
    </row>
    <row r="34" spans="1:5" x14ac:dyDescent="0.25">
      <c r="A34" t="s">
        <v>465</v>
      </c>
      <c r="B34">
        <v>0</v>
      </c>
      <c r="C34" t="s">
        <v>768</v>
      </c>
      <c r="D34" t="s">
        <v>778</v>
      </c>
      <c r="E34">
        <v>23</v>
      </c>
    </row>
    <row r="35" spans="1:5" x14ac:dyDescent="0.25">
      <c r="D35" t="s">
        <v>157</v>
      </c>
      <c r="E35">
        <v>32</v>
      </c>
    </row>
    <row r="36" spans="1:5" x14ac:dyDescent="0.25">
      <c r="D36" t="s">
        <v>212</v>
      </c>
      <c r="E36">
        <v>29</v>
      </c>
    </row>
    <row r="37" spans="1:5" x14ac:dyDescent="0.25">
      <c r="D37" t="s">
        <v>589</v>
      </c>
      <c r="E37">
        <v>27</v>
      </c>
    </row>
    <row r="38" spans="1:5" x14ac:dyDescent="0.25">
      <c r="D38" t="s">
        <v>559</v>
      </c>
      <c r="E38">
        <v>26</v>
      </c>
    </row>
    <row r="39" spans="1:5" x14ac:dyDescent="0.25">
      <c r="D39" t="s">
        <v>113</v>
      </c>
      <c r="E39">
        <v>27</v>
      </c>
    </row>
    <row r="40" spans="1:5" x14ac:dyDescent="0.25">
      <c r="D40" t="s">
        <v>239</v>
      </c>
      <c r="E40">
        <v>30</v>
      </c>
    </row>
    <row r="41" spans="1:5" x14ac:dyDescent="0.25">
      <c r="D41" t="s">
        <v>725</v>
      </c>
      <c r="E41">
        <v>25</v>
      </c>
    </row>
    <row r="42" spans="1:5" x14ac:dyDescent="0.25">
      <c r="D42" t="s">
        <v>703</v>
      </c>
      <c r="E42">
        <v>27</v>
      </c>
    </row>
    <row r="43" spans="1:5" x14ac:dyDescent="0.25">
      <c r="D43" t="s">
        <v>635</v>
      </c>
      <c r="E43">
        <v>31</v>
      </c>
    </row>
    <row r="44" spans="1:5" x14ac:dyDescent="0.25">
      <c r="D44" t="s">
        <v>680</v>
      </c>
      <c r="E44">
        <v>25</v>
      </c>
    </row>
    <row r="45" spans="1:5" x14ac:dyDescent="0.25">
      <c r="D45" t="s">
        <v>683</v>
      </c>
      <c r="E45">
        <v>24</v>
      </c>
    </row>
    <row r="46" spans="1:5" x14ac:dyDescent="0.25">
      <c r="D46" t="s">
        <v>779</v>
      </c>
      <c r="E46">
        <v>29</v>
      </c>
    </row>
    <row r="47" spans="1:5" x14ac:dyDescent="0.25">
      <c r="D47" t="s">
        <v>671</v>
      </c>
      <c r="E47">
        <v>24</v>
      </c>
    </row>
    <row r="48" spans="1:5" x14ac:dyDescent="0.25">
      <c r="D48" t="s">
        <v>726</v>
      </c>
      <c r="E48">
        <v>27</v>
      </c>
    </row>
    <row r="49" spans="4:5" x14ac:dyDescent="0.25">
      <c r="D49" t="s">
        <v>131</v>
      </c>
      <c r="E49">
        <v>30</v>
      </c>
    </row>
    <row r="50" spans="4:5" x14ac:dyDescent="0.25">
      <c r="D50" t="s">
        <v>180</v>
      </c>
      <c r="E50">
        <v>27</v>
      </c>
    </row>
    <row r="51" spans="4:5" x14ac:dyDescent="0.25">
      <c r="D51" t="s">
        <v>434</v>
      </c>
      <c r="E51">
        <v>28</v>
      </c>
    </row>
    <row r="52" spans="4:5" x14ac:dyDescent="0.25">
      <c r="D52" t="s">
        <v>243</v>
      </c>
      <c r="E52">
        <v>29</v>
      </c>
    </row>
    <row r="53" spans="4:5" x14ac:dyDescent="0.25">
      <c r="D53" t="s">
        <v>563</v>
      </c>
      <c r="E53">
        <v>26</v>
      </c>
    </row>
    <row r="54" spans="4:5" x14ac:dyDescent="0.25">
      <c r="D54" t="s">
        <v>149</v>
      </c>
      <c r="E54">
        <v>32</v>
      </c>
    </row>
    <row r="55" spans="4:5" x14ac:dyDescent="0.25">
      <c r="D55" t="s">
        <v>227</v>
      </c>
      <c r="E55">
        <v>30</v>
      </c>
    </row>
    <row r="56" spans="4:5" x14ac:dyDescent="0.25">
      <c r="D56" t="s">
        <v>771</v>
      </c>
      <c r="E56">
        <v>28</v>
      </c>
    </row>
    <row r="57" spans="4:5" x14ac:dyDescent="0.25">
      <c r="D57" t="s">
        <v>124</v>
      </c>
      <c r="E57">
        <v>29</v>
      </c>
    </row>
    <row r="58" spans="4:5" x14ac:dyDescent="0.25">
      <c r="D58" t="s">
        <v>203</v>
      </c>
      <c r="E58">
        <v>28</v>
      </c>
    </row>
    <row r="59" spans="4:5" x14ac:dyDescent="0.25">
      <c r="D59" t="s">
        <v>318</v>
      </c>
      <c r="E59">
        <v>33</v>
      </c>
    </row>
    <row r="60" spans="4:5" x14ac:dyDescent="0.25">
      <c r="D60" t="s">
        <v>712</v>
      </c>
      <c r="E60">
        <v>27</v>
      </c>
    </row>
    <row r="61" spans="4:5" x14ac:dyDescent="0.25">
      <c r="D61" t="s">
        <v>385</v>
      </c>
      <c r="E61">
        <v>26</v>
      </c>
    </row>
    <row r="62" spans="4:5" x14ac:dyDescent="0.25">
      <c r="D62" t="s">
        <v>241</v>
      </c>
      <c r="E62">
        <v>30</v>
      </c>
    </row>
    <row r="63" spans="4:5" x14ac:dyDescent="0.25">
      <c r="D63" t="s">
        <v>415</v>
      </c>
      <c r="E63">
        <v>32</v>
      </c>
    </row>
    <row r="64" spans="4:5" x14ac:dyDescent="0.25">
      <c r="D64" t="s">
        <v>552</v>
      </c>
      <c r="E64">
        <v>25</v>
      </c>
    </row>
    <row r="65" spans="4:5" x14ac:dyDescent="0.25">
      <c r="D65" t="s">
        <v>397</v>
      </c>
      <c r="E65">
        <v>27</v>
      </c>
    </row>
    <row r="66" spans="4:5" x14ac:dyDescent="0.25">
      <c r="D66" t="s">
        <v>179</v>
      </c>
      <c r="E66">
        <v>30</v>
      </c>
    </row>
    <row r="67" spans="4:5" x14ac:dyDescent="0.25">
      <c r="D67" t="s">
        <v>350</v>
      </c>
      <c r="E67">
        <v>26</v>
      </c>
    </row>
    <row r="68" spans="4:5" x14ac:dyDescent="0.25">
      <c r="D68" t="s">
        <v>366</v>
      </c>
      <c r="E68">
        <v>28</v>
      </c>
    </row>
    <row r="69" spans="4:5" x14ac:dyDescent="0.25">
      <c r="D69" t="s">
        <v>381</v>
      </c>
      <c r="E69">
        <v>25</v>
      </c>
    </row>
    <row r="70" spans="4:5" x14ac:dyDescent="0.25">
      <c r="D70" t="s">
        <v>592</v>
      </c>
      <c r="E70">
        <v>25</v>
      </c>
    </row>
    <row r="71" spans="4:5" x14ac:dyDescent="0.25">
      <c r="D71" t="s">
        <v>238</v>
      </c>
      <c r="E71">
        <v>33</v>
      </c>
    </row>
    <row r="72" spans="4:5" x14ac:dyDescent="0.25">
      <c r="D72" t="s">
        <v>395</v>
      </c>
      <c r="E72">
        <v>28</v>
      </c>
    </row>
    <row r="73" spans="4:5" x14ac:dyDescent="0.25">
      <c r="D73" t="s">
        <v>328</v>
      </c>
      <c r="E73">
        <v>30</v>
      </c>
    </row>
    <row r="74" spans="4:5" x14ac:dyDescent="0.25">
      <c r="D74" t="s">
        <v>780</v>
      </c>
      <c r="E74">
        <v>25</v>
      </c>
    </row>
    <row r="75" spans="4:5" x14ac:dyDescent="0.25">
      <c r="D75" t="s">
        <v>570</v>
      </c>
      <c r="E75">
        <v>24</v>
      </c>
    </row>
    <row r="76" spans="4:5" x14ac:dyDescent="0.25">
      <c r="D76" t="s">
        <v>116</v>
      </c>
      <c r="E76">
        <v>25</v>
      </c>
    </row>
    <row r="77" spans="4:5" x14ac:dyDescent="0.25">
      <c r="D77" t="s">
        <v>399</v>
      </c>
      <c r="E77">
        <v>28</v>
      </c>
    </row>
    <row r="78" spans="4:5" x14ac:dyDescent="0.25">
      <c r="D78" t="s">
        <v>220</v>
      </c>
      <c r="E78">
        <v>32</v>
      </c>
    </row>
    <row r="79" spans="4:5" x14ac:dyDescent="0.25">
      <c r="D79" t="s">
        <v>375</v>
      </c>
      <c r="E79">
        <v>28</v>
      </c>
    </row>
    <row r="80" spans="4:5" x14ac:dyDescent="0.25">
      <c r="D80" t="s">
        <v>391</v>
      </c>
      <c r="E80">
        <v>30</v>
      </c>
    </row>
    <row r="81" spans="4:5" x14ac:dyDescent="0.25">
      <c r="D81" t="s">
        <v>547</v>
      </c>
      <c r="E81">
        <v>26</v>
      </c>
    </row>
    <row r="82" spans="4:5" x14ac:dyDescent="0.25">
      <c r="D82" t="s">
        <v>774</v>
      </c>
      <c r="E82">
        <v>27</v>
      </c>
    </row>
    <row r="83" spans="4:5" x14ac:dyDescent="0.25">
      <c r="D83" t="s">
        <v>170</v>
      </c>
      <c r="E83">
        <v>26</v>
      </c>
    </row>
    <row r="84" spans="4:5" x14ac:dyDescent="0.25">
      <c r="D84" t="s">
        <v>349</v>
      </c>
      <c r="E84">
        <v>29</v>
      </c>
    </row>
    <row r="85" spans="4:5" x14ac:dyDescent="0.25">
      <c r="D85" t="s">
        <v>565</v>
      </c>
      <c r="E85">
        <v>25</v>
      </c>
    </row>
    <row r="86" spans="4:5" x14ac:dyDescent="0.25">
      <c r="D86" t="s">
        <v>368</v>
      </c>
      <c r="E86">
        <v>25</v>
      </c>
    </row>
    <row r="87" spans="4:5" x14ac:dyDescent="0.25">
      <c r="D87" t="s">
        <v>575</v>
      </c>
      <c r="E87">
        <v>24</v>
      </c>
    </row>
    <row r="88" spans="4:5" x14ac:dyDescent="0.25">
      <c r="D88" t="s">
        <v>564</v>
      </c>
      <c r="E88">
        <v>24</v>
      </c>
    </row>
    <row r="89" spans="4:5" x14ac:dyDescent="0.25">
      <c r="D89" t="s">
        <v>698</v>
      </c>
      <c r="E89">
        <v>23</v>
      </c>
    </row>
    <row r="90" spans="4:5" x14ac:dyDescent="0.25">
      <c r="D90" t="s">
        <v>577</v>
      </c>
      <c r="E90">
        <v>26</v>
      </c>
    </row>
    <row r="91" spans="4:5" x14ac:dyDescent="0.25">
      <c r="D91" t="s">
        <v>164</v>
      </c>
      <c r="E91">
        <v>28</v>
      </c>
    </row>
    <row r="92" spans="4:5" x14ac:dyDescent="0.25">
      <c r="D92" t="s">
        <v>590</v>
      </c>
      <c r="E92">
        <v>26</v>
      </c>
    </row>
    <row r="93" spans="4:5" x14ac:dyDescent="0.25">
      <c r="D93" t="s">
        <v>139</v>
      </c>
      <c r="E93">
        <v>26</v>
      </c>
    </row>
    <row r="94" spans="4:5" x14ac:dyDescent="0.25">
      <c r="D94" t="s">
        <v>781</v>
      </c>
      <c r="E94">
        <v>24</v>
      </c>
    </row>
    <row r="95" spans="4:5" x14ac:dyDescent="0.25">
      <c r="D95" t="s">
        <v>665</v>
      </c>
      <c r="E95">
        <v>24</v>
      </c>
    </row>
    <row r="96" spans="4:5" x14ac:dyDescent="0.25">
      <c r="D96" t="s">
        <v>337</v>
      </c>
      <c r="E96">
        <v>29</v>
      </c>
    </row>
    <row r="97" spans="4:5" x14ac:dyDescent="0.25">
      <c r="D97" t="s">
        <v>643</v>
      </c>
      <c r="E97">
        <v>26</v>
      </c>
    </row>
    <row r="98" spans="4:5" x14ac:dyDescent="0.25">
      <c r="D98" t="s">
        <v>195</v>
      </c>
      <c r="E98">
        <v>33</v>
      </c>
    </row>
    <row r="99" spans="4:5" x14ac:dyDescent="0.25">
      <c r="D99" t="s">
        <v>649</v>
      </c>
      <c r="E99">
        <v>24</v>
      </c>
    </row>
    <row r="100" spans="4:5" x14ac:dyDescent="0.25">
      <c r="D100" t="s">
        <v>250</v>
      </c>
      <c r="E100">
        <v>35</v>
      </c>
    </row>
    <row r="101" spans="4:5" x14ac:dyDescent="0.25">
      <c r="D101" t="s">
        <v>573</v>
      </c>
      <c r="E101">
        <v>25</v>
      </c>
    </row>
    <row r="102" spans="4:5" x14ac:dyDescent="0.25">
      <c r="D102" t="s">
        <v>720</v>
      </c>
      <c r="E102">
        <v>24</v>
      </c>
    </row>
    <row r="103" spans="4:5" x14ac:dyDescent="0.25">
      <c r="D103" t="s">
        <v>679</v>
      </c>
      <c r="E103">
        <v>26</v>
      </c>
    </row>
    <row r="104" spans="4:5" x14ac:dyDescent="0.25">
      <c r="D104" t="s">
        <v>664</v>
      </c>
      <c r="E104">
        <v>23</v>
      </c>
    </row>
    <row r="105" spans="4:5" x14ac:dyDescent="0.25">
      <c r="D105" t="s">
        <v>743</v>
      </c>
      <c r="E105">
        <v>28</v>
      </c>
    </row>
    <row r="106" spans="4:5" x14ac:dyDescent="0.25">
      <c r="D106" t="s">
        <v>669</v>
      </c>
      <c r="E106">
        <v>24</v>
      </c>
    </row>
    <row r="107" spans="4:5" x14ac:dyDescent="0.25">
      <c r="D107" t="s">
        <v>125</v>
      </c>
      <c r="E107">
        <v>28</v>
      </c>
    </row>
    <row r="108" spans="4:5" x14ac:dyDescent="0.25">
      <c r="D108" t="s">
        <v>90</v>
      </c>
      <c r="E108">
        <v>29</v>
      </c>
    </row>
    <row r="109" spans="4:5" x14ac:dyDescent="0.25">
      <c r="D109" t="s">
        <v>661</v>
      </c>
      <c r="E109">
        <v>24</v>
      </c>
    </row>
    <row r="110" spans="4:5" x14ac:dyDescent="0.25">
      <c r="D110" t="s">
        <v>641</v>
      </c>
      <c r="E110">
        <v>26</v>
      </c>
    </row>
    <row r="111" spans="4:5" x14ac:dyDescent="0.25">
      <c r="D111" t="s">
        <v>217</v>
      </c>
      <c r="E111">
        <v>25</v>
      </c>
    </row>
    <row r="112" spans="4:5" x14ac:dyDescent="0.25">
      <c r="D112" t="s">
        <v>749</v>
      </c>
      <c r="E112">
        <v>24</v>
      </c>
    </row>
    <row r="113" spans="4:5" x14ac:dyDescent="0.25">
      <c r="D113" t="s">
        <v>109</v>
      </c>
      <c r="E113">
        <v>29</v>
      </c>
    </row>
    <row r="114" spans="4:5" x14ac:dyDescent="0.25">
      <c r="D114" t="s">
        <v>331</v>
      </c>
      <c r="E114">
        <v>28</v>
      </c>
    </row>
    <row r="115" spans="4:5" x14ac:dyDescent="0.25">
      <c r="D115" t="s">
        <v>387</v>
      </c>
      <c r="E115">
        <v>27</v>
      </c>
    </row>
    <row r="116" spans="4:5" x14ac:dyDescent="0.25">
      <c r="D116" t="s">
        <v>702</v>
      </c>
      <c r="E116">
        <v>25</v>
      </c>
    </row>
    <row r="117" spans="4:5" x14ac:dyDescent="0.25">
      <c r="D117" t="s">
        <v>154</v>
      </c>
      <c r="E117">
        <v>37</v>
      </c>
    </row>
    <row r="118" spans="4:5" x14ac:dyDescent="0.25">
      <c r="D118" t="s">
        <v>394</v>
      </c>
      <c r="E118">
        <v>26</v>
      </c>
    </row>
    <row r="119" spans="4:5" x14ac:dyDescent="0.25">
      <c r="D119" t="s">
        <v>114</v>
      </c>
      <c r="E119">
        <v>33</v>
      </c>
    </row>
    <row r="120" spans="4:5" x14ac:dyDescent="0.25">
      <c r="D120" t="s">
        <v>428</v>
      </c>
      <c r="E120">
        <v>30</v>
      </c>
    </row>
    <row r="121" spans="4:5" x14ac:dyDescent="0.25">
      <c r="D121" t="s">
        <v>722</v>
      </c>
      <c r="E121">
        <v>25</v>
      </c>
    </row>
    <row r="122" spans="4:5" x14ac:dyDescent="0.25">
      <c r="D122" t="s">
        <v>166</v>
      </c>
      <c r="E122">
        <v>30</v>
      </c>
    </row>
    <row r="123" spans="4:5" x14ac:dyDescent="0.25">
      <c r="D123" t="s">
        <v>148</v>
      </c>
      <c r="E123">
        <v>27</v>
      </c>
    </row>
    <row r="124" spans="4:5" x14ac:dyDescent="0.25">
      <c r="D124" t="s">
        <v>662</v>
      </c>
      <c r="E124">
        <v>24</v>
      </c>
    </row>
    <row r="125" spans="4:5" x14ac:dyDescent="0.25">
      <c r="D125" t="s">
        <v>151</v>
      </c>
      <c r="E125">
        <v>34</v>
      </c>
    </row>
    <row r="126" spans="4:5" x14ac:dyDescent="0.25">
      <c r="D126" t="s">
        <v>208</v>
      </c>
      <c r="E126">
        <v>25</v>
      </c>
    </row>
    <row r="127" spans="4:5" x14ac:dyDescent="0.25">
      <c r="D127" t="s">
        <v>359</v>
      </c>
      <c r="E127">
        <v>28</v>
      </c>
    </row>
    <row r="128" spans="4:5" x14ac:dyDescent="0.25">
      <c r="D128" t="s">
        <v>365</v>
      </c>
      <c r="E128">
        <v>27</v>
      </c>
    </row>
    <row r="129" spans="4:5" x14ac:dyDescent="0.25">
      <c r="D129" t="s">
        <v>668</v>
      </c>
      <c r="E129">
        <v>23</v>
      </c>
    </row>
    <row r="130" spans="4:5" x14ac:dyDescent="0.25">
      <c r="D130" t="s">
        <v>695</v>
      </c>
      <c r="E130">
        <v>24</v>
      </c>
    </row>
    <row r="131" spans="4:5" x14ac:dyDescent="0.25">
      <c r="D131" t="s">
        <v>102</v>
      </c>
      <c r="E131">
        <v>29</v>
      </c>
    </row>
    <row r="132" spans="4:5" x14ac:dyDescent="0.25">
      <c r="D132" t="s">
        <v>336</v>
      </c>
      <c r="E132">
        <v>29</v>
      </c>
    </row>
    <row r="133" spans="4:5" x14ac:dyDescent="0.25">
      <c r="D133" t="s">
        <v>676</v>
      </c>
      <c r="E133">
        <v>24</v>
      </c>
    </row>
    <row r="134" spans="4:5" x14ac:dyDescent="0.25">
      <c r="D134" t="s">
        <v>782</v>
      </c>
      <c r="E134">
        <v>32</v>
      </c>
    </row>
    <row r="135" spans="4:5" x14ac:dyDescent="0.25">
      <c r="D135" t="s">
        <v>173</v>
      </c>
      <c r="E135">
        <v>30</v>
      </c>
    </row>
    <row r="136" spans="4:5" x14ac:dyDescent="0.25">
      <c r="D136" t="s">
        <v>718</v>
      </c>
      <c r="E136">
        <v>25</v>
      </c>
    </row>
    <row r="137" spans="4:5" x14ac:dyDescent="0.25">
      <c r="D137" t="s">
        <v>334</v>
      </c>
      <c r="E137">
        <v>25</v>
      </c>
    </row>
    <row r="138" spans="4:5" x14ac:dyDescent="0.25">
      <c r="D138" t="s">
        <v>143</v>
      </c>
      <c r="E138">
        <v>28</v>
      </c>
    </row>
    <row r="139" spans="4:5" x14ac:dyDescent="0.25">
      <c r="D139" t="s">
        <v>706</v>
      </c>
      <c r="E139">
        <v>32</v>
      </c>
    </row>
    <row r="140" spans="4:5" x14ac:dyDescent="0.25">
      <c r="D140" t="s">
        <v>106</v>
      </c>
      <c r="E140">
        <v>32</v>
      </c>
    </row>
    <row r="141" spans="4:5" x14ac:dyDescent="0.25">
      <c r="D141" t="s">
        <v>141</v>
      </c>
      <c r="E141">
        <v>32</v>
      </c>
    </row>
    <row r="142" spans="4:5" x14ac:dyDescent="0.25">
      <c r="D142" t="s">
        <v>122</v>
      </c>
      <c r="E142">
        <v>42</v>
      </c>
    </row>
    <row r="143" spans="4:5" x14ac:dyDescent="0.25">
      <c r="D143" t="s">
        <v>648</v>
      </c>
      <c r="E143">
        <v>24</v>
      </c>
    </row>
    <row r="144" spans="4:5" x14ac:dyDescent="0.25">
      <c r="D144" t="s">
        <v>326</v>
      </c>
      <c r="E144">
        <v>27</v>
      </c>
    </row>
    <row r="145" spans="4:5" x14ac:dyDescent="0.25">
      <c r="D145" t="s">
        <v>647</v>
      </c>
      <c r="E145">
        <v>24</v>
      </c>
    </row>
    <row r="146" spans="4:5" x14ac:dyDescent="0.25">
      <c r="D146" t="s">
        <v>429</v>
      </c>
      <c r="E146">
        <v>34</v>
      </c>
    </row>
    <row r="147" spans="4:5" x14ac:dyDescent="0.25">
      <c r="D147" t="s">
        <v>199</v>
      </c>
      <c r="E147">
        <v>40</v>
      </c>
    </row>
    <row r="148" spans="4:5" x14ac:dyDescent="0.25">
      <c r="D148" t="s">
        <v>694</v>
      </c>
      <c r="E148">
        <v>23</v>
      </c>
    </row>
    <row r="149" spans="4:5" x14ac:dyDescent="0.25">
      <c r="D149" t="s">
        <v>345</v>
      </c>
      <c r="E149">
        <v>27</v>
      </c>
    </row>
    <row r="150" spans="4:5" x14ac:dyDescent="0.25">
      <c r="D150" t="s">
        <v>734</v>
      </c>
      <c r="E150">
        <v>24</v>
      </c>
    </row>
    <row r="151" spans="4:5" x14ac:dyDescent="0.25">
      <c r="D151" t="s">
        <v>137</v>
      </c>
      <c r="E151">
        <v>34</v>
      </c>
    </row>
    <row r="152" spans="4:5" x14ac:dyDescent="0.25">
      <c r="D152" t="s">
        <v>580</v>
      </c>
      <c r="E152">
        <v>24</v>
      </c>
    </row>
    <row r="153" spans="4:5" x14ac:dyDescent="0.25">
      <c r="D153" t="s">
        <v>211</v>
      </c>
      <c r="E153">
        <v>28</v>
      </c>
    </row>
    <row r="154" spans="4:5" x14ac:dyDescent="0.25">
      <c r="D154" t="s">
        <v>223</v>
      </c>
      <c r="E154">
        <v>26</v>
      </c>
    </row>
    <row r="155" spans="4:5" x14ac:dyDescent="0.25">
      <c r="D155" t="s">
        <v>93</v>
      </c>
      <c r="E155">
        <v>26</v>
      </c>
    </row>
    <row r="156" spans="4:5" x14ac:dyDescent="0.25">
      <c r="D156" t="s">
        <v>753</v>
      </c>
      <c r="E156">
        <v>24</v>
      </c>
    </row>
    <row r="157" spans="4:5" x14ac:dyDescent="0.25">
      <c r="D157" t="s">
        <v>163</v>
      </c>
      <c r="E157">
        <v>38</v>
      </c>
    </row>
    <row r="158" spans="4:5" x14ac:dyDescent="0.25">
      <c r="D158" t="s">
        <v>715</v>
      </c>
      <c r="E158">
        <v>24</v>
      </c>
    </row>
    <row r="159" spans="4:5" x14ac:dyDescent="0.25">
      <c r="D159" t="s">
        <v>431</v>
      </c>
      <c r="E159">
        <v>27</v>
      </c>
    </row>
    <row r="160" spans="4:5" x14ac:dyDescent="0.25">
      <c r="D160" t="s">
        <v>420</v>
      </c>
      <c r="E160">
        <v>27</v>
      </c>
    </row>
    <row r="161" spans="4:5" x14ac:dyDescent="0.25">
      <c r="D161" t="s">
        <v>419</v>
      </c>
      <c r="E161">
        <v>27</v>
      </c>
    </row>
    <row r="162" spans="4:5" x14ac:dyDescent="0.25">
      <c r="D162" t="s">
        <v>383</v>
      </c>
      <c r="E162">
        <v>27</v>
      </c>
    </row>
    <row r="163" spans="4:5" x14ac:dyDescent="0.25">
      <c r="D163" t="s">
        <v>327</v>
      </c>
      <c r="E163">
        <v>29</v>
      </c>
    </row>
    <row r="164" spans="4:5" x14ac:dyDescent="0.25">
      <c r="D164" t="s">
        <v>147</v>
      </c>
      <c r="E164">
        <v>33</v>
      </c>
    </row>
    <row r="165" spans="4:5" x14ac:dyDescent="0.25">
      <c r="D165" t="s">
        <v>245</v>
      </c>
      <c r="E165">
        <v>34</v>
      </c>
    </row>
    <row r="166" spans="4:5" x14ac:dyDescent="0.25">
      <c r="D166" t="s">
        <v>133</v>
      </c>
      <c r="E166">
        <v>36</v>
      </c>
    </row>
    <row r="167" spans="4:5" x14ac:dyDescent="0.25">
      <c r="D167" t="s">
        <v>449</v>
      </c>
      <c r="E167">
        <v>33</v>
      </c>
    </row>
    <row r="168" spans="4:5" x14ac:dyDescent="0.25">
      <c r="D168" t="s">
        <v>637</v>
      </c>
      <c r="E168">
        <v>26</v>
      </c>
    </row>
    <row r="169" spans="4:5" x14ac:dyDescent="0.25">
      <c r="D169" t="s">
        <v>707</v>
      </c>
      <c r="E169">
        <v>25</v>
      </c>
    </row>
    <row r="170" spans="4:5" x14ac:dyDescent="0.25">
      <c r="D170" t="s">
        <v>451</v>
      </c>
      <c r="E170">
        <v>26</v>
      </c>
    </row>
    <row r="171" spans="4:5" x14ac:dyDescent="0.25">
      <c r="D171" t="s">
        <v>588</v>
      </c>
      <c r="E171">
        <v>27</v>
      </c>
    </row>
    <row r="172" spans="4:5" x14ac:dyDescent="0.25">
      <c r="D172" t="s">
        <v>739</v>
      </c>
      <c r="E172">
        <v>26</v>
      </c>
    </row>
    <row r="173" spans="4:5" x14ac:dyDescent="0.25">
      <c r="D173" t="s">
        <v>709</v>
      </c>
      <c r="E173">
        <v>25</v>
      </c>
    </row>
    <row r="174" spans="4:5" x14ac:dyDescent="0.25">
      <c r="D174" t="s">
        <v>596</v>
      </c>
      <c r="E174">
        <v>25</v>
      </c>
    </row>
    <row r="175" spans="4:5" x14ac:dyDescent="0.25">
      <c r="D175" t="s">
        <v>783</v>
      </c>
      <c r="E175">
        <v>23</v>
      </c>
    </row>
    <row r="176" spans="4:5" x14ac:dyDescent="0.25">
      <c r="D176" t="s">
        <v>784</v>
      </c>
      <c r="E176">
        <v>28</v>
      </c>
    </row>
    <row r="177" spans="4:5" x14ac:dyDescent="0.25">
      <c r="D177" t="s">
        <v>408</v>
      </c>
      <c r="E177">
        <v>26</v>
      </c>
    </row>
    <row r="178" spans="4:5" x14ac:dyDescent="0.25">
      <c r="D178" t="s">
        <v>560</v>
      </c>
      <c r="E178">
        <v>25</v>
      </c>
    </row>
    <row r="179" spans="4:5" x14ac:dyDescent="0.25">
      <c r="D179" t="s">
        <v>711</v>
      </c>
      <c r="E179">
        <v>24</v>
      </c>
    </row>
    <row r="180" spans="4:5" x14ac:dyDescent="0.25">
      <c r="D180" t="s">
        <v>744</v>
      </c>
      <c r="E180">
        <v>25</v>
      </c>
    </row>
    <row r="181" spans="4:5" x14ac:dyDescent="0.25">
      <c r="D181" t="s">
        <v>202</v>
      </c>
      <c r="E181">
        <v>31</v>
      </c>
    </row>
    <row r="182" spans="4:5" x14ac:dyDescent="0.25">
      <c r="D182" t="s">
        <v>535</v>
      </c>
      <c r="E182">
        <v>28</v>
      </c>
    </row>
    <row r="183" spans="4:5" x14ac:dyDescent="0.25">
      <c r="D183" t="s">
        <v>773</v>
      </c>
      <c r="E183">
        <v>31</v>
      </c>
    </row>
    <row r="184" spans="4:5" x14ac:dyDescent="0.25">
      <c r="D184" t="s">
        <v>433</v>
      </c>
      <c r="E184">
        <v>26</v>
      </c>
    </row>
    <row r="185" spans="4:5" x14ac:dyDescent="0.25">
      <c r="D185" t="s">
        <v>450</v>
      </c>
      <c r="E185">
        <v>26</v>
      </c>
    </row>
    <row r="186" spans="4:5" x14ac:dyDescent="0.25">
      <c r="D186" t="s">
        <v>640</v>
      </c>
      <c r="E186">
        <v>29</v>
      </c>
    </row>
    <row r="187" spans="4:5" x14ac:dyDescent="0.25">
      <c r="D187" t="s">
        <v>402</v>
      </c>
      <c r="E187">
        <v>28</v>
      </c>
    </row>
    <row r="188" spans="4:5" x14ac:dyDescent="0.25">
      <c r="D188" t="s">
        <v>714</v>
      </c>
      <c r="E188">
        <v>25</v>
      </c>
    </row>
    <row r="189" spans="4:5" x14ac:dyDescent="0.25">
      <c r="D189" t="s">
        <v>332</v>
      </c>
      <c r="E189">
        <v>27</v>
      </c>
    </row>
    <row r="190" spans="4:5" x14ac:dyDescent="0.25">
      <c r="D190" t="s">
        <v>184</v>
      </c>
      <c r="E190">
        <v>26</v>
      </c>
    </row>
    <row r="191" spans="4:5" x14ac:dyDescent="0.25">
      <c r="D191" t="s">
        <v>162</v>
      </c>
      <c r="E191">
        <v>27</v>
      </c>
    </row>
    <row r="192" spans="4:5" x14ac:dyDescent="0.25">
      <c r="D192" t="s">
        <v>339</v>
      </c>
      <c r="E192">
        <v>26</v>
      </c>
    </row>
    <row r="193" spans="4:5" x14ac:dyDescent="0.25">
      <c r="D193" t="s">
        <v>569</v>
      </c>
      <c r="E193">
        <v>25</v>
      </c>
    </row>
    <row r="194" spans="4:5" x14ac:dyDescent="0.25">
      <c r="D194" t="s">
        <v>204</v>
      </c>
      <c r="E194">
        <v>29</v>
      </c>
    </row>
    <row r="195" spans="4:5" x14ac:dyDescent="0.25">
      <c r="D195" t="s">
        <v>785</v>
      </c>
      <c r="E195">
        <v>25</v>
      </c>
    </row>
    <row r="196" spans="4:5" x14ac:dyDescent="0.25">
      <c r="D196" t="s">
        <v>150</v>
      </c>
      <c r="E196">
        <v>28</v>
      </c>
    </row>
    <row r="197" spans="4:5" x14ac:dyDescent="0.25">
      <c r="D197" t="s">
        <v>233</v>
      </c>
      <c r="E197">
        <v>34</v>
      </c>
    </row>
    <row r="198" spans="4:5" x14ac:dyDescent="0.25">
      <c r="D198" t="s">
        <v>302</v>
      </c>
      <c r="E198">
        <v>26</v>
      </c>
    </row>
    <row r="199" spans="4:5" x14ac:dyDescent="0.25">
      <c r="D199" t="s">
        <v>396</v>
      </c>
      <c r="E199">
        <v>31</v>
      </c>
    </row>
    <row r="200" spans="4:5" x14ac:dyDescent="0.25">
      <c r="D200" t="s">
        <v>386</v>
      </c>
      <c r="E200">
        <v>31</v>
      </c>
    </row>
    <row r="201" spans="4:5" x14ac:dyDescent="0.25">
      <c r="D201" t="s">
        <v>654</v>
      </c>
      <c r="E201">
        <v>25</v>
      </c>
    </row>
    <row r="202" spans="4:5" x14ac:dyDescent="0.25">
      <c r="D202" t="s">
        <v>135</v>
      </c>
      <c r="E202">
        <v>28</v>
      </c>
    </row>
    <row r="203" spans="4:5" x14ac:dyDescent="0.25">
      <c r="D203" t="s">
        <v>742</v>
      </c>
      <c r="E203">
        <v>39</v>
      </c>
    </row>
    <row r="204" spans="4:5" x14ac:dyDescent="0.25">
      <c r="D204" t="s">
        <v>347</v>
      </c>
      <c r="E204">
        <v>29</v>
      </c>
    </row>
    <row r="205" spans="4:5" x14ac:dyDescent="0.25">
      <c r="D205" t="s">
        <v>786</v>
      </c>
      <c r="E205">
        <v>28</v>
      </c>
    </row>
    <row r="206" spans="4:5" x14ac:dyDescent="0.25">
      <c r="D206" t="s">
        <v>557</v>
      </c>
      <c r="E206">
        <v>25</v>
      </c>
    </row>
    <row r="207" spans="4:5" x14ac:dyDescent="0.25">
      <c r="D207" t="s">
        <v>691</v>
      </c>
      <c r="E207">
        <v>25</v>
      </c>
    </row>
    <row r="208" spans="4:5" x14ac:dyDescent="0.25">
      <c r="D208" t="s">
        <v>333</v>
      </c>
      <c r="E208">
        <v>29</v>
      </c>
    </row>
    <row r="209" spans="4:5" x14ac:dyDescent="0.25">
      <c r="D209" t="s">
        <v>374</v>
      </c>
      <c r="E209">
        <v>31</v>
      </c>
    </row>
    <row r="210" spans="4:5" x14ac:dyDescent="0.25">
      <c r="D210" t="s">
        <v>247</v>
      </c>
      <c r="E210">
        <v>27</v>
      </c>
    </row>
    <row r="211" spans="4:5" x14ac:dyDescent="0.25">
      <c r="D211" t="s">
        <v>319</v>
      </c>
      <c r="E211">
        <v>29</v>
      </c>
    </row>
    <row r="212" spans="4:5" x14ac:dyDescent="0.25">
      <c r="D212" t="s">
        <v>140</v>
      </c>
      <c r="E212">
        <v>34</v>
      </c>
    </row>
    <row r="213" spans="4:5" x14ac:dyDescent="0.25">
      <c r="D213" t="s">
        <v>576</v>
      </c>
      <c r="E213">
        <v>26</v>
      </c>
    </row>
    <row r="214" spans="4:5" x14ac:dyDescent="0.25">
      <c r="D214" t="s">
        <v>191</v>
      </c>
      <c r="E214">
        <v>36</v>
      </c>
    </row>
    <row r="215" spans="4:5" x14ac:dyDescent="0.25">
      <c r="D215" t="s">
        <v>118</v>
      </c>
      <c r="E215">
        <v>25</v>
      </c>
    </row>
    <row r="216" spans="4:5" x14ac:dyDescent="0.25">
      <c r="D216" t="s">
        <v>175</v>
      </c>
      <c r="E216">
        <v>31</v>
      </c>
    </row>
    <row r="217" spans="4:5" x14ac:dyDescent="0.25">
      <c r="D217" t="s">
        <v>554</v>
      </c>
      <c r="E217">
        <v>24</v>
      </c>
    </row>
    <row r="218" spans="4:5" x14ac:dyDescent="0.25">
      <c r="D218" t="s">
        <v>190</v>
      </c>
      <c r="E218">
        <v>26</v>
      </c>
    </row>
    <row r="219" spans="4:5" x14ac:dyDescent="0.25">
      <c r="D219" t="s">
        <v>427</v>
      </c>
      <c r="E219">
        <v>25</v>
      </c>
    </row>
    <row r="220" spans="4:5" x14ac:dyDescent="0.25">
      <c r="D220" t="s">
        <v>100</v>
      </c>
      <c r="E220">
        <v>26</v>
      </c>
    </row>
    <row r="221" spans="4:5" x14ac:dyDescent="0.25">
      <c r="D221" t="s">
        <v>716</v>
      </c>
      <c r="E221">
        <v>29</v>
      </c>
    </row>
    <row r="222" spans="4:5" x14ac:dyDescent="0.25">
      <c r="D222" t="s">
        <v>126</v>
      </c>
      <c r="E222">
        <v>31</v>
      </c>
    </row>
    <row r="223" spans="4:5" x14ac:dyDescent="0.25">
      <c r="D223" t="s">
        <v>675</v>
      </c>
      <c r="E223">
        <v>25</v>
      </c>
    </row>
    <row r="224" spans="4:5" x14ac:dyDescent="0.25">
      <c r="D224" t="s">
        <v>600</v>
      </c>
      <c r="E224">
        <v>25</v>
      </c>
    </row>
    <row r="225" spans="4:5" x14ac:dyDescent="0.25">
      <c r="D225" t="s">
        <v>551</v>
      </c>
      <c r="E225">
        <v>27</v>
      </c>
    </row>
    <row r="226" spans="4:5" x14ac:dyDescent="0.25">
      <c r="D226" t="s">
        <v>787</v>
      </c>
      <c r="E226">
        <v>36</v>
      </c>
    </row>
    <row r="227" spans="4:5" x14ac:dyDescent="0.25">
      <c r="D227" t="s">
        <v>690</v>
      </c>
      <c r="E227">
        <v>24</v>
      </c>
    </row>
    <row r="228" spans="4:5" x14ac:dyDescent="0.25">
      <c r="D228" t="s">
        <v>531</v>
      </c>
      <c r="E228">
        <v>25</v>
      </c>
    </row>
    <row r="229" spans="4:5" x14ac:dyDescent="0.25">
      <c r="D229" t="s">
        <v>216</v>
      </c>
      <c r="E229">
        <v>28</v>
      </c>
    </row>
    <row r="230" spans="4:5" x14ac:dyDescent="0.25">
      <c r="D230" t="s">
        <v>516</v>
      </c>
      <c r="E230">
        <v>30</v>
      </c>
    </row>
    <row r="231" spans="4:5" x14ac:dyDescent="0.25">
      <c r="D231" t="s">
        <v>660</v>
      </c>
      <c r="E231">
        <v>23</v>
      </c>
    </row>
    <row r="232" spans="4:5" x14ac:dyDescent="0.25">
      <c r="D232" t="s">
        <v>745</v>
      </c>
      <c r="E232">
        <v>24</v>
      </c>
    </row>
    <row r="233" spans="4:5" x14ac:dyDescent="0.25">
      <c r="D233" t="s">
        <v>389</v>
      </c>
      <c r="E233">
        <v>26</v>
      </c>
    </row>
    <row r="234" spans="4:5" x14ac:dyDescent="0.25">
      <c r="D234" t="s">
        <v>530</v>
      </c>
      <c r="E234">
        <v>24</v>
      </c>
    </row>
    <row r="235" spans="4:5" x14ac:dyDescent="0.25">
      <c r="D235" t="s">
        <v>384</v>
      </c>
      <c r="E235">
        <v>24</v>
      </c>
    </row>
    <row r="236" spans="4:5" x14ac:dyDescent="0.25">
      <c r="D236" t="s">
        <v>130</v>
      </c>
      <c r="E236">
        <v>35</v>
      </c>
    </row>
    <row r="237" spans="4:5" x14ac:dyDescent="0.25">
      <c r="D237" t="s">
        <v>96</v>
      </c>
      <c r="E237">
        <v>32</v>
      </c>
    </row>
    <row r="238" spans="4:5" x14ac:dyDescent="0.25">
      <c r="D238" t="s">
        <v>667</v>
      </c>
      <c r="E238">
        <v>23</v>
      </c>
    </row>
    <row r="239" spans="4:5" x14ac:dyDescent="0.25">
      <c r="D239" t="s">
        <v>555</v>
      </c>
      <c r="E239">
        <v>25</v>
      </c>
    </row>
    <row r="240" spans="4:5" x14ac:dyDescent="0.25">
      <c r="D240" t="s">
        <v>156</v>
      </c>
      <c r="E240">
        <v>31</v>
      </c>
    </row>
    <row r="241" spans="4:5" x14ac:dyDescent="0.25">
      <c r="D241" t="s">
        <v>582</v>
      </c>
      <c r="E241">
        <v>26</v>
      </c>
    </row>
    <row r="242" spans="4:5" x14ac:dyDescent="0.25">
      <c r="D242" t="s">
        <v>746</v>
      </c>
      <c r="E242">
        <v>24</v>
      </c>
    </row>
    <row r="243" spans="4:5" x14ac:dyDescent="0.25">
      <c r="D243" t="s">
        <v>553</v>
      </c>
      <c r="E243">
        <v>25</v>
      </c>
    </row>
    <row r="244" spans="4:5" x14ac:dyDescent="0.25">
      <c r="D244" t="s">
        <v>696</v>
      </c>
      <c r="E244">
        <v>24</v>
      </c>
    </row>
    <row r="245" spans="4:5" x14ac:dyDescent="0.25">
      <c r="D245" t="s">
        <v>161</v>
      </c>
      <c r="E245">
        <v>26</v>
      </c>
    </row>
    <row r="246" spans="4:5" x14ac:dyDescent="0.25">
      <c r="D246" t="s">
        <v>566</v>
      </c>
      <c r="E246">
        <v>28</v>
      </c>
    </row>
    <row r="247" spans="4:5" x14ac:dyDescent="0.25">
      <c r="D247" t="s">
        <v>129</v>
      </c>
      <c r="E247">
        <v>29</v>
      </c>
    </row>
    <row r="248" spans="4:5" x14ac:dyDescent="0.25">
      <c r="D248" t="s">
        <v>723</v>
      </c>
      <c r="E248">
        <v>24</v>
      </c>
    </row>
    <row r="249" spans="4:5" x14ac:dyDescent="0.25">
      <c r="D249" t="s">
        <v>713</v>
      </c>
      <c r="E249">
        <v>27</v>
      </c>
    </row>
    <row r="250" spans="4:5" x14ac:dyDescent="0.25">
      <c r="D250" t="s">
        <v>574</v>
      </c>
      <c r="E250">
        <v>24</v>
      </c>
    </row>
    <row r="251" spans="4:5" x14ac:dyDescent="0.25">
      <c r="D251" t="s">
        <v>788</v>
      </c>
      <c r="E251">
        <v>30</v>
      </c>
    </row>
    <row r="252" spans="4:5" x14ac:dyDescent="0.25">
      <c r="D252" t="s">
        <v>717</v>
      </c>
      <c r="E252">
        <v>24</v>
      </c>
    </row>
    <row r="253" spans="4:5" x14ac:dyDescent="0.25">
      <c r="D253" t="s">
        <v>578</v>
      </c>
      <c r="E253">
        <v>26</v>
      </c>
    </row>
    <row r="254" spans="4:5" x14ac:dyDescent="0.25">
      <c r="D254" t="s">
        <v>181</v>
      </c>
      <c r="E254">
        <v>27</v>
      </c>
    </row>
    <row r="255" spans="4:5" x14ac:dyDescent="0.25">
      <c r="D255" t="s">
        <v>370</v>
      </c>
      <c r="E255">
        <v>27</v>
      </c>
    </row>
    <row r="256" spans="4:5" x14ac:dyDescent="0.25">
      <c r="D256" t="s">
        <v>362</v>
      </c>
      <c r="E256">
        <v>29</v>
      </c>
    </row>
    <row r="257" spans="4:5" x14ac:dyDescent="0.25">
      <c r="D257" t="s">
        <v>340</v>
      </c>
      <c r="E257">
        <v>27</v>
      </c>
    </row>
    <row r="258" spans="4:5" x14ac:dyDescent="0.25">
      <c r="D258" t="s">
        <v>545</v>
      </c>
      <c r="E258">
        <v>24</v>
      </c>
    </row>
    <row r="259" spans="4:5" x14ac:dyDescent="0.25">
      <c r="D259" t="s">
        <v>168</v>
      </c>
      <c r="E259">
        <v>32</v>
      </c>
    </row>
    <row r="260" spans="4:5" x14ac:dyDescent="0.25">
      <c r="D260" t="s">
        <v>172</v>
      </c>
      <c r="E260">
        <v>31</v>
      </c>
    </row>
    <row r="261" spans="4:5" x14ac:dyDescent="0.25">
      <c r="D261" t="s">
        <v>646</v>
      </c>
      <c r="E261">
        <v>24</v>
      </c>
    </row>
    <row r="262" spans="4:5" x14ac:dyDescent="0.25">
      <c r="D262" t="s">
        <v>534</v>
      </c>
      <c r="E262">
        <v>24</v>
      </c>
    </row>
    <row r="263" spans="4:5" x14ac:dyDescent="0.25">
      <c r="D263" t="s">
        <v>110</v>
      </c>
      <c r="E263">
        <v>30</v>
      </c>
    </row>
    <row r="264" spans="4:5" x14ac:dyDescent="0.25">
      <c r="D264" t="s">
        <v>377</v>
      </c>
      <c r="E264">
        <v>26</v>
      </c>
    </row>
    <row r="265" spans="4:5" x14ac:dyDescent="0.25">
      <c r="D265" t="s">
        <v>146</v>
      </c>
      <c r="E265">
        <v>37</v>
      </c>
    </row>
    <row r="266" spans="4:5" x14ac:dyDescent="0.25">
      <c r="D266" t="s">
        <v>138</v>
      </c>
      <c r="E266">
        <v>31</v>
      </c>
    </row>
    <row r="267" spans="4:5" x14ac:dyDescent="0.25">
      <c r="D267" t="s">
        <v>789</v>
      </c>
      <c r="E267">
        <v>34</v>
      </c>
    </row>
    <row r="268" spans="4:5" x14ac:dyDescent="0.25">
      <c r="D268" t="s">
        <v>111</v>
      </c>
      <c r="E268">
        <v>26</v>
      </c>
    </row>
    <row r="269" spans="4:5" x14ac:dyDescent="0.25">
      <c r="D269" t="s">
        <v>98</v>
      </c>
      <c r="E269">
        <v>33</v>
      </c>
    </row>
    <row r="270" spans="4:5" x14ac:dyDescent="0.25">
      <c r="D270" t="s">
        <v>92</v>
      </c>
      <c r="E270">
        <v>29</v>
      </c>
    </row>
    <row r="271" spans="4:5" x14ac:dyDescent="0.25">
      <c r="D271" t="s">
        <v>790</v>
      </c>
      <c r="E271">
        <v>23</v>
      </c>
    </row>
    <row r="272" spans="4:5" x14ac:dyDescent="0.25">
      <c r="D272" t="s">
        <v>426</v>
      </c>
      <c r="E272">
        <v>31</v>
      </c>
    </row>
    <row r="273" spans="4:5" x14ac:dyDescent="0.25">
      <c r="D273" t="s">
        <v>409</v>
      </c>
      <c r="E273">
        <v>27</v>
      </c>
    </row>
    <row r="274" spans="4:5" x14ac:dyDescent="0.25">
      <c r="D274" t="s">
        <v>348</v>
      </c>
      <c r="E274">
        <v>28</v>
      </c>
    </row>
    <row r="275" spans="4:5" x14ac:dyDescent="0.25">
      <c r="D275" t="s">
        <v>585</v>
      </c>
      <c r="E275">
        <v>26</v>
      </c>
    </row>
    <row r="276" spans="4:5" x14ac:dyDescent="0.25">
      <c r="D276" t="s">
        <v>144</v>
      </c>
      <c r="E276">
        <v>27</v>
      </c>
    </row>
    <row r="277" spans="4:5" x14ac:dyDescent="0.25">
      <c r="D277" t="s">
        <v>357</v>
      </c>
      <c r="E277">
        <v>29</v>
      </c>
    </row>
    <row r="278" spans="4:5" x14ac:dyDescent="0.25">
      <c r="D278" t="s">
        <v>591</v>
      </c>
      <c r="E278">
        <v>25</v>
      </c>
    </row>
    <row r="279" spans="4:5" x14ac:dyDescent="0.25">
      <c r="D279" t="s">
        <v>127</v>
      </c>
      <c r="E279">
        <v>31</v>
      </c>
    </row>
    <row r="280" spans="4:5" x14ac:dyDescent="0.25">
      <c r="D280" t="s">
        <v>556</v>
      </c>
      <c r="E280">
        <v>24</v>
      </c>
    </row>
    <row r="281" spans="4:5" x14ac:dyDescent="0.25">
      <c r="D281" t="s">
        <v>221</v>
      </c>
      <c r="E281">
        <v>25</v>
      </c>
    </row>
    <row r="282" spans="4:5" x14ac:dyDescent="0.25">
      <c r="D282" t="s">
        <v>367</v>
      </c>
      <c r="E282">
        <v>29</v>
      </c>
    </row>
    <row r="283" spans="4:5" x14ac:dyDescent="0.25">
      <c r="D283" t="s">
        <v>579</v>
      </c>
      <c r="E283">
        <v>26</v>
      </c>
    </row>
    <row r="284" spans="4:5" x14ac:dyDescent="0.25">
      <c r="D284" t="s">
        <v>700</v>
      </c>
      <c r="E284">
        <v>24</v>
      </c>
    </row>
    <row r="285" spans="4:5" x14ac:dyDescent="0.25">
      <c r="D285" t="s">
        <v>371</v>
      </c>
      <c r="E285">
        <v>30</v>
      </c>
    </row>
    <row r="286" spans="4:5" x14ac:dyDescent="0.25">
      <c r="D286" t="s">
        <v>791</v>
      </c>
      <c r="E286">
        <v>35</v>
      </c>
    </row>
    <row r="287" spans="4:5" x14ac:dyDescent="0.25">
      <c r="D287" t="s">
        <v>360</v>
      </c>
      <c r="E287">
        <v>31</v>
      </c>
    </row>
    <row r="288" spans="4:5" x14ac:dyDescent="0.25">
      <c r="D288" t="s">
        <v>206</v>
      </c>
      <c r="E288">
        <v>36</v>
      </c>
    </row>
    <row r="289" spans="4:5" x14ac:dyDescent="0.25">
      <c r="D289" t="s">
        <v>537</v>
      </c>
      <c r="E289">
        <v>26</v>
      </c>
    </row>
    <row r="290" spans="4:5" x14ac:dyDescent="0.25">
      <c r="D290" t="s">
        <v>529</v>
      </c>
      <c r="E290">
        <v>26</v>
      </c>
    </row>
    <row r="291" spans="4:5" x14ac:dyDescent="0.25">
      <c r="D291" t="s">
        <v>242</v>
      </c>
      <c r="E291">
        <v>37</v>
      </c>
    </row>
    <row r="292" spans="4:5" x14ac:dyDescent="0.25">
      <c r="D292" t="s">
        <v>136</v>
      </c>
      <c r="E292">
        <v>36</v>
      </c>
    </row>
    <row r="293" spans="4:5" x14ac:dyDescent="0.25">
      <c r="D293" t="s">
        <v>187</v>
      </c>
      <c r="E293">
        <v>33</v>
      </c>
    </row>
    <row r="294" spans="4:5" x14ac:dyDescent="0.25">
      <c r="D294" t="s">
        <v>407</v>
      </c>
      <c r="E294">
        <v>28</v>
      </c>
    </row>
    <row r="295" spans="4:5" x14ac:dyDescent="0.25">
      <c r="D295" t="s">
        <v>705</v>
      </c>
      <c r="E295">
        <v>23</v>
      </c>
    </row>
    <row r="296" spans="4:5" x14ac:dyDescent="0.25">
      <c r="D296" t="s">
        <v>99</v>
      </c>
      <c r="E296">
        <v>28</v>
      </c>
    </row>
    <row r="297" spans="4:5" x14ac:dyDescent="0.25">
      <c r="D297" t="s">
        <v>762</v>
      </c>
      <c r="E297">
        <v>26</v>
      </c>
    </row>
    <row r="298" spans="4:5" x14ac:dyDescent="0.25">
      <c r="D298" t="s">
        <v>792</v>
      </c>
      <c r="E298">
        <v>33</v>
      </c>
    </row>
    <row r="299" spans="4:5" x14ac:dyDescent="0.25">
      <c r="D299" t="s">
        <v>567</v>
      </c>
      <c r="E299">
        <v>25</v>
      </c>
    </row>
    <row r="300" spans="4:5" x14ac:dyDescent="0.25">
      <c r="D300" t="s">
        <v>103</v>
      </c>
      <c r="E300">
        <v>28</v>
      </c>
    </row>
    <row r="301" spans="4:5" x14ac:dyDescent="0.25">
      <c r="D301" t="s">
        <v>638</v>
      </c>
      <c r="E301">
        <v>26</v>
      </c>
    </row>
    <row r="302" spans="4:5" x14ac:dyDescent="0.25">
      <c r="D302" t="s">
        <v>617</v>
      </c>
      <c r="E302">
        <v>28</v>
      </c>
    </row>
    <row r="303" spans="4:5" x14ac:dyDescent="0.25">
      <c r="D303" t="s">
        <v>97</v>
      </c>
      <c r="E303">
        <v>27</v>
      </c>
    </row>
    <row r="304" spans="4:5" x14ac:dyDescent="0.25">
      <c r="D304" t="s">
        <v>587</v>
      </c>
      <c r="E304">
        <v>25</v>
      </c>
    </row>
    <row r="305" spans="4:5" x14ac:dyDescent="0.25">
      <c r="D305" t="s">
        <v>687</v>
      </c>
      <c r="E305">
        <v>23</v>
      </c>
    </row>
    <row r="306" spans="4:5" x14ac:dyDescent="0.25">
      <c r="D306" t="s">
        <v>185</v>
      </c>
      <c r="E306">
        <v>26</v>
      </c>
    </row>
    <row r="307" spans="4:5" x14ac:dyDescent="0.25">
      <c r="D307" t="s">
        <v>710</v>
      </c>
      <c r="E307">
        <v>24</v>
      </c>
    </row>
    <row r="308" spans="4:5" x14ac:dyDescent="0.25">
      <c r="D308" t="s">
        <v>663</v>
      </c>
      <c r="E308">
        <v>24</v>
      </c>
    </row>
    <row r="309" spans="4:5" x14ac:dyDescent="0.25">
      <c r="D309" t="s">
        <v>309</v>
      </c>
      <c r="E309">
        <v>26</v>
      </c>
    </row>
    <row r="310" spans="4:5" x14ac:dyDescent="0.25">
      <c r="D310" t="s">
        <v>748</v>
      </c>
      <c r="E310">
        <v>27</v>
      </c>
    </row>
    <row r="311" spans="4:5" x14ac:dyDescent="0.25">
      <c r="D311" t="s">
        <v>240</v>
      </c>
      <c r="E311">
        <v>31</v>
      </c>
    </row>
    <row r="312" spans="4:5" x14ac:dyDescent="0.25">
      <c r="D312" t="s">
        <v>677</v>
      </c>
      <c r="E312">
        <v>24</v>
      </c>
    </row>
    <row r="313" spans="4:5" x14ac:dyDescent="0.25">
      <c r="D313" t="s">
        <v>388</v>
      </c>
      <c r="E313">
        <v>28</v>
      </c>
    </row>
    <row r="314" spans="4:5" x14ac:dyDescent="0.25">
      <c r="D314" t="s">
        <v>548</v>
      </c>
      <c r="E314">
        <v>25</v>
      </c>
    </row>
    <row r="315" spans="4:5" x14ac:dyDescent="0.25">
      <c r="D315" t="s">
        <v>316</v>
      </c>
      <c r="E315">
        <v>32</v>
      </c>
    </row>
    <row r="316" spans="4:5" x14ac:dyDescent="0.25">
      <c r="D316" t="s">
        <v>651</v>
      </c>
      <c r="E316">
        <v>26</v>
      </c>
    </row>
    <row r="317" spans="4:5" x14ac:dyDescent="0.25">
      <c r="D317" t="s">
        <v>430</v>
      </c>
      <c r="E317">
        <v>28</v>
      </c>
    </row>
    <row r="318" spans="4:5" x14ac:dyDescent="0.25">
      <c r="D318" t="s">
        <v>697</v>
      </c>
      <c r="E318">
        <v>23</v>
      </c>
    </row>
    <row r="319" spans="4:5" x14ac:dyDescent="0.25">
      <c r="D319" t="s">
        <v>740</v>
      </c>
      <c r="E319">
        <v>23</v>
      </c>
    </row>
    <row r="320" spans="4:5" x14ac:dyDescent="0.25">
      <c r="D320" t="s">
        <v>550</v>
      </c>
      <c r="E320">
        <v>24</v>
      </c>
    </row>
    <row r="321" spans="4:5" x14ac:dyDescent="0.25">
      <c r="D321" t="s">
        <v>196</v>
      </c>
      <c r="E321">
        <v>26</v>
      </c>
    </row>
    <row r="322" spans="4:5" x14ac:dyDescent="0.25">
      <c r="D322" t="s">
        <v>95</v>
      </c>
      <c r="E322">
        <v>28</v>
      </c>
    </row>
    <row r="323" spans="4:5" x14ac:dyDescent="0.25">
      <c r="D323" t="s">
        <v>699</v>
      </c>
      <c r="E323">
        <v>24</v>
      </c>
    </row>
    <row r="324" spans="4:5" x14ac:dyDescent="0.25">
      <c r="D324" t="s">
        <v>311</v>
      </c>
      <c r="E324">
        <v>25</v>
      </c>
    </row>
    <row r="325" spans="4:5" x14ac:dyDescent="0.25">
      <c r="D325" t="s">
        <v>382</v>
      </c>
      <c r="E325">
        <v>29</v>
      </c>
    </row>
    <row r="326" spans="4:5" x14ac:dyDescent="0.25">
      <c r="D326" t="s">
        <v>351</v>
      </c>
      <c r="E326">
        <v>27</v>
      </c>
    </row>
    <row r="327" spans="4:5" x14ac:dyDescent="0.25">
      <c r="D327" t="s">
        <v>193</v>
      </c>
      <c r="E327">
        <v>39</v>
      </c>
    </row>
    <row r="328" spans="4:5" x14ac:dyDescent="0.25">
      <c r="D328" t="s">
        <v>376</v>
      </c>
      <c r="E328">
        <v>28</v>
      </c>
    </row>
    <row r="329" spans="4:5" x14ac:dyDescent="0.25">
      <c r="D329" t="s">
        <v>561</v>
      </c>
      <c r="E329">
        <v>27</v>
      </c>
    </row>
    <row r="330" spans="4:5" x14ac:dyDescent="0.25">
      <c r="D330" t="s">
        <v>793</v>
      </c>
      <c r="E330">
        <v>35</v>
      </c>
    </row>
    <row r="331" spans="4:5" x14ac:dyDescent="0.25">
      <c r="D331" t="s">
        <v>719</v>
      </c>
      <c r="E331">
        <v>24</v>
      </c>
    </row>
    <row r="332" spans="4:5" x14ac:dyDescent="0.25">
      <c r="D332" t="s">
        <v>682</v>
      </c>
      <c r="E332">
        <v>24</v>
      </c>
    </row>
    <row r="333" spans="4:5" x14ac:dyDescent="0.25">
      <c r="D333" t="s">
        <v>200</v>
      </c>
      <c r="E333">
        <v>29</v>
      </c>
    </row>
    <row r="334" spans="4:5" x14ac:dyDescent="0.25">
      <c r="D334" t="s">
        <v>188</v>
      </c>
      <c r="E334">
        <v>30</v>
      </c>
    </row>
    <row r="335" spans="4:5" x14ac:dyDescent="0.25">
      <c r="D335" t="s">
        <v>543</v>
      </c>
      <c r="E335">
        <v>25</v>
      </c>
    </row>
    <row r="336" spans="4:5" x14ac:dyDescent="0.25">
      <c r="D336" t="s">
        <v>398</v>
      </c>
      <c r="E336">
        <v>26</v>
      </c>
    </row>
    <row r="337" spans="4:5" x14ac:dyDescent="0.25">
      <c r="D337" t="s">
        <v>329</v>
      </c>
      <c r="E337">
        <v>31</v>
      </c>
    </row>
    <row r="338" spans="4:5" x14ac:dyDescent="0.25">
      <c r="D338" t="s">
        <v>581</v>
      </c>
      <c r="E338">
        <v>25</v>
      </c>
    </row>
    <row r="339" spans="4:5" x14ac:dyDescent="0.25">
      <c r="D339" t="s">
        <v>586</v>
      </c>
      <c r="E339">
        <v>26</v>
      </c>
    </row>
    <row r="340" spans="4:5" x14ac:dyDescent="0.25">
      <c r="D340" t="s">
        <v>721</v>
      </c>
      <c r="E340">
        <v>24</v>
      </c>
    </row>
    <row r="341" spans="4:5" x14ac:dyDescent="0.25">
      <c r="D341" t="s">
        <v>189</v>
      </c>
      <c r="E341">
        <v>31</v>
      </c>
    </row>
    <row r="342" spans="4:5" x14ac:dyDescent="0.25">
      <c r="D342" t="s">
        <v>107</v>
      </c>
      <c r="E342">
        <v>32</v>
      </c>
    </row>
    <row r="343" spans="4:5" x14ac:dyDescent="0.25">
      <c r="D343" t="s">
        <v>448</v>
      </c>
      <c r="E343">
        <v>39</v>
      </c>
    </row>
    <row r="344" spans="4:5" x14ac:dyDescent="0.25">
      <c r="D344" t="s">
        <v>363</v>
      </c>
      <c r="E344">
        <v>28</v>
      </c>
    </row>
    <row r="345" spans="4:5" x14ac:dyDescent="0.25">
      <c r="D345" t="s">
        <v>642</v>
      </c>
      <c r="E345">
        <v>27</v>
      </c>
    </row>
    <row r="346" spans="4:5" x14ac:dyDescent="0.25">
      <c r="D346" t="s">
        <v>364</v>
      </c>
      <c r="E346">
        <v>29</v>
      </c>
    </row>
    <row r="347" spans="4:5" x14ac:dyDescent="0.25">
      <c r="D347" t="s">
        <v>794</v>
      </c>
      <c r="E347">
        <v>25</v>
      </c>
    </row>
    <row r="348" spans="4:5" x14ac:dyDescent="0.25">
      <c r="D348" t="s">
        <v>356</v>
      </c>
      <c r="E348">
        <v>29</v>
      </c>
    </row>
    <row r="349" spans="4:5" x14ac:dyDescent="0.25">
      <c r="D349" t="s">
        <v>674</v>
      </c>
      <c r="E349">
        <v>25</v>
      </c>
    </row>
    <row r="350" spans="4:5" x14ac:dyDescent="0.25">
      <c r="D350" t="s">
        <v>544</v>
      </c>
      <c r="E350">
        <v>24</v>
      </c>
    </row>
    <row r="351" spans="4:5" x14ac:dyDescent="0.25">
      <c r="D351" t="s">
        <v>542</v>
      </c>
      <c r="E351">
        <v>25</v>
      </c>
    </row>
    <row r="352" spans="4:5" x14ac:dyDescent="0.25">
      <c r="D352" t="s">
        <v>145</v>
      </c>
      <c r="E352">
        <v>32</v>
      </c>
    </row>
    <row r="353" spans="4:5" x14ac:dyDescent="0.25">
      <c r="D353" t="s">
        <v>322</v>
      </c>
      <c r="E353">
        <v>38</v>
      </c>
    </row>
    <row r="354" spans="4:5" x14ac:dyDescent="0.25">
      <c r="D354" t="s">
        <v>400</v>
      </c>
      <c r="E354">
        <v>30</v>
      </c>
    </row>
    <row r="355" spans="4:5" x14ac:dyDescent="0.25">
      <c r="D355" t="s">
        <v>248</v>
      </c>
      <c r="E355">
        <v>34</v>
      </c>
    </row>
    <row r="356" spans="4:5" x14ac:dyDescent="0.25">
      <c r="D356" t="s">
        <v>405</v>
      </c>
      <c r="E356">
        <v>26</v>
      </c>
    </row>
    <row r="357" spans="4:5" x14ac:dyDescent="0.25">
      <c r="D357" t="s">
        <v>214</v>
      </c>
      <c r="E357">
        <v>33</v>
      </c>
    </row>
    <row r="358" spans="4:5" x14ac:dyDescent="0.25">
      <c r="D358" t="s">
        <v>672</v>
      </c>
      <c r="E358">
        <v>24</v>
      </c>
    </row>
    <row r="359" spans="4:5" x14ac:dyDescent="0.25">
      <c r="D359" t="s">
        <v>532</v>
      </c>
      <c r="E359">
        <v>24</v>
      </c>
    </row>
    <row r="360" spans="4:5" x14ac:dyDescent="0.25">
      <c r="D360" t="s">
        <v>120</v>
      </c>
      <c r="E360">
        <v>28</v>
      </c>
    </row>
    <row r="361" spans="4:5" x14ac:dyDescent="0.25">
      <c r="D361" t="s">
        <v>541</v>
      </c>
      <c r="E361">
        <v>24</v>
      </c>
    </row>
    <row r="362" spans="4:5" x14ac:dyDescent="0.25">
      <c r="D362" t="s">
        <v>369</v>
      </c>
      <c r="E362">
        <v>30</v>
      </c>
    </row>
    <row r="363" spans="4:5" x14ac:dyDescent="0.25">
      <c r="D363" t="s">
        <v>546</v>
      </c>
      <c r="E363">
        <v>26</v>
      </c>
    </row>
    <row r="364" spans="4:5" x14ac:dyDescent="0.25">
      <c r="D364" t="s">
        <v>123</v>
      </c>
      <c r="E364">
        <v>29</v>
      </c>
    </row>
    <row r="365" spans="4:5" x14ac:dyDescent="0.25">
      <c r="D365" t="s">
        <v>169</v>
      </c>
      <c r="E365">
        <v>27</v>
      </c>
    </row>
    <row r="366" spans="4:5" x14ac:dyDescent="0.25">
      <c r="D366" t="s">
        <v>171</v>
      </c>
      <c r="E366">
        <v>37</v>
      </c>
    </row>
    <row r="367" spans="4:5" x14ac:dyDescent="0.25">
      <c r="D367" t="s">
        <v>215</v>
      </c>
      <c r="E367">
        <v>28</v>
      </c>
    </row>
    <row r="368" spans="4:5" x14ac:dyDescent="0.25">
      <c r="D368" t="s">
        <v>234</v>
      </c>
      <c r="E368">
        <v>36</v>
      </c>
    </row>
    <row r="369" spans="4:5" x14ac:dyDescent="0.25">
      <c r="D369" t="s">
        <v>741</v>
      </c>
      <c r="E369">
        <v>24</v>
      </c>
    </row>
    <row r="370" spans="4:5" x14ac:dyDescent="0.25">
      <c r="D370" t="s">
        <v>330</v>
      </c>
      <c r="E370">
        <v>27</v>
      </c>
    </row>
    <row r="371" spans="4:5" x14ac:dyDescent="0.25">
      <c r="D371" t="s">
        <v>104</v>
      </c>
      <c r="E371">
        <v>31</v>
      </c>
    </row>
    <row r="372" spans="4:5" x14ac:dyDescent="0.25">
      <c r="D372" t="s">
        <v>392</v>
      </c>
      <c r="E372">
        <v>26</v>
      </c>
    </row>
    <row r="373" spans="4:5" x14ac:dyDescent="0.25">
      <c r="D373" t="s">
        <v>341</v>
      </c>
      <c r="E373">
        <v>26</v>
      </c>
    </row>
    <row r="374" spans="4:5" x14ac:dyDescent="0.25">
      <c r="D374" t="s">
        <v>207</v>
      </c>
      <c r="E374">
        <v>30</v>
      </c>
    </row>
    <row r="375" spans="4:5" x14ac:dyDescent="0.25">
      <c r="D375" t="s">
        <v>390</v>
      </c>
      <c r="E375">
        <v>26</v>
      </c>
    </row>
    <row r="376" spans="4:5" x14ac:dyDescent="0.25">
      <c r="D376" t="s">
        <v>361</v>
      </c>
      <c r="E376">
        <v>36</v>
      </c>
    </row>
    <row r="377" spans="4:5" x14ac:dyDescent="0.25">
      <c r="D377" t="s">
        <v>312</v>
      </c>
      <c r="E377">
        <v>28</v>
      </c>
    </row>
    <row r="378" spans="4:5" x14ac:dyDescent="0.25">
      <c r="D378" t="s">
        <v>708</v>
      </c>
      <c r="E378">
        <v>25</v>
      </c>
    </row>
    <row r="379" spans="4:5" x14ac:dyDescent="0.25">
      <c r="D379" t="s">
        <v>142</v>
      </c>
      <c r="E379">
        <v>28</v>
      </c>
    </row>
    <row r="380" spans="4:5" x14ac:dyDescent="0.25">
      <c r="D380" t="s">
        <v>176</v>
      </c>
      <c r="E380">
        <v>30</v>
      </c>
    </row>
    <row r="381" spans="4:5" x14ac:dyDescent="0.25">
      <c r="D381" t="s">
        <v>639</v>
      </c>
      <c r="E381">
        <v>27</v>
      </c>
    </row>
    <row r="382" spans="4:5" x14ac:dyDescent="0.25">
      <c r="D382" t="s">
        <v>108</v>
      </c>
      <c r="E382">
        <v>27</v>
      </c>
    </row>
    <row r="383" spans="4:5" x14ac:dyDescent="0.25">
      <c r="D383" t="s">
        <v>115</v>
      </c>
      <c r="E383">
        <v>44</v>
      </c>
    </row>
    <row r="384" spans="4:5" x14ac:dyDescent="0.25">
      <c r="D384" t="s">
        <v>670</v>
      </c>
      <c r="E384">
        <v>24</v>
      </c>
    </row>
    <row r="385" spans="4:5" x14ac:dyDescent="0.25">
      <c r="D385" t="s">
        <v>373</v>
      </c>
      <c r="E385">
        <v>31</v>
      </c>
    </row>
    <row r="386" spans="4:5" x14ac:dyDescent="0.25">
      <c r="D386" t="s">
        <v>681</v>
      </c>
      <c r="E386">
        <v>23</v>
      </c>
    </row>
    <row r="387" spans="4:5" x14ac:dyDescent="0.25">
      <c r="D387" t="s">
        <v>121</v>
      </c>
      <c r="E387">
        <v>31</v>
      </c>
    </row>
    <row r="388" spans="4:5" x14ac:dyDescent="0.25">
      <c r="D388" t="s">
        <v>684</v>
      </c>
      <c r="E388">
        <v>23</v>
      </c>
    </row>
    <row r="389" spans="4:5" x14ac:dyDescent="0.25">
      <c r="D389" t="s">
        <v>403</v>
      </c>
      <c r="E389">
        <v>27</v>
      </c>
    </row>
    <row r="390" spans="4:5" x14ac:dyDescent="0.25">
      <c r="D390" t="s">
        <v>562</v>
      </c>
      <c r="E390">
        <v>27</v>
      </c>
    </row>
    <row r="391" spans="4:5" x14ac:dyDescent="0.25">
      <c r="D391" t="s">
        <v>571</v>
      </c>
      <c r="E391">
        <v>25</v>
      </c>
    </row>
    <row r="392" spans="4:5" x14ac:dyDescent="0.25">
      <c r="D392" t="s">
        <v>422</v>
      </c>
      <c r="E392">
        <v>29</v>
      </c>
    </row>
    <row r="393" spans="4:5" x14ac:dyDescent="0.25">
      <c r="D393" t="s">
        <v>584</v>
      </c>
      <c r="E393">
        <v>25</v>
      </c>
    </row>
    <row r="394" spans="4:5" x14ac:dyDescent="0.25">
      <c r="D394" t="s">
        <v>134</v>
      </c>
      <c r="E394">
        <v>28</v>
      </c>
    </row>
    <row r="395" spans="4:5" x14ac:dyDescent="0.25">
      <c r="D395" t="s">
        <v>372</v>
      </c>
      <c r="E395">
        <v>26</v>
      </c>
    </row>
    <row r="396" spans="4:5" x14ac:dyDescent="0.25">
      <c r="D396" t="s">
        <v>155</v>
      </c>
      <c r="E396">
        <v>30</v>
      </c>
    </row>
    <row r="397" spans="4:5" x14ac:dyDescent="0.25">
      <c r="D397" t="s">
        <v>432</v>
      </c>
      <c r="E397">
        <v>28</v>
      </c>
    </row>
    <row r="398" spans="4:5" x14ac:dyDescent="0.25">
      <c r="D398" t="s">
        <v>213</v>
      </c>
      <c r="E398">
        <v>28</v>
      </c>
    </row>
    <row r="399" spans="4:5" x14ac:dyDescent="0.25">
      <c r="D399" t="s">
        <v>132</v>
      </c>
      <c r="E399">
        <v>27</v>
      </c>
    </row>
    <row r="400" spans="4:5" x14ac:dyDescent="0.25">
      <c r="D400" t="s">
        <v>174</v>
      </c>
      <c r="E400">
        <v>29</v>
      </c>
    </row>
    <row r="401" spans="4:5" x14ac:dyDescent="0.25">
      <c r="D401" t="s">
        <v>198</v>
      </c>
      <c r="E401">
        <v>32</v>
      </c>
    </row>
    <row r="402" spans="4:5" x14ac:dyDescent="0.25">
      <c r="D402" t="s">
        <v>417</v>
      </c>
      <c r="E402">
        <v>31</v>
      </c>
    </row>
    <row r="403" spans="4:5" x14ac:dyDescent="0.25">
      <c r="D403" t="s">
        <v>342</v>
      </c>
      <c r="E403">
        <v>26</v>
      </c>
    </row>
    <row r="404" spans="4:5" x14ac:dyDescent="0.25">
      <c r="D404" t="s">
        <v>338</v>
      </c>
      <c r="E404">
        <v>27</v>
      </c>
    </row>
    <row r="405" spans="4:5" x14ac:dyDescent="0.25">
      <c r="D405" t="s">
        <v>224</v>
      </c>
      <c r="E405">
        <v>27</v>
      </c>
    </row>
    <row r="406" spans="4:5" x14ac:dyDescent="0.25">
      <c r="D406" t="s">
        <v>594</v>
      </c>
      <c r="E406">
        <v>25</v>
      </c>
    </row>
    <row r="407" spans="4:5" x14ac:dyDescent="0.25">
      <c r="D407" t="s">
        <v>380</v>
      </c>
      <c r="E407">
        <v>27</v>
      </c>
    </row>
    <row r="408" spans="4:5" x14ac:dyDescent="0.25">
      <c r="D408" t="s">
        <v>650</v>
      </c>
      <c r="E408">
        <v>26</v>
      </c>
    </row>
    <row r="409" spans="4:5" x14ac:dyDescent="0.25">
      <c r="D409" t="s">
        <v>153</v>
      </c>
      <c r="E409">
        <v>28</v>
      </c>
    </row>
    <row r="410" spans="4:5" x14ac:dyDescent="0.25">
      <c r="D410" t="s">
        <v>186</v>
      </c>
      <c r="E410">
        <v>30</v>
      </c>
    </row>
    <row r="411" spans="4:5" x14ac:dyDescent="0.25">
      <c r="D411" t="s">
        <v>218</v>
      </c>
      <c r="E411">
        <v>26</v>
      </c>
    </row>
  </sheetData>
  <sortState xmlns:xlrd2="http://schemas.microsoft.com/office/spreadsheetml/2017/richdata2" ref="A2:B33">
    <sortCondition ref="A2"/>
  </sortState>
  <conditionalFormatting sqref="D361">
    <cfRule type="expression" dxfId="64" priority="1">
      <formula>$I361&gt;0</formula>
    </cfRule>
    <cfRule type="expression" dxfId="63" priority="2">
      <formula>IF($P361="Upside",TRUE,FALSE)</formula>
    </cfRule>
    <cfRule type="expression" dxfId="62" priority="3">
      <formula>IF($P361="Sleeper",TRUE,FALSE)</formula>
    </cfRule>
    <cfRule type="expression" dxfId="61" priority="4">
      <formula>IF($P361="Target",TRUE,FALSE)</formula>
    </cfRule>
    <cfRule type="expression" dxfId="60" priority="5">
      <formula>IF($P361="Avoid",TRUE,FALSE)</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33"/>
  <sheetViews>
    <sheetView workbookViewId="0">
      <selection activeCell="M10" sqref="M10"/>
    </sheetView>
  </sheetViews>
  <sheetFormatPr defaultColWidth="8.85546875" defaultRowHeight="15" x14ac:dyDescent="0.25"/>
  <cols>
    <col min="1" max="1" width="24.140625" bestFit="1" customWidth="1"/>
    <col min="2" max="2" width="7.85546875" bestFit="1" customWidth="1"/>
    <col min="3" max="3" width="6.28515625" bestFit="1" customWidth="1"/>
    <col min="4" max="4" width="5.42578125" bestFit="1" customWidth="1"/>
    <col min="5" max="5" width="5.28515625" bestFit="1" customWidth="1"/>
    <col min="6" max="6" width="5.5703125" bestFit="1" customWidth="1"/>
    <col min="7" max="7" width="9.7109375" bestFit="1" customWidth="1"/>
    <col min="8" max="8" width="5.7109375" bestFit="1" customWidth="1"/>
    <col min="9" max="9" width="11.28515625" bestFit="1" customWidth="1"/>
    <col min="10" max="10" width="7.42578125" bestFit="1" customWidth="1"/>
  </cols>
  <sheetData>
    <row r="1" spans="1:10" x14ac:dyDescent="0.25">
      <c r="A1" t="s">
        <v>85</v>
      </c>
      <c r="B1" t="s">
        <v>621</v>
      </c>
      <c r="C1" t="s">
        <v>622</v>
      </c>
      <c r="D1" t="s">
        <v>623</v>
      </c>
      <c r="E1" t="s">
        <v>624</v>
      </c>
      <c r="F1" t="s">
        <v>625</v>
      </c>
      <c r="G1" t="s">
        <v>626</v>
      </c>
      <c r="H1" t="s">
        <v>627</v>
      </c>
      <c r="I1" t="s">
        <v>628</v>
      </c>
      <c r="J1" t="s">
        <v>263</v>
      </c>
    </row>
    <row r="2" spans="1:10" x14ac:dyDescent="0.25">
      <c r="A2" t="s">
        <v>226</v>
      </c>
      <c r="B2" t="s">
        <v>2748</v>
      </c>
      <c r="C2" t="s">
        <v>2631</v>
      </c>
      <c r="D2" t="s">
        <v>1006</v>
      </c>
      <c r="E2" t="s">
        <v>2645</v>
      </c>
      <c r="F2" t="s">
        <v>2623</v>
      </c>
      <c r="G2" t="s">
        <v>2500</v>
      </c>
      <c r="H2" t="s">
        <v>2749</v>
      </c>
      <c r="I2" t="s">
        <v>2750</v>
      </c>
      <c r="J2" t="s">
        <v>2751</v>
      </c>
    </row>
    <row r="3" spans="1:10" x14ac:dyDescent="0.25">
      <c r="A3" t="s">
        <v>232</v>
      </c>
      <c r="B3" t="s">
        <v>2752</v>
      </c>
      <c r="C3" t="s">
        <v>1014</v>
      </c>
      <c r="D3" t="s">
        <v>2523</v>
      </c>
      <c r="E3" t="s">
        <v>2687</v>
      </c>
      <c r="F3" t="s">
        <v>632</v>
      </c>
      <c r="G3" t="s">
        <v>2501</v>
      </c>
      <c r="H3" t="s">
        <v>2688</v>
      </c>
      <c r="I3" t="s">
        <v>2753</v>
      </c>
      <c r="J3" t="s">
        <v>2754</v>
      </c>
    </row>
    <row r="4" spans="1:10" x14ac:dyDescent="0.25">
      <c r="A4" t="s">
        <v>246</v>
      </c>
      <c r="B4" t="s">
        <v>2689</v>
      </c>
      <c r="C4" t="s">
        <v>2632</v>
      </c>
      <c r="D4" t="s">
        <v>906</v>
      </c>
      <c r="E4" t="s">
        <v>2755</v>
      </c>
      <c r="F4" t="s">
        <v>1020</v>
      </c>
      <c r="G4" t="s">
        <v>2500</v>
      </c>
      <c r="H4" t="s">
        <v>2756</v>
      </c>
      <c r="I4" t="s">
        <v>2757</v>
      </c>
      <c r="J4" t="s">
        <v>2502</v>
      </c>
    </row>
    <row r="5" spans="1:10" x14ac:dyDescent="0.25">
      <c r="A5" t="s">
        <v>235</v>
      </c>
      <c r="B5" t="s">
        <v>2691</v>
      </c>
      <c r="C5" t="s">
        <v>1026</v>
      </c>
      <c r="D5" t="s">
        <v>2758</v>
      </c>
      <c r="E5" t="s">
        <v>2692</v>
      </c>
      <c r="F5" t="s">
        <v>1020</v>
      </c>
      <c r="G5" t="s">
        <v>2501</v>
      </c>
      <c r="H5" t="s">
        <v>2759</v>
      </c>
      <c r="I5" t="s">
        <v>2760</v>
      </c>
      <c r="J5" t="s">
        <v>2761</v>
      </c>
    </row>
    <row r="6" spans="1:10" x14ac:dyDescent="0.25">
      <c r="A6" t="s">
        <v>222</v>
      </c>
      <c r="B6" t="s">
        <v>2690</v>
      </c>
      <c r="C6" t="s">
        <v>1026</v>
      </c>
      <c r="D6" t="s">
        <v>1018</v>
      </c>
      <c r="E6" t="s">
        <v>2522</v>
      </c>
      <c r="F6" t="s">
        <v>1016</v>
      </c>
      <c r="G6" t="s">
        <v>2503</v>
      </c>
      <c r="H6" t="s">
        <v>2762</v>
      </c>
      <c r="I6" t="s">
        <v>2763</v>
      </c>
      <c r="J6" t="s">
        <v>2764</v>
      </c>
    </row>
    <row r="7" spans="1:10" x14ac:dyDescent="0.25">
      <c r="A7" t="s">
        <v>192</v>
      </c>
      <c r="B7" t="s">
        <v>2693</v>
      </c>
      <c r="C7" t="s">
        <v>2647</v>
      </c>
      <c r="D7" t="s">
        <v>1007</v>
      </c>
      <c r="E7" t="s">
        <v>2721</v>
      </c>
      <c r="F7" t="s">
        <v>1020</v>
      </c>
      <c r="G7" t="s">
        <v>629</v>
      </c>
      <c r="H7" t="s">
        <v>2646</v>
      </c>
      <c r="I7" t="s">
        <v>2765</v>
      </c>
      <c r="J7" t="s">
        <v>2766</v>
      </c>
    </row>
    <row r="8" spans="1:10" x14ac:dyDescent="0.25">
      <c r="A8" t="s">
        <v>464</v>
      </c>
      <c r="B8" t="s">
        <v>2767</v>
      </c>
      <c r="C8" t="s">
        <v>2648</v>
      </c>
      <c r="D8" t="s">
        <v>2505</v>
      </c>
      <c r="E8" t="s">
        <v>1025</v>
      </c>
      <c r="F8" t="s">
        <v>903</v>
      </c>
      <c r="G8" t="s">
        <v>2501</v>
      </c>
      <c r="H8" t="s">
        <v>2694</v>
      </c>
      <c r="I8" t="s">
        <v>2760</v>
      </c>
      <c r="J8" t="s">
        <v>2768</v>
      </c>
    </row>
    <row r="9" spans="1:10" x14ac:dyDescent="0.25">
      <c r="A9" t="s">
        <v>167</v>
      </c>
      <c r="B9" t="s">
        <v>2644</v>
      </c>
      <c r="C9" t="s">
        <v>1013</v>
      </c>
      <c r="D9" t="s">
        <v>2505</v>
      </c>
      <c r="E9" t="s">
        <v>2624</v>
      </c>
      <c r="F9" t="s">
        <v>903</v>
      </c>
      <c r="G9" t="s">
        <v>2500</v>
      </c>
      <c r="H9" t="s">
        <v>2695</v>
      </c>
      <c r="I9" t="s">
        <v>2769</v>
      </c>
      <c r="J9" t="s">
        <v>2770</v>
      </c>
    </row>
    <row r="10" spans="1:10" x14ac:dyDescent="0.25">
      <c r="A10" t="s">
        <v>229</v>
      </c>
      <c r="B10" t="s">
        <v>2696</v>
      </c>
      <c r="C10" t="s">
        <v>2650</v>
      </c>
      <c r="D10" t="s">
        <v>2506</v>
      </c>
      <c r="E10" t="s">
        <v>2507</v>
      </c>
      <c r="F10" t="s">
        <v>630</v>
      </c>
      <c r="G10" t="s">
        <v>2500</v>
      </c>
      <c r="H10" t="s">
        <v>2697</v>
      </c>
      <c r="I10" t="s">
        <v>2771</v>
      </c>
      <c r="J10" t="s">
        <v>2772</v>
      </c>
    </row>
    <row r="11" spans="1:10" x14ac:dyDescent="0.25">
      <c r="A11" t="s">
        <v>462</v>
      </c>
      <c r="B11" t="s">
        <v>2698</v>
      </c>
      <c r="C11" t="s">
        <v>1012</v>
      </c>
      <c r="D11" t="s">
        <v>905</v>
      </c>
      <c r="E11" t="s">
        <v>2649</v>
      </c>
      <c r="F11" t="s">
        <v>632</v>
      </c>
      <c r="G11" t="s">
        <v>2501</v>
      </c>
      <c r="H11" t="s">
        <v>2773</v>
      </c>
      <c r="I11" t="s">
        <v>2774</v>
      </c>
      <c r="J11" t="s">
        <v>2699</v>
      </c>
    </row>
    <row r="12" spans="1:10" x14ac:dyDescent="0.25">
      <c r="A12" t="s">
        <v>461</v>
      </c>
      <c r="B12" t="s">
        <v>2700</v>
      </c>
      <c r="C12" t="s">
        <v>988</v>
      </c>
      <c r="D12" t="s">
        <v>2508</v>
      </c>
      <c r="E12" t="s">
        <v>2701</v>
      </c>
      <c r="F12" t="s">
        <v>630</v>
      </c>
      <c r="G12" t="s">
        <v>2509</v>
      </c>
      <c r="H12" t="s">
        <v>2775</v>
      </c>
      <c r="I12" t="s">
        <v>2776</v>
      </c>
      <c r="J12" t="s">
        <v>2702</v>
      </c>
    </row>
    <row r="13" spans="1:10" x14ac:dyDescent="0.25">
      <c r="A13" t="s">
        <v>194</v>
      </c>
      <c r="B13" t="s">
        <v>2696</v>
      </c>
      <c r="C13" t="s">
        <v>2692</v>
      </c>
      <c r="D13" t="s">
        <v>1011</v>
      </c>
      <c r="E13" t="s">
        <v>2650</v>
      </c>
      <c r="F13" t="s">
        <v>1020</v>
      </c>
      <c r="G13" t="s">
        <v>2501</v>
      </c>
      <c r="H13" t="s">
        <v>2777</v>
      </c>
      <c r="I13" t="s">
        <v>2778</v>
      </c>
      <c r="J13" t="s">
        <v>2703</v>
      </c>
    </row>
    <row r="14" spans="1:10" x14ac:dyDescent="0.25">
      <c r="A14" t="s">
        <v>183</v>
      </c>
      <c r="B14" t="s">
        <v>2704</v>
      </c>
      <c r="C14" t="s">
        <v>1022</v>
      </c>
      <c r="D14" t="s">
        <v>2510</v>
      </c>
      <c r="E14" t="s">
        <v>2634</v>
      </c>
      <c r="F14" t="s">
        <v>632</v>
      </c>
      <c r="G14" t="s">
        <v>629</v>
      </c>
      <c r="H14" t="s">
        <v>2707</v>
      </c>
      <c r="I14" t="s">
        <v>2779</v>
      </c>
      <c r="J14" t="s">
        <v>2780</v>
      </c>
    </row>
    <row r="15" spans="1:10" x14ac:dyDescent="0.25">
      <c r="A15" t="s">
        <v>463</v>
      </c>
      <c r="B15" t="s">
        <v>2706</v>
      </c>
      <c r="C15" t="s">
        <v>2631</v>
      </c>
      <c r="D15" t="s">
        <v>989</v>
      </c>
      <c r="E15" t="s">
        <v>2511</v>
      </c>
      <c r="F15" t="s">
        <v>632</v>
      </c>
      <c r="G15" t="s">
        <v>629</v>
      </c>
      <c r="H15" t="s">
        <v>2705</v>
      </c>
      <c r="I15" t="s">
        <v>2781</v>
      </c>
      <c r="J15" t="s">
        <v>2708</v>
      </c>
    </row>
    <row r="16" spans="1:10" x14ac:dyDescent="0.25">
      <c r="A16" t="s">
        <v>182</v>
      </c>
      <c r="B16" t="s">
        <v>2711</v>
      </c>
      <c r="C16" t="s">
        <v>1019</v>
      </c>
      <c r="D16" t="s">
        <v>1018</v>
      </c>
      <c r="E16" t="s">
        <v>1021</v>
      </c>
      <c r="F16" t="s">
        <v>1020</v>
      </c>
      <c r="G16" t="s">
        <v>629</v>
      </c>
      <c r="H16" t="s">
        <v>2712</v>
      </c>
      <c r="I16" t="s">
        <v>2782</v>
      </c>
      <c r="J16" t="s">
        <v>2783</v>
      </c>
    </row>
    <row r="17" spans="1:10" x14ac:dyDescent="0.25">
      <c r="A17" t="s">
        <v>205</v>
      </c>
      <c r="B17" t="s">
        <v>2654</v>
      </c>
      <c r="C17" t="s">
        <v>1012</v>
      </c>
      <c r="D17" t="s">
        <v>2508</v>
      </c>
      <c r="E17" t="s">
        <v>2784</v>
      </c>
      <c r="F17" t="s">
        <v>766</v>
      </c>
      <c r="G17" t="s">
        <v>2500</v>
      </c>
      <c r="H17" t="s">
        <v>2709</v>
      </c>
      <c r="I17" t="s">
        <v>2785</v>
      </c>
      <c r="J17" t="s">
        <v>2710</v>
      </c>
    </row>
    <row r="18" spans="1:10" x14ac:dyDescent="0.25">
      <c r="A18" t="s">
        <v>152</v>
      </c>
      <c r="B18" t="s">
        <v>2713</v>
      </c>
      <c r="C18" t="s">
        <v>902</v>
      </c>
      <c r="D18" t="s">
        <v>907</v>
      </c>
      <c r="E18" t="s">
        <v>2512</v>
      </c>
      <c r="F18" t="s">
        <v>903</v>
      </c>
      <c r="G18" t="s">
        <v>2501</v>
      </c>
      <c r="H18" t="s">
        <v>2714</v>
      </c>
      <c r="I18" t="s">
        <v>2786</v>
      </c>
      <c r="J18" t="s">
        <v>2715</v>
      </c>
    </row>
    <row r="19" spans="1:10" x14ac:dyDescent="0.25">
      <c r="A19" t="s">
        <v>1035</v>
      </c>
      <c r="B19" t="s">
        <v>2787</v>
      </c>
      <c r="C19" t="s">
        <v>1024</v>
      </c>
      <c r="D19" t="s">
        <v>906</v>
      </c>
      <c r="E19" t="s">
        <v>2788</v>
      </c>
      <c r="F19" t="s">
        <v>632</v>
      </c>
      <c r="G19" t="s">
        <v>2501</v>
      </c>
      <c r="H19" t="s">
        <v>2651</v>
      </c>
      <c r="I19" t="s">
        <v>2789</v>
      </c>
      <c r="J19" t="s">
        <v>2715</v>
      </c>
    </row>
    <row r="20" spans="1:10" x14ac:dyDescent="0.25">
      <c r="A20" t="s">
        <v>237</v>
      </c>
      <c r="B20" t="s">
        <v>2787</v>
      </c>
      <c r="C20" t="s">
        <v>2647</v>
      </c>
      <c r="D20" t="s">
        <v>989</v>
      </c>
      <c r="E20" t="s">
        <v>1013</v>
      </c>
      <c r="F20" t="s">
        <v>810</v>
      </c>
      <c r="G20" t="s">
        <v>2500</v>
      </c>
      <c r="H20" t="s">
        <v>2790</v>
      </c>
      <c r="I20" t="s">
        <v>2791</v>
      </c>
      <c r="J20" t="s">
        <v>2792</v>
      </c>
    </row>
    <row r="21" spans="1:10" x14ac:dyDescent="0.25">
      <c r="A21" t="s">
        <v>230</v>
      </c>
      <c r="B21" t="s">
        <v>2652</v>
      </c>
      <c r="C21" t="s">
        <v>1012</v>
      </c>
      <c r="D21" t="s">
        <v>1015</v>
      </c>
      <c r="E21" t="s">
        <v>1022</v>
      </c>
      <c r="F21" t="s">
        <v>903</v>
      </c>
      <c r="G21" t="s">
        <v>2500</v>
      </c>
      <c r="H21" t="s">
        <v>2793</v>
      </c>
      <c r="I21" t="s">
        <v>2794</v>
      </c>
      <c r="J21" t="s">
        <v>2795</v>
      </c>
    </row>
    <row r="22" spans="1:10" x14ac:dyDescent="0.25">
      <c r="A22" t="s">
        <v>225</v>
      </c>
      <c r="B22" t="s">
        <v>2716</v>
      </c>
      <c r="C22" t="s">
        <v>991</v>
      </c>
      <c r="D22" t="s">
        <v>990</v>
      </c>
      <c r="E22" t="s">
        <v>2633</v>
      </c>
      <c r="F22" t="s">
        <v>630</v>
      </c>
      <c r="G22" t="s">
        <v>629</v>
      </c>
      <c r="H22" t="s">
        <v>2796</v>
      </c>
      <c r="I22" t="s">
        <v>2797</v>
      </c>
      <c r="J22" t="s">
        <v>2653</v>
      </c>
    </row>
    <row r="23" spans="1:10" x14ac:dyDescent="0.25">
      <c r="A23" t="s">
        <v>460</v>
      </c>
      <c r="B23" t="s">
        <v>2798</v>
      </c>
      <c r="C23" t="s">
        <v>2524</v>
      </c>
      <c r="D23" t="s">
        <v>906</v>
      </c>
      <c r="E23" t="s">
        <v>2717</v>
      </c>
      <c r="F23" t="s">
        <v>810</v>
      </c>
      <c r="G23" t="s">
        <v>629</v>
      </c>
      <c r="H23" t="s">
        <v>2799</v>
      </c>
      <c r="I23" t="s">
        <v>2800</v>
      </c>
      <c r="J23" t="s">
        <v>2653</v>
      </c>
    </row>
    <row r="24" spans="1:10" x14ac:dyDescent="0.25">
      <c r="A24" t="s">
        <v>201</v>
      </c>
      <c r="B24" t="s">
        <v>2704</v>
      </c>
      <c r="C24" t="s">
        <v>2512</v>
      </c>
      <c r="D24" t="s">
        <v>989</v>
      </c>
      <c r="E24" t="s">
        <v>2633</v>
      </c>
      <c r="F24" t="s">
        <v>632</v>
      </c>
      <c r="G24" t="s">
        <v>2501</v>
      </c>
      <c r="H24" t="s">
        <v>2801</v>
      </c>
      <c r="I24" t="s">
        <v>2802</v>
      </c>
      <c r="J24" t="s">
        <v>2803</v>
      </c>
    </row>
    <row r="25" spans="1:10" x14ac:dyDescent="0.25">
      <c r="A25" t="s">
        <v>455</v>
      </c>
      <c r="B25" t="s">
        <v>2718</v>
      </c>
      <c r="C25" t="s">
        <v>991</v>
      </c>
      <c r="D25" t="s">
        <v>906</v>
      </c>
      <c r="E25" t="s">
        <v>902</v>
      </c>
      <c r="F25" t="s">
        <v>766</v>
      </c>
      <c r="G25" t="s">
        <v>2501</v>
      </c>
      <c r="H25" t="s">
        <v>2719</v>
      </c>
      <c r="I25" t="s">
        <v>2804</v>
      </c>
      <c r="J25" t="s">
        <v>2720</v>
      </c>
    </row>
    <row r="26" spans="1:10" x14ac:dyDescent="0.25">
      <c r="A26" t="s">
        <v>231</v>
      </c>
      <c r="B26" t="s">
        <v>2805</v>
      </c>
      <c r="C26" t="s">
        <v>2525</v>
      </c>
      <c r="D26" t="s">
        <v>2504</v>
      </c>
      <c r="E26" t="s">
        <v>2634</v>
      </c>
      <c r="F26" t="s">
        <v>633</v>
      </c>
      <c r="G26" t="s">
        <v>629</v>
      </c>
      <c r="H26" t="s">
        <v>2806</v>
      </c>
      <c r="I26" t="s">
        <v>2807</v>
      </c>
      <c r="J26" t="s">
        <v>2808</v>
      </c>
    </row>
    <row r="27" spans="1:10" x14ac:dyDescent="0.25">
      <c r="A27" t="s">
        <v>236</v>
      </c>
      <c r="B27" t="s">
        <v>2809</v>
      </c>
      <c r="C27" t="s">
        <v>1006</v>
      </c>
      <c r="D27" t="s">
        <v>1023</v>
      </c>
      <c r="E27" t="s">
        <v>2810</v>
      </c>
      <c r="F27" t="s">
        <v>633</v>
      </c>
      <c r="G27" t="s">
        <v>629</v>
      </c>
      <c r="H27" t="s">
        <v>2723</v>
      </c>
      <c r="I27" t="s">
        <v>2811</v>
      </c>
      <c r="J27" t="s">
        <v>2812</v>
      </c>
    </row>
    <row r="28" spans="1:10" x14ac:dyDescent="0.25">
      <c r="A28" t="s">
        <v>160</v>
      </c>
      <c r="B28" t="s">
        <v>2813</v>
      </c>
      <c r="C28" t="s">
        <v>908</v>
      </c>
      <c r="D28" t="s">
        <v>2814</v>
      </c>
      <c r="E28" t="s">
        <v>2815</v>
      </c>
      <c r="F28" t="s">
        <v>633</v>
      </c>
      <c r="G28" t="s">
        <v>2500</v>
      </c>
      <c r="H28" t="s">
        <v>2697</v>
      </c>
      <c r="I28" t="s">
        <v>2816</v>
      </c>
      <c r="J28" t="s">
        <v>2812</v>
      </c>
    </row>
    <row r="29" spans="1:10" x14ac:dyDescent="0.25">
      <c r="A29" t="s">
        <v>177</v>
      </c>
      <c r="B29" t="s">
        <v>2817</v>
      </c>
      <c r="C29" t="s">
        <v>1017</v>
      </c>
      <c r="D29" t="s">
        <v>1015</v>
      </c>
      <c r="E29" t="s">
        <v>1022</v>
      </c>
      <c r="F29" t="s">
        <v>810</v>
      </c>
      <c r="G29" t="s">
        <v>2501</v>
      </c>
      <c r="H29" t="s">
        <v>2722</v>
      </c>
      <c r="I29" t="s">
        <v>2818</v>
      </c>
      <c r="J29" t="s">
        <v>2819</v>
      </c>
    </row>
    <row r="30" spans="1:10" x14ac:dyDescent="0.25">
      <c r="A30" t="s">
        <v>244</v>
      </c>
      <c r="B30" t="s">
        <v>2513</v>
      </c>
      <c r="C30" t="s">
        <v>2625</v>
      </c>
      <c r="D30" t="s">
        <v>2504</v>
      </c>
      <c r="E30" t="s">
        <v>988</v>
      </c>
      <c r="F30" t="s">
        <v>810</v>
      </c>
      <c r="G30" t="s">
        <v>2501</v>
      </c>
      <c r="H30" t="s">
        <v>2820</v>
      </c>
      <c r="I30" t="s">
        <v>2821</v>
      </c>
      <c r="J30" t="s">
        <v>2822</v>
      </c>
    </row>
    <row r="31" spans="1:10" x14ac:dyDescent="0.25">
      <c r="A31" t="s">
        <v>812</v>
      </c>
      <c r="B31" t="s">
        <v>2655</v>
      </c>
      <c r="C31" t="s">
        <v>1006</v>
      </c>
      <c r="D31" t="s">
        <v>2510</v>
      </c>
      <c r="E31" t="s">
        <v>1019</v>
      </c>
      <c r="F31" t="s">
        <v>633</v>
      </c>
      <c r="G31" t="s">
        <v>629</v>
      </c>
      <c r="H31" t="s">
        <v>2724</v>
      </c>
      <c r="I31" t="s">
        <v>2823</v>
      </c>
      <c r="J31" t="s">
        <v>2626</v>
      </c>
    </row>
    <row r="32" spans="1:10" x14ac:dyDescent="0.25">
      <c r="A32" t="s">
        <v>459</v>
      </c>
      <c r="B32" t="s">
        <v>2656</v>
      </c>
      <c r="C32" t="s">
        <v>2725</v>
      </c>
      <c r="D32" t="s">
        <v>907</v>
      </c>
      <c r="E32" t="s">
        <v>1024</v>
      </c>
      <c r="F32" t="s">
        <v>633</v>
      </c>
      <c r="G32" t="s">
        <v>629</v>
      </c>
      <c r="H32" t="s">
        <v>2824</v>
      </c>
      <c r="I32" t="s">
        <v>2825</v>
      </c>
      <c r="J32" t="s">
        <v>2726</v>
      </c>
    </row>
    <row r="33" spans="1:10" x14ac:dyDescent="0.25">
      <c r="A33" t="s">
        <v>178</v>
      </c>
      <c r="B33" t="s">
        <v>2826</v>
      </c>
      <c r="C33" t="s">
        <v>991</v>
      </c>
      <c r="D33" t="s">
        <v>989</v>
      </c>
      <c r="E33" t="s">
        <v>908</v>
      </c>
      <c r="F33" t="s">
        <v>904</v>
      </c>
      <c r="G33" t="s">
        <v>2501</v>
      </c>
      <c r="H33" t="s">
        <v>2827</v>
      </c>
      <c r="I33" t="s">
        <v>2828</v>
      </c>
      <c r="J33" t="s">
        <v>2829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59158-4865-4B16-A4F1-31DDF85D002F}">
  <sheetPr codeName="Sheet24"/>
  <dimension ref="A1:M531"/>
  <sheetViews>
    <sheetView workbookViewId="0">
      <selection activeCell="L27" sqref="L27"/>
    </sheetView>
  </sheetViews>
  <sheetFormatPr defaultRowHeight="15" x14ac:dyDescent="0.25"/>
  <cols>
    <col min="1" max="1" width="11.140625" bestFit="1" customWidth="1"/>
    <col min="2" max="2" width="27.7109375" bestFit="1" customWidth="1"/>
    <col min="11" max="11" width="19.85546875" bestFit="1" customWidth="1"/>
    <col min="12" max="12" width="18" bestFit="1" customWidth="1"/>
    <col min="13" max="13" width="19" bestFit="1" customWidth="1"/>
  </cols>
  <sheetData>
    <row r="1" spans="1:13" x14ac:dyDescent="0.25">
      <c r="A1" t="s">
        <v>2535</v>
      </c>
      <c r="B1" t="s">
        <v>2536</v>
      </c>
    </row>
    <row r="2" spans="1:13" x14ac:dyDescent="0.25">
      <c r="A2" t="s">
        <v>2537</v>
      </c>
      <c r="B2" t="s">
        <v>2538</v>
      </c>
    </row>
    <row r="3" spans="1:13" x14ac:dyDescent="0.25">
      <c r="A3" t="s">
        <v>29</v>
      </c>
      <c r="B3" t="s">
        <v>646</v>
      </c>
    </row>
    <row r="4" spans="1:13" x14ac:dyDescent="0.25">
      <c r="A4" t="s">
        <v>29</v>
      </c>
      <c r="B4" t="s">
        <v>320</v>
      </c>
      <c r="F4" t="str">
        <f>_xlfn.CONCAT("B",$K$8+G4,":B",$L$8)</f>
        <v>B3:B18</v>
      </c>
      <c r="G4">
        <f>K$8+J4</f>
        <v>2</v>
      </c>
      <c r="H4" t="str">
        <f>_xlfn.CONCAT("A",$K$8+G4,":A",$L$8)</f>
        <v>A3:A18</v>
      </c>
      <c r="J4">
        <f>MATCH(K7,DEPTHCHART[Column2],0)</f>
        <v>1</v>
      </c>
      <c r="K4">
        <f>MATCH(L7,DEPTHCHART[Column2],0)</f>
        <v>18</v>
      </c>
      <c r="L4">
        <f>MATCH(M7,DEPTHCHART[Column2],0)</f>
        <v>35</v>
      </c>
    </row>
    <row r="5" spans="1:13" x14ac:dyDescent="0.25">
      <c r="A5" t="s">
        <v>28</v>
      </c>
      <c r="B5" t="s">
        <v>339</v>
      </c>
      <c r="G5">
        <f t="shared" ref="G5:G21" si="0">K$8+F5</f>
        <v>1</v>
      </c>
      <c r="H5" t="str">
        <f t="shared" ref="H5:H21" si="1">_xlfn.CONCAT("A",$K$8+G5,":A",$L$8)</f>
        <v>A2:A18</v>
      </c>
    </row>
    <row r="6" spans="1:13" x14ac:dyDescent="0.25">
      <c r="A6" t="s">
        <v>28</v>
      </c>
      <c r="B6" t="s">
        <v>889</v>
      </c>
      <c r="G6">
        <f t="shared" si="0"/>
        <v>1</v>
      </c>
      <c r="H6" t="str">
        <f t="shared" si="1"/>
        <v>A2:A18</v>
      </c>
    </row>
    <row r="7" spans="1:13" x14ac:dyDescent="0.25">
      <c r="A7" t="s">
        <v>28</v>
      </c>
      <c r="B7" t="s">
        <v>679</v>
      </c>
      <c r="G7">
        <f t="shared" si="0"/>
        <v>1</v>
      </c>
      <c r="H7" t="str">
        <f t="shared" si="1"/>
        <v>A2:A18</v>
      </c>
      <c r="K7" t="s">
        <v>2538</v>
      </c>
      <c r="L7" t="s">
        <v>2541</v>
      </c>
      <c r="M7" t="s">
        <v>2543</v>
      </c>
    </row>
    <row r="8" spans="1:13" x14ac:dyDescent="0.25">
      <c r="A8" t="s">
        <v>28</v>
      </c>
      <c r="B8" t="s">
        <v>2457</v>
      </c>
      <c r="G8">
        <f t="shared" si="0"/>
        <v>1</v>
      </c>
      <c r="H8" t="str">
        <f t="shared" si="1"/>
        <v>A2:A18</v>
      </c>
      <c r="K8">
        <f>MATCH(K7,DEPTHCHART[Column2],0)</f>
        <v>1</v>
      </c>
      <c r="L8">
        <f>MATCH(L7,DEPTHCHART[Column2],0)</f>
        <v>18</v>
      </c>
      <c r="M8">
        <f>MATCH(M7,DEPTHCHART[Column2],0)</f>
        <v>35</v>
      </c>
    </row>
    <row r="9" spans="1:13" x14ac:dyDescent="0.25">
      <c r="A9" t="s">
        <v>35</v>
      </c>
      <c r="B9" t="s">
        <v>109</v>
      </c>
      <c r="G9">
        <f t="shared" si="0"/>
        <v>1</v>
      </c>
      <c r="H9" t="str">
        <f t="shared" si="1"/>
        <v>A2:A18</v>
      </c>
      <c r="I9">
        <v>2</v>
      </c>
      <c r="J9" t="s">
        <v>29</v>
      </c>
      <c r="K9" t="str">
        <f ca="1">INDEX(INDIRECT(_xlfn.CONCAT("B",$K$8+I9,":B",$L$8),TRUE),MATCH($J9,INDIRECT(_xlfn.CONCAT("A",$K$8+I9,":A",$L$8),TRUE),0))</f>
        <v>Kyler Murray</v>
      </c>
      <c r="L9" t="e">
        <f ca="1">INDEX(INDIRECT(_xlfn.CONCAT("B",$K$8+J9,":B",$L$8),TRUE),MATCH($J9,INDIRECT(_xlfn.CONCAT("A",$K$8+J9,":A",$L$8),TRUE),0))</f>
        <v>#VALUE!</v>
      </c>
    </row>
    <row r="10" spans="1:13" x14ac:dyDescent="0.25">
      <c r="A10" t="s">
        <v>35</v>
      </c>
      <c r="B10" t="s">
        <v>700</v>
      </c>
      <c r="G10">
        <f t="shared" si="0"/>
        <v>1</v>
      </c>
      <c r="H10" t="str">
        <f t="shared" si="1"/>
        <v>A2:A18</v>
      </c>
      <c r="I10">
        <v>3</v>
      </c>
      <c r="J10" t="s">
        <v>29</v>
      </c>
      <c r="K10" t="str">
        <f ca="1">INDEX(INDIRECT(_xlfn.CONCAT("B",$K$8+I10,":B",$L$8),TRUE),MATCH(J10,INDIRECT(_xlfn.CONCAT("A",$K$8+I10,":A",$L$8),TRUE),0))</f>
        <v>Colt McCoy</v>
      </c>
    </row>
    <row r="11" spans="1:13" x14ac:dyDescent="0.25">
      <c r="A11" t="s">
        <v>35</v>
      </c>
      <c r="B11" t="s">
        <v>101</v>
      </c>
      <c r="G11">
        <f t="shared" si="0"/>
        <v>1</v>
      </c>
      <c r="H11" t="str">
        <f t="shared" si="1"/>
        <v>A2:A18</v>
      </c>
      <c r="I11">
        <v>4</v>
      </c>
      <c r="J11" t="s">
        <v>28</v>
      </c>
      <c r="K11" t="str">
        <f t="shared" ref="K11:K23" ca="1" si="2">INDEX(INDIRECT(_xlfn.CONCAT("B",$K$8+I11,":B",$L$8),TRUE),MATCH(J11,INDIRECT(_xlfn.CONCAT("A",$K$8+I11,":A",$L$8),TRUE),0))</f>
        <v>James Conner</v>
      </c>
    </row>
    <row r="12" spans="1:13" x14ac:dyDescent="0.25">
      <c r="A12" t="s">
        <v>35</v>
      </c>
      <c r="B12" t="s">
        <v>951</v>
      </c>
      <c r="G12">
        <f t="shared" si="0"/>
        <v>1</v>
      </c>
      <c r="H12" t="str">
        <f t="shared" si="1"/>
        <v>A2:A18</v>
      </c>
      <c r="I12">
        <v>5</v>
      </c>
      <c r="J12" t="s">
        <v>28</v>
      </c>
      <c r="K12" t="str">
        <f t="shared" ca="1" si="2"/>
        <v>Eno Benjamin</v>
      </c>
    </row>
    <row r="13" spans="1:13" x14ac:dyDescent="0.25">
      <c r="A13" t="s">
        <v>35</v>
      </c>
      <c r="B13" t="s">
        <v>733</v>
      </c>
      <c r="G13">
        <f t="shared" si="0"/>
        <v>1</v>
      </c>
      <c r="H13" t="str">
        <f t="shared" si="1"/>
        <v>A2:A18</v>
      </c>
      <c r="I13">
        <v>6</v>
      </c>
      <c r="J13" t="s">
        <v>28</v>
      </c>
      <c r="K13" t="str">
        <f t="shared" ca="1" si="2"/>
        <v>Darrel Williams</v>
      </c>
    </row>
    <row r="14" spans="1:13" x14ac:dyDescent="0.25">
      <c r="A14" t="s">
        <v>43</v>
      </c>
      <c r="B14" t="s">
        <v>186</v>
      </c>
      <c r="G14">
        <f t="shared" si="0"/>
        <v>1</v>
      </c>
      <c r="H14" t="str">
        <f t="shared" si="1"/>
        <v>A2:A18</v>
      </c>
      <c r="I14">
        <v>7</v>
      </c>
      <c r="J14" t="s">
        <v>28</v>
      </c>
      <c r="K14" t="str">
        <f t="shared" ca="1" si="2"/>
        <v>Keaontay Ingram</v>
      </c>
    </row>
    <row r="15" spans="1:13" x14ac:dyDescent="0.25">
      <c r="A15" t="s">
        <v>43</v>
      </c>
      <c r="B15" t="s">
        <v>2475</v>
      </c>
      <c r="G15">
        <f t="shared" si="0"/>
        <v>1</v>
      </c>
      <c r="H15" t="str">
        <f t="shared" si="1"/>
        <v>A2:A18</v>
      </c>
      <c r="I15">
        <v>8</v>
      </c>
      <c r="J15" t="s">
        <v>35</v>
      </c>
      <c r="K15" t="str">
        <f t="shared" ca="1" si="2"/>
        <v>DeAndre Hopkins</v>
      </c>
    </row>
    <row r="16" spans="1:13" x14ac:dyDescent="0.25">
      <c r="A16" t="s">
        <v>43</v>
      </c>
      <c r="B16" t="s">
        <v>424</v>
      </c>
      <c r="G16">
        <f t="shared" si="0"/>
        <v>1</v>
      </c>
      <c r="H16" t="str">
        <f t="shared" si="1"/>
        <v>A2:A18</v>
      </c>
      <c r="I16">
        <v>9</v>
      </c>
      <c r="J16" t="s">
        <v>35</v>
      </c>
      <c r="K16" t="str">
        <f t="shared" ca="1" si="2"/>
        <v>Marquise Brown</v>
      </c>
    </row>
    <row r="17" spans="1:11" x14ac:dyDescent="0.25">
      <c r="A17" t="s">
        <v>48</v>
      </c>
      <c r="B17" t="s">
        <v>242</v>
      </c>
      <c r="G17">
        <f t="shared" si="0"/>
        <v>1</v>
      </c>
      <c r="H17" t="str">
        <f t="shared" si="1"/>
        <v>A2:A18</v>
      </c>
      <c r="I17">
        <v>10</v>
      </c>
      <c r="J17" t="s">
        <v>35</v>
      </c>
      <c r="K17" t="str">
        <f t="shared" ca="1" si="2"/>
        <v>A.J. Green</v>
      </c>
    </row>
    <row r="18" spans="1:11" x14ac:dyDescent="0.25">
      <c r="A18" t="s">
        <v>2539</v>
      </c>
      <c r="B18" t="s">
        <v>2540</v>
      </c>
      <c r="G18">
        <f t="shared" si="0"/>
        <v>1</v>
      </c>
      <c r="H18" t="str">
        <f t="shared" si="1"/>
        <v>A2:A18</v>
      </c>
      <c r="I18">
        <v>11</v>
      </c>
      <c r="J18" t="s">
        <v>35</v>
      </c>
      <c r="K18" t="str">
        <f t="shared" ca="1" si="2"/>
        <v>Rondale Moore</v>
      </c>
    </row>
    <row r="19" spans="1:11" x14ac:dyDescent="0.25">
      <c r="A19" t="s">
        <v>2537</v>
      </c>
      <c r="B19" t="s">
        <v>2541</v>
      </c>
      <c r="G19">
        <f t="shared" si="0"/>
        <v>1</v>
      </c>
      <c r="H19" t="str">
        <f t="shared" si="1"/>
        <v>A2:A18</v>
      </c>
      <c r="I19">
        <v>12</v>
      </c>
      <c r="J19" t="s">
        <v>35</v>
      </c>
      <c r="K19" t="str">
        <f t="shared" ca="1" si="2"/>
        <v>Antoine Wesley</v>
      </c>
    </row>
    <row r="20" spans="1:11" x14ac:dyDescent="0.25">
      <c r="A20" t="s">
        <v>29</v>
      </c>
      <c r="B20" t="s">
        <v>144</v>
      </c>
      <c r="G20">
        <f t="shared" si="0"/>
        <v>1</v>
      </c>
      <c r="H20" t="str">
        <f t="shared" si="1"/>
        <v>A2:A18</v>
      </c>
      <c r="I20">
        <v>13</v>
      </c>
      <c r="J20" t="s">
        <v>43</v>
      </c>
      <c r="K20" t="str">
        <f t="shared" ca="1" si="2"/>
        <v>Zach Ertz</v>
      </c>
    </row>
    <row r="21" spans="1:11" x14ac:dyDescent="0.25">
      <c r="A21" t="s">
        <v>29</v>
      </c>
      <c r="B21" t="s">
        <v>1032</v>
      </c>
      <c r="G21">
        <f t="shared" si="0"/>
        <v>1</v>
      </c>
      <c r="H21" t="str">
        <f t="shared" si="1"/>
        <v>A2:A18</v>
      </c>
      <c r="I21">
        <v>14</v>
      </c>
      <c r="J21" t="s">
        <v>43</v>
      </c>
      <c r="K21" t="str">
        <f t="shared" ca="1" si="2"/>
        <v>Trey McBride</v>
      </c>
    </row>
    <row r="22" spans="1:11" x14ac:dyDescent="0.25">
      <c r="A22" t="s">
        <v>28</v>
      </c>
      <c r="B22" t="s">
        <v>391</v>
      </c>
      <c r="I22">
        <v>15</v>
      </c>
      <c r="J22" t="s">
        <v>43</v>
      </c>
      <c r="K22" t="str">
        <f t="shared" ca="1" si="2"/>
        <v>Maxx Williams</v>
      </c>
    </row>
    <row r="23" spans="1:11" x14ac:dyDescent="0.25">
      <c r="A23" t="s">
        <v>28</v>
      </c>
      <c r="B23" t="s">
        <v>337</v>
      </c>
      <c r="I23">
        <v>16</v>
      </c>
      <c r="J23" t="s">
        <v>48</v>
      </c>
      <c r="K23" t="str">
        <f t="shared" ca="1" si="2"/>
        <v>Matt Prater</v>
      </c>
    </row>
    <row r="24" spans="1:11" x14ac:dyDescent="0.25">
      <c r="A24" t="s">
        <v>28</v>
      </c>
      <c r="B24" t="s">
        <v>2450</v>
      </c>
    </row>
    <row r="25" spans="1:11" x14ac:dyDescent="0.25">
      <c r="A25" t="s">
        <v>28</v>
      </c>
      <c r="B25" t="s">
        <v>2727</v>
      </c>
    </row>
    <row r="26" spans="1:11" x14ac:dyDescent="0.25">
      <c r="A26" t="s">
        <v>35</v>
      </c>
      <c r="B26" t="s">
        <v>2412</v>
      </c>
    </row>
    <row r="27" spans="1:11" x14ac:dyDescent="0.25">
      <c r="A27" t="s">
        <v>35</v>
      </c>
      <c r="B27" t="s">
        <v>849</v>
      </c>
    </row>
    <row r="28" spans="1:11" x14ac:dyDescent="0.25">
      <c r="A28" t="s">
        <v>35</v>
      </c>
      <c r="B28" t="s">
        <v>851</v>
      </c>
    </row>
    <row r="29" spans="1:11" x14ac:dyDescent="0.25">
      <c r="A29" t="s">
        <v>35</v>
      </c>
      <c r="B29" t="s">
        <v>803</v>
      </c>
    </row>
    <row r="30" spans="1:11" x14ac:dyDescent="0.25">
      <c r="A30" t="s">
        <v>35</v>
      </c>
      <c r="B30" t="s">
        <v>404</v>
      </c>
    </row>
    <row r="31" spans="1:11" x14ac:dyDescent="0.25">
      <c r="A31" t="s">
        <v>43</v>
      </c>
      <c r="B31" t="s">
        <v>973</v>
      </c>
    </row>
    <row r="32" spans="1:11" x14ac:dyDescent="0.25">
      <c r="A32" t="s">
        <v>43</v>
      </c>
      <c r="B32" t="s">
        <v>2493</v>
      </c>
    </row>
    <row r="33" spans="1:2" x14ac:dyDescent="0.25">
      <c r="A33" t="s">
        <v>43</v>
      </c>
      <c r="B33" t="s">
        <v>2497</v>
      </c>
    </row>
    <row r="34" spans="1:2" x14ac:dyDescent="0.25">
      <c r="A34" t="s">
        <v>48</v>
      </c>
      <c r="B34" t="s">
        <v>802</v>
      </c>
    </row>
    <row r="35" spans="1:2" x14ac:dyDescent="0.25">
      <c r="A35" t="s">
        <v>2539</v>
      </c>
      <c r="B35" t="s">
        <v>2542</v>
      </c>
    </row>
    <row r="36" spans="1:2" x14ac:dyDescent="0.25">
      <c r="A36" t="s">
        <v>2537</v>
      </c>
      <c r="B36" t="s">
        <v>2543</v>
      </c>
    </row>
    <row r="37" spans="1:2" x14ac:dyDescent="0.25">
      <c r="A37" t="s">
        <v>29</v>
      </c>
      <c r="B37" t="s">
        <v>534</v>
      </c>
    </row>
    <row r="38" spans="1:2" x14ac:dyDescent="0.25">
      <c r="A38" t="s">
        <v>29</v>
      </c>
      <c r="B38" t="s">
        <v>925</v>
      </c>
    </row>
    <row r="39" spans="1:2" x14ac:dyDescent="0.25">
      <c r="A39" t="s">
        <v>28</v>
      </c>
      <c r="B39" t="s">
        <v>882</v>
      </c>
    </row>
    <row r="40" spans="1:2" x14ac:dyDescent="0.25">
      <c r="A40" t="s">
        <v>28</v>
      </c>
      <c r="B40" t="s">
        <v>637</v>
      </c>
    </row>
    <row r="41" spans="1:2" x14ac:dyDescent="0.25">
      <c r="A41" t="s">
        <v>28</v>
      </c>
      <c r="B41" t="s">
        <v>617</v>
      </c>
    </row>
    <row r="42" spans="1:2" x14ac:dyDescent="0.25">
      <c r="A42" t="s">
        <v>28</v>
      </c>
      <c r="B42" t="s">
        <v>340</v>
      </c>
    </row>
    <row r="43" spans="1:2" x14ac:dyDescent="0.25">
      <c r="A43" t="s">
        <v>35</v>
      </c>
      <c r="B43" t="s">
        <v>949</v>
      </c>
    </row>
    <row r="44" spans="1:2" x14ac:dyDescent="0.25">
      <c r="A44" t="s">
        <v>35</v>
      </c>
      <c r="B44" t="s">
        <v>843</v>
      </c>
    </row>
    <row r="45" spans="1:2" x14ac:dyDescent="0.25">
      <c r="A45" t="s">
        <v>35</v>
      </c>
      <c r="B45" t="s">
        <v>2544</v>
      </c>
    </row>
    <row r="46" spans="1:2" x14ac:dyDescent="0.25">
      <c r="A46" t="s">
        <v>35</v>
      </c>
      <c r="B46" t="s">
        <v>394</v>
      </c>
    </row>
    <row r="47" spans="1:2" x14ac:dyDescent="0.25">
      <c r="A47" t="s">
        <v>35</v>
      </c>
      <c r="B47" t="s">
        <v>966</v>
      </c>
    </row>
    <row r="48" spans="1:2" x14ac:dyDescent="0.25">
      <c r="A48" t="s">
        <v>43</v>
      </c>
      <c r="B48" t="s">
        <v>591</v>
      </c>
    </row>
    <row r="49" spans="1:2" x14ac:dyDescent="0.25">
      <c r="A49" t="s">
        <v>43</v>
      </c>
      <c r="B49" t="s">
        <v>2486</v>
      </c>
    </row>
    <row r="50" spans="1:2" x14ac:dyDescent="0.25">
      <c r="A50" t="s">
        <v>43</v>
      </c>
      <c r="B50" t="s">
        <v>425</v>
      </c>
    </row>
    <row r="51" spans="1:2" x14ac:dyDescent="0.25">
      <c r="A51" t="s">
        <v>48</v>
      </c>
      <c r="B51" t="s">
        <v>156</v>
      </c>
    </row>
    <row r="52" spans="1:2" x14ac:dyDescent="0.25">
      <c r="A52" t="s">
        <v>2539</v>
      </c>
      <c r="B52" t="s">
        <v>2545</v>
      </c>
    </row>
    <row r="53" spans="1:2" x14ac:dyDescent="0.25">
      <c r="A53" t="s">
        <v>2537</v>
      </c>
      <c r="B53" t="s">
        <v>2546</v>
      </c>
    </row>
    <row r="54" spans="1:2" x14ac:dyDescent="0.25">
      <c r="A54" t="s">
        <v>29</v>
      </c>
      <c r="B54" t="s">
        <v>531</v>
      </c>
    </row>
    <row r="55" spans="1:2" x14ac:dyDescent="0.25">
      <c r="A55" t="s">
        <v>29</v>
      </c>
      <c r="B55" t="s">
        <v>318</v>
      </c>
    </row>
    <row r="56" spans="1:2" x14ac:dyDescent="0.25">
      <c r="A56" t="s">
        <v>28</v>
      </c>
      <c r="B56" t="s">
        <v>668</v>
      </c>
    </row>
    <row r="57" spans="1:2" x14ac:dyDescent="0.25">
      <c r="A57" t="s">
        <v>28</v>
      </c>
      <c r="B57" t="s">
        <v>2446</v>
      </c>
    </row>
    <row r="58" spans="1:2" x14ac:dyDescent="0.25">
      <c r="A58" t="s">
        <v>28</v>
      </c>
      <c r="B58" t="s">
        <v>883</v>
      </c>
    </row>
    <row r="59" spans="1:2" x14ac:dyDescent="0.25">
      <c r="A59" t="s">
        <v>28</v>
      </c>
      <c r="B59" t="s">
        <v>355</v>
      </c>
    </row>
    <row r="60" spans="1:2" x14ac:dyDescent="0.25">
      <c r="A60" t="s">
        <v>35</v>
      </c>
      <c r="B60" t="s">
        <v>169</v>
      </c>
    </row>
    <row r="61" spans="1:2" x14ac:dyDescent="0.25">
      <c r="A61" t="s">
        <v>35</v>
      </c>
      <c r="B61" t="s">
        <v>854</v>
      </c>
    </row>
    <row r="62" spans="1:2" x14ac:dyDescent="0.25">
      <c r="A62" t="s">
        <v>35</v>
      </c>
      <c r="B62" t="s">
        <v>408</v>
      </c>
    </row>
    <row r="63" spans="1:2" x14ac:dyDescent="0.25">
      <c r="A63" t="s">
        <v>35</v>
      </c>
      <c r="B63" t="s">
        <v>150</v>
      </c>
    </row>
    <row r="64" spans="1:2" x14ac:dyDescent="0.25">
      <c r="A64" t="s">
        <v>35</v>
      </c>
      <c r="B64" t="s">
        <v>2433</v>
      </c>
    </row>
    <row r="65" spans="1:2" x14ac:dyDescent="0.25">
      <c r="A65" t="s">
        <v>43</v>
      </c>
      <c r="B65" t="s">
        <v>749</v>
      </c>
    </row>
    <row r="66" spans="1:2" x14ac:dyDescent="0.25">
      <c r="A66" t="s">
        <v>43</v>
      </c>
      <c r="B66" t="s">
        <v>758</v>
      </c>
    </row>
    <row r="67" spans="1:2" x14ac:dyDescent="0.25">
      <c r="A67" t="s">
        <v>43</v>
      </c>
      <c r="B67" t="s">
        <v>2683</v>
      </c>
    </row>
    <row r="68" spans="1:2" x14ac:dyDescent="0.25">
      <c r="A68" t="s">
        <v>48</v>
      </c>
      <c r="B68" t="s">
        <v>815</v>
      </c>
    </row>
    <row r="69" spans="1:2" x14ac:dyDescent="0.25">
      <c r="A69" t="s">
        <v>2539</v>
      </c>
      <c r="B69" t="s">
        <v>2561</v>
      </c>
    </row>
    <row r="70" spans="1:2" x14ac:dyDescent="0.25">
      <c r="A70" t="s">
        <v>2537</v>
      </c>
      <c r="B70" t="s">
        <v>2547</v>
      </c>
    </row>
    <row r="71" spans="1:2" x14ac:dyDescent="0.25">
      <c r="A71" t="s">
        <v>29</v>
      </c>
      <c r="B71" t="s">
        <v>533</v>
      </c>
    </row>
    <row r="72" spans="1:2" x14ac:dyDescent="0.25">
      <c r="A72" t="s">
        <v>29</v>
      </c>
      <c r="B72" t="s">
        <v>532</v>
      </c>
    </row>
    <row r="73" spans="1:2" x14ac:dyDescent="0.25">
      <c r="A73" t="s">
        <v>28</v>
      </c>
      <c r="B73" t="s">
        <v>116</v>
      </c>
    </row>
    <row r="74" spans="1:2" x14ac:dyDescent="0.25">
      <c r="A74" t="s">
        <v>28</v>
      </c>
      <c r="B74" t="s">
        <v>334</v>
      </c>
    </row>
    <row r="75" spans="1:2" x14ac:dyDescent="0.25">
      <c r="A75" t="s">
        <v>28</v>
      </c>
      <c r="B75" t="s">
        <v>932</v>
      </c>
    </row>
    <row r="76" spans="1:2" x14ac:dyDescent="0.25">
      <c r="A76" t="s">
        <v>35</v>
      </c>
      <c r="B76" t="s">
        <v>2409</v>
      </c>
    </row>
    <row r="77" spans="1:2" x14ac:dyDescent="0.25">
      <c r="A77" t="s">
        <v>35</v>
      </c>
      <c r="B77" t="s">
        <v>2413</v>
      </c>
    </row>
    <row r="78" spans="1:2" x14ac:dyDescent="0.25">
      <c r="A78" t="s">
        <v>35</v>
      </c>
      <c r="B78" t="s">
        <v>969</v>
      </c>
    </row>
    <row r="79" spans="1:2" x14ac:dyDescent="0.25">
      <c r="A79" t="s">
        <v>35</v>
      </c>
      <c r="B79" t="s">
        <v>398</v>
      </c>
    </row>
    <row r="80" spans="1:2" x14ac:dyDescent="0.25">
      <c r="A80" t="s">
        <v>35</v>
      </c>
      <c r="B80" t="s">
        <v>842</v>
      </c>
    </row>
    <row r="81" spans="1:2" x14ac:dyDescent="0.25">
      <c r="A81" t="s">
        <v>43</v>
      </c>
      <c r="B81" t="s">
        <v>982</v>
      </c>
    </row>
    <row r="82" spans="1:2" x14ac:dyDescent="0.25">
      <c r="A82" t="s">
        <v>43</v>
      </c>
      <c r="B82" t="s">
        <v>596</v>
      </c>
    </row>
    <row r="83" spans="1:2" x14ac:dyDescent="0.25">
      <c r="A83" t="s">
        <v>43</v>
      </c>
      <c r="B83" t="s">
        <v>819</v>
      </c>
    </row>
    <row r="84" spans="1:2" x14ac:dyDescent="0.25">
      <c r="A84" t="s">
        <v>48</v>
      </c>
      <c r="B84" t="s">
        <v>2686</v>
      </c>
    </row>
    <row r="85" spans="1:2" x14ac:dyDescent="0.25">
      <c r="A85" t="s">
        <v>2539</v>
      </c>
      <c r="B85" t="s">
        <v>2548</v>
      </c>
    </row>
    <row r="86" spans="1:2" x14ac:dyDescent="0.25">
      <c r="A86" t="s">
        <v>2537</v>
      </c>
      <c r="B86" t="s">
        <v>2549</v>
      </c>
    </row>
    <row r="87" spans="1:2" x14ac:dyDescent="0.25">
      <c r="A87" t="s">
        <v>29</v>
      </c>
      <c r="B87" t="s">
        <v>917</v>
      </c>
    </row>
    <row r="88" spans="1:2" x14ac:dyDescent="0.25">
      <c r="A88" t="s">
        <v>29</v>
      </c>
      <c r="B88" t="s">
        <v>305</v>
      </c>
    </row>
    <row r="89" spans="1:2" x14ac:dyDescent="0.25">
      <c r="A89" t="s">
        <v>28</v>
      </c>
      <c r="B89" t="s">
        <v>661</v>
      </c>
    </row>
    <row r="90" spans="1:2" x14ac:dyDescent="0.25">
      <c r="A90" t="s">
        <v>28</v>
      </c>
      <c r="B90" t="s">
        <v>940</v>
      </c>
    </row>
    <row r="91" spans="1:2" x14ac:dyDescent="0.25">
      <c r="A91" t="s">
        <v>28</v>
      </c>
      <c r="B91" t="s">
        <v>2466</v>
      </c>
    </row>
    <row r="92" spans="1:2" x14ac:dyDescent="0.25">
      <c r="A92" t="s">
        <v>35</v>
      </c>
      <c r="B92" t="s">
        <v>859</v>
      </c>
    </row>
    <row r="93" spans="1:2" x14ac:dyDescent="0.25">
      <c r="A93" t="s">
        <v>35</v>
      </c>
      <c r="B93" t="s">
        <v>2426</v>
      </c>
    </row>
    <row r="94" spans="1:2" x14ac:dyDescent="0.25">
      <c r="A94" t="s">
        <v>35</v>
      </c>
      <c r="B94" t="s">
        <v>726</v>
      </c>
    </row>
    <row r="95" spans="1:2" x14ac:dyDescent="0.25">
      <c r="A95" t="s">
        <v>35</v>
      </c>
      <c r="B95" t="s">
        <v>580</v>
      </c>
    </row>
    <row r="96" spans="1:2" x14ac:dyDescent="0.25">
      <c r="A96" t="s">
        <v>35</v>
      </c>
      <c r="B96" t="s">
        <v>573</v>
      </c>
    </row>
    <row r="97" spans="1:2" x14ac:dyDescent="0.25">
      <c r="A97" t="s">
        <v>43</v>
      </c>
      <c r="B97" t="s">
        <v>817</v>
      </c>
    </row>
    <row r="98" spans="1:2" x14ac:dyDescent="0.25">
      <c r="A98" t="s">
        <v>43</v>
      </c>
      <c r="B98" t="s">
        <v>321</v>
      </c>
    </row>
    <row r="99" spans="1:2" x14ac:dyDescent="0.25">
      <c r="A99" t="s">
        <v>43</v>
      </c>
      <c r="B99" t="s">
        <v>2682</v>
      </c>
    </row>
    <row r="100" spans="1:2" x14ac:dyDescent="0.25">
      <c r="A100" t="s">
        <v>48</v>
      </c>
      <c r="B100" t="s">
        <v>243</v>
      </c>
    </row>
    <row r="101" spans="1:2" x14ac:dyDescent="0.25">
      <c r="A101" t="s">
        <v>2539</v>
      </c>
      <c r="B101" t="s">
        <v>2550</v>
      </c>
    </row>
    <row r="102" spans="1:2" x14ac:dyDescent="0.25">
      <c r="A102" t="s">
        <v>2537</v>
      </c>
      <c r="B102" t="s">
        <v>2551</v>
      </c>
    </row>
    <row r="103" spans="1:2" x14ac:dyDescent="0.25">
      <c r="A103" t="s">
        <v>29</v>
      </c>
      <c r="B103" t="s">
        <v>871</v>
      </c>
    </row>
    <row r="104" spans="1:2" x14ac:dyDescent="0.25">
      <c r="A104" t="s">
        <v>29</v>
      </c>
      <c r="B104" t="s">
        <v>653</v>
      </c>
    </row>
    <row r="105" spans="1:2" x14ac:dyDescent="0.25">
      <c r="A105" t="s">
        <v>28</v>
      </c>
      <c r="B105" t="s">
        <v>118</v>
      </c>
    </row>
    <row r="106" spans="1:2" x14ac:dyDescent="0.25">
      <c r="A106" t="s">
        <v>28</v>
      </c>
      <c r="B106" t="s">
        <v>165</v>
      </c>
    </row>
    <row r="107" spans="1:2" x14ac:dyDescent="0.25">
      <c r="A107" t="s">
        <v>28</v>
      </c>
      <c r="B107" t="s">
        <v>939</v>
      </c>
    </row>
    <row r="108" spans="1:2" x14ac:dyDescent="0.25">
      <c r="A108" t="s">
        <v>35</v>
      </c>
      <c r="B108" t="s">
        <v>945</v>
      </c>
    </row>
    <row r="109" spans="1:2" x14ac:dyDescent="0.25">
      <c r="A109" t="s">
        <v>35</v>
      </c>
      <c r="B109" t="s">
        <v>839</v>
      </c>
    </row>
    <row r="110" spans="1:2" x14ac:dyDescent="0.25">
      <c r="A110" t="s">
        <v>35</v>
      </c>
      <c r="B110" t="s">
        <v>372</v>
      </c>
    </row>
    <row r="111" spans="1:2" x14ac:dyDescent="0.25">
      <c r="A111" t="s">
        <v>35</v>
      </c>
      <c r="B111" t="s">
        <v>403</v>
      </c>
    </row>
    <row r="112" spans="1:2" x14ac:dyDescent="0.25">
      <c r="A112" t="s">
        <v>35</v>
      </c>
      <c r="B112" t="s">
        <v>2728</v>
      </c>
    </row>
    <row r="113" spans="1:2" x14ac:dyDescent="0.25">
      <c r="A113" t="s">
        <v>43</v>
      </c>
      <c r="B113" t="s">
        <v>588</v>
      </c>
    </row>
    <row r="114" spans="1:2" x14ac:dyDescent="0.25">
      <c r="A114" t="s">
        <v>43</v>
      </c>
      <c r="B114" t="s">
        <v>751</v>
      </c>
    </row>
    <row r="115" spans="1:2" x14ac:dyDescent="0.25">
      <c r="A115" t="s">
        <v>43</v>
      </c>
      <c r="B115" t="s">
        <v>2496</v>
      </c>
    </row>
    <row r="116" spans="1:2" x14ac:dyDescent="0.25">
      <c r="A116" t="s">
        <v>48</v>
      </c>
      <c r="B116" t="s">
        <v>913</v>
      </c>
    </row>
    <row r="117" spans="1:2" x14ac:dyDescent="0.25">
      <c r="A117" t="s">
        <v>2539</v>
      </c>
      <c r="B117" t="s">
        <v>2552</v>
      </c>
    </row>
    <row r="118" spans="1:2" x14ac:dyDescent="0.25">
      <c r="A118" t="s">
        <v>2537</v>
      </c>
      <c r="B118" t="s">
        <v>2553</v>
      </c>
    </row>
    <row r="119" spans="1:2" x14ac:dyDescent="0.25">
      <c r="A119" t="s">
        <v>29</v>
      </c>
      <c r="B119" t="s">
        <v>208</v>
      </c>
    </row>
    <row r="120" spans="1:2" x14ac:dyDescent="0.25">
      <c r="A120" t="s">
        <v>29</v>
      </c>
      <c r="B120" t="s">
        <v>535</v>
      </c>
    </row>
    <row r="121" spans="1:2" x14ac:dyDescent="0.25">
      <c r="A121" t="s">
        <v>28</v>
      </c>
      <c r="B121" t="s">
        <v>548</v>
      </c>
    </row>
    <row r="122" spans="1:2" x14ac:dyDescent="0.25">
      <c r="A122" t="s">
        <v>28</v>
      </c>
      <c r="B122" t="s">
        <v>161</v>
      </c>
    </row>
    <row r="123" spans="1:2" x14ac:dyDescent="0.25">
      <c r="A123" t="s">
        <v>28</v>
      </c>
      <c r="B123" t="s">
        <v>811</v>
      </c>
    </row>
    <row r="124" spans="1:2" x14ac:dyDescent="0.25">
      <c r="A124" t="s">
        <v>28</v>
      </c>
      <c r="B124" t="s">
        <v>2461</v>
      </c>
    </row>
    <row r="125" spans="1:2" x14ac:dyDescent="0.25">
      <c r="A125" t="s">
        <v>35</v>
      </c>
      <c r="B125" t="s">
        <v>105</v>
      </c>
    </row>
    <row r="126" spans="1:2" x14ac:dyDescent="0.25">
      <c r="A126" t="s">
        <v>35</v>
      </c>
      <c r="B126" t="s">
        <v>857</v>
      </c>
    </row>
    <row r="127" spans="1:2" x14ac:dyDescent="0.25">
      <c r="A127" t="s">
        <v>35</v>
      </c>
      <c r="B127" t="s">
        <v>2425</v>
      </c>
    </row>
    <row r="128" spans="1:2" x14ac:dyDescent="0.25">
      <c r="A128" t="s">
        <v>35</v>
      </c>
      <c r="B128" t="s">
        <v>961</v>
      </c>
    </row>
    <row r="129" spans="1:2" x14ac:dyDescent="0.25">
      <c r="A129" t="s">
        <v>35</v>
      </c>
      <c r="B129" t="s">
        <v>2554</v>
      </c>
    </row>
    <row r="130" spans="1:2" x14ac:dyDescent="0.25">
      <c r="A130" t="s">
        <v>43</v>
      </c>
      <c r="B130" t="s">
        <v>217</v>
      </c>
    </row>
    <row r="131" spans="1:2" x14ac:dyDescent="0.25">
      <c r="A131" t="s">
        <v>43</v>
      </c>
      <c r="B131" t="s">
        <v>820</v>
      </c>
    </row>
    <row r="132" spans="1:2" x14ac:dyDescent="0.25">
      <c r="A132" t="s">
        <v>43</v>
      </c>
      <c r="B132" t="s">
        <v>2729</v>
      </c>
    </row>
    <row r="133" spans="1:2" x14ac:dyDescent="0.25">
      <c r="A133" t="s">
        <v>48</v>
      </c>
      <c r="B133" t="s">
        <v>2498</v>
      </c>
    </row>
    <row r="134" spans="1:2" x14ac:dyDescent="0.25">
      <c r="A134" t="s">
        <v>2539</v>
      </c>
      <c r="B134" t="s">
        <v>2555</v>
      </c>
    </row>
    <row r="135" spans="1:2" x14ac:dyDescent="0.25">
      <c r="A135" t="s">
        <v>2537</v>
      </c>
      <c r="B135" t="s">
        <v>2556</v>
      </c>
    </row>
    <row r="136" spans="1:2" x14ac:dyDescent="0.25">
      <c r="A136" t="s">
        <v>29</v>
      </c>
      <c r="B136" t="s">
        <v>164</v>
      </c>
    </row>
    <row r="137" spans="1:2" x14ac:dyDescent="0.25">
      <c r="A137" t="s">
        <v>29</v>
      </c>
      <c r="B137" t="s">
        <v>536</v>
      </c>
    </row>
    <row r="138" spans="1:2" x14ac:dyDescent="0.25">
      <c r="A138" t="s">
        <v>28</v>
      </c>
      <c r="B138" t="s">
        <v>93</v>
      </c>
    </row>
    <row r="139" spans="1:2" x14ac:dyDescent="0.25">
      <c r="A139" t="s">
        <v>28</v>
      </c>
      <c r="B139" t="s">
        <v>670</v>
      </c>
    </row>
    <row r="140" spans="1:2" x14ac:dyDescent="0.25">
      <c r="A140" t="s">
        <v>28</v>
      </c>
      <c r="B140" t="s">
        <v>910</v>
      </c>
    </row>
    <row r="141" spans="1:2" x14ac:dyDescent="0.25">
      <c r="A141" t="s">
        <v>35</v>
      </c>
      <c r="B141" t="s">
        <v>832</v>
      </c>
    </row>
    <row r="142" spans="1:2" x14ac:dyDescent="0.25">
      <c r="A142" t="s">
        <v>35</v>
      </c>
      <c r="B142" t="s">
        <v>567</v>
      </c>
    </row>
    <row r="143" spans="1:2" x14ac:dyDescent="0.25">
      <c r="A143" t="s">
        <v>35</v>
      </c>
      <c r="B143" t="s">
        <v>2417</v>
      </c>
    </row>
    <row r="144" spans="1:2" x14ac:dyDescent="0.25">
      <c r="A144" t="s">
        <v>35</v>
      </c>
      <c r="B144" t="s">
        <v>569</v>
      </c>
    </row>
    <row r="145" spans="1:2" x14ac:dyDescent="0.25">
      <c r="A145" t="s">
        <v>35</v>
      </c>
      <c r="B145" t="s">
        <v>406</v>
      </c>
    </row>
    <row r="146" spans="1:2" x14ac:dyDescent="0.25">
      <c r="A146" t="s">
        <v>43</v>
      </c>
      <c r="B146" t="s">
        <v>597</v>
      </c>
    </row>
    <row r="147" spans="1:2" x14ac:dyDescent="0.25">
      <c r="A147" t="s">
        <v>43</v>
      </c>
      <c r="B147" t="s">
        <v>2480</v>
      </c>
    </row>
    <row r="148" spans="1:2" x14ac:dyDescent="0.25">
      <c r="A148" t="s">
        <v>43</v>
      </c>
      <c r="B148" t="s">
        <v>2681</v>
      </c>
    </row>
    <row r="149" spans="1:2" x14ac:dyDescent="0.25">
      <c r="A149" t="s">
        <v>48</v>
      </c>
      <c r="B149" t="s">
        <v>635</v>
      </c>
    </row>
    <row r="150" spans="1:2" x14ac:dyDescent="0.25">
      <c r="A150" t="s">
        <v>2539</v>
      </c>
      <c r="B150" t="s">
        <v>2558</v>
      </c>
    </row>
    <row r="151" spans="1:2" x14ac:dyDescent="0.25">
      <c r="A151" t="s">
        <v>2537</v>
      </c>
      <c r="B151" t="s">
        <v>2559</v>
      </c>
    </row>
    <row r="152" spans="1:2" x14ac:dyDescent="0.25">
      <c r="A152" t="s">
        <v>29</v>
      </c>
      <c r="B152" t="s">
        <v>145</v>
      </c>
    </row>
    <row r="153" spans="1:2" x14ac:dyDescent="0.25">
      <c r="A153" t="s">
        <v>29</v>
      </c>
      <c r="B153" t="s">
        <v>655</v>
      </c>
    </row>
    <row r="154" spans="1:2" x14ac:dyDescent="0.25">
      <c r="A154" t="s">
        <v>28</v>
      </c>
      <c r="B154" t="s">
        <v>927</v>
      </c>
    </row>
    <row r="155" spans="1:2" x14ac:dyDescent="0.25">
      <c r="A155" t="s">
        <v>28</v>
      </c>
      <c r="B155" t="s">
        <v>928</v>
      </c>
    </row>
    <row r="156" spans="1:2" x14ac:dyDescent="0.25">
      <c r="A156" t="s">
        <v>28</v>
      </c>
      <c r="B156" t="s">
        <v>638</v>
      </c>
    </row>
    <row r="157" spans="1:2" x14ac:dyDescent="0.25">
      <c r="A157" t="s">
        <v>35</v>
      </c>
      <c r="B157" t="s">
        <v>834</v>
      </c>
    </row>
    <row r="158" spans="1:2" x14ac:dyDescent="0.25">
      <c r="A158" t="s">
        <v>35</v>
      </c>
      <c r="B158" t="s">
        <v>565</v>
      </c>
    </row>
    <row r="159" spans="1:2" x14ac:dyDescent="0.25">
      <c r="A159" t="s">
        <v>35</v>
      </c>
      <c r="B159" t="s">
        <v>841</v>
      </c>
    </row>
    <row r="160" spans="1:2" x14ac:dyDescent="0.25">
      <c r="A160" t="s">
        <v>35</v>
      </c>
      <c r="B160" t="s">
        <v>869</v>
      </c>
    </row>
    <row r="161" spans="1:2" x14ac:dyDescent="0.25">
      <c r="A161" t="s">
        <v>35</v>
      </c>
      <c r="B161" t="s">
        <v>2560</v>
      </c>
    </row>
    <row r="162" spans="1:2" x14ac:dyDescent="0.25">
      <c r="A162" t="s">
        <v>43</v>
      </c>
      <c r="B162" t="s">
        <v>826</v>
      </c>
    </row>
    <row r="163" spans="1:2" x14ac:dyDescent="0.25">
      <c r="A163" t="s">
        <v>43</v>
      </c>
      <c r="B163" t="s">
        <v>2476</v>
      </c>
    </row>
    <row r="164" spans="1:2" x14ac:dyDescent="0.25">
      <c r="A164" t="s">
        <v>43</v>
      </c>
      <c r="B164" t="s">
        <v>438</v>
      </c>
    </row>
    <row r="165" spans="1:2" x14ac:dyDescent="0.25">
      <c r="A165" t="s">
        <v>48</v>
      </c>
      <c r="B165" t="s">
        <v>239</v>
      </c>
    </row>
    <row r="166" spans="1:2" x14ac:dyDescent="0.25">
      <c r="A166" t="s">
        <v>2539</v>
      </c>
      <c r="B166" t="s">
        <v>2730</v>
      </c>
    </row>
    <row r="167" spans="1:2" x14ac:dyDescent="0.25">
      <c r="A167" t="s">
        <v>2537</v>
      </c>
      <c r="B167" t="s">
        <v>2562</v>
      </c>
    </row>
    <row r="168" spans="1:2" x14ac:dyDescent="0.25">
      <c r="A168" t="s">
        <v>29</v>
      </c>
      <c r="B168" t="s">
        <v>302</v>
      </c>
    </row>
    <row r="169" spans="1:2" x14ac:dyDescent="0.25">
      <c r="A169" t="s">
        <v>29</v>
      </c>
      <c r="B169" t="s">
        <v>540</v>
      </c>
    </row>
    <row r="170" spans="1:2" x14ac:dyDescent="0.25">
      <c r="A170" t="s">
        <v>28</v>
      </c>
      <c r="B170" t="s">
        <v>880</v>
      </c>
    </row>
    <row r="171" spans="1:2" x14ac:dyDescent="0.25">
      <c r="A171" t="s">
        <v>28</v>
      </c>
      <c r="B171" t="s">
        <v>184</v>
      </c>
    </row>
    <row r="172" spans="1:2" x14ac:dyDescent="0.25">
      <c r="A172" t="s">
        <v>28</v>
      </c>
      <c r="B172" t="s">
        <v>897</v>
      </c>
    </row>
    <row r="173" spans="1:2" x14ac:dyDescent="0.25">
      <c r="A173" t="s">
        <v>35</v>
      </c>
      <c r="B173" t="s">
        <v>953</v>
      </c>
    </row>
    <row r="174" spans="1:2" x14ac:dyDescent="0.25">
      <c r="A174" t="s">
        <v>35</v>
      </c>
      <c r="B174" t="s">
        <v>2421</v>
      </c>
    </row>
    <row r="175" spans="1:2" x14ac:dyDescent="0.25">
      <c r="A175" t="s">
        <v>35</v>
      </c>
      <c r="B175" t="s">
        <v>2416</v>
      </c>
    </row>
    <row r="176" spans="1:2" x14ac:dyDescent="0.25">
      <c r="A176" t="s">
        <v>35</v>
      </c>
      <c r="B176" t="s">
        <v>389</v>
      </c>
    </row>
    <row r="177" spans="1:2" x14ac:dyDescent="0.25">
      <c r="A177" t="s">
        <v>35</v>
      </c>
      <c r="B177" t="s">
        <v>728</v>
      </c>
    </row>
    <row r="178" spans="1:2" x14ac:dyDescent="0.25">
      <c r="A178" t="s">
        <v>43</v>
      </c>
      <c r="B178" t="s">
        <v>741</v>
      </c>
    </row>
    <row r="179" spans="1:2" x14ac:dyDescent="0.25">
      <c r="A179" t="s">
        <v>43</v>
      </c>
      <c r="B179" t="s">
        <v>2481</v>
      </c>
    </row>
    <row r="180" spans="1:2" x14ac:dyDescent="0.25">
      <c r="A180" t="s">
        <v>43</v>
      </c>
      <c r="B180" t="s">
        <v>2490</v>
      </c>
    </row>
    <row r="181" spans="1:2" x14ac:dyDescent="0.25">
      <c r="A181" t="s">
        <v>48</v>
      </c>
      <c r="B181" t="s">
        <v>763</v>
      </c>
    </row>
    <row r="182" spans="1:2" x14ac:dyDescent="0.25">
      <c r="A182" t="s">
        <v>2539</v>
      </c>
      <c r="B182" t="s">
        <v>2563</v>
      </c>
    </row>
    <row r="183" spans="1:2" x14ac:dyDescent="0.25">
      <c r="A183" t="s">
        <v>2537</v>
      </c>
      <c r="B183" t="s">
        <v>2564</v>
      </c>
    </row>
    <row r="184" spans="1:2" x14ac:dyDescent="0.25">
      <c r="A184" t="s">
        <v>29</v>
      </c>
      <c r="B184" t="s">
        <v>112</v>
      </c>
    </row>
    <row r="185" spans="1:2" x14ac:dyDescent="0.25">
      <c r="A185" t="s">
        <v>29</v>
      </c>
      <c r="B185" t="s">
        <v>876</v>
      </c>
    </row>
    <row r="186" spans="1:2" x14ac:dyDescent="0.25">
      <c r="A186" t="s">
        <v>28</v>
      </c>
      <c r="B186" t="s">
        <v>346</v>
      </c>
    </row>
    <row r="187" spans="1:2" x14ac:dyDescent="0.25">
      <c r="A187" t="s">
        <v>28</v>
      </c>
      <c r="B187" t="s">
        <v>898</v>
      </c>
    </row>
    <row r="188" spans="1:2" x14ac:dyDescent="0.25">
      <c r="A188" t="s">
        <v>28</v>
      </c>
      <c r="B188" t="s">
        <v>2731</v>
      </c>
    </row>
    <row r="189" spans="1:2" x14ac:dyDescent="0.25">
      <c r="A189" t="s">
        <v>35</v>
      </c>
      <c r="B189" t="s">
        <v>730</v>
      </c>
    </row>
    <row r="190" spans="1:2" x14ac:dyDescent="0.25">
      <c r="A190" t="s">
        <v>35</v>
      </c>
      <c r="B190" t="s">
        <v>2429</v>
      </c>
    </row>
    <row r="191" spans="1:2" x14ac:dyDescent="0.25">
      <c r="A191" t="s">
        <v>35</v>
      </c>
      <c r="B191" t="s">
        <v>188</v>
      </c>
    </row>
    <row r="192" spans="1:2" x14ac:dyDescent="0.25">
      <c r="A192" t="s">
        <v>35</v>
      </c>
      <c r="B192" t="s">
        <v>2420</v>
      </c>
    </row>
    <row r="193" spans="1:2" x14ac:dyDescent="0.25">
      <c r="A193" t="s">
        <v>35</v>
      </c>
      <c r="B193" t="s">
        <v>120</v>
      </c>
    </row>
    <row r="194" spans="1:2" x14ac:dyDescent="0.25">
      <c r="A194" t="s">
        <v>43</v>
      </c>
      <c r="B194" t="s">
        <v>757</v>
      </c>
    </row>
    <row r="195" spans="1:2" x14ac:dyDescent="0.25">
      <c r="A195" t="s">
        <v>43</v>
      </c>
      <c r="B195" t="s">
        <v>822</v>
      </c>
    </row>
    <row r="196" spans="1:2" x14ac:dyDescent="0.25">
      <c r="A196" t="s">
        <v>43</v>
      </c>
      <c r="B196" t="s">
        <v>421</v>
      </c>
    </row>
    <row r="197" spans="1:2" x14ac:dyDescent="0.25">
      <c r="A197" t="s">
        <v>48</v>
      </c>
      <c r="B197" t="s">
        <v>206</v>
      </c>
    </row>
    <row r="198" spans="1:2" x14ac:dyDescent="0.25">
      <c r="A198" t="s">
        <v>2539</v>
      </c>
      <c r="B198" t="s">
        <v>2565</v>
      </c>
    </row>
    <row r="199" spans="1:2" x14ac:dyDescent="0.25">
      <c r="A199" t="s">
        <v>2537</v>
      </c>
      <c r="B199" t="s">
        <v>2566</v>
      </c>
    </row>
    <row r="200" spans="1:2" x14ac:dyDescent="0.25">
      <c r="A200" t="s">
        <v>29</v>
      </c>
      <c r="B200" t="s">
        <v>920</v>
      </c>
    </row>
    <row r="201" spans="1:2" x14ac:dyDescent="0.25">
      <c r="A201" t="s">
        <v>29</v>
      </c>
      <c r="B201" t="s">
        <v>656</v>
      </c>
    </row>
    <row r="202" spans="1:2" x14ac:dyDescent="0.25">
      <c r="A202" t="s">
        <v>28</v>
      </c>
      <c r="B202" t="s">
        <v>2447</v>
      </c>
    </row>
    <row r="203" spans="1:2" x14ac:dyDescent="0.25">
      <c r="A203" t="s">
        <v>28</v>
      </c>
      <c r="B203" t="s">
        <v>329</v>
      </c>
    </row>
    <row r="204" spans="1:2" x14ac:dyDescent="0.25">
      <c r="A204" t="s">
        <v>28</v>
      </c>
      <c r="B204" t="s">
        <v>689</v>
      </c>
    </row>
    <row r="205" spans="1:2" x14ac:dyDescent="0.25">
      <c r="A205" t="s">
        <v>35</v>
      </c>
      <c r="B205" t="s">
        <v>113</v>
      </c>
    </row>
    <row r="206" spans="1:2" x14ac:dyDescent="0.25">
      <c r="A206" t="s">
        <v>35</v>
      </c>
      <c r="B206" t="s">
        <v>955</v>
      </c>
    </row>
    <row r="207" spans="1:2" x14ac:dyDescent="0.25">
      <c r="A207" t="s">
        <v>35</v>
      </c>
      <c r="B207" t="s">
        <v>901</v>
      </c>
    </row>
    <row r="208" spans="1:2" x14ac:dyDescent="0.25">
      <c r="A208" t="s">
        <v>35</v>
      </c>
      <c r="B208" t="s">
        <v>395</v>
      </c>
    </row>
    <row r="209" spans="1:2" x14ac:dyDescent="0.25">
      <c r="A209" t="s">
        <v>35</v>
      </c>
      <c r="B209" t="s">
        <v>846</v>
      </c>
    </row>
    <row r="210" spans="1:2" x14ac:dyDescent="0.25">
      <c r="A210" t="s">
        <v>43</v>
      </c>
      <c r="B210" t="s">
        <v>979</v>
      </c>
    </row>
    <row r="211" spans="1:2" x14ac:dyDescent="0.25">
      <c r="A211" t="s">
        <v>43</v>
      </c>
      <c r="B211" t="s">
        <v>825</v>
      </c>
    </row>
    <row r="212" spans="1:2" x14ac:dyDescent="0.25">
      <c r="A212" t="s">
        <v>43</v>
      </c>
      <c r="B212" t="s">
        <v>2487</v>
      </c>
    </row>
    <row r="213" spans="1:2" x14ac:dyDescent="0.25">
      <c r="A213" t="s">
        <v>48</v>
      </c>
      <c r="B213" t="s">
        <v>602</v>
      </c>
    </row>
    <row r="214" spans="1:2" x14ac:dyDescent="0.25">
      <c r="A214" t="s">
        <v>2539</v>
      </c>
      <c r="B214" t="s">
        <v>2567</v>
      </c>
    </row>
    <row r="215" spans="1:2" x14ac:dyDescent="0.25">
      <c r="A215" t="s">
        <v>2537</v>
      </c>
      <c r="B215" t="s">
        <v>2568</v>
      </c>
    </row>
    <row r="216" spans="1:2" x14ac:dyDescent="0.25">
      <c r="A216" t="s">
        <v>29</v>
      </c>
      <c r="B216" t="s">
        <v>136</v>
      </c>
    </row>
    <row r="217" spans="1:2" x14ac:dyDescent="0.25">
      <c r="A217" t="s">
        <v>29</v>
      </c>
      <c r="B217" t="s">
        <v>316</v>
      </c>
    </row>
    <row r="218" spans="1:2" x14ac:dyDescent="0.25">
      <c r="A218" t="s">
        <v>28</v>
      </c>
      <c r="B218" t="s">
        <v>879</v>
      </c>
    </row>
    <row r="219" spans="1:2" x14ac:dyDescent="0.25">
      <c r="A219" t="s">
        <v>28</v>
      </c>
      <c r="B219" t="s">
        <v>550</v>
      </c>
    </row>
    <row r="220" spans="1:2" x14ac:dyDescent="0.25">
      <c r="A220" t="s">
        <v>28</v>
      </c>
      <c r="B220" t="s">
        <v>2468</v>
      </c>
    </row>
    <row r="221" spans="1:2" x14ac:dyDescent="0.25">
      <c r="A221" t="s">
        <v>35</v>
      </c>
      <c r="B221" t="s">
        <v>836</v>
      </c>
    </row>
    <row r="222" spans="1:2" x14ac:dyDescent="0.25">
      <c r="A222" t="s">
        <v>35</v>
      </c>
      <c r="B222" t="s">
        <v>2423</v>
      </c>
    </row>
    <row r="223" spans="1:2" x14ac:dyDescent="0.25">
      <c r="A223" t="s">
        <v>35</v>
      </c>
      <c r="B223" t="s">
        <v>699</v>
      </c>
    </row>
    <row r="224" spans="1:2" x14ac:dyDescent="0.25">
      <c r="A224" t="s">
        <v>35</v>
      </c>
      <c r="B224" t="s">
        <v>737</v>
      </c>
    </row>
    <row r="225" spans="1:2" x14ac:dyDescent="0.25">
      <c r="A225" t="s">
        <v>35</v>
      </c>
      <c r="B225" t="s">
        <v>994</v>
      </c>
    </row>
    <row r="226" spans="1:2" x14ac:dyDescent="0.25">
      <c r="A226" t="s">
        <v>43</v>
      </c>
      <c r="B226" t="s">
        <v>748</v>
      </c>
    </row>
    <row r="227" spans="1:2" x14ac:dyDescent="0.25">
      <c r="A227" t="s">
        <v>43</v>
      </c>
      <c r="B227" t="s">
        <v>985</v>
      </c>
    </row>
    <row r="228" spans="1:2" x14ac:dyDescent="0.25">
      <c r="A228" t="s">
        <v>43</v>
      </c>
      <c r="B228" t="s">
        <v>2473</v>
      </c>
    </row>
    <row r="229" spans="1:2" x14ac:dyDescent="0.25">
      <c r="A229" t="s">
        <v>48</v>
      </c>
      <c r="B229" t="s">
        <v>909</v>
      </c>
    </row>
    <row r="230" spans="1:2" x14ac:dyDescent="0.25">
      <c r="A230" t="s">
        <v>2539</v>
      </c>
      <c r="B230" t="s">
        <v>2658</v>
      </c>
    </row>
    <row r="231" spans="1:2" x14ac:dyDescent="0.25">
      <c r="A231" t="s">
        <v>2537</v>
      </c>
      <c r="B231" t="s">
        <v>2569</v>
      </c>
    </row>
    <row r="232" spans="1:2" x14ac:dyDescent="0.25">
      <c r="A232" t="s">
        <v>29</v>
      </c>
      <c r="B232" t="s">
        <v>915</v>
      </c>
    </row>
    <row r="233" spans="1:2" x14ac:dyDescent="0.25">
      <c r="A233" t="s">
        <v>29</v>
      </c>
      <c r="B233" t="s">
        <v>314</v>
      </c>
    </row>
    <row r="234" spans="1:2" x14ac:dyDescent="0.25">
      <c r="A234" t="s">
        <v>28</v>
      </c>
      <c r="B234" t="s">
        <v>893</v>
      </c>
    </row>
    <row r="235" spans="1:2" x14ac:dyDescent="0.25">
      <c r="A235" t="s">
        <v>28</v>
      </c>
      <c r="B235" t="s">
        <v>2444</v>
      </c>
    </row>
    <row r="236" spans="1:2" x14ac:dyDescent="0.25">
      <c r="A236" t="s">
        <v>28</v>
      </c>
      <c r="B236" t="s">
        <v>2463</v>
      </c>
    </row>
    <row r="237" spans="1:2" x14ac:dyDescent="0.25">
      <c r="A237" t="s">
        <v>28</v>
      </c>
      <c r="B237" t="s">
        <v>892</v>
      </c>
    </row>
    <row r="238" spans="1:2" x14ac:dyDescent="0.25">
      <c r="A238" t="s">
        <v>35</v>
      </c>
      <c r="B238" t="s">
        <v>570</v>
      </c>
    </row>
    <row r="239" spans="1:2" x14ac:dyDescent="0.25">
      <c r="A239" t="s">
        <v>35</v>
      </c>
      <c r="B239" t="s">
        <v>947</v>
      </c>
    </row>
    <row r="240" spans="1:2" x14ac:dyDescent="0.25">
      <c r="A240" t="s">
        <v>35</v>
      </c>
      <c r="B240" t="s">
        <v>218</v>
      </c>
    </row>
    <row r="241" spans="1:2" x14ac:dyDescent="0.25">
      <c r="A241" t="s">
        <v>35</v>
      </c>
      <c r="B241" t="s">
        <v>850</v>
      </c>
    </row>
    <row r="242" spans="1:2" x14ac:dyDescent="0.25">
      <c r="A242" t="s">
        <v>35</v>
      </c>
      <c r="B242" t="s">
        <v>2676</v>
      </c>
    </row>
    <row r="243" spans="1:2" x14ac:dyDescent="0.25">
      <c r="A243" t="s">
        <v>43</v>
      </c>
      <c r="B243" t="s">
        <v>223</v>
      </c>
    </row>
    <row r="244" spans="1:2" x14ac:dyDescent="0.25">
      <c r="A244" t="s">
        <v>43</v>
      </c>
      <c r="B244" t="s">
        <v>643</v>
      </c>
    </row>
    <row r="245" spans="1:2" x14ac:dyDescent="0.25">
      <c r="A245" t="s">
        <v>43</v>
      </c>
      <c r="B245" t="s">
        <v>435</v>
      </c>
    </row>
    <row r="246" spans="1:2" x14ac:dyDescent="0.25">
      <c r="A246" t="s">
        <v>48</v>
      </c>
      <c r="B246" t="s">
        <v>2499</v>
      </c>
    </row>
    <row r="247" spans="1:2" x14ac:dyDescent="0.25">
      <c r="A247" t="s">
        <v>2539</v>
      </c>
      <c r="B247" t="s">
        <v>2570</v>
      </c>
    </row>
    <row r="248" spans="1:2" x14ac:dyDescent="0.25">
      <c r="A248" t="s">
        <v>2537</v>
      </c>
      <c r="B248" t="s">
        <v>2571</v>
      </c>
    </row>
    <row r="249" spans="1:2" x14ac:dyDescent="0.25">
      <c r="A249" t="s">
        <v>29</v>
      </c>
      <c r="B249" t="s">
        <v>311</v>
      </c>
    </row>
    <row r="250" spans="1:2" x14ac:dyDescent="0.25">
      <c r="A250" t="s">
        <v>29</v>
      </c>
      <c r="B250" t="s">
        <v>315</v>
      </c>
    </row>
    <row r="251" spans="1:2" x14ac:dyDescent="0.25">
      <c r="A251" t="s">
        <v>28</v>
      </c>
      <c r="B251" t="s">
        <v>878</v>
      </c>
    </row>
    <row r="252" spans="1:2" x14ac:dyDescent="0.25">
      <c r="A252" t="s">
        <v>28</v>
      </c>
      <c r="B252" t="s">
        <v>333</v>
      </c>
    </row>
    <row r="253" spans="1:2" x14ac:dyDescent="0.25">
      <c r="A253" t="s">
        <v>28</v>
      </c>
      <c r="B253" t="s">
        <v>2465</v>
      </c>
    </row>
    <row r="254" spans="1:2" x14ac:dyDescent="0.25">
      <c r="A254" t="s">
        <v>28</v>
      </c>
      <c r="B254" t="s">
        <v>544</v>
      </c>
    </row>
    <row r="255" spans="1:2" x14ac:dyDescent="0.25">
      <c r="A255" t="s">
        <v>35</v>
      </c>
      <c r="B255" t="s">
        <v>384</v>
      </c>
    </row>
    <row r="256" spans="1:2" x14ac:dyDescent="0.25">
      <c r="A256" t="s">
        <v>35</v>
      </c>
      <c r="B256" t="s">
        <v>579</v>
      </c>
    </row>
    <row r="257" spans="1:2" x14ac:dyDescent="0.25">
      <c r="A257" t="s">
        <v>35</v>
      </c>
      <c r="B257" t="s">
        <v>2418</v>
      </c>
    </row>
    <row r="258" spans="1:2" x14ac:dyDescent="0.25">
      <c r="A258" t="s">
        <v>35</v>
      </c>
      <c r="B258" t="s">
        <v>705</v>
      </c>
    </row>
    <row r="259" spans="1:2" x14ac:dyDescent="0.25">
      <c r="A259" t="s">
        <v>35</v>
      </c>
      <c r="B259" t="s">
        <v>582</v>
      </c>
    </row>
    <row r="260" spans="1:2" x14ac:dyDescent="0.25">
      <c r="A260" t="s">
        <v>43</v>
      </c>
      <c r="B260" t="s">
        <v>121</v>
      </c>
    </row>
    <row r="261" spans="1:2" x14ac:dyDescent="0.25">
      <c r="A261" t="s">
        <v>43</v>
      </c>
      <c r="B261" t="s">
        <v>756</v>
      </c>
    </row>
    <row r="262" spans="1:2" x14ac:dyDescent="0.25">
      <c r="A262" t="s">
        <v>43</v>
      </c>
      <c r="B262" t="s">
        <v>978</v>
      </c>
    </row>
    <row r="263" spans="1:2" x14ac:dyDescent="0.25">
      <c r="A263" t="s">
        <v>48</v>
      </c>
      <c r="B263" t="s">
        <v>451</v>
      </c>
    </row>
    <row r="264" spans="1:2" x14ac:dyDescent="0.25">
      <c r="A264" t="s">
        <v>2539</v>
      </c>
      <c r="B264" t="s">
        <v>2572</v>
      </c>
    </row>
    <row r="265" spans="1:2" x14ac:dyDescent="0.25">
      <c r="A265" t="s">
        <v>2537</v>
      </c>
      <c r="B265" t="s">
        <v>2573</v>
      </c>
    </row>
    <row r="266" spans="1:2" x14ac:dyDescent="0.25">
      <c r="A266" t="s">
        <v>29</v>
      </c>
      <c r="B266" t="s">
        <v>166</v>
      </c>
    </row>
    <row r="267" spans="1:2" x14ac:dyDescent="0.25">
      <c r="A267" t="s">
        <v>29</v>
      </c>
      <c r="B267" t="s">
        <v>654</v>
      </c>
    </row>
    <row r="268" spans="1:2" x14ac:dyDescent="0.25">
      <c r="A268" t="s">
        <v>28</v>
      </c>
      <c r="B268" t="s">
        <v>660</v>
      </c>
    </row>
    <row r="269" spans="1:2" x14ac:dyDescent="0.25">
      <c r="A269" t="s">
        <v>28</v>
      </c>
      <c r="B269" t="s">
        <v>159</v>
      </c>
    </row>
    <row r="270" spans="1:2" x14ac:dyDescent="0.25">
      <c r="A270" t="s">
        <v>28</v>
      </c>
      <c r="B270" t="s">
        <v>2452</v>
      </c>
    </row>
    <row r="271" spans="1:2" x14ac:dyDescent="0.25">
      <c r="A271" t="s">
        <v>28</v>
      </c>
      <c r="B271" t="s">
        <v>678</v>
      </c>
    </row>
    <row r="272" spans="1:2" x14ac:dyDescent="0.25">
      <c r="A272" t="s">
        <v>35</v>
      </c>
      <c r="B272" t="s">
        <v>125</v>
      </c>
    </row>
    <row r="273" spans="1:2" x14ac:dyDescent="0.25">
      <c r="A273" t="s">
        <v>35</v>
      </c>
      <c r="B273" t="s">
        <v>709</v>
      </c>
    </row>
    <row r="274" spans="1:2" x14ac:dyDescent="0.25">
      <c r="A274" t="s">
        <v>35</v>
      </c>
      <c r="B274" t="s">
        <v>409</v>
      </c>
    </row>
    <row r="275" spans="1:2" x14ac:dyDescent="0.25">
      <c r="A275" t="s">
        <v>35</v>
      </c>
      <c r="B275" t="s">
        <v>956</v>
      </c>
    </row>
    <row r="276" spans="1:2" x14ac:dyDescent="0.25">
      <c r="A276" t="s">
        <v>35</v>
      </c>
      <c r="B276" t="s">
        <v>2674</v>
      </c>
    </row>
    <row r="277" spans="1:2" x14ac:dyDescent="0.25">
      <c r="A277" t="s">
        <v>43</v>
      </c>
      <c r="B277" t="s">
        <v>743</v>
      </c>
    </row>
    <row r="278" spans="1:2" x14ac:dyDescent="0.25">
      <c r="A278" t="s">
        <v>43</v>
      </c>
      <c r="B278" t="s">
        <v>753</v>
      </c>
    </row>
    <row r="279" spans="1:2" x14ac:dyDescent="0.25">
      <c r="A279" t="s">
        <v>43</v>
      </c>
      <c r="B279" t="s">
        <v>821</v>
      </c>
    </row>
    <row r="280" spans="1:2" x14ac:dyDescent="0.25">
      <c r="A280" t="s">
        <v>48</v>
      </c>
      <c r="B280" t="s">
        <v>601</v>
      </c>
    </row>
    <row r="281" spans="1:2" x14ac:dyDescent="0.25">
      <c r="A281" t="s">
        <v>2539</v>
      </c>
      <c r="B281" t="s">
        <v>2574</v>
      </c>
    </row>
    <row r="282" spans="1:2" x14ac:dyDescent="0.25">
      <c r="A282" t="s">
        <v>2537</v>
      </c>
      <c r="B282" t="s">
        <v>2575</v>
      </c>
    </row>
    <row r="283" spans="1:2" x14ac:dyDescent="0.25">
      <c r="A283" t="s">
        <v>29</v>
      </c>
      <c r="B283" t="s">
        <v>873</v>
      </c>
    </row>
    <row r="284" spans="1:2" x14ac:dyDescent="0.25">
      <c r="A284" t="s">
        <v>29</v>
      </c>
      <c r="B284" t="s">
        <v>323</v>
      </c>
    </row>
    <row r="285" spans="1:2" x14ac:dyDescent="0.25">
      <c r="A285" t="s">
        <v>28</v>
      </c>
      <c r="B285" t="s">
        <v>549</v>
      </c>
    </row>
    <row r="286" spans="1:2" x14ac:dyDescent="0.25">
      <c r="A286" t="s">
        <v>28</v>
      </c>
      <c r="B286" t="s">
        <v>886</v>
      </c>
    </row>
    <row r="287" spans="1:2" x14ac:dyDescent="0.25">
      <c r="A287" t="s">
        <v>28</v>
      </c>
      <c r="B287" t="s">
        <v>546</v>
      </c>
    </row>
    <row r="288" spans="1:2" x14ac:dyDescent="0.25">
      <c r="A288" t="s">
        <v>28</v>
      </c>
      <c r="B288" t="s">
        <v>2449</v>
      </c>
    </row>
    <row r="289" spans="1:2" x14ac:dyDescent="0.25">
      <c r="A289" t="s">
        <v>35</v>
      </c>
      <c r="B289" t="s">
        <v>129</v>
      </c>
    </row>
    <row r="290" spans="1:2" x14ac:dyDescent="0.25">
      <c r="A290" t="s">
        <v>35</v>
      </c>
      <c r="B290" t="s">
        <v>185</v>
      </c>
    </row>
    <row r="291" spans="1:2" x14ac:dyDescent="0.25">
      <c r="A291" t="s">
        <v>35</v>
      </c>
      <c r="B291" t="s">
        <v>2576</v>
      </c>
    </row>
    <row r="292" spans="1:2" x14ac:dyDescent="0.25">
      <c r="A292" t="s">
        <v>35</v>
      </c>
      <c r="B292" t="s">
        <v>864</v>
      </c>
    </row>
    <row r="293" spans="1:2" x14ac:dyDescent="0.25">
      <c r="A293" t="s">
        <v>35</v>
      </c>
      <c r="B293" t="s">
        <v>644</v>
      </c>
    </row>
    <row r="294" spans="1:2" x14ac:dyDescent="0.25">
      <c r="A294" t="s">
        <v>43</v>
      </c>
      <c r="B294" t="s">
        <v>419</v>
      </c>
    </row>
    <row r="295" spans="1:2" x14ac:dyDescent="0.25">
      <c r="A295" t="s">
        <v>43</v>
      </c>
      <c r="B295" t="s">
        <v>2577</v>
      </c>
    </row>
    <row r="296" spans="1:2" x14ac:dyDescent="0.25">
      <c r="A296" t="s">
        <v>43</v>
      </c>
      <c r="B296" t="s">
        <v>983</v>
      </c>
    </row>
    <row r="297" spans="1:2" x14ac:dyDescent="0.25">
      <c r="A297" t="s">
        <v>48</v>
      </c>
      <c r="B297" t="s">
        <v>249</v>
      </c>
    </row>
    <row r="298" spans="1:2" x14ac:dyDescent="0.25">
      <c r="A298" t="s">
        <v>2539</v>
      </c>
      <c r="B298" t="s">
        <v>2578</v>
      </c>
    </row>
    <row r="299" spans="1:2" x14ac:dyDescent="0.25">
      <c r="A299" t="s">
        <v>2537</v>
      </c>
      <c r="B299" t="s">
        <v>2579</v>
      </c>
    </row>
    <row r="300" spans="1:2" x14ac:dyDescent="0.25">
      <c r="A300" t="s">
        <v>29</v>
      </c>
      <c r="B300" t="s">
        <v>187</v>
      </c>
    </row>
    <row r="301" spans="1:2" x14ac:dyDescent="0.25">
      <c r="A301" t="s">
        <v>29</v>
      </c>
      <c r="B301" t="s">
        <v>875</v>
      </c>
    </row>
    <row r="302" spans="1:2" x14ac:dyDescent="0.25">
      <c r="A302" t="s">
        <v>28</v>
      </c>
      <c r="B302" t="s">
        <v>881</v>
      </c>
    </row>
    <row r="303" spans="1:2" x14ac:dyDescent="0.25">
      <c r="A303" t="s">
        <v>28</v>
      </c>
      <c r="B303" t="s">
        <v>798</v>
      </c>
    </row>
    <row r="304" spans="1:2" x14ac:dyDescent="0.25">
      <c r="A304" t="s">
        <v>28</v>
      </c>
      <c r="B304" t="s">
        <v>2459</v>
      </c>
    </row>
    <row r="305" spans="1:2" x14ac:dyDescent="0.25">
      <c r="A305" t="s">
        <v>28</v>
      </c>
      <c r="B305" t="s">
        <v>931</v>
      </c>
    </row>
    <row r="306" spans="1:2" x14ac:dyDescent="0.25">
      <c r="A306" t="s">
        <v>35</v>
      </c>
      <c r="B306" t="s">
        <v>375</v>
      </c>
    </row>
    <row r="307" spans="1:2" x14ac:dyDescent="0.25">
      <c r="A307" t="s">
        <v>35</v>
      </c>
      <c r="B307" t="s">
        <v>944</v>
      </c>
    </row>
    <row r="308" spans="1:2" x14ac:dyDescent="0.25">
      <c r="A308" t="s">
        <v>35</v>
      </c>
      <c r="B308" t="s">
        <v>844</v>
      </c>
    </row>
    <row r="309" spans="1:2" x14ac:dyDescent="0.25">
      <c r="A309" t="s">
        <v>35</v>
      </c>
      <c r="B309" t="s">
        <v>958</v>
      </c>
    </row>
    <row r="310" spans="1:2" x14ac:dyDescent="0.25">
      <c r="A310" t="s">
        <v>35</v>
      </c>
      <c r="B310" t="s">
        <v>1002</v>
      </c>
    </row>
    <row r="311" spans="1:2" x14ac:dyDescent="0.25">
      <c r="A311" t="s">
        <v>43</v>
      </c>
      <c r="B311" t="s">
        <v>416</v>
      </c>
    </row>
    <row r="312" spans="1:2" x14ac:dyDescent="0.25">
      <c r="A312" t="s">
        <v>43</v>
      </c>
      <c r="B312" t="s">
        <v>824</v>
      </c>
    </row>
    <row r="313" spans="1:2" x14ac:dyDescent="0.25">
      <c r="A313" t="s">
        <v>48</v>
      </c>
      <c r="B313" t="s">
        <v>764</v>
      </c>
    </row>
    <row r="314" spans="1:2" x14ac:dyDescent="0.25">
      <c r="A314" t="s">
        <v>2539</v>
      </c>
      <c r="B314" t="s">
        <v>2580</v>
      </c>
    </row>
    <row r="315" spans="1:2" x14ac:dyDescent="0.25">
      <c r="A315" t="s">
        <v>2537</v>
      </c>
      <c r="B315" t="s">
        <v>2581</v>
      </c>
    </row>
    <row r="316" spans="1:2" x14ac:dyDescent="0.25">
      <c r="A316" t="s">
        <v>29</v>
      </c>
      <c r="B316" t="s">
        <v>872</v>
      </c>
    </row>
    <row r="317" spans="1:2" x14ac:dyDescent="0.25">
      <c r="A317" t="s">
        <v>29</v>
      </c>
      <c r="B317" t="s">
        <v>312</v>
      </c>
    </row>
    <row r="318" spans="1:2" x14ac:dyDescent="0.25">
      <c r="A318" t="s">
        <v>28</v>
      </c>
      <c r="B318" t="s">
        <v>552</v>
      </c>
    </row>
    <row r="319" spans="1:2" x14ac:dyDescent="0.25">
      <c r="A319" t="s">
        <v>28</v>
      </c>
      <c r="B319" t="s">
        <v>353</v>
      </c>
    </row>
    <row r="320" spans="1:2" x14ac:dyDescent="0.25">
      <c r="A320" t="s">
        <v>28</v>
      </c>
      <c r="B320" t="s">
        <v>677</v>
      </c>
    </row>
    <row r="321" spans="1:2" x14ac:dyDescent="0.25">
      <c r="A321" t="s">
        <v>28</v>
      </c>
      <c r="B321" t="s">
        <v>896</v>
      </c>
    </row>
    <row r="322" spans="1:2" x14ac:dyDescent="0.25">
      <c r="A322" t="s">
        <v>35</v>
      </c>
      <c r="B322" t="s">
        <v>132</v>
      </c>
    </row>
    <row r="323" spans="1:2" x14ac:dyDescent="0.25">
      <c r="A323" t="s">
        <v>35</v>
      </c>
      <c r="B323" t="s">
        <v>948</v>
      </c>
    </row>
    <row r="324" spans="1:2" x14ac:dyDescent="0.25">
      <c r="A324" t="s">
        <v>35</v>
      </c>
      <c r="B324" t="s">
        <v>2582</v>
      </c>
    </row>
    <row r="325" spans="1:2" x14ac:dyDescent="0.25">
      <c r="A325" t="s">
        <v>35</v>
      </c>
      <c r="B325" t="s">
        <v>732</v>
      </c>
    </row>
    <row r="326" spans="1:2" x14ac:dyDescent="0.25">
      <c r="A326" t="s">
        <v>35</v>
      </c>
      <c r="B326" t="s">
        <v>2431</v>
      </c>
    </row>
    <row r="327" spans="1:2" x14ac:dyDescent="0.25">
      <c r="A327" t="s">
        <v>43</v>
      </c>
      <c r="B327" t="s">
        <v>587</v>
      </c>
    </row>
    <row r="328" spans="1:2" x14ac:dyDescent="0.25">
      <c r="A328" t="s">
        <v>43</v>
      </c>
      <c r="B328" t="s">
        <v>595</v>
      </c>
    </row>
    <row r="329" spans="1:2" x14ac:dyDescent="0.25">
      <c r="A329" t="s">
        <v>43</v>
      </c>
      <c r="B329" t="s">
        <v>976</v>
      </c>
    </row>
    <row r="330" spans="1:2" x14ac:dyDescent="0.25">
      <c r="A330" t="s">
        <v>48</v>
      </c>
      <c r="B330" t="s">
        <v>603</v>
      </c>
    </row>
    <row r="331" spans="1:2" x14ac:dyDescent="0.25">
      <c r="A331" t="s">
        <v>2539</v>
      </c>
      <c r="B331" t="s">
        <v>2583</v>
      </c>
    </row>
    <row r="332" spans="1:2" x14ac:dyDescent="0.25">
      <c r="A332" t="s">
        <v>2537</v>
      </c>
      <c r="B332" t="s">
        <v>2584</v>
      </c>
    </row>
    <row r="333" spans="1:2" x14ac:dyDescent="0.25">
      <c r="A333" t="s">
        <v>29</v>
      </c>
      <c r="B333" t="s">
        <v>168</v>
      </c>
    </row>
    <row r="334" spans="1:2" x14ac:dyDescent="0.25">
      <c r="A334" t="s">
        <v>29</v>
      </c>
      <c r="B334" t="s">
        <v>651</v>
      </c>
    </row>
    <row r="335" spans="1:2" x14ac:dyDescent="0.25">
      <c r="A335" t="s">
        <v>28</v>
      </c>
      <c r="B335" t="s">
        <v>139</v>
      </c>
    </row>
    <row r="336" spans="1:2" x14ac:dyDescent="0.25">
      <c r="A336" t="s">
        <v>28</v>
      </c>
      <c r="B336" t="s">
        <v>666</v>
      </c>
    </row>
    <row r="337" spans="1:2" x14ac:dyDescent="0.25">
      <c r="A337" t="s">
        <v>28</v>
      </c>
      <c r="B337" t="s">
        <v>936</v>
      </c>
    </row>
    <row r="338" spans="1:2" x14ac:dyDescent="0.25">
      <c r="A338" t="s">
        <v>28</v>
      </c>
      <c r="B338" t="s">
        <v>2464</v>
      </c>
    </row>
    <row r="339" spans="1:2" x14ac:dyDescent="0.25">
      <c r="A339" t="s">
        <v>35</v>
      </c>
      <c r="B339" t="s">
        <v>835</v>
      </c>
    </row>
    <row r="340" spans="1:2" x14ac:dyDescent="0.25">
      <c r="A340" t="s">
        <v>35</v>
      </c>
      <c r="B340" t="s">
        <v>210</v>
      </c>
    </row>
    <row r="341" spans="1:2" x14ac:dyDescent="0.25">
      <c r="A341" t="s">
        <v>35</v>
      </c>
      <c r="B341" t="s">
        <v>860</v>
      </c>
    </row>
    <row r="342" spans="1:2" x14ac:dyDescent="0.25">
      <c r="A342" t="s">
        <v>35</v>
      </c>
      <c r="B342" t="s">
        <v>833</v>
      </c>
    </row>
    <row r="343" spans="1:2" x14ac:dyDescent="0.25">
      <c r="A343" t="s">
        <v>35</v>
      </c>
      <c r="B343" t="s">
        <v>2438</v>
      </c>
    </row>
    <row r="344" spans="1:2" x14ac:dyDescent="0.25">
      <c r="A344" t="s">
        <v>43</v>
      </c>
      <c r="B344" t="s">
        <v>747</v>
      </c>
    </row>
    <row r="345" spans="1:2" x14ac:dyDescent="0.25">
      <c r="A345" t="s">
        <v>43</v>
      </c>
      <c r="B345" t="s">
        <v>760</v>
      </c>
    </row>
    <row r="346" spans="1:2" x14ac:dyDescent="0.25">
      <c r="A346" t="s">
        <v>43</v>
      </c>
      <c r="B346" t="s">
        <v>984</v>
      </c>
    </row>
    <row r="347" spans="1:2" x14ac:dyDescent="0.25">
      <c r="A347" t="s">
        <v>48</v>
      </c>
      <c r="B347" t="s">
        <v>765</v>
      </c>
    </row>
    <row r="348" spans="1:2" x14ac:dyDescent="0.25">
      <c r="A348" t="s">
        <v>2539</v>
      </c>
      <c r="B348" t="s">
        <v>2659</v>
      </c>
    </row>
    <row r="349" spans="1:2" x14ac:dyDescent="0.25">
      <c r="A349" t="s">
        <v>2537</v>
      </c>
      <c r="B349" t="s">
        <v>2585</v>
      </c>
    </row>
    <row r="350" spans="1:2" x14ac:dyDescent="0.25">
      <c r="A350" t="s">
        <v>29</v>
      </c>
      <c r="B350" t="s">
        <v>919</v>
      </c>
    </row>
    <row r="351" spans="1:2" x14ac:dyDescent="0.25">
      <c r="A351" t="s">
        <v>29</v>
      </c>
      <c r="B351" t="s">
        <v>300</v>
      </c>
    </row>
    <row r="352" spans="1:2" x14ac:dyDescent="0.25">
      <c r="A352" t="s">
        <v>28</v>
      </c>
      <c r="B352" t="s">
        <v>665</v>
      </c>
    </row>
    <row r="353" spans="1:2" x14ac:dyDescent="0.25">
      <c r="A353" t="s">
        <v>28</v>
      </c>
      <c r="B353" t="s">
        <v>933</v>
      </c>
    </row>
    <row r="354" spans="1:2" x14ac:dyDescent="0.25">
      <c r="A354" t="s">
        <v>28</v>
      </c>
      <c r="B354" t="s">
        <v>134</v>
      </c>
    </row>
    <row r="355" spans="1:2" x14ac:dyDescent="0.25">
      <c r="A355" t="s">
        <v>28</v>
      </c>
      <c r="B355" t="s">
        <v>2456</v>
      </c>
    </row>
    <row r="356" spans="1:2" x14ac:dyDescent="0.25">
      <c r="A356" t="s">
        <v>35</v>
      </c>
      <c r="B356" t="s">
        <v>796</v>
      </c>
    </row>
    <row r="357" spans="1:2" x14ac:dyDescent="0.25">
      <c r="A357" t="s">
        <v>35</v>
      </c>
      <c r="B357" t="s">
        <v>770</v>
      </c>
    </row>
    <row r="358" spans="1:2" x14ac:dyDescent="0.25">
      <c r="A358" t="s">
        <v>35</v>
      </c>
      <c r="B358" t="s">
        <v>578</v>
      </c>
    </row>
    <row r="359" spans="1:2" x14ac:dyDescent="0.25">
      <c r="A359" t="s">
        <v>35</v>
      </c>
      <c r="B359" t="s">
        <v>388</v>
      </c>
    </row>
    <row r="360" spans="1:2" x14ac:dyDescent="0.25">
      <c r="A360" t="s">
        <v>35</v>
      </c>
      <c r="B360" t="s">
        <v>2432</v>
      </c>
    </row>
    <row r="361" spans="1:2" x14ac:dyDescent="0.25">
      <c r="A361" t="s">
        <v>43</v>
      </c>
      <c r="B361" t="s">
        <v>739</v>
      </c>
    </row>
    <row r="362" spans="1:2" x14ac:dyDescent="0.25">
      <c r="A362" t="s">
        <v>43</v>
      </c>
      <c r="B362" t="s">
        <v>427</v>
      </c>
    </row>
    <row r="363" spans="1:2" x14ac:dyDescent="0.25">
      <c r="A363" t="s">
        <v>48</v>
      </c>
      <c r="B363" t="s">
        <v>801</v>
      </c>
    </row>
    <row r="364" spans="1:2" x14ac:dyDescent="0.25">
      <c r="A364" t="s">
        <v>2539</v>
      </c>
      <c r="B364" t="s">
        <v>2586</v>
      </c>
    </row>
    <row r="365" spans="1:2" x14ac:dyDescent="0.25">
      <c r="A365" t="s">
        <v>2537</v>
      </c>
      <c r="B365" t="s">
        <v>2587</v>
      </c>
    </row>
    <row r="366" spans="1:2" x14ac:dyDescent="0.25">
      <c r="A366" t="s">
        <v>29</v>
      </c>
      <c r="B366" t="s">
        <v>162</v>
      </c>
    </row>
    <row r="367" spans="1:2" x14ac:dyDescent="0.25">
      <c r="A367" t="s">
        <v>29</v>
      </c>
      <c r="B367" t="s">
        <v>197</v>
      </c>
    </row>
    <row r="368" spans="1:2" x14ac:dyDescent="0.25">
      <c r="A368" t="s">
        <v>28</v>
      </c>
      <c r="B368" t="s">
        <v>335</v>
      </c>
    </row>
    <row r="369" spans="1:2" x14ac:dyDescent="0.25">
      <c r="A369" t="s">
        <v>28</v>
      </c>
      <c r="B369" t="s">
        <v>797</v>
      </c>
    </row>
    <row r="370" spans="1:2" x14ac:dyDescent="0.25">
      <c r="A370" t="s">
        <v>28</v>
      </c>
      <c r="B370" t="s">
        <v>943</v>
      </c>
    </row>
    <row r="371" spans="1:2" x14ac:dyDescent="0.25">
      <c r="A371" t="s">
        <v>28</v>
      </c>
      <c r="B371" t="s">
        <v>685</v>
      </c>
    </row>
    <row r="372" spans="1:2" x14ac:dyDescent="0.25">
      <c r="A372" t="s">
        <v>35</v>
      </c>
      <c r="B372" t="s">
        <v>103</v>
      </c>
    </row>
    <row r="373" spans="1:2" x14ac:dyDescent="0.25">
      <c r="A373" t="s">
        <v>35</v>
      </c>
      <c r="B373" t="s">
        <v>2414</v>
      </c>
    </row>
    <row r="374" spans="1:2" x14ac:dyDescent="0.25">
      <c r="A374" t="s">
        <v>35</v>
      </c>
      <c r="B374" t="s">
        <v>135</v>
      </c>
    </row>
    <row r="375" spans="1:2" x14ac:dyDescent="0.25">
      <c r="A375" t="s">
        <v>35</v>
      </c>
      <c r="B375" t="s">
        <v>867</v>
      </c>
    </row>
    <row r="376" spans="1:2" x14ac:dyDescent="0.25">
      <c r="A376" t="s">
        <v>35</v>
      </c>
      <c r="B376" t="s">
        <v>2732</v>
      </c>
    </row>
    <row r="377" spans="1:2" x14ac:dyDescent="0.25">
      <c r="A377" t="s">
        <v>43</v>
      </c>
      <c r="B377" t="s">
        <v>539</v>
      </c>
    </row>
    <row r="378" spans="1:2" x14ac:dyDescent="0.25">
      <c r="A378" t="s">
        <v>43</v>
      </c>
      <c r="B378" t="s">
        <v>823</v>
      </c>
    </row>
    <row r="379" spans="1:2" x14ac:dyDescent="0.25">
      <c r="A379" t="s">
        <v>43</v>
      </c>
      <c r="B379" t="s">
        <v>430</v>
      </c>
    </row>
    <row r="380" spans="1:2" x14ac:dyDescent="0.25">
      <c r="A380" t="s">
        <v>48</v>
      </c>
      <c r="B380" t="s">
        <v>224</v>
      </c>
    </row>
    <row r="381" spans="1:2" x14ac:dyDescent="0.25">
      <c r="A381" t="s">
        <v>2539</v>
      </c>
      <c r="B381" t="s">
        <v>2588</v>
      </c>
    </row>
    <row r="382" spans="1:2" x14ac:dyDescent="0.25">
      <c r="A382" t="s">
        <v>2537</v>
      </c>
      <c r="B382" t="s">
        <v>2589</v>
      </c>
    </row>
    <row r="383" spans="1:2" x14ac:dyDescent="0.25">
      <c r="A383" t="s">
        <v>29</v>
      </c>
      <c r="B383" t="s">
        <v>649</v>
      </c>
    </row>
    <row r="384" spans="1:2" x14ac:dyDescent="0.25">
      <c r="A384" t="s">
        <v>29</v>
      </c>
      <c r="B384" t="s">
        <v>198</v>
      </c>
    </row>
    <row r="385" spans="1:2" x14ac:dyDescent="0.25">
      <c r="A385" t="s">
        <v>28</v>
      </c>
      <c r="B385" t="s">
        <v>541</v>
      </c>
    </row>
    <row r="386" spans="1:2" x14ac:dyDescent="0.25">
      <c r="A386" t="s">
        <v>28</v>
      </c>
      <c r="B386" t="s">
        <v>529</v>
      </c>
    </row>
    <row r="387" spans="1:2" x14ac:dyDescent="0.25">
      <c r="A387" t="s">
        <v>28</v>
      </c>
      <c r="B387" t="s">
        <v>937</v>
      </c>
    </row>
    <row r="388" spans="1:2" x14ac:dyDescent="0.25">
      <c r="A388" t="s">
        <v>28</v>
      </c>
      <c r="B388" t="s">
        <v>941</v>
      </c>
    </row>
    <row r="389" spans="1:2" x14ac:dyDescent="0.25">
      <c r="A389" t="s">
        <v>35</v>
      </c>
      <c r="B389" t="s">
        <v>954</v>
      </c>
    </row>
    <row r="390" spans="1:2" x14ac:dyDescent="0.25">
      <c r="A390" t="s">
        <v>35</v>
      </c>
      <c r="B390" t="s">
        <v>370</v>
      </c>
    </row>
    <row r="391" spans="1:2" x14ac:dyDescent="0.25">
      <c r="A391" t="s">
        <v>35</v>
      </c>
      <c r="B391" t="s">
        <v>215</v>
      </c>
    </row>
    <row r="392" spans="1:2" x14ac:dyDescent="0.25">
      <c r="A392" t="s">
        <v>35</v>
      </c>
      <c r="B392" t="s">
        <v>2427</v>
      </c>
    </row>
    <row r="393" spans="1:2" x14ac:dyDescent="0.25">
      <c r="A393" t="s">
        <v>35</v>
      </c>
      <c r="B393" t="s">
        <v>2439</v>
      </c>
    </row>
    <row r="394" spans="1:2" x14ac:dyDescent="0.25">
      <c r="A394" t="s">
        <v>43</v>
      </c>
      <c r="B394" t="s">
        <v>2478</v>
      </c>
    </row>
    <row r="395" spans="1:2" x14ac:dyDescent="0.25">
      <c r="A395" t="s">
        <v>43</v>
      </c>
      <c r="B395" t="s">
        <v>997</v>
      </c>
    </row>
    <row r="396" spans="1:2" x14ac:dyDescent="0.25">
      <c r="A396" t="s">
        <v>43</v>
      </c>
      <c r="B396" t="s">
        <v>750</v>
      </c>
    </row>
    <row r="397" spans="1:2" x14ac:dyDescent="0.25">
      <c r="A397" t="s">
        <v>48</v>
      </c>
      <c r="B397" t="s">
        <v>245</v>
      </c>
    </row>
    <row r="398" spans="1:2" x14ac:dyDescent="0.25">
      <c r="A398" t="s">
        <v>2539</v>
      </c>
      <c r="B398" t="s">
        <v>2590</v>
      </c>
    </row>
    <row r="399" spans="1:2" x14ac:dyDescent="0.25">
      <c r="A399" t="s">
        <v>2537</v>
      </c>
      <c r="B399" t="s">
        <v>2591</v>
      </c>
    </row>
    <row r="400" spans="1:2" x14ac:dyDescent="0.25">
      <c r="A400" t="s">
        <v>29</v>
      </c>
      <c r="B400" t="s">
        <v>916</v>
      </c>
    </row>
    <row r="401" spans="1:2" x14ac:dyDescent="0.25">
      <c r="A401" t="s">
        <v>29</v>
      </c>
      <c r="B401" t="s">
        <v>191</v>
      </c>
    </row>
    <row r="402" spans="1:2" x14ac:dyDescent="0.25">
      <c r="A402" t="s">
        <v>28</v>
      </c>
      <c r="B402" t="s">
        <v>2443</v>
      </c>
    </row>
    <row r="403" spans="1:2" x14ac:dyDescent="0.25">
      <c r="A403" t="s">
        <v>28</v>
      </c>
      <c r="B403" t="s">
        <v>929</v>
      </c>
    </row>
    <row r="404" spans="1:2" x14ac:dyDescent="0.25">
      <c r="A404" t="s">
        <v>28</v>
      </c>
      <c r="B404" t="s">
        <v>692</v>
      </c>
    </row>
    <row r="405" spans="1:2" x14ac:dyDescent="0.25">
      <c r="A405" t="s">
        <v>28</v>
      </c>
      <c r="B405" t="s">
        <v>2671</v>
      </c>
    </row>
    <row r="406" spans="1:2" x14ac:dyDescent="0.25">
      <c r="A406" t="s">
        <v>35</v>
      </c>
      <c r="B406" t="s">
        <v>950</v>
      </c>
    </row>
    <row r="407" spans="1:2" x14ac:dyDescent="0.25">
      <c r="A407" t="s">
        <v>35</v>
      </c>
      <c r="B407" t="s">
        <v>2415</v>
      </c>
    </row>
    <row r="408" spans="1:2" x14ac:dyDescent="0.25">
      <c r="A408" t="s">
        <v>35</v>
      </c>
      <c r="B408" t="s">
        <v>170</v>
      </c>
    </row>
    <row r="409" spans="1:2" x14ac:dyDescent="0.25">
      <c r="A409" t="s">
        <v>35</v>
      </c>
      <c r="B409" t="s">
        <v>725</v>
      </c>
    </row>
    <row r="410" spans="1:2" x14ac:dyDescent="0.25">
      <c r="A410" t="s">
        <v>35</v>
      </c>
      <c r="B410" t="s">
        <v>858</v>
      </c>
    </row>
    <row r="411" spans="1:2" x14ac:dyDescent="0.25">
      <c r="A411" t="s">
        <v>43</v>
      </c>
      <c r="B411" t="s">
        <v>598</v>
      </c>
    </row>
    <row r="412" spans="1:2" x14ac:dyDescent="0.25">
      <c r="A412" t="s">
        <v>43</v>
      </c>
      <c r="B412" t="s">
        <v>434</v>
      </c>
    </row>
    <row r="413" spans="1:2" x14ac:dyDescent="0.25">
      <c r="A413" t="s">
        <v>43</v>
      </c>
      <c r="B413" t="s">
        <v>2494</v>
      </c>
    </row>
    <row r="414" spans="1:2" x14ac:dyDescent="0.25">
      <c r="A414" t="s">
        <v>48</v>
      </c>
      <c r="B414" t="s">
        <v>449</v>
      </c>
    </row>
    <row r="415" spans="1:2" x14ac:dyDescent="0.25">
      <c r="A415" t="s">
        <v>2539</v>
      </c>
      <c r="B415" t="s">
        <v>2592</v>
      </c>
    </row>
    <row r="416" spans="1:2" x14ac:dyDescent="0.25">
      <c r="A416" t="s">
        <v>2537</v>
      </c>
      <c r="B416" t="s">
        <v>2593</v>
      </c>
    </row>
    <row r="417" spans="1:2" x14ac:dyDescent="0.25">
      <c r="A417" t="s">
        <v>29</v>
      </c>
      <c r="B417" t="s">
        <v>874</v>
      </c>
    </row>
    <row r="418" spans="1:2" x14ac:dyDescent="0.25">
      <c r="A418" t="s">
        <v>29</v>
      </c>
      <c r="B418" t="s">
        <v>870</v>
      </c>
    </row>
    <row r="419" spans="1:2" x14ac:dyDescent="0.25">
      <c r="A419" t="s">
        <v>28</v>
      </c>
      <c r="B419" t="s">
        <v>663</v>
      </c>
    </row>
    <row r="420" spans="1:2" x14ac:dyDescent="0.25">
      <c r="A420" t="s">
        <v>28</v>
      </c>
      <c r="B420" t="s">
        <v>930</v>
      </c>
    </row>
    <row r="421" spans="1:2" x14ac:dyDescent="0.25">
      <c r="A421" t="s">
        <v>28</v>
      </c>
      <c r="B421" t="s">
        <v>559</v>
      </c>
    </row>
    <row r="422" spans="1:2" x14ac:dyDescent="0.25">
      <c r="A422" t="s">
        <v>35</v>
      </c>
      <c r="B422" t="s">
        <v>701</v>
      </c>
    </row>
    <row r="423" spans="1:2" x14ac:dyDescent="0.25">
      <c r="A423" t="s">
        <v>35</v>
      </c>
      <c r="B423" t="s">
        <v>946</v>
      </c>
    </row>
    <row r="424" spans="1:2" x14ac:dyDescent="0.25">
      <c r="A424" t="s">
        <v>35</v>
      </c>
      <c r="B424" t="s">
        <v>862</v>
      </c>
    </row>
    <row r="425" spans="1:2" x14ac:dyDescent="0.25">
      <c r="A425" t="s">
        <v>35</v>
      </c>
      <c r="B425" t="s">
        <v>645</v>
      </c>
    </row>
    <row r="426" spans="1:2" x14ac:dyDescent="0.25">
      <c r="A426" t="s">
        <v>43</v>
      </c>
      <c r="B426" t="s">
        <v>590</v>
      </c>
    </row>
    <row r="427" spans="1:2" x14ac:dyDescent="0.25">
      <c r="A427" t="s">
        <v>43</v>
      </c>
      <c r="B427" t="s">
        <v>2492</v>
      </c>
    </row>
    <row r="428" spans="1:2" x14ac:dyDescent="0.25">
      <c r="A428" t="s">
        <v>43</v>
      </c>
      <c r="B428" t="s">
        <v>657</v>
      </c>
    </row>
    <row r="429" spans="1:2" x14ac:dyDescent="0.25">
      <c r="A429" t="s">
        <v>48</v>
      </c>
      <c r="B429" t="s">
        <v>450</v>
      </c>
    </row>
    <row r="430" spans="1:2" x14ac:dyDescent="0.25">
      <c r="A430" t="s">
        <v>2539</v>
      </c>
      <c r="B430" t="s">
        <v>2594</v>
      </c>
    </row>
    <row r="431" spans="1:2" x14ac:dyDescent="0.25">
      <c r="A431" t="s">
        <v>2537</v>
      </c>
      <c r="B431" t="s">
        <v>2595</v>
      </c>
    </row>
    <row r="432" spans="1:2" x14ac:dyDescent="0.25">
      <c r="A432" t="s">
        <v>29</v>
      </c>
      <c r="B432" t="s">
        <v>2596</v>
      </c>
    </row>
    <row r="433" spans="1:2" x14ac:dyDescent="0.25">
      <c r="A433" t="s">
        <v>29</v>
      </c>
      <c r="B433" t="s">
        <v>1031</v>
      </c>
    </row>
    <row r="434" spans="1:2" x14ac:dyDescent="0.25">
      <c r="A434" t="s">
        <v>28</v>
      </c>
      <c r="B434" t="s">
        <v>926</v>
      </c>
    </row>
    <row r="435" spans="1:2" x14ac:dyDescent="0.25">
      <c r="A435" t="s">
        <v>28</v>
      </c>
      <c r="B435" t="s">
        <v>2618</v>
      </c>
    </row>
    <row r="436" spans="1:2" x14ac:dyDescent="0.25">
      <c r="A436" t="s">
        <v>28</v>
      </c>
      <c r="B436" t="s">
        <v>673</v>
      </c>
    </row>
    <row r="437" spans="1:2" x14ac:dyDescent="0.25">
      <c r="A437" t="s">
        <v>35</v>
      </c>
      <c r="B437" t="s">
        <v>718</v>
      </c>
    </row>
    <row r="438" spans="1:2" x14ac:dyDescent="0.25">
      <c r="A438" t="s">
        <v>35</v>
      </c>
      <c r="B438" t="s">
        <v>840</v>
      </c>
    </row>
    <row r="439" spans="1:2" x14ac:dyDescent="0.25">
      <c r="A439" t="s">
        <v>35</v>
      </c>
      <c r="B439" t="s">
        <v>2422</v>
      </c>
    </row>
    <row r="440" spans="1:2" x14ac:dyDescent="0.25">
      <c r="A440" t="s">
        <v>35</v>
      </c>
      <c r="B440" t="s">
        <v>2430</v>
      </c>
    </row>
    <row r="441" spans="1:2" x14ac:dyDescent="0.25">
      <c r="A441" t="s">
        <v>35</v>
      </c>
      <c r="B441" t="s">
        <v>710</v>
      </c>
    </row>
    <row r="442" spans="1:2" x14ac:dyDescent="0.25">
      <c r="A442" t="s">
        <v>43</v>
      </c>
      <c r="B442" t="s">
        <v>975</v>
      </c>
    </row>
    <row r="443" spans="1:2" x14ac:dyDescent="0.25">
      <c r="A443" t="s">
        <v>43</v>
      </c>
      <c r="B443" t="s">
        <v>2482</v>
      </c>
    </row>
    <row r="444" spans="1:2" x14ac:dyDescent="0.25">
      <c r="A444" t="s">
        <v>43</v>
      </c>
      <c r="B444" t="s">
        <v>754</v>
      </c>
    </row>
    <row r="445" spans="1:2" x14ac:dyDescent="0.25">
      <c r="A445" t="s">
        <v>48</v>
      </c>
      <c r="B445" t="s">
        <v>179</v>
      </c>
    </row>
    <row r="446" spans="1:2" x14ac:dyDescent="0.25">
      <c r="A446" t="s">
        <v>2539</v>
      </c>
      <c r="B446" t="s">
        <v>2597</v>
      </c>
    </row>
    <row r="447" spans="1:2" x14ac:dyDescent="0.25">
      <c r="A447" t="s">
        <v>2537</v>
      </c>
      <c r="B447" t="s">
        <v>2598</v>
      </c>
    </row>
    <row r="448" spans="1:2" x14ac:dyDescent="0.25">
      <c r="A448" t="s">
        <v>29</v>
      </c>
      <c r="B448" t="s">
        <v>918</v>
      </c>
    </row>
    <row r="449" spans="1:2" x14ac:dyDescent="0.25">
      <c r="A449" t="s">
        <v>29</v>
      </c>
      <c r="B449" t="s">
        <v>319</v>
      </c>
    </row>
    <row r="450" spans="1:2" x14ac:dyDescent="0.25">
      <c r="A450" t="s">
        <v>28</v>
      </c>
      <c r="B450" t="s">
        <v>935</v>
      </c>
    </row>
    <row r="451" spans="1:2" x14ac:dyDescent="0.25">
      <c r="A451" t="s">
        <v>28</v>
      </c>
      <c r="B451" t="s">
        <v>799</v>
      </c>
    </row>
    <row r="452" spans="1:2" x14ac:dyDescent="0.25">
      <c r="A452" t="s">
        <v>28</v>
      </c>
      <c r="B452" t="s">
        <v>2454</v>
      </c>
    </row>
    <row r="453" spans="1:2" x14ac:dyDescent="0.25">
      <c r="A453" t="s">
        <v>28</v>
      </c>
      <c r="B453" t="s">
        <v>2670</v>
      </c>
    </row>
    <row r="454" spans="1:2" x14ac:dyDescent="0.25">
      <c r="A454" t="s">
        <v>35</v>
      </c>
      <c r="B454" t="s">
        <v>702</v>
      </c>
    </row>
    <row r="455" spans="1:2" x14ac:dyDescent="0.25">
      <c r="A455" t="s">
        <v>35</v>
      </c>
      <c r="B455" t="s">
        <v>837</v>
      </c>
    </row>
    <row r="456" spans="1:2" x14ac:dyDescent="0.25">
      <c r="A456" t="s">
        <v>35</v>
      </c>
      <c r="B456" t="s">
        <v>866</v>
      </c>
    </row>
    <row r="457" spans="1:2" x14ac:dyDescent="0.25">
      <c r="A457" t="s">
        <v>35</v>
      </c>
      <c r="B457" t="s">
        <v>2435</v>
      </c>
    </row>
    <row r="458" spans="1:2" x14ac:dyDescent="0.25">
      <c r="A458" t="s">
        <v>35</v>
      </c>
      <c r="B458" t="s">
        <v>2599</v>
      </c>
    </row>
    <row r="459" spans="1:2" x14ac:dyDescent="0.25">
      <c r="A459" t="s">
        <v>43</v>
      </c>
      <c r="B459" t="s">
        <v>420</v>
      </c>
    </row>
    <row r="460" spans="1:2" x14ac:dyDescent="0.25">
      <c r="A460" t="s">
        <v>43</v>
      </c>
      <c r="B460" t="s">
        <v>432</v>
      </c>
    </row>
    <row r="461" spans="1:2" x14ac:dyDescent="0.25">
      <c r="A461" t="s">
        <v>43</v>
      </c>
      <c r="B461" t="s">
        <v>761</v>
      </c>
    </row>
    <row r="462" spans="1:2" x14ac:dyDescent="0.25">
      <c r="A462" t="s">
        <v>48</v>
      </c>
      <c r="B462" t="s">
        <v>448</v>
      </c>
    </row>
    <row r="463" spans="1:2" x14ac:dyDescent="0.25">
      <c r="A463" t="s">
        <v>2539</v>
      </c>
      <c r="B463" t="s">
        <v>2600</v>
      </c>
    </row>
    <row r="464" spans="1:2" x14ac:dyDescent="0.25">
      <c r="A464" t="s">
        <v>2537</v>
      </c>
      <c r="B464" t="s">
        <v>2601</v>
      </c>
    </row>
    <row r="465" spans="1:2" x14ac:dyDescent="0.25">
      <c r="A465" t="s">
        <v>29</v>
      </c>
      <c r="B465" t="s">
        <v>317</v>
      </c>
    </row>
    <row r="466" spans="1:2" x14ac:dyDescent="0.25">
      <c r="A466" t="s">
        <v>29</v>
      </c>
      <c r="B466" t="s">
        <v>648</v>
      </c>
    </row>
    <row r="467" spans="1:2" x14ac:dyDescent="0.25">
      <c r="A467" t="s">
        <v>28</v>
      </c>
      <c r="B467" t="s">
        <v>543</v>
      </c>
    </row>
    <row r="468" spans="1:2" x14ac:dyDescent="0.25">
      <c r="A468" t="s">
        <v>28</v>
      </c>
      <c r="B468" t="s">
        <v>2445</v>
      </c>
    </row>
    <row r="469" spans="1:2" x14ac:dyDescent="0.25">
      <c r="A469" t="s">
        <v>28</v>
      </c>
      <c r="B469" t="s">
        <v>888</v>
      </c>
    </row>
    <row r="470" spans="1:2" x14ac:dyDescent="0.25">
      <c r="A470" t="s">
        <v>28</v>
      </c>
      <c r="B470" t="s">
        <v>681</v>
      </c>
    </row>
    <row r="471" spans="1:2" x14ac:dyDescent="0.25">
      <c r="A471" t="s">
        <v>35</v>
      </c>
      <c r="B471" t="s">
        <v>2410</v>
      </c>
    </row>
    <row r="472" spans="1:2" x14ac:dyDescent="0.25">
      <c r="A472" t="s">
        <v>35</v>
      </c>
      <c r="B472" t="s">
        <v>213</v>
      </c>
    </row>
    <row r="473" spans="1:2" x14ac:dyDescent="0.25">
      <c r="A473" t="s">
        <v>35</v>
      </c>
      <c r="B473" t="s">
        <v>2602</v>
      </c>
    </row>
    <row r="474" spans="1:2" x14ac:dyDescent="0.25">
      <c r="A474" t="s">
        <v>35</v>
      </c>
      <c r="B474" t="s">
        <v>371</v>
      </c>
    </row>
    <row r="475" spans="1:2" x14ac:dyDescent="0.25">
      <c r="A475" t="s">
        <v>35</v>
      </c>
      <c r="B475" t="s">
        <v>2675</v>
      </c>
    </row>
    <row r="476" spans="1:2" x14ac:dyDescent="0.25">
      <c r="A476" t="s">
        <v>43</v>
      </c>
      <c r="B476" t="s">
        <v>740</v>
      </c>
    </row>
    <row r="477" spans="1:2" x14ac:dyDescent="0.25">
      <c r="A477" t="s">
        <v>43</v>
      </c>
      <c r="B477" t="s">
        <v>594</v>
      </c>
    </row>
    <row r="478" spans="1:2" x14ac:dyDescent="0.25">
      <c r="A478" t="s">
        <v>43</v>
      </c>
      <c r="B478" t="s">
        <v>829</v>
      </c>
    </row>
    <row r="479" spans="1:2" x14ac:dyDescent="0.25">
      <c r="A479" t="s">
        <v>48</v>
      </c>
      <c r="B479" t="s">
        <v>447</v>
      </c>
    </row>
    <row r="480" spans="1:2" x14ac:dyDescent="0.25">
      <c r="A480" t="s">
        <v>2539</v>
      </c>
      <c r="B480" t="s">
        <v>2603</v>
      </c>
    </row>
    <row r="481" spans="1:2" x14ac:dyDescent="0.25">
      <c r="A481" t="s">
        <v>2537</v>
      </c>
      <c r="B481" t="s">
        <v>2604</v>
      </c>
    </row>
    <row r="482" spans="1:2" x14ac:dyDescent="0.25">
      <c r="A482" t="s">
        <v>29</v>
      </c>
      <c r="B482" t="s">
        <v>115</v>
      </c>
    </row>
    <row r="483" spans="1:2" x14ac:dyDescent="0.25">
      <c r="A483" t="s">
        <v>29</v>
      </c>
      <c r="B483" t="s">
        <v>313</v>
      </c>
    </row>
    <row r="484" spans="1:2" x14ac:dyDescent="0.25">
      <c r="A484" t="s">
        <v>28</v>
      </c>
      <c r="B484" t="s">
        <v>111</v>
      </c>
    </row>
    <row r="485" spans="1:2" x14ac:dyDescent="0.25">
      <c r="A485" t="s">
        <v>28</v>
      </c>
      <c r="B485" t="s">
        <v>2448</v>
      </c>
    </row>
    <row r="486" spans="1:2" x14ac:dyDescent="0.25">
      <c r="A486" t="s">
        <v>28</v>
      </c>
      <c r="B486" t="s">
        <v>327</v>
      </c>
    </row>
    <row r="487" spans="1:2" x14ac:dyDescent="0.25">
      <c r="A487" t="s">
        <v>28</v>
      </c>
      <c r="B487" t="s">
        <v>884</v>
      </c>
    </row>
    <row r="488" spans="1:2" x14ac:dyDescent="0.25">
      <c r="A488" t="s">
        <v>35</v>
      </c>
      <c r="B488" t="s">
        <v>97</v>
      </c>
    </row>
    <row r="489" spans="1:2" x14ac:dyDescent="0.25">
      <c r="A489" t="s">
        <v>35</v>
      </c>
      <c r="B489" t="s">
        <v>381</v>
      </c>
    </row>
    <row r="490" spans="1:2" x14ac:dyDescent="0.25">
      <c r="A490" t="s">
        <v>35</v>
      </c>
      <c r="B490" t="s">
        <v>583</v>
      </c>
    </row>
    <row r="491" spans="1:2" x14ac:dyDescent="0.25">
      <c r="A491" t="s">
        <v>35</v>
      </c>
      <c r="B491" t="s">
        <v>96</v>
      </c>
    </row>
    <row r="492" spans="1:2" x14ac:dyDescent="0.25">
      <c r="A492" t="s">
        <v>35</v>
      </c>
      <c r="B492" t="s">
        <v>703</v>
      </c>
    </row>
    <row r="493" spans="1:2" x14ac:dyDescent="0.25">
      <c r="A493" t="s">
        <v>43</v>
      </c>
      <c r="B493" t="s">
        <v>172</v>
      </c>
    </row>
    <row r="494" spans="1:2" x14ac:dyDescent="0.25">
      <c r="A494" t="s">
        <v>43</v>
      </c>
      <c r="B494" t="s">
        <v>227</v>
      </c>
    </row>
    <row r="495" spans="1:2" x14ac:dyDescent="0.25">
      <c r="A495" t="s">
        <v>43</v>
      </c>
      <c r="B495" t="s">
        <v>2474</v>
      </c>
    </row>
    <row r="496" spans="1:2" x14ac:dyDescent="0.25">
      <c r="A496" t="s">
        <v>48</v>
      </c>
      <c r="B496" t="s">
        <v>248</v>
      </c>
    </row>
    <row r="497" spans="1:2" x14ac:dyDescent="0.25">
      <c r="A497" t="s">
        <v>2539</v>
      </c>
      <c r="B497" t="s">
        <v>2605</v>
      </c>
    </row>
    <row r="498" spans="1:2" x14ac:dyDescent="0.25">
      <c r="A498" t="s">
        <v>2537</v>
      </c>
      <c r="B498" t="s">
        <v>2606</v>
      </c>
    </row>
    <row r="499" spans="1:2" x14ac:dyDescent="0.25">
      <c r="A499" t="s">
        <v>29</v>
      </c>
      <c r="B499" t="s">
        <v>214</v>
      </c>
    </row>
    <row r="500" spans="1:2" x14ac:dyDescent="0.25">
      <c r="A500" t="s">
        <v>29</v>
      </c>
      <c r="B500" t="s">
        <v>1033</v>
      </c>
    </row>
    <row r="501" spans="1:2" x14ac:dyDescent="0.25">
      <c r="A501" t="s">
        <v>28</v>
      </c>
      <c r="B501" t="s">
        <v>148</v>
      </c>
    </row>
    <row r="502" spans="1:2" x14ac:dyDescent="0.25">
      <c r="A502" t="s">
        <v>28</v>
      </c>
      <c r="B502" t="s">
        <v>688</v>
      </c>
    </row>
    <row r="503" spans="1:2" x14ac:dyDescent="0.25">
      <c r="A503" t="s">
        <v>28</v>
      </c>
      <c r="B503" t="s">
        <v>2453</v>
      </c>
    </row>
    <row r="504" spans="1:2" x14ac:dyDescent="0.25">
      <c r="A504" t="s">
        <v>28</v>
      </c>
      <c r="B504" t="s">
        <v>2629</v>
      </c>
    </row>
    <row r="505" spans="1:2" x14ac:dyDescent="0.25">
      <c r="A505" t="s">
        <v>35</v>
      </c>
      <c r="B505" t="s">
        <v>364</v>
      </c>
    </row>
    <row r="506" spans="1:2" x14ac:dyDescent="0.25">
      <c r="A506" t="s">
        <v>35</v>
      </c>
      <c r="B506" t="s">
        <v>2411</v>
      </c>
    </row>
    <row r="507" spans="1:2" x14ac:dyDescent="0.25">
      <c r="A507" t="s">
        <v>35</v>
      </c>
      <c r="B507" t="s">
        <v>964</v>
      </c>
    </row>
    <row r="508" spans="1:2" x14ac:dyDescent="0.25">
      <c r="A508" t="s">
        <v>35</v>
      </c>
      <c r="B508" t="s">
        <v>2437</v>
      </c>
    </row>
    <row r="509" spans="1:2" x14ac:dyDescent="0.25">
      <c r="A509" t="s">
        <v>35</v>
      </c>
      <c r="B509" t="s">
        <v>995</v>
      </c>
    </row>
    <row r="510" spans="1:2" x14ac:dyDescent="0.25">
      <c r="A510" t="s">
        <v>43</v>
      </c>
      <c r="B510" t="s">
        <v>228</v>
      </c>
    </row>
    <row r="511" spans="1:2" x14ac:dyDescent="0.25">
      <c r="A511" t="s">
        <v>43</v>
      </c>
      <c r="B511" t="s">
        <v>431</v>
      </c>
    </row>
    <row r="512" spans="1:2" x14ac:dyDescent="0.25">
      <c r="A512" t="s">
        <v>43</v>
      </c>
      <c r="B512" t="s">
        <v>2491</v>
      </c>
    </row>
    <row r="513" spans="1:2" x14ac:dyDescent="0.25">
      <c r="A513" t="s">
        <v>48</v>
      </c>
      <c r="B513" t="s">
        <v>446</v>
      </c>
    </row>
    <row r="514" spans="1:2" x14ac:dyDescent="0.25">
      <c r="A514" t="s">
        <v>2539</v>
      </c>
      <c r="B514" t="s">
        <v>2733</v>
      </c>
    </row>
    <row r="515" spans="1:2" x14ac:dyDescent="0.25">
      <c r="A515" t="s">
        <v>2537</v>
      </c>
      <c r="B515" t="s">
        <v>2607</v>
      </c>
    </row>
    <row r="516" spans="1:2" x14ac:dyDescent="0.25">
      <c r="A516" t="s">
        <v>29</v>
      </c>
      <c r="B516" t="s">
        <v>203</v>
      </c>
    </row>
    <row r="517" spans="1:2" x14ac:dyDescent="0.25">
      <c r="A517" t="s">
        <v>29</v>
      </c>
      <c r="B517" t="s">
        <v>538</v>
      </c>
    </row>
    <row r="518" spans="1:2" x14ac:dyDescent="0.25">
      <c r="A518" t="s">
        <v>28</v>
      </c>
      <c r="B518" t="s">
        <v>848</v>
      </c>
    </row>
    <row r="519" spans="1:2" x14ac:dyDescent="0.25">
      <c r="A519" t="s">
        <v>28</v>
      </c>
      <c r="B519" t="s">
        <v>558</v>
      </c>
    </row>
    <row r="520" spans="1:2" x14ac:dyDescent="0.25">
      <c r="A520" t="s">
        <v>28</v>
      </c>
      <c r="B520" t="s">
        <v>2451</v>
      </c>
    </row>
    <row r="521" spans="1:2" x14ac:dyDescent="0.25">
      <c r="A521" t="s">
        <v>28</v>
      </c>
      <c r="B521" t="s">
        <v>693</v>
      </c>
    </row>
    <row r="522" spans="1:2" x14ac:dyDescent="0.25">
      <c r="A522" t="s">
        <v>35</v>
      </c>
      <c r="B522" t="s">
        <v>708</v>
      </c>
    </row>
    <row r="523" spans="1:2" x14ac:dyDescent="0.25">
      <c r="A523" t="s">
        <v>35</v>
      </c>
      <c r="B523" t="s">
        <v>2419</v>
      </c>
    </row>
    <row r="524" spans="1:2" x14ac:dyDescent="0.25">
      <c r="A524" t="s">
        <v>35</v>
      </c>
      <c r="B524" t="s">
        <v>368</v>
      </c>
    </row>
    <row r="525" spans="1:2" x14ac:dyDescent="0.25">
      <c r="A525" t="s">
        <v>35</v>
      </c>
      <c r="B525" t="s">
        <v>957</v>
      </c>
    </row>
    <row r="526" spans="1:2" x14ac:dyDescent="0.25">
      <c r="A526" t="s">
        <v>35</v>
      </c>
      <c r="B526" t="s">
        <v>735</v>
      </c>
    </row>
    <row r="527" spans="1:2" x14ac:dyDescent="0.25">
      <c r="A527" t="s">
        <v>43</v>
      </c>
      <c r="B527" t="s">
        <v>437</v>
      </c>
    </row>
    <row r="528" spans="1:2" x14ac:dyDescent="0.25">
      <c r="A528" t="s">
        <v>43</v>
      </c>
      <c r="B528" t="s">
        <v>981</v>
      </c>
    </row>
    <row r="529" spans="1:2" x14ac:dyDescent="0.25">
      <c r="A529" t="s">
        <v>43</v>
      </c>
      <c r="B529" t="s">
        <v>2668</v>
      </c>
    </row>
    <row r="530" spans="1:2" x14ac:dyDescent="0.25">
      <c r="A530" t="s">
        <v>48</v>
      </c>
      <c r="B530" t="s">
        <v>813</v>
      </c>
    </row>
    <row r="531" spans="1:2" x14ac:dyDescent="0.25">
      <c r="A531" t="s">
        <v>2539</v>
      </c>
      <c r="B531" t="s">
        <v>2608</v>
      </c>
    </row>
  </sheetData>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159EF-650E-4256-92AE-997636079E0E}">
  <sheetPr codeName="Sheet25"/>
  <dimension ref="A1:L45"/>
  <sheetViews>
    <sheetView workbookViewId="0">
      <selection activeCell="I39" sqref="I39"/>
    </sheetView>
  </sheetViews>
  <sheetFormatPr defaultRowHeight="15" x14ac:dyDescent="0.25"/>
  <cols>
    <col min="1" max="1" width="6.140625" bestFit="1" customWidth="1"/>
    <col min="2" max="12" width="19.7109375" customWidth="1"/>
  </cols>
  <sheetData>
    <row r="1" spans="1:12" ht="28.5" customHeight="1" thickBot="1" x14ac:dyDescent="0.3">
      <c r="A1" s="231"/>
      <c r="B1" s="232"/>
      <c r="C1" s="232"/>
      <c r="D1" s="231"/>
      <c r="E1" s="232"/>
      <c r="F1" s="232"/>
      <c r="G1" s="232"/>
      <c r="H1" s="232"/>
      <c r="I1" s="232"/>
      <c r="J1" s="232"/>
      <c r="K1" s="232"/>
      <c r="L1" s="232"/>
    </row>
    <row r="2" spans="1:12" x14ac:dyDescent="0.25">
      <c r="A2" s="233" t="s">
        <v>2609</v>
      </c>
      <c r="B2" s="234" t="str">
        <f>DepthChart_RAW!B3</f>
        <v>Kyler Murray</v>
      </c>
      <c r="C2" s="234" t="str">
        <f>DepthChart_RAW!B20</f>
        <v>Marcus Mariota</v>
      </c>
      <c r="D2" s="234" t="str">
        <f>DepthChart_RAW!B37</f>
        <v>Lamar Jackson</v>
      </c>
      <c r="E2" s="234" t="str">
        <f>DepthChart_RAW!B54</f>
        <v>Josh Allen</v>
      </c>
      <c r="F2" s="234" t="str">
        <f>DepthChart_RAW!B71</f>
        <v>Baker Mayfield</v>
      </c>
      <c r="G2" s="234" t="str">
        <f>DepthChart_RAW!B88</f>
        <v>Trevor Siemian</v>
      </c>
      <c r="H2" s="234" t="str">
        <f>DepthChart_RAW!B103</f>
        <v>Joe Burrow</v>
      </c>
      <c r="I2" s="234" t="str">
        <f>DepthChart_RAW!B119</f>
        <v>Deshaun Watson</v>
      </c>
      <c r="J2" s="234" t="str">
        <f>DepthChart_RAW!B136</f>
        <v>Dak Prescott</v>
      </c>
      <c r="K2" s="234" t="str">
        <f>DepthChart_RAW!B152</f>
        <v>Russell Wilson</v>
      </c>
      <c r="L2" s="234" t="str">
        <f>DepthChart_RAW!B168</f>
        <v>Jared Goff</v>
      </c>
    </row>
    <row r="3" spans="1:12" x14ac:dyDescent="0.25">
      <c r="A3" s="233" t="s">
        <v>2610</v>
      </c>
      <c r="B3" s="234" t="str">
        <f>DepthChart_RAW!B4</f>
        <v>Colt McCoy</v>
      </c>
      <c r="C3" s="234" t="str">
        <f>DepthChart_RAW!B21</f>
        <v>Desmond Ridder</v>
      </c>
      <c r="D3" s="234" t="str">
        <f>DepthChart_RAW!B38</f>
        <v>Tyler Huntley</v>
      </c>
      <c r="E3" s="234" t="str">
        <f>DepthChart_RAW!B55</f>
        <v>Case Keenum</v>
      </c>
      <c r="F3" s="234" t="str">
        <f>DepthChart_RAW!B72</f>
        <v>Sam Darnold</v>
      </c>
      <c r="G3" s="234" t="str">
        <f>DepthChart_RAW!B89</f>
        <v>David Montgomery</v>
      </c>
      <c r="H3" s="234" t="str">
        <f>DepthChart_RAW!B104</f>
        <v>Brandon Allen</v>
      </c>
      <c r="I3" s="234" t="str">
        <f>DepthChart_RAW!B120</f>
        <v>Jacoby Brissett</v>
      </c>
      <c r="J3" s="234" t="str">
        <f>DepthChart_RAW!B137</f>
        <v>Cooper Rush</v>
      </c>
      <c r="K3" s="234" t="str">
        <f>DepthChart_RAW!B153</f>
        <v>Brett Rypien</v>
      </c>
      <c r="L3" s="234" t="str">
        <f>DepthChart_RAW!B169</f>
        <v>Nate Sudfeld</v>
      </c>
    </row>
    <row r="4" spans="1:12" x14ac:dyDescent="0.25">
      <c r="A4" s="235" t="s">
        <v>2611</v>
      </c>
      <c r="B4" s="236" t="str">
        <f>DepthChart_RAW!B5</f>
        <v>James Conner</v>
      </c>
      <c r="C4" s="236" t="str">
        <f>DepthChart_RAW!B22</f>
        <v>Cordarrelle Patterson</v>
      </c>
      <c r="D4" s="236" t="str">
        <f>DepthChart_RAW!B39</f>
        <v>J.K. Dobbins</v>
      </c>
      <c r="E4" s="236" t="str">
        <f>DepthChart_RAW!B56</f>
        <v>Devin Singletary</v>
      </c>
      <c r="F4" s="236" t="str">
        <f>DepthChart_RAW!B73</f>
        <v>Christian McCaffrey</v>
      </c>
      <c r="G4" s="236" t="str">
        <f>DepthChart_RAW!B90</f>
        <v>Khalil Herbert</v>
      </c>
      <c r="H4" s="236" t="str">
        <f>DepthChart_RAW!B105</f>
        <v>Joe Mixon</v>
      </c>
      <c r="I4" s="236" t="str">
        <f>DepthChart_RAW!B121</f>
        <v>Nick Chubb</v>
      </c>
      <c r="J4" s="236" t="str">
        <f>DepthChart_RAW!B138</f>
        <v>Ezekiel Elliott</v>
      </c>
      <c r="K4" s="236" t="str">
        <f>DepthChart_RAW!B154</f>
        <v>Javonte Williams</v>
      </c>
      <c r="L4" s="236" t="str">
        <f>DepthChart_RAW!B170</f>
        <v>D'Andre Swift</v>
      </c>
    </row>
    <row r="5" spans="1:12" x14ac:dyDescent="0.25">
      <c r="A5" s="235" t="s">
        <v>2612</v>
      </c>
      <c r="B5" s="236" t="str">
        <f>DepthChart_RAW!B6</f>
        <v>Eno Benjamin</v>
      </c>
      <c r="C5" s="236" t="str">
        <f>DepthChart_RAW!B23</f>
        <v>Damien Williams</v>
      </c>
      <c r="D5" s="236" t="str">
        <f>DepthChart_RAW!B40</f>
        <v>Gus Edwards</v>
      </c>
      <c r="E5" s="236" t="str">
        <f>DepthChart_RAW!B57</f>
        <v>James Cook</v>
      </c>
      <c r="F5" s="236" t="str">
        <f>DepthChart_RAW!B74</f>
        <v>D'Onta Foreman</v>
      </c>
      <c r="G5" s="236" t="str">
        <f>DepthChart_RAW!B91</f>
        <v>Trestan Ebner</v>
      </c>
      <c r="H5" s="236" t="str">
        <f>DepthChart_RAW!B106</f>
        <v>Samaje Perine</v>
      </c>
      <c r="I5" s="236" t="str">
        <f>DepthChart_RAW!B122</f>
        <v>Kareem Hunt</v>
      </c>
      <c r="J5" s="236" t="str">
        <f>DepthChart_RAW!B139</f>
        <v>Tony Pollard</v>
      </c>
      <c r="K5" s="236" t="str">
        <f>DepthChart_RAW!B155</f>
        <v>Melvin Gordon III</v>
      </c>
      <c r="L5" s="236" t="str">
        <f>DepthChart_RAW!B171</f>
        <v>Jamaal Williams</v>
      </c>
    </row>
    <row r="6" spans="1:12" x14ac:dyDescent="0.25">
      <c r="A6" s="235" t="s">
        <v>2613</v>
      </c>
      <c r="B6" s="236" t="str">
        <f>DepthChart_RAW!B7</f>
        <v>Darrel Williams</v>
      </c>
      <c r="C6" s="236" t="str">
        <f>DepthChart_RAW!B24</f>
        <v>Tyler Allgeier</v>
      </c>
      <c r="D6" s="236" t="str">
        <f>DepthChart_RAW!B41</f>
        <v>Mike Davis</v>
      </c>
      <c r="E6" s="236" t="str">
        <f>DepthChart_RAW!B58</f>
        <v>Zack Moss</v>
      </c>
      <c r="F6" s="236" t="str">
        <f>DepthChart_RAW!B75</f>
        <v>Chuba Hubbard</v>
      </c>
      <c r="G6" s="236" t="str">
        <f>DepthChart_RAW!B92</f>
        <v>Darnell Mooney</v>
      </c>
      <c r="H6" s="236" t="str">
        <f>DepthChart_RAW!B107</f>
        <v>Chris Evans</v>
      </c>
      <c r="I6" s="236" t="str">
        <f>DepthChart_RAW!B123</f>
        <v>D'Ernest Johnson</v>
      </c>
      <c r="J6" s="236" t="str">
        <f>DepthChart_RAW!B140</f>
        <v>Rico Dowdle</v>
      </c>
      <c r="K6" s="236" t="str">
        <f>DepthChart_RAW!B156</f>
        <v>Mike Boone</v>
      </c>
      <c r="L6" s="236" t="str">
        <f>DepthChart_RAW!B172</f>
        <v>Craig Reynolds</v>
      </c>
    </row>
    <row r="7" spans="1:12" x14ac:dyDescent="0.25">
      <c r="A7" s="235" t="s">
        <v>2638</v>
      </c>
      <c r="B7" s="236" t="str">
        <f>DepthChart_RAW!B8</f>
        <v>Keaontay Ingram</v>
      </c>
      <c r="C7" s="236" t="str">
        <f>DepthChart_RAW!B25</f>
        <v>Avery Williams</v>
      </c>
      <c r="D7" s="236" t="str">
        <f>DepthChart_RAW!B42</f>
        <v>Kenyan Drake</v>
      </c>
      <c r="E7" s="236" t="str">
        <f>DepthChart_RAW!B59</f>
        <v>Taiwan Jones</v>
      </c>
      <c r="F7" s="238" t="str">
        <f>DepthChart_RAW!B76</f>
        <v>DJ Moore</v>
      </c>
      <c r="G7" s="236" t="str">
        <f>DepthChart_RAW!B93</f>
        <v>Velus Jones Jr.</v>
      </c>
      <c r="H7" s="238" t="str">
        <f>DepthChart_RAW!B108</f>
        <v>Ja'Marr Chase</v>
      </c>
      <c r="I7" s="236" t="str">
        <f>DepthChart_RAW!B124</f>
        <v>Jerome Ford</v>
      </c>
      <c r="J7" s="238" t="str">
        <f>DepthChart_RAW!B141</f>
        <v>CeeDee Lamb</v>
      </c>
      <c r="K7" s="238" t="str">
        <f>DepthChart_RAW!B157</f>
        <v>Jerry Jeudy</v>
      </c>
      <c r="L7" s="238" t="str">
        <f>DepthChart_RAW!B173</f>
        <v>Amon-Ra St. Brown</v>
      </c>
    </row>
    <row r="8" spans="1:12" x14ac:dyDescent="0.25">
      <c r="A8" s="237" t="s">
        <v>2639</v>
      </c>
      <c r="B8" s="246" t="str">
        <f>DepthChart_RAW!B9</f>
        <v>DeAndre Hopkins</v>
      </c>
      <c r="C8" s="238" t="str">
        <f>DepthChart_RAW!B26</f>
        <v>Drake London</v>
      </c>
      <c r="D8" s="239" t="str">
        <f>DepthChart_RAW!B43</f>
        <v>Rashod Bateman</v>
      </c>
      <c r="E8" s="238" t="str">
        <f>DepthChart_RAW!B60</f>
        <v>Stefon Diggs</v>
      </c>
      <c r="F8" s="238" t="str">
        <f>DepthChart_RAW!B77</f>
        <v>Robbie Anderson</v>
      </c>
      <c r="G8" s="238" t="str">
        <f>DepthChart_RAW!B94</f>
        <v>Byron Pringle</v>
      </c>
      <c r="H8" s="238" t="str">
        <f>DepthChart_RAW!B109</f>
        <v>Tee Higgins</v>
      </c>
      <c r="I8" s="238" t="str">
        <f>DepthChart_RAW!B125</f>
        <v>Amari Cooper</v>
      </c>
      <c r="J8" s="238" t="str">
        <f>DepthChart_RAW!B142</f>
        <v>Michael Gallup</v>
      </c>
      <c r="K8" s="238" t="str">
        <f>DepthChart_RAW!B158</f>
        <v>Courtland Sutton</v>
      </c>
      <c r="L8" s="238" t="str">
        <f>DepthChart_RAW!B174</f>
        <v>Jameson Williams</v>
      </c>
    </row>
    <row r="9" spans="1:12" x14ac:dyDescent="0.25">
      <c r="A9" s="237" t="s">
        <v>2640</v>
      </c>
      <c r="B9" s="246" t="str">
        <f>DepthChart_RAW!B10</f>
        <v>Marquise Brown</v>
      </c>
      <c r="C9" s="238" t="str">
        <f>DepthChart_RAW!B27</f>
        <v>Bryan Edwards</v>
      </c>
      <c r="D9" s="239" t="str">
        <f>DepthChart_RAW!B44</f>
        <v>Devin Duvernay</v>
      </c>
      <c r="E9" s="238" t="str">
        <f>DepthChart_RAW!B61</f>
        <v>Gabriel Davis</v>
      </c>
      <c r="F9" s="246" t="str">
        <f>DepthChart_RAW!B78</f>
        <v>Shi Smith</v>
      </c>
      <c r="G9" s="238" t="str">
        <f>DepthChart_RAW!B95</f>
        <v>Equanimeous St. Brown</v>
      </c>
      <c r="H9" s="246" t="str">
        <f>DepthChart_RAW!B110</f>
        <v>Tyler Boyd</v>
      </c>
      <c r="I9" s="238" t="str">
        <f>DepthChart_RAW!B126</f>
        <v>Donovan Peoples-Jones</v>
      </c>
      <c r="J9" s="238" t="str">
        <f>DepthChart_RAW!B143</f>
        <v>Jalen Tolbert</v>
      </c>
      <c r="K9" s="246" t="str">
        <f>DepthChart_RAW!B159</f>
        <v>KJ Hamler</v>
      </c>
      <c r="L9" s="238" t="str">
        <f>DepthChart_RAW!B175</f>
        <v>DJ Chark Jr.</v>
      </c>
    </row>
    <row r="10" spans="1:12" x14ac:dyDescent="0.25">
      <c r="A10" s="237" t="s">
        <v>2641</v>
      </c>
      <c r="B10" s="246" t="str">
        <f>DepthChart_RAW!B11</f>
        <v>A.J. Green</v>
      </c>
      <c r="C10" s="246" t="str">
        <f>DepthChart_RAW!B28</f>
        <v>Olamide Zaccheaus</v>
      </c>
      <c r="D10" s="249" t="str">
        <f>DepthChart_RAW!B45</f>
        <v>James Proche</v>
      </c>
      <c r="E10" s="246" t="str">
        <f>DepthChart_RAW!B62</f>
        <v>Isaiah McKenzie</v>
      </c>
      <c r="F10" s="246" t="str">
        <f>DepthChart_RAW!B79</f>
        <v>Rashard Higgins</v>
      </c>
      <c r="G10" s="246" t="str">
        <f>DepthChart_RAW!B96</f>
        <v>Dante Pettis</v>
      </c>
      <c r="H10" s="246" t="str">
        <f>DepthChart_RAW!B111</f>
        <v>Trent Taylor</v>
      </c>
      <c r="I10" s="246" t="str">
        <f>DepthChart_RAW!B127</f>
        <v>David Bell</v>
      </c>
      <c r="J10" s="246" t="str">
        <f>DepthChart_RAW!B144</f>
        <v>James Washington</v>
      </c>
      <c r="K10" s="246" t="str">
        <f>DepthChart_RAW!B160</f>
        <v>Tyrie Cleveland</v>
      </c>
      <c r="L10" s="238" t="str">
        <f>DepthChart_RAW!B176</f>
        <v>Josh Reynolds</v>
      </c>
    </row>
    <row r="11" spans="1:12" x14ac:dyDescent="0.25">
      <c r="A11" s="237" t="s">
        <v>2642</v>
      </c>
      <c r="B11" s="246" t="str">
        <f>DepthChart_RAW!B12</f>
        <v>Rondale Moore</v>
      </c>
      <c r="C11" s="246" t="str">
        <f>DepthChart_RAW!B29</f>
        <v>KhaDarel Hodge</v>
      </c>
      <c r="D11" s="249" t="str">
        <f>DepthChart_RAW!B46</f>
        <v>Demarcus Robinson</v>
      </c>
      <c r="E11" s="246" t="str">
        <f>DepthChart_RAW!B63</f>
        <v>Jamison Crowder</v>
      </c>
      <c r="F11" s="246" t="str">
        <f>DepthChart_RAW!B80</f>
        <v>Laviska Shenault Jr.</v>
      </c>
      <c r="G11" s="246" t="str">
        <f>DepthChart_RAW!B97</f>
        <v>Cole Kmet</v>
      </c>
      <c r="H11" s="246" t="str">
        <f>DepthChart_RAW!B112</f>
        <v>Stanley Morgan</v>
      </c>
      <c r="I11" s="246" t="str">
        <f>DepthChart_RAW!B128</f>
        <v>Anthony Schwartz</v>
      </c>
      <c r="J11" s="246" t="str">
        <f>DepthChart_RAW!B145</f>
        <v>Noah Brown</v>
      </c>
      <c r="K11" s="246" t="str">
        <f>DepthChart_RAW!B161</f>
        <v>Montrell Washington</v>
      </c>
      <c r="L11" s="238" t="str">
        <f>DepthChart_RAW!B177</f>
        <v>Kalif Raymond</v>
      </c>
    </row>
    <row r="12" spans="1:12" x14ac:dyDescent="0.25">
      <c r="A12" s="237" t="s">
        <v>2643</v>
      </c>
      <c r="B12" s="246" t="str">
        <f>DepthChart_RAW!B13</f>
        <v>Antoine Wesley</v>
      </c>
      <c r="C12" s="246" t="str">
        <f>DepthChart_RAW!B30</f>
        <v>Damiere Byrd</v>
      </c>
      <c r="D12" s="249" t="str">
        <f>DepthChart_RAW!B47</f>
        <v>Tylan Wallace</v>
      </c>
      <c r="E12" s="246" t="str">
        <f>DepthChart_RAW!B64</f>
        <v>Khalil Shakir</v>
      </c>
      <c r="F12" s="246" t="str">
        <f>DepthChart_RAW!B81</f>
        <v>Tommy Tremble</v>
      </c>
      <c r="G12" s="246" t="str">
        <f>DepthChart_RAW!B98</f>
        <v>Ryan Griffin</v>
      </c>
      <c r="H12" s="241" t="str">
        <f>DepthChart_RAW!B113</f>
        <v>Hayden Hurst</v>
      </c>
      <c r="I12" s="246" t="str">
        <f>DepthChart_RAW!B129</f>
        <v>Demetric Felton</v>
      </c>
      <c r="J12" s="246" t="str">
        <f>DepthChart_RAW!B146</f>
        <v>Dalton Schultz</v>
      </c>
      <c r="K12" s="241" t="str">
        <f>DepthChart_RAW!B162</f>
        <v>Albert Okwuegbunam</v>
      </c>
      <c r="L12" s="241" t="str">
        <f>DepthChart_RAW!B178</f>
        <v>T.J. Hockenson</v>
      </c>
    </row>
    <row r="13" spans="1:12" x14ac:dyDescent="0.25">
      <c r="A13" s="240" t="s">
        <v>2614</v>
      </c>
      <c r="B13" s="250" t="str">
        <f>DepthChart_RAW!B14</f>
        <v>Zach Ertz</v>
      </c>
      <c r="C13" s="241" t="str">
        <f>DepthChart_RAW!B31</f>
        <v>Kyle Pitts</v>
      </c>
      <c r="D13" s="242" t="str">
        <f>DepthChart_RAW!B48</f>
        <v>Mark Andrews</v>
      </c>
      <c r="E13" s="241" t="str">
        <f>DepthChart_RAW!B65</f>
        <v>Dawson Knox</v>
      </c>
      <c r="F13" s="241" t="str">
        <f>DepthChart_RAW!B82</f>
        <v>Ian Thomas</v>
      </c>
      <c r="G13" s="241" t="str">
        <f>DepthChart_RAW!B99</f>
        <v>Jake Tonges</v>
      </c>
      <c r="H13" s="241" t="str">
        <f>DepthChart_RAW!B114</f>
        <v>Drew Sample</v>
      </c>
      <c r="I13" s="241" t="str">
        <f>DepthChart_RAW!B130</f>
        <v>David Njoku</v>
      </c>
      <c r="J13" s="241" t="str">
        <f>DepthChart_RAW!B147</f>
        <v>Jake Ferguson</v>
      </c>
      <c r="K13" s="241" t="str">
        <f>DepthChart_RAW!B163</f>
        <v>Greg Dulcich</v>
      </c>
      <c r="L13" s="241" t="str">
        <f>DepthChart_RAW!B179</f>
        <v>Brock Wright</v>
      </c>
    </row>
    <row r="14" spans="1:12" x14ac:dyDescent="0.25">
      <c r="A14" s="240" t="s">
        <v>2615</v>
      </c>
      <c r="B14" s="250" t="str">
        <f>DepthChart_RAW!B15</f>
        <v>Trey McBride</v>
      </c>
      <c r="C14" s="250" t="str">
        <f>DepthChart_RAW!B32</f>
        <v>Parker Hesse</v>
      </c>
      <c r="D14" s="254" t="str">
        <f>DepthChart_RAW!B49</f>
        <v>Isaiah Likely</v>
      </c>
      <c r="E14" s="250" t="str">
        <f>DepthChart_RAW!B66</f>
        <v>Tommy Sweeney</v>
      </c>
      <c r="F14" s="241" t="str">
        <f>DepthChart_RAW!B83</f>
        <v>Stephen Sullivan</v>
      </c>
      <c r="G14" s="250" t="str">
        <f>DepthChart_RAW!B100</f>
        <v>Cairo Santos</v>
      </c>
      <c r="H14" s="250" t="str">
        <f>DepthChart_RAW!B115</f>
        <v>Mitchell Wilcox</v>
      </c>
      <c r="I14" s="250" t="str">
        <f>DepthChart_RAW!B131</f>
        <v>Harrison Bryant</v>
      </c>
      <c r="J14" s="250" t="str">
        <f>DepthChart_RAW!B148</f>
        <v>Peyton Hendershot</v>
      </c>
      <c r="K14" s="250" t="str">
        <f>DepthChart_RAW!B164</f>
        <v>Eric Tomlinson</v>
      </c>
      <c r="L14" s="241" t="str">
        <f>DepthChart_RAW!B180</f>
        <v>James Mitchell</v>
      </c>
    </row>
    <row r="15" spans="1:12" ht="15.75" thickBot="1" x14ac:dyDescent="0.3">
      <c r="A15" s="240" t="s">
        <v>2616</v>
      </c>
      <c r="B15" s="251" t="str">
        <f>DepthChart_RAW!B16</f>
        <v>Maxx Williams</v>
      </c>
      <c r="C15" s="251" t="str">
        <f>DepthChart_RAW!B33</f>
        <v>John FitzPatrick</v>
      </c>
      <c r="D15" s="251" t="str">
        <f>DepthChart_RAW!B50</f>
        <v>Nick Boyle</v>
      </c>
      <c r="E15" s="251" t="str">
        <f>DepthChart_RAW!B67</f>
        <v>Quintin Morris</v>
      </c>
      <c r="F15" s="251" t="str">
        <f>DepthChart_RAW!B84</f>
        <v>Eddy Pineiro</v>
      </c>
      <c r="G15" s="251" t="str">
        <f>DepthChart_RAW!B101</f>
        <v>Trenton Gill</v>
      </c>
      <c r="H15" s="251" t="str">
        <f>DepthChart_RAW!B116</f>
        <v>Evan McPherson</v>
      </c>
      <c r="I15" s="251" t="str">
        <f>DepthChart_RAW!B132</f>
        <v>TBA CLV TE</v>
      </c>
      <c r="J15" s="251" t="str">
        <f>DepthChart_RAW!B149</f>
        <v>Brett Maher</v>
      </c>
      <c r="K15" s="251" t="str">
        <f>DepthChart_RAW!B165</f>
        <v>Brandon McManus</v>
      </c>
      <c r="L15" s="243" t="str">
        <f>DepthChart_RAW!B181</f>
        <v>Austin Seibert</v>
      </c>
    </row>
    <row r="16" spans="1:12" ht="38.25" customHeight="1" thickBot="1" x14ac:dyDescent="0.3">
      <c r="A16" s="231"/>
      <c r="B16" s="253"/>
      <c r="C16" s="253"/>
      <c r="D16" s="253"/>
      <c r="E16" s="253"/>
      <c r="F16" s="253"/>
      <c r="G16" s="253"/>
      <c r="H16" s="253"/>
      <c r="I16" s="253"/>
      <c r="J16" s="253"/>
      <c r="K16" s="253"/>
      <c r="L16" s="253"/>
    </row>
    <row r="17" spans="1:12" x14ac:dyDescent="0.25">
      <c r="A17" s="233" t="s">
        <v>2609</v>
      </c>
      <c r="B17" s="234" t="str">
        <f>DepthChart_RAW!B184</f>
        <v>Aaron Rodgers</v>
      </c>
      <c r="C17" s="234" t="str">
        <f>DepthChart_RAW!B200</f>
        <v>Davis Mills</v>
      </c>
      <c r="D17" s="234" t="str">
        <f>DepthChart_RAW!B216</f>
        <v>Matt Ryan</v>
      </c>
      <c r="E17" s="234" t="str">
        <f>DepthChart_RAW!B232</f>
        <v>Trevor Lawrence</v>
      </c>
      <c r="F17" s="234" t="str">
        <f>DepthChart_RAW!B249</f>
        <v>Patrick Mahomes</v>
      </c>
      <c r="G17" s="234" t="str">
        <f>DepthChart_RAW!B266</f>
        <v>Derek Carr</v>
      </c>
      <c r="H17" s="234" t="str">
        <f>DepthChart_RAW!B283</f>
        <v>Justin Herbert</v>
      </c>
      <c r="I17" s="234" t="str">
        <f>DepthChart_RAW!B300</f>
        <v>Matthew Stafford</v>
      </c>
      <c r="J17" s="234" t="str">
        <f>DepthChart_RAW!B316</f>
        <v>Tua Tagovailoa</v>
      </c>
      <c r="K17" s="234" t="str">
        <f>DepthChart_RAW!B333</f>
        <v>Kirk Cousins</v>
      </c>
      <c r="L17" s="234" t="str">
        <f>DepthChart_RAW!B350</f>
        <v>Mac Jones</v>
      </c>
    </row>
    <row r="18" spans="1:12" x14ac:dyDescent="0.25">
      <c r="A18" s="233" t="s">
        <v>2610</v>
      </c>
      <c r="B18" s="234" t="str">
        <f>DepthChart_RAW!B185</f>
        <v>Jordan Love</v>
      </c>
      <c r="C18" s="234" t="str">
        <f>DepthChart_RAW!B201</f>
        <v>Kyle Allen</v>
      </c>
      <c r="D18" s="234" t="str">
        <f>DepthChart_RAW!B217</f>
        <v>Nick Foles</v>
      </c>
      <c r="E18" s="234" t="str">
        <f>DepthChart_RAW!B233</f>
        <v>C.J. Beathard</v>
      </c>
      <c r="F18" s="234" t="str">
        <f>DepthChart_RAW!B250</f>
        <v>Chad Henne</v>
      </c>
      <c r="G18" s="234" t="str">
        <f>DepthChart_RAW!B267</f>
        <v>Jarrett Stidham</v>
      </c>
      <c r="H18" s="234" t="str">
        <f>DepthChart_RAW!B284</f>
        <v>Chase Daniel</v>
      </c>
      <c r="I18" s="234" t="str">
        <f>DepthChart_RAW!B301</f>
        <v>John Wolford</v>
      </c>
      <c r="J18" s="234" t="str">
        <f>DepthChart_RAW!B317</f>
        <v>Teddy Bridgewater</v>
      </c>
      <c r="K18" s="234" t="str">
        <f>DepthChart_RAW!B334</f>
        <v>Nick Mullens</v>
      </c>
      <c r="L18" s="234" t="str">
        <f>DepthChart_RAW!B351</f>
        <v>Brian Hoyer</v>
      </c>
    </row>
    <row r="19" spans="1:12" x14ac:dyDescent="0.25">
      <c r="A19" s="235" t="s">
        <v>2611</v>
      </c>
      <c r="B19" s="236" t="str">
        <f>DepthChart_RAW!B186</f>
        <v>Aaron Jones</v>
      </c>
      <c r="C19" s="245" t="str">
        <f>DepthChart_RAW!B202</f>
        <v>Dameon Pierce</v>
      </c>
      <c r="D19" s="245" t="str">
        <f>DepthChart_RAW!B218</f>
        <v>Jonathan Taylor</v>
      </c>
      <c r="E19" s="245" t="str">
        <f>DepthChart_RAW!B234</f>
        <v>James Robinson</v>
      </c>
      <c r="F19" s="245" t="str">
        <f>DepthChart_RAW!B251</f>
        <v>Clyde Edwards-Helaire</v>
      </c>
      <c r="G19" s="245" t="str">
        <f>DepthChart_RAW!B268</f>
        <v>Josh Jacobs</v>
      </c>
      <c r="H19" s="245" t="str">
        <f>DepthChart_RAW!B285</f>
        <v>Austin Ekeler</v>
      </c>
      <c r="I19" s="245" t="str">
        <f>DepthChart_RAW!B302</f>
        <v>Cam Akers</v>
      </c>
      <c r="J19" s="245" t="str">
        <f>DepthChart_RAW!B318</f>
        <v>Chase Edmonds</v>
      </c>
      <c r="K19" s="245" t="str">
        <f>DepthChart_RAW!B335</f>
        <v>Dalvin Cook</v>
      </c>
      <c r="L19" s="245" t="str">
        <f>DepthChart_RAW!B352</f>
        <v>Damien Harris</v>
      </c>
    </row>
    <row r="20" spans="1:12" x14ac:dyDescent="0.25">
      <c r="A20" s="235" t="s">
        <v>2612</v>
      </c>
      <c r="B20" s="236" t="str">
        <f>DepthChart_RAW!B187</f>
        <v>AJ Dillon</v>
      </c>
      <c r="C20" s="245" t="str">
        <f>DepthChart_RAW!B203</f>
        <v>Rex Burkhead</v>
      </c>
      <c r="D20" s="245" t="str">
        <f>DepthChart_RAW!B219</f>
        <v>Nyheim Hines</v>
      </c>
      <c r="E20" s="245" t="str">
        <f>DepthChart_RAW!B235</f>
        <v>Travis Etienne Jr.</v>
      </c>
      <c r="F20" s="245" t="str">
        <f>DepthChart_RAW!B252</f>
        <v>Jerick McKinnon</v>
      </c>
      <c r="G20" s="245" t="str">
        <f>DepthChart_RAW!B269</f>
        <v>Ameer Abdullah</v>
      </c>
      <c r="H20" s="245" t="str">
        <f>DepthChart_RAW!B286</f>
        <v>Joshua Kelley</v>
      </c>
      <c r="I20" s="245" t="str">
        <f>DepthChart_RAW!B303</f>
        <v>Darrell Henderson Jr.</v>
      </c>
      <c r="J20" s="245" t="str">
        <f>DepthChart_RAW!B319</f>
        <v>Raheem Mostert</v>
      </c>
      <c r="K20" s="245" t="str">
        <f>DepthChart_RAW!B336</f>
        <v>Alexander Mattison</v>
      </c>
      <c r="L20" s="245" t="str">
        <f>DepthChart_RAW!B353</f>
        <v>Rhamondre Stevenson</v>
      </c>
    </row>
    <row r="21" spans="1:12" x14ac:dyDescent="0.25">
      <c r="A21" s="235" t="s">
        <v>2613</v>
      </c>
      <c r="B21" s="236" t="str">
        <f>DepthChart_RAW!B188</f>
        <v>TBA GB RB</v>
      </c>
      <c r="C21" s="245" t="str">
        <f>DepthChart_RAW!B204</f>
        <v>Dare Ogunbowale</v>
      </c>
      <c r="D21" s="236" t="str">
        <f>DepthChart_RAW!B220</f>
        <v>Deon Jackson</v>
      </c>
      <c r="E21" s="236" t="str">
        <f>DepthChart_RAW!B236</f>
        <v>Snoop Conner</v>
      </c>
      <c r="F21" s="245" t="str">
        <f>DepthChart_RAW!B253</f>
        <v>Isiah Pacheco</v>
      </c>
      <c r="G21" s="245" t="str">
        <f>DepthChart_RAW!B270</f>
        <v>Zamir White</v>
      </c>
      <c r="H21" s="245" t="str">
        <f>DepthChart_RAW!B287</f>
        <v>Sony Michel</v>
      </c>
      <c r="I21" s="245" t="str">
        <f>DepthChart_RAW!B304</f>
        <v>Kyren Williams</v>
      </c>
      <c r="J21" s="245" t="str">
        <f>DepthChart_RAW!B320</f>
        <v>Myles Gaskin</v>
      </c>
      <c r="K21" s="245" t="str">
        <f>DepthChart_RAW!B337</f>
        <v>Kene Nwangwu</v>
      </c>
      <c r="L21" s="245" t="str">
        <f>DepthChart_RAW!B354</f>
        <v>Ty Montgomery</v>
      </c>
    </row>
    <row r="22" spans="1:12" x14ac:dyDescent="0.25">
      <c r="A22" s="235" t="s">
        <v>2638</v>
      </c>
      <c r="B22" s="246" t="str">
        <f>DepthChart_RAW!B189</f>
        <v>Allen Lazard</v>
      </c>
      <c r="C22" s="238" t="str">
        <f>DepthChart_RAW!B205</f>
        <v>Brandin Cooks</v>
      </c>
      <c r="D22" s="236" t="str">
        <f>DepthChart_RAW!B221</f>
        <v>Michael Pittman Jr.</v>
      </c>
      <c r="E22" s="236" t="str">
        <f>DepthChart_RAW!B237</f>
        <v>JaMycal Hasty</v>
      </c>
      <c r="F22" s="236" t="str">
        <f>DepthChart_RAW!B254</f>
        <v>Ronald Jones II</v>
      </c>
      <c r="G22" s="236" t="str">
        <f>DepthChart_RAW!B271</f>
        <v>Brandon Bolden</v>
      </c>
      <c r="H22" s="236" t="str">
        <f>DepthChart_RAW!B288</f>
        <v>Isaiah Spiller</v>
      </c>
      <c r="I22" s="236" t="str">
        <f>DepthChart_RAW!B305</f>
        <v>Jake Funk</v>
      </c>
      <c r="J22" s="236" t="str">
        <f>DepthChart_RAW!B321</f>
        <v>Salvon Ahmed</v>
      </c>
      <c r="K22" s="236" t="str">
        <f>DepthChart_RAW!B338</f>
        <v>Ty Chandler</v>
      </c>
      <c r="L22" s="236" t="str">
        <f>DepthChart_RAW!B355</f>
        <v>Pierre Strong Jr.</v>
      </c>
    </row>
    <row r="23" spans="1:12" x14ac:dyDescent="0.25">
      <c r="A23" s="237" t="s">
        <v>2639</v>
      </c>
      <c r="B23" s="246" t="str">
        <f>DepthChart_RAW!B190</f>
        <v>Romeo Doubs</v>
      </c>
      <c r="C23" s="238" t="str">
        <f>DepthChart_RAW!B206</f>
        <v>Nico Collins</v>
      </c>
      <c r="D23" s="238" t="str">
        <f>DepthChart_RAW!B222</f>
        <v>Alec Pierce</v>
      </c>
      <c r="E23" s="238" t="str">
        <f>DepthChart_RAW!B238</f>
        <v>Christian Kirk</v>
      </c>
      <c r="F23" s="238" t="str">
        <f>DepthChart_RAW!B255</f>
        <v>JuJu Smith-Schuster</v>
      </c>
      <c r="G23" s="238" t="str">
        <f>DepthChart_RAW!B272</f>
        <v>Davante Adams</v>
      </c>
      <c r="H23" s="238" t="str">
        <f>DepthChart_RAW!B289</f>
        <v>Keenan Allen</v>
      </c>
      <c r="I23" s="238" t="str">
        <f>DepthChart_RAW!B306</f>
        <v>Cooper Kupp</v>
      </c>
      <c r="J23" s="238" t="str">
        <f>DepthChart_RAW!B322</f>
        <v>Tyreek Hill</v>
      </c>
      <c r="K23" s="238" t="str">
        <f>DepthChart_RAW!B339</f>
        <v>Justin Jefferson</v>
      </c>
      <c r="L23" s="238" t="str">
        <f>DepthChart_RAW!B356</f>
        <v>Jakobi Meyers</v>
      </c>
    </row>
    <row r="24" spans="1:12" x14ac:dyDescent="0.25">
      <c r="A24" s="237" t="s">
        <v>2640</v>
      </c>
      <c r="B24" s="246" t="str">
        <f>DepthChart_RAW!B191</f>
        <v>Randall Cobb</v>
      </c>
      <c r="C24" s="238" t="str">
        <f>DepthChart_RAW!B207</f>
        <v>Phillip Dorsett II</v>
      </c>
      <c r="D24" s="238" t="str">
        <f>DepthChart_RAW!B223</f>
        <v>Parris Campbell</v>
      </c>
      <c r="E24" s="246" t="str">
        <f>DepthChart_RAW!B239</f>
        <v>Marvin Jones Jr.</v>
      </c>
      <c r="F24" s="246" t="str">
        <f>DepthChart_RAW!B256</f>
        <v>Marquez Valdes-Scantling</v>
      </c>
      <c r="G24" s="238" t="str">
        <f>DepthChart_RAW!B273</f>
        <v>Hunter Renfrow</v>
      </c>
      <c r="H24" s="238" t="str">
        <f>DepthChart_RAW!B290</f>
        <v>Mike Williams</v>
      </c>
      <c r="I24" s="246" t="str">
        <f>DepthChart_RAW!B307</f>
        <v>Allen Robinson II</v>
      </c>
      <c r="J24" s="246" t="str">
        <f>DepthChart_RAW!B323</f>
        <v>Jaylen Waddle</v>
      </c>
      <c r="K24" s="246" t="str">
        <f>DepthChart_RAW!B340</f>
        <v>Adam Thielen</v>
      </c>
      <c r="L24" s="238" t="str">
        <f>DepthChart_RAW!B357</f>
        <v>DeVante Parker</v>
      </c>
    </row>
    <row r="25" spans="1:12" x14ac:dyDescent="0.25">
      <c r="A25" s="237" t="s">
        <v>2641</v>
      </c>
      <c r="B25" s="246" t="str">
        <f>DepthChart_RAW!B192</f>
        <v>Christian Watson</v>
      </c>
      <c r="C25" s="246" t="str">
        <f>DepthChart_RAW!B208</f>
        <v>Chris Moore</v>
      </c>
      <c r="D25" s="246" t="str">
        <f>DepthChart_RAW!B224</f>
        <v>Ashton Dulin</v>
      </c>
      <c r="E25" s="246" t="str">
        <f>DepthChart_RAW!B240</f>
        <v>Zay Jones</v>
      </c>
      <c r="F25" s="246" t="str">
        <f>DepthChart_RAW!B257</f>
        <v>Skyy Moore</v>
      </c>
      <c r="G25" s="238" t="str">
        <f>DepthChart_RAW!B274</f>
        <v>Mack Hollins</v>
      </c>
      <c r="H25" s="246" t="str">
        <f>DepthChart_RAW!B291</f>
        <v>Josh Palmer</v>
      </c>
      <c r="I25" s="246" t="str">
        <f>DepthChart_RAW!B308</f>
        <v>Van Jefferson</v>
      </c>
      <c r="J25" s="246" t="str">
        <f>DepthChart_RAW!B324</f>
        <v>Cedrick Wilson</v>
      </c>
      <c r="K25" s="246" t="str">
        <f>DepthChart_RAW!B341</f>
        <v>K.J. Osborn</v>
      </c>
      <c r="L25" s="238" t="str">
        <f>DepthChart_RAW!B358</f>
        <v>Kendrick Bourne</v>
      </c>
    </row>
    <row r="26" spans="1:12" x14ac:dyDescent="0.25">
      <c r="A26" s="237" t="s">
        <v>2642</v>
      </c>
      <c r="B26" s="246" t="str">
        <f>DepthChart_RAW!B193</f>
        <v>Sammy Watkins</v>
      </c>
      <c r="C26" s="246" t="str">
        <f>DepthChart_RAW!B209</f>
        <v>Tyler Johnson</v>
      </c>
      <c r="D26" s="246" t="str">
        <f>DepthChart_RAW!B225</f>
        <v>Mike Strachan</v>
      </c>
      <c r="E26" s="246" t="str">
        <f>DepthChart_RAW!B241</f>
        <v>Jamal Agnew</v>
      </c>
      <c r="F26" s="246" t="str">
        <f>DepthChart_RAW!B258</f>
        <v>Mecole Hardman</v>
      </c>
      <c r="G26" s="246" t="str">
        <f>DepthChart_RAW!B275</f>
        <v>Tyron Johnson</v>
      </c>
      <c r="H26" s="246" t="str">
        <f>DepthChart_RAW!B292</f>
        <v>Jalen Guyton</v>
      </c>
      <c r="I26" s="246" t="str">
        <f>DepthChart_RAW!B309</f>
        <v>Tutu Atwell</v>
      </c>
      <c r="J26" s="246" t="str">
        <f>DepthChart_RAW!B325</f>
        <v>Trent Sherfield</v>
      </c>
      <c r="K26" s="246" t="str">
        <f>DepthChart_RAW!B342</f>
        <v>Jalen Reagor</v>
      </c>
      <c r="L26" s="238" t="str">
        <f>DepthChart_RAW!B359</f>
        <v>Nelson Agholor</v>
      </c>
    </row>
    <row r="27" spans="1:12" x14ac:dyDescent="0.25">
      <c r="A27" s="237" t="s">
        <v>2643</v>
      </c>
      <c r="B27" s="250" t="str">
        <f>DepthChart_RAW!B194</f>
        <v>Robert Tonyan</v>
      </c>
      <c r="C27" s="246" t="str">
        <f>DepthChart_RAW!B210</f>
        <v>Brevin Jordan</v>
      </c>
      <c r="D27" s="241" t="str">
        <f>DepthChart_RAW!B226</f>
        <v>Mo Alie-Cox</v>
      </c>
      <c r="E27" s="246" t="str">
        <f>DepthChart_RAW!B242</f>
        <v>Tim Jones</v>
      </c>
      <c r="F27" s="246" t="str">
        <f>DepthChart_RAW!B259</f>
        <v>Justin Watson</v>
      </c>
      <c r="G27" s="246" t="str">
        <f>DepthChart_RAW!B276</f>
        <v>DJ Turner</v>
      </c>
      <c r="H27" s="246" t="str">
        <f>DepthChart_RAW!B293</f>
        <v>DeAndre Carter</v>
      </c>
      <c r="I27" s="246" t="str">
        <f>DepthChart_RAW!B310</f>
        <v>Ben Skowronek</v>
      </c>
      <c r="J27" s="246" t="str">
        <f>DepthChart_RAW!B326</f>
        <v>Erik Ezukanma</v>
      </c>
      <c r="K27" s="246" t="str">
        <f>DepthChart_RAW!B343</f>
        <v>Jalen Nailor</v>
      </c>
      <c r="L27" s="238" t="str">
        <f>DepthChart_RAW!B360</f>
        <v>Tyquan Thornton</v>
      </c>
    </row>
    <row r="28" spans="1:12" x14ac:dyDescent="0.25">
      <c r="A28" s="240" t="s">
        <v>2614</v>
      </c>
      <c r="B28" s="250" t="str">
        <f>DepthChart_RAW!B195</f>
        <v>Josiah Deguara</v>
      </c>
      <c r="C28" s="241" t="str">
        <f>DepthChart_RAW!B211</f>
        <v>Pharaoh Brown</v>
      </c>
      <c r="D28" s="241" t="str">
        <f>DepthChart_RAW!B227</f>
        <v>Kylen Granson</v>
      </c>
      <c r="E28" s="241" t="str">
        <f>DepthChart_RAW!B243</f>
        <v>Evan Engram</v>
      </c>
      <c r="F28" s="241" t="str">
        <f>DepthChart_RAW!B260</f>
        <v>Travis Kelce</v>
      </c>
      <c r="G28" s="241" t="str">
        <f>DepthChart_RAW!B277</f>
        <v>Darren Waller</v>
      </c>
      <c r="H28" s="241" t="str">
        <f>DepthChart_RAW!B294</f>
        <v>Gerald Everett</v>
      </c>
      <c r="I28" s="241" t="str">
        <f>DepthChart_RAW!B311</f>
        <v>Tyler Higbee</v>
      </c>
      <c r="J28" s="241" t="str">
        <f>DepthChart_RAW!B327</f>
        <v>Mike Gesicki</v>
      </c>
      <c r="K28" s="241" t="str">
        <f>DepthChart_RAW!B344</f>
        <v>Irv Smith Jr.</v>
      </c>
      <c r="L28" s="241" t="str">
        <f>DepthChart_RAW!B361</f>
        <v>Hunter Henry</v>
      </c>
    </row>
    <row r="29" spans="1:12" x14ac:dyDescent="0.25">
      <c r="A29" s="240" t="s">
        <v>2615</v>
      </c>
      <c r="B29" s="250" t="str">
        <f>DepthChart_RAW!B196</f>
        <v>Marcedes Lewis</v>
      </c>
      <c r="C29" s="250" t="str">
        <f>DepthChart_RAW!B212</f>
        <v>Teagan Quitoriano</v>
      </c>
      <c r="D29" s="250" t="str">
        <f>DepthChart_RAW!B228</f>
        <v>Jelani Woods</v>
      </c>
      <c r="E29" s="250" t="str">
        <f>DepthChart_RAW!B244</f>
        <v>Dan Arnold</v>
      </c>
      <c r="F29" s="250" t="str">
        <f>DepthChart_RAW!B261</f>
        <v>Blake Bell</v>
      </c>
      <c r="G29" s="250" t="str">
        <f>DepthChart_RAW!B278</f>
        <v>Foster Moreau</v>
      </c>
      <c r="H29" s="250" t="str">
        <f>DepthChart_RAW!B295</f>
        <v>Donald Parham</v>
      </c>
      <c r="I29" s="250" t="str">
        <f>DepthChart_RAW!B312</f>
        <v>Brycen Hopkins</v>
      </c>
      <c r="J29" s="241" t="str">
        <f>DepthChart_RAW!B328</f>
        <v>Durham Smythe</v>
      </c>
      <c r="K29" s="250" t="str">
        <f>DepthChart_RAW!B345</f>
        <v>Johnny Mundt</v>
      </c>
      <c r="L29" s="241" t="str">
        <f>DepthChart_RAW!B362</f>
        <v>Jonnu Smith</v>
      </c>
    </row>
    <row r="30" spans="1:12" ht="15.75" thickBot="1" x14ac:dyDescent="0.3">
      <c r="A30" s="240" t="s">
        <v>48</v>
      </c>
      <c r="B30" s="251" t="str">
        <f>DepthChart_RAW!B197</f>
        <v>Mason Crosby</v>
      </c>
      <c r="C30" s="251" t="str">
        <f>DepthChart_RAW!B213</f>
        <v>Ka'imi Fairbairn</v>
      </c>
      <c r="D30" s="251" t="str">
        <f>DepthChart_RAW!B229</f>
        <v>Rodrigo Blankenship</v>
      </c>
      <c r="E30" s="251" t="str">
        <f>DepthChart_RAW!B245</f>
        <v>Chris Manhertz</v>
      </c>
      <c r="F30" s="251" t="str">
        <f>DepthChart_RAW!B262</f>
        <v>Noah Gray</v>
      </c>
      <c r="G30" s="251" t="str">
        <f>DepthChart_RAW!B279</f>
        <v>Jesper Horsted</v>
      </c>
      <c r="H30" s="251" t="str">
        <f>DepthChart_RAW!B296</f>
        <v>Tre' McKitty</v>
      </c>
      <c r="I30" s="251" t="str">
        <f>DepthChart_RAW!B313</f>
        <v>Matt Gay</v>
      </c>
      <c r="J30" s="251" t="str">
        <f>DepthChart_RAW!B329</f>
        <v>Hunter Long</v>
      </c>
      <c r="K30" s="251" t="str">
        <f>DepthChart_RAW!B346</f>
        <v>Ben Ellefson</v>
      </c>
      <c r="L30" s="243" t="str">
        <f>DepthChart_RAW!B363</f>
        <v>Nick Folk</v>
      </c>
    </row>
    <row r="31" spans="1:12" ht="36" customHeight="1" thickBot="1" x14ac:dyDescent="0.3">
      <c r="A31" s="231"/>
      <c r="B31" s="232"/>
      <c r="C31" s="232"/>
      <c r="D31" s="232"/>
      <c r="E31" s="232"/>
      <c r="F31" s="232"/>
      <c r="G31" s="232"/>
      <c r="H31" s="232"/>
      <c r="I31" s="232"/>
      <c r="J31" s="232"/>
      <c r="K31" s="232"/>
      <c r="L31" s="247"/>
    </row>
    <row r="32" spans="1:12" x14ac:dyDescent="0.25">
      <c r="A32" s="233" t="s">
        <v>2609</v>
      </c>
      <c r="B32" s="234" t="str">
        <f>DepthChart_RAW!B366</f>
        <v>Jameis Winston</v>
      </c>
      <c r="C32" s="234" t="str">
        <f>DepthChart_RAW!B383</f>
        <v>Daniel Jones</v>
      </c>
      <c r="D32" s="234" t="str">
        <f>DepthChart_RAW!B400</f>
        <v>Zach Wilson</v>
      </c>
      <c r="E32" s="234" t="str">
        <f>DepthChart_RAW!B417</f>
        <v>Jalen Hurts</v>
      </c>
      <c r="F32" s="234" t="str">
        <f>DepthChart_RAW!B432</f>
        <v>Mitchell Trubisky</v>
      </c>
      <c r="G32" s="234" t="str">
        <f>DepthChart_RAW!B448</f>
        <v>Trey Lance</v>
      </c>
      <c r="H32" s="234" t="str">
        <f>DepthChart_RAW!B465</f>
        <v>Geno Smith</v>
      </c>
      <c r="I32" s="234" t="str">
        <f>DepthChart_RAW!B482</f>
        <v>Tom Brady</v>
      </c>
      <c r="J32" s="234" t="str">
        <f>DepthChart_RAW!B499</f>
        <v>Ryan Tannehill</v>
      </c>
      <c r="K32" s="234" t="str">
        <f>DepthChart_RAW!B516</f>
        <v>Carson Wentz</v>
      </c>
      <c r="L32" s="252"/>
    </row>
    <row r="33" spans="1:12" x14ac:dyDescent="0.25">
      <c r="A33" s="233" t="s">
        <v>2610</v>
      </c>
      <c r="B33" s="234" t="str">
        <f>DepthChart_RAW!B367</f>
        <v>Andy Dalton</v>
      </c>
      <c r="C33" s="234" t="str">
        <f>DepthChart_RAW!B384</f>
        <v>Tyrod Taylor</v>
      </c>
      <c r="D33" s="234" t="str">
        <f>DepthChart_RAW!B401</f>
        <v>Joe Flacco</v>
      </c>
      <c r="E33" s="234" t="str">
        <f>DepthChart_RAW!B418</f>
        <v>Gardner Minshew II</v>
      </c>
      <c r="F33" s="234" t="str">
        <f>DepthChart_RAW!B433</f>
        <v>Kenny Pickett</v>
      </c>
      <c r="G33" s="234" t="str">
        <f>DepthChart_RAW!B449</f>
        <v>Jimmy Garoppolo</v>
      </c>
      <c r="H33" s="234" t="str">
        <f>DepthChart_RAW!B466</f>
        <v>Drew Lock</v>
      </c>
      <c r="I33" s="234" t="str">
        <f>DepthChart_RAW!B483</f>
        <v>Blaine Gabbert</v>
      </c>
      <c r="J33" s="234" t="str">
        <f>DepthChart_RAW!B500</f>
        <v>Malik Willis</v>
      </c>
      <c r="K33" s="244" t="str">
        <f>DepthChart_RAW!B517</f>
        <v>Taylor Heinicke</v>
      </c>
      <c r="L33" s="248"/>
    </row>
    <row r="34" spans="1:12" x14ac:dyDescent="0.25">
      <c r="A34" s="235" t="s">
        <v>2611</v>
      </c>
      <c r="B34" s="236" t="str">
        <f>DepthChart_RAW!B368</f>
        <v>Alvin Kamara</v>
      </c>
      <c r="C34" s="245" t="str">
        <f>DepthChart_RAW!B385</f>
        <v>Saquon Barkley</v>
      </c>
      <c r="D34" s="245" t="str">
        <f>DepthChart_RAW!B402</f>
        <v>Breece Hall</v>
      </c>
      <c r="E34" s="245" t="str">
        <f>DepthChart_RAW!B419</f>
        <v>Miles Sanders</v>
      </c>
      <c r="F34" s="245" t="str">
        <f>DepthChart_RAW!B434</f>
        <v>Najee Harris</v>
      </c>
      <c r="G34" s="245" t="str">
        <f>DepthChart_RAW!B450</f>
        <v>Elijah Mitchell</v>
      </c>
      <c r="H34" s="245" t="str">
        <f>DepthChart_RAW!B467</f>
        <v>Rashaad Penny</v>
      </c>
      <c r="I34" s="245" t="str">
        <f>DepthChart_RAW!B484</f>
        <v>Leonard Fournette</v>
      </c>
      <c r="J34" s="245" t="str">
        <f>DepthChart_RAW!B501</f>
        <v>Derrick Henry</v>
      </c>
      <c r="K34" s="245" t="str">
        <f>DepthChart_RAW!B518</f>
        <v>Antonio Gibson</v>
      </c>
      <c r="L34" s="248"/>
    </row>
    <row r="35" spans="1:12" x14ac:dyDescent="0.25">
      <c r="A35" s="235" t="s">
        <v>2612</v>
      </c>
      <c r="B35" s="245" t="str">
        <f>DepthChart_RAW!B369</f>
        <v>Mark Ingram II</v>
      </c>
      <c r="C35" s="245" t="str">
        <f>DepthChart_RAW!B386</f>
        <v>Matt Breida</v>
      </c>
      <c r="D35" s="245" t="str">
        <f>DepthChart_RAW!B403</f>
        <v>Michael Carter</v>
      </c>
      <c r="E35" s="245" t="str">
        <f>DepthChart_RAW!B420</f>
        <v>Kenneth Gainwell</v>
      </c>
      <c r="F35" s="245" t="str">
        <f>DepthChart_RAW!B435</f>
        <v>Jaylen Warren</v>
      </c>
      <c r="G35" s="245" t="str">
        <f>DepthChart_RAW!B451</f>
        <v>Jeff Wilson Jr.</v>
      </c>
      <c r="H35" s="245" t="str">
        <f>DepthChart_RAW!B468</f>
        <v>Ken Walker III</v>
      </c>
      <c r="I35" s="245" t="str">
        <f>DepthChart_RAW!B485</f>
        <v>Rachaad White</v>
      </c>
      <c r="J35" s="245" t="str">
        <f>DepthChart_RAW!B502</f>
        <v>Dontrell Hilliard</v>
      </c>
      <c r="K35" s="245" t="str">
        <f>DepthChart_RAW!B519</f>
        <v>J.D. McKissic</v>
      </c>
      <c r="L35" s="248"/>
    </row>
    <row r="36" spans="1:12" x14ac:dyDescent="0.25">
      <c r="A36" s="235" t="s">
        <v>2613</v>
      </c>
      <c r="B36" s="245" t="str">
        <f>DepthChart_RAW!B370</f>
        <v>Tony Jones Jr.</v>
      </c>
      <c r="C36" s="245" t="str">
        <f>DepthChart_RAW!B387</f>
        <v>Gary Brightwell</v>
      </c>
      <c r="D36" s="245" t="str">
        <f>DepthChart_RAW!B404</f>
        <v>Ty Johnson</v>
      </c>
      <c r="E36" s="245" t="str">
        <f>DepthChart_RAW!B421</f>
        <v>Boston Scott</v>
      </c>
      <c r="F36" s="245" t="str">
        <f>DepthChart_RAW!B436</f>
        <v>Benny Snell Jr.</v>
      </c>
      <c r="G36" s="245" t="str">
        <f>DepthChart_RAW!B452</f>
        <v>Tyrion Davis-Price</v>
      </c>
      <c r="H36" s="245" t="str">
        <f>DepthChart_RAW!B469</f>
        <v>DeeJay Dallas</v>
      </c>
      <c r="I36" s="245" t="str">
        <f>DepthChart_RAW!B486</f>
        <v>Giovani Bernard</v>
      </c>
      <c r="J36" s="245" t="str">
        <f>DepthChart_RAW!B503</f>
        <v>Hassan Haskins</v>
      </c>
      <c r="K36" s="245" t="str">
        <f>DepthChart_RAW!B520</f>
        <v>Brian Robinson Jr.</v>
      </c>
      <c r="L36" s="248"/>
    </row>
    <row r="37" spans="1:12" x14ac:dyDescent="0.25">
      <c r="A37" s="235" t="s">
        <v>2638</v>
      </c>
      <c r="B37" s="245" t="str">
        <f>DepthChart_RAW!B371</f>
        <v>Dwayne Washington</v>
      </c>
      <c r="C37" s="245" t="str">
        <f>DepthChart_RAW!B388</f>
        <v>Antonio Williams</v>
      </c>
      <c r="D37" s="245" t="str">
        <f>DepthChart_RAW!B405</f>
        <v>Zonovan Knight</v>
      </c>
      <c r="E37" s="238" t="str">
        <f>DepthChart_RAW!B422</f>
        <v>A.J. Brown</v>
      </c>
      <c r="F37" s="238" t="str">
        <f>DepthChart_RAW!B437</f>
        <v>Diontae Johnson</v>
      </c>
      <c r="G37" s="245" t="str">
        <f>DepthChart_RAW!B453</f>
        <v>Jordan Mason</v>
      </c>
      <c r="H37" s="245" t="str">
        <f>DepthChart_RAW!B470</f>
        <v>Travis Homer</v>
      </c>
      <c r="I37" s="245" t="str">
        <f>DepthChart_RAW!B487</f>
        <v>Ke'Shawn Vaughn</v>
      </c>
      <c r="J37" s="245" t="str">
        <f>DepthChart_RAW!B504</f>
        <v>Julius Chestnut</v>
      </c>
      <c r="K37" s="245" t="str">
        <f>DepthChart_RAW!B521</f>
        <v>Jonathan Williams</v>
      </c>
      <c r="L37" s="248"/>
    </row>
    <row r="38" spans="1:12" x14ac:dyDescent="0.25">
      <c r="A38" s="237" t="s">
        <v>2639</v>
      </c>
      <c r="B38" s="238" t="str">
        <f>DepthChart_RAW!B372</f>
        <v>Michael Thomas</v>
      </c>
      <c r="C38" s="238" t="str">
        <f>DepthChart_RAW!B389</f>
        <v>Kadarius Toney</v>
      </c>
      <c r="D38" s="238" t="str">
        <f>DepthChart_RAW!B406</f>
        <v>Elijah Moore</v>
      </c>
      <c r="E38" s="238" t="str">
        <f>DepthChart_RAW!B423</f>
        <v>DeVonta Smith</v>
      </c>
      <c r="F38" s="238" t="str">
        <f>DepthChart_RAW!B438</f>
        <v>Chase Claypool</v>
      </c>
      <c r="G38" s="238" t="str">
        <f>DepthChart_RAW!B454</f>
        <v>Deebo Samuel</v>
      </c>
      <c r="H38" s="238" t="str">
        <f>DepthChart_RAW!B471</f>
        <v>DK Metcalf</v>
      </c>
      <c r="I38" s="238" t="str">
        <f>DepthChart_RAW!B488</f>
        <v>Mike Evans</v>
      </c>
      <c r="J38" s="238" t="str">
        <f>DepthChart_RAW!B505</f>
        <v>Robert Woods</v>
      </c>
      <c r="K38" s="238" t="str">
        <f>DepthChart_RAW!B522</f>
        <v>Terry McLaurin</v>
      </c>
      <c r="L38" s="248"/>
    </row>
    <row r="39" spans="1:12" x14ac:dyDescent="0.25">
      <c r="A39" s="237" t="s">
        <v>2640</v>
      </c>
      <c r="B39" s="238" t="str">
        <f>DepthChart_RAW!B373</f>
        <v>Chris Olave</v>
      </c>
      <c r="C39" s="238" t="str">
        <f>DepthChart_RAW!B390</f>
        <v>Kenny Golladay</v>
      </c>
      <c r="D39" s="238" t="str">
        <f>DepthChart_RAW!B407</f>
        <v>Garrett Wilson</v>
      </c>
      <c r="E39" s="238" t="str">
        <f>DepthChart_RAW!B424</f>
        <v>Quez Watkins</v>
      </c>
      <c r="F39" s="238" t="str">
        <f>DepthChart_RAW!B439</f>
        <v>George Pickens</v>
      </c>
      <c r="G39" s="238" t="str">
        <f>DepthChart_RAW!B455</f>
        <v>Brandon Aiyuk</v>
      </c>
      <c r="H39" s="238" t="str">
        <f>DepthChart_RAW!B472</f>
        <v>Tyler Lockett</v>
      </c>
      <c r="I39" s="238" t="str">
        <f>DepthChart_RAW!B489</f>
        <v>Chris Godwin</v>
      </c>
      <c r="J39" s="238" t="str">
        <f>DepthChart_RAW!B506</f>
        <v>Treylon Burks</v>
      </c>
      <c r="K39" s="238" t="str">
        <f>DepthChart_RAW!B523</f>
        <v>Jahan Dotson</v>
      </c>
      <c r="L39" s="248"/>
    </row>
    <row r="40" spans="1:12" x14ac:dyDescent="0.25">
      <c r="A40" s="237" t="s">
        <v>2641</v>
      </c>
      <c r="B40" s="238" t="str">
        <f>DepthChart_RAW!B374</f>
        <v>Jarvis Landry</v>
      </c>
      <c r="C40" s="238" t="str">
        <f>DepthChart_RAW!B391</f>
        <v>Sterling Shepard</v>
      </c>
      <c r="D40" s="238" t="str">
        <f>DepthChart_RAW!B408</f>
        <v>Corey Davis</v>
      </c>
      <c r="E40" s="238" t="str">
        <f>DepthChart_RAW!B425</f>
        <v>Zach Pascal</v>
      </c>
      <c r="F40" s="238" t="str">
        <f>DepthChart_RAW!B440</f>
        <v>Calvin Austin III</v>
      </c>
      <c r="G40" s="238" t="str">
        <f>DepthChart_RAW!B456</f>
        <v>Jauan Jennings</v>
      </c>
      <c r="H40" s="238" t="str">
        <f>DepthChart_RAW!B473</f>
        <v>D'Wayne Eskridge</v>
      </c>
      <c r="I40" s="238" t="str">
        <f>DepthChart_RAW!B490</f>
        <v>Russell Gage</v>
      </c>
      <c r="J40" s="238" t="str">
        <f>DepthChart_RAW!B507</f>
        <v>Nick Westbrook-Ikhine</v>
      </c>
      <c r="K40" s="238" t="str">
        <f>DepthChart_RAW!B524</f>
        <v>Curtis Samuel</v>
      </c>
      <c r="L40" s="248"/>
    </row>
    <row r="41" spans="1:12" x14ac:dyDescent="0.25">
      <c r="A41" s="237" t="s">
        <v>2642</v>
      </c>
      <c r="B41" s="238" t="str">
        <f>DepthChart_RAW!B375</f>
        <v>Marquez Callaway</v>
      </c>
      <c r="C41" s="238" t="str">
        <f>DepthChart_RAW!B392</f>
        <v>Wan'Dale Robinson</v>
      </c>
      <c r="D41" s="238" t="str">
        <f>DepthChart_RAW!B409</f>
        <v>Braxton Berrios</v>
      </c>
      <c r="E41" s="238" t="str">
        <f>DepthChart_RAW!B426</f>
        <v>Dallas Goedert</v>
      </c>
      <c r="F41" s="238" t="str">
        <f>DepthChart_RAW!B441</f>
        <v>Miles Boykin</v>
      </c>
      <c r="G41" s="238" t="str">
        <f>DepthChart_RAW!B457</f>
        <v>Danny Gray</v>
      </c>
      <c r="H41" s="238" t="str">
        <f>DepthChart_RAW!B474</f>
        <v>Marquise Goodwin</v>
      </c>
      <c r="I41" s="238" t="str">
        <f>DepthChart_RAW!B491</f>
        <v>Julio Jones</v>
      </c>
      <c r="J41" s="238" t="str">
        <f>DepthChart_RAW!B508</f>
        <v>Kyle Philips</v>
      </c>
      <c r="K41" s="238" t="str">
        <f>DepthChart_RAW!B525</f>
        <v>Dyami Brown</v>
      </c>
      <c r="L41" s="248"/>
    </row>
    <row r="42" spans="1:12" x14ac:dyDescent="0.25">
      <c r="A42" s="237" t="s">
        <v>2643</v>
      </c>
      <c r="B42" s="238" t="str">
        <f>DepthChart_RAW!B376</f>
        <v>Deonte Harris</v>
      </c>
      <c r="C42" s="238" t="str">
        <f>DepthChart_RAW!B393</f>
        <v>David Sills V</v>
      </c>
      <c r="D42" s="238" t="str">
        <f>DepthChart_RAW!B410</f>
        <v>Jeff Smith</v>
      </c>
      <c r="E42" s="238" t="str">
        <f>DepthChart_RAW!B427</f>
        <v>Jack Stoll</v>
      </c>
      <c r="F42" s="238" t="str">
        <f>DepthChart_RAW!B442</f>
        <v>Pat Freiermuth</v>
      </c>
      <c r="G42" s="238" t="str">
        <f>DepthChart_RAW!B458</f>
        <v>Ray-Ray McCloud III</v>
      </c>
      <c r="H42" s="238" t="str">
        <f>DepthChart_RAW!B475</f>
        <v>Dareke Young</v>
      </c>
      <c r="I42" s="238" t="str">
        <f>DepthChart_RAW!B492</f>
        <v>Breshad Perriman</v>
      </c>
      <c r="J42" s="238" t="str">
        <f>DepthChart_RAW!B509</f>
        <v>Racey McMath</v>
      </c>
      <c r="K42" s="238" t="str">
        <f>DepthChart_RAW!B526</f>
        <v>Cam Sims</v>
      </c>
      <c r="L42" s="248"/>
    </row>
    <row r="43" spans="1:12" x14ac:dyDescent="0.25">
      <c r="A43" s="240" t="s">
        <v>2614</v>
      </c>
      <c r="B43" s="241" t="str">
        <f>DepthChart_RAW!B377</f>
        <v>Taysom Hill</v>
      </c>
      <c r="C43" s="241" t="str">
        <f>DepthChart_RAW!B394</f>
        <v>Daniel Bellinger</v>
      </c>
      <c r="D43" s="241" t="str">
        <f>DepthChart_RAW!B411</f>
        <v>Tyler Conklin</v>
      </c>
      <c r="E43" s="241" t="str">
        <f>DepthChart_RAW!B428</f>
        <v>Tyree Jackson</v>
      </c>
      <c r="F43" s="241" t="str">
        <f>DepthChart_RAW!B443</f>
        <v>Connor Heyward</v>
      </c>
      <c r="G43" s="241" t="str">
        <f>DepthChart_RAW!B459</f>
        <v>George Kittle</v>
      </c>
      <c r="H43" s="241" t="str">
        <f>DepthChart_RAW!B476</f>
        <v>Noah Fant</v>
      </c>
      <c r="I43" s="241" t="str">
        <f>DepthChart_RAW!B493</f>
        <v>Kyle Rudolph</v>
      </c>
      <c r="J43" s="241" t="str">
        <f>DepthChart_RAW!B510</f>
        <v>Austin Hooper</v>
      </c>
      <c r="K43" s="241" t="str">
        <f>DepthChart_RAW!B527</f>
        <v>Logan Thomas</v>
      </c>
      <c r="L43" s="248"/>
    </row>
    <row r="44" spans="1:12" x14ac:dyDescent="0.25">
      <c r="A44" s="240" t="s">
        <v>2615</v>
      </c>
      <c r="B44" s="241" t="str">
        <f>DepthChart_RAW!B378</f>
        <v>Adam Trautman</v>
      </c>
      <c r="C44" s="241" t="str">
        <f>DepthChart_RAW!B395</f>
        <v>Chris Myarick</v>
      </c>
      <c r="D44" s="241" t="str">
        <f>DepthChart_RAW!B412</f>
        <v>C.J. Uzomah</v>
      </c>
      <c r="E44" s="241" t="str">
        <f>DepthChart_RAW!B429</f>
        <v>Jake Elliott</v>
      </c>
      <c r="F44" s="241" t="str">
        <f>DepthChart_RAW!B444</f>
        <v>Zach Gentry</v>
      </c>
      <c r="G44" s="241" t="str">
        <f>DepthChart_RAW!B460</f>
        <v>Tyler Kroft</v>
      </c>
      <c r="H44" s="241" t="str">
        <f>DepthChart_RAW!B477</f>
        <v>Will Dissly</v>
      </c>
      <c r="I44" s="241" t="str">
        <f>DepthChart_RAW!B494</f>
        <v>Cameron Brate</v>
      </c>
      <c r="J44" s="241" t="str">
        <f>DepthChart_RAW!B511</f>
        <v>Geoff Swaim</v>
      </c>
      <c r="K44" s="241" t="str">
        <f>DepthChart_RAW!B528</f>
        <v>John Bates</v>
      </c>
      <c r="L44" s="248"/>
    </row>
    <row r="45" spans="1:12" ht="15.75" thickBot="1" x14ac:dyDescent="0.3">
      <c r="A45" s="240" t="s">
        <v>2616</v>
      </c>
      <c r="B45" s="251" t="str">
        <f>DepthChart_RAW!B379</f>
        <v>Nick Vannett</v>
      </c>
      <c r="C45" s="251" t="str">
        <f>DepthChart_RAW!B396</f>
        <v>Tanner Hudson</v>
      </c>
      <c r="D45" s="251" t="str">
        <f>DepthChart_RAW!B413</f>
        <v>Jeremy Ruckert</v>
      </c>
      <c r="E45" s="251" t="str">
        <f>DepthChart_RAW!B430</f>
        <v>Arryn Siposs</v>
      </c>
      <c r="F45" s="251" t="str">
        <f>DepthChart_RAW!B445</f>
        <v>Chris Boswell</v>
      </c>
      <c r="G45" s="251" t="str">
        <f>DepthChart_RAW!B461</f>
        <v>Ross Dwelley</v>
      </c>
      <c r="H45" s="251" t="str">
        <f>DepthChart_RAW!B478</f>
        <v>Colby Parkinson</v>
      </c>
      <c r="I45" s="251" t="str">
        <f>DepthChart_RAW!B495</f>
        <v>Cade Otton</v>
      </c>
      <c r="J45" s="251" t="str">
        <f>DepthChart_RAW!B512</f>
        <v>Chigoziem Okonkwo</v>
      </c>
      <c r="K45" s="251" t="str">
        <f>DepthChart_RAW!B529</f>
        <v>Armani Rogers</v>
      </c>
      <c r="L45" s="248"/>
    </row>
  </sheetData>
  <conditionalFormatting sqref="B44:K44 L44:L45 A32:A45 B32:L43 A2:L31">
    <cfRule type="expression" dxfId="59" priority="5">
      <formula>INDEX(INDIRECT("Teams!$C$3:$C$17"),MATCH(A2,INDIRECT("Teams!$B$3:$B$17"),0))&lt;&gt;""</formula>
    </cfRule>
    <cfRule type="expression" dxfId="58" priority="6">
      <formula>INDEX(INDIRECT("Auction!$H$13:$H$813"),MATCH(A2,INDIRECT("Auction!$A$13:$A$813"),0))&lt;&gt;""</formula>
    </cfRule>
  </conditionalFormatting>
  <conditionalFormatting sqref="B2:L14">
    <cfRule type="containsBlanks" dxfId="57" priority="4">
      <formula>LEN(TRIM(B2))=0</formula>
    </cfRule>
  </conditionalFormatting>
  <conditionalFormatting sqref="B44:K44 L44:L45 B32:L43 B17:L29">
    <cfRule type="containsBlanks" dxfId="56" priority="7">
      <formula>LEN(TRIM(B17))=0</formula>
    </cfRule>
  </conditionalFormatting>
  <conditionalFormatting sqref="B17:L17">
    <cfRule type="containsBlanks" dxfId="55" priority="3">
      <formula>LEN(TRIM(B17))=0</formula>
    </cfRule>
  </conditionalFormatting>
  <conditionalFormatting sqref="B45:K45">
    <cfRule type="expression" dxfId="54" priority="1">
      <formula>INDEX(INDIRECT("Teams!$C$3:$C$17"),MATCH(B45,INDIRECT("Teams!$B$3:$B$17"),0))&lt;&gt;""</formula>
    </cfRule>
    <cfRule type="expression" dxfId="53" priority="2">
      <formula>INDEX(INDIRECT("Auction!$H$13:$H$813"),MATCH(B45,INDIRECT("Auction!$A$13:$A$813"),0))&lt;&gt;""</formula>
    </cfRule>
  </conditionalFormatting>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616"/>
  <sheetViews>
    <sheetView zoomScaleNormal="100" workbookViewId="0">
      <selection activeCell="A13" sqref="A13:O616"/>
    </sheetView>
  </sheetViews>
  <sheetFormatPr defaultColWidth="8.85546875" defaultRowHeight="15" x14ac:dyDescent="0.25"/>
  <cols>
    <col min="1" max="1" width="22.42578125" bestFit="1" customWidth="1"/>
    <col min="2" max="2" width="19.42578125" bestFit="1" customWidth="1"/>
    <col min="3" max="3" width="6.42578125" customWidth="1"/>
    <col min="4" max="4" width="9.140625" customWidth="1"/>
    <col min="5" max="5" width="16.85546875" style="6" bestFit="1" customWidth="1"/>
    <col min="6" max="6" width="13.140625" customWidth="1"/>
    <col min="7" max="7" width="7.85546875" bestFit="1" customWidth="1"/>
    <col min="8" max="8" width="17.42578125" bestFit="1" customWidth="1"/>
    <col min="9" max="9" width="11.42578125" bestFit="1" customWidth="1"/>
    <col min="10" max="10" width="10.42578125" style="4" bestFit="1" customWidth="1"/>
    <col min="11" max="11" width="10.42578125" bestFit="1" customWidth="1"/>
    <col min="12" max="12" width="11.85546875" customWidth="1"/>
    <col min="13" max="13" width="13.42578125" bestFit="1" customWidth="1"/>
    <col min="14" max="14" width="10.42578125" bestFit="1" customWidth="1"/>
    <col min="15" max="15" width="9.85546875" bestFit="1" customWidth="1"/>
    <col min="16" max="16" width="8.42578125" bestFit="1" customWidth="1"/>
    <col min="17" max="17" width="7.42578125" bestFit="1" customWidth="1"/>
    <col min="18" max="18" width="5" bestFit="1" customWidth="1"/>
    <col min="19" max="19" width="5.42578125" customWidth="1"/>
    <col min="20" max="20" width="7.140625" customWidth="1"/>
    <col min="21" max="21" width="22.42578125" customWidth="1"/>
    <col min="22" max="22" width="4.42578125" customWidth="1"/>
    <col min="23" max="23" width="5.42578125" customWidth="1"/>
    <col min="24" max="24" width="3.42578125" customWidth="1"/>
    <col min="25" max="25" width="4.140625" customWidth="1"/>
  </cols>
  <sheetData>
    <row r="1" spans="1:17" x14ac:dyDescent="0.25">
      <c r="A1" s="64" t="str">
        <f ca="1">IF(A2&gt;=1,"Overall Inflation %","Overall Deflation %")</f>
        <v>Overall Inflation %</v>
      </c>
      <c r="B1" s="64" t="s">
        <v>466</v>
      </c>
      <c r="C1" s="65" t="s">
        <v>467</v>
      </c>
      <c r="D1" s="66"/>
      <c r="E1" s="67" t="s">
        <v>468</v>
      </c>
      <c r="F1" s="68" t="s">
        <v>14</v>
      </c>
      <c r="G1" s="69" t="s">
        <v>267</v>
      </c>
      <c r="H1" s="67" t="s">
        <v>469</v>
      </c>
      <c r="I1" s="68" t="s">
        <v>14</v>
      </c>
      <c r="J1" s="69" t="s">
        <v>267</v>
      </c>
      <c r="K1" s="69" t="s">
        <v>470</v>
      </c>
      <c r="L1" s="176"/>
      <c r="M1" s="5"/>
    </row>
    <row r="2" spans="1:17" x14ac:dyDescent="0.25">
      <c r="A2" s="217">
        <f ca="1">(SUMIF($F$13:$F$656,"&gt;0")-SUM($H$13:$H$656))/SUMIFS($F$13:$F$656,$H$13:$H$656,"",$F$13:$F$656,"&gt;0")</f>
        <v>1</v>
      </c>
      <c r="B2" s="70">
        <f>IFERROR(SUMIFS(H$13:H$656,H$13:H$656,"&gt;0",B$13:B$656,"RB",$J$13:$J$656,"No")/SUMIFS(F$13:F$656,H$13:H$656,"&gt;0",B$13:B$656,"RB",$J$13:$J$656,"No"),0)</f>
        <v>0</v>
      </c>
      <c r="C2" s="266">
        <f ca="1">AVERAGEIFS($I$13:$I$656, $G$13:$G$656, 0, $B$13:$B$656, "RB",$I$13:$I$656,"&gt;0")</f>
        <v>21.811457976985341</v>
      </c>
      <c r="D2" s="267"/>
      <c r="E2" s="71" t="str">
        <f t="array" aca="1" ref="E2" ca="1">INDEX(IF($B$13:$B$656="RB",$A$13:$A$656,0),MATCH(F2,$N$13:$N$656,0))</f>
        <v>Jonathan Taylor</v>
      </c>
      <c r="F2" s="171">
        <f t="array" aca="1" ref="F2" ca="1">MAX(IF(($H$13:$H$656=0)*($B$13:$B$656="RB"),$N$13:$N$656,0))</f>
        <v>192.19500000000002</v>
      </c>
      <c r="G2" s="172">
        <f ca="1">INDEX($I$13:$I$656,MATCH(F2,$N$13:$N$656,0))</f>
        <v>71.40171450420452</v>
      </c>
      <c r="H2" s="71" t="str">
        <f t="array" aca="1" ref="H2" ca="1">INDEX(IF($B$13:$B$656="RB",$A$13:$A$656,0),MATCH(I2,$N$13:$N$656,0))</f>
        <v>Christian McCaffrey</v>
      </c>
      <c r="I2" s="173">
        <f t="array" aca="1" ref="I2" ca="1">LARGE(IF(($H$13:$H$656=0)*($B$13:$B$656="RB"),$N$13:$N$656,0),2)</f>
        <v>168.16500000000005</v>
      </c>
      <c r="J2" s="172">
        <f ca="1">INDEX($I$13:$I$656,MATCH(I2,$N$13:$N$656,0))</f>
        <v>62.412784410400263</v>
      </c>
      <c r="K2" s="104">
        <f ca="1">IFERROR((F2-I2)/F2,0)</f>
        <v>0.12502926715055007</v>
      </c>
      <c r="L2" s="177"/>
    </row>
    <row r="3" spans="1:17" x14ac:dyDescent="0.25">
      <c r="A3" s="64" t="s">
        <v>471</v>
      </c>
      <c r="B3" s="64" t="s">
        <v>472</v>
      </c>
      <c r="C3" s="72" t="s">
        <v>473</v>
      </c>
      <c r="D3" s="66"/>
      <c r="E3" s="67" t="s">
        <v>474</v>
      </c>
      <c r="F3" s="68" t="s">
        <v>14</v>
      </c>
      <c r="G3" s="69" t="s">
        <v>267</v>
      </c>
      <c r="H3" s="67" t="s">
        <v>475</v>
      </c>
      <c r="I3" s="68" t="s">
        <v>14</v>
      </c>
      <c r="J3" s="69" t="s">
        <v>267</v>
      </c>
      <c r="K3" s="73"/>
      <c r="L3" s="176"/>
    </row>
    <row r="4" spans="1:17" x14ac:dyDescent="0.25">
      <c r="A4" s="74">
        <f>LeagueInfo!F3-SUM(Teams!$C$3:$C$22)</f>
        <v>200</v>
      </c>
      <c r="B4" s="70">
        <f>IFERROR(SUMIFS(H$13:H$656,H$13:H$656,"&gt;0",B$13:B$656,"WR",$J$13:$J$656,"No")/SUMIFS(F$13:F$656,H$13:H$656,"&gt;0",B$13:B$656,"WR",$J$13:$J$656,"No"),0)</f>
        <v>0</v>
      </c>
      <c r="C4" s="266">
        <f ca="1">AVERAGEIFS($I$13:$I$656, $G$13:$G$656, 0, $B$13:$B$656, "WR",$I$13:$I$656,"&gt;0")</f>
        <v>12.761130217952156</v>
      </c>
      <c r="D4" s="267"/>
      <c r="E4" s="71" t="str">
        <f t="array" aca="1" ref="E4" ca="1">INDEX(IF($B$13:$B$656="WR",$A$13:$A$656,0),MATCH(F4,$N$13:$N$656,0))</f>
        <v>Cooper Kupp</v>
      </c>
      <c r="F4" s="171">
        <f t="array" aca="1" ref="F4" ca="1">MAX(IF(($H$13:$H$656=0)*($B$13:$B$656="WR"),$N$13:$N$656,0))</f>
        <v>151.62000000000006</v>
      </c>
      <c r="G4" s="172">
        <f ca="1">INDEX($I$13:$I$656,MATCH(F4,$N$13:$N$656,0))</f>
        <v>56.46093065289211</v>
      </c>
      <c r="H4" s="71" t="str">
        <f t="array" aca="1" ref="H4" ca="1">INDEX(IF($B$13:$B$656="WR",$A$13:$A$656,0),MATCH(I4,$N$13:$N$656,0))</f>
        <v>Justin Jefferson</v>
      </c>
      <c r="I4" s="173">
        <f t="array" aca="1" ref="I4" ca="1">LARGE(IF(($H$13:$H$656=0)*($B$13:$B$656="WR"),$N$13:$N$656,0),2)</f>
        <v>112.67000000000006</v>
      </c>
      <c r="J4" s="172">
        <f ca="1">INDEX($I$13:$I$656,MATCH(I4,$N$13:$N$656,0))</f>
        <v>41.89085877799922</v>
      </c>
      <c r="K4" s="104">
        <f ca="1">IFERROR((F4-I4)/F4,0)</f>
        <v>0.25689223057644101</v>
      </c>
      <c r="L4" s="177"/>
    </row>
    <row r="5" spans="1:17" x14ac:dyDescent="0.25">
      <c r="A5" s="64" t="s">
        <v>476</v>
      </c>
      <c r="B5" s="64" t="s">
        <v>477</v>
      </c>
      <c r="C5" s="72" t="s">
        <v>478</v>
      </c>
      <c r="D5" s="66"/>
      <c r="E5" s="67" t="s">
        <v>479</v>
      </c>
      <c r="F5" s="68" t="s">
        <v>14</v>
      </c>
      <c r="G5" s="69" t="s">
        <v>267</v>
      </c>
      <c r="H5" s="67" t="s">
        <v>480</v>
      </c>
      <c r="I5" s="68" t="s">
        <v>14</v>
      </c>
      <c r="J5" s="69" t="s">
        <v>267</v>
      </c>
      <c r="K5" s="73"/>
      <c r="L5" s="176"/>
      <c r="M5" s="63"/>
    </row>
    <row r="6" spans="1:17" x14ac:dyDescent="0.25">
      <c r="A6" s="74">
        <f>Teams!J3</f>
        <v>186</v>
      </c>
      <c r="B6" s="70">
        <f>IFERROR(SUMIFS(H$13:H$656,H$13:H$656,"&gt;0",B$13:B$656,"QB",$J$13:$J$656,"No")/SUMIFS(F$13:F$656,H$13:H$656,"&gt;0",B$13:B$656,"QB",$J$13:$J$656,"No"),0)</f>
        <v>0</v>
      </c>
      <c r="C6" s="266">
        <f ca="1">AVERAGEIFS($I$13:$I$656, $G$13:$G$656, 0, $B$13:$B$656, "QB",$I$13:$I$656,"&gt;0")</f>
        <v>13.07839261826698</v>
      </c>
      <c r="D6" s="267"/>
      <c r="E6" s="71" t="str">
        <f t="array" aca="1" ref="E6" ca="1">INDEX(IF($B$13:$B$656="QB",$A$13:$A$656,0),MATCH(F6,$N$13:$N$656,0))</f>
        <v>Josh Allen</v>
      </c>
      <c r="F6" s="171">
        <f t="array" aca="1" ref="F6" ca="1">MAX(IF(($H$13:$H$656=0)*($B$13:$B$656="QB"),$N$13:$N$656,0))</f>
        <v>113.73099999999999</v>
      </c>
      <c r="G6" s="172">
        <f ca="1">INDEX($I$13:$I$656,MATCH(F6,$N$13:$N$656,0))</f>
        <v>42.221171409480618</v>
      </c>
      <c r="H6" s="71" t="str">
        <f t="array" aca="1" ref="H6" ca="1">INDEX(IF($B$13:$B$656="QB",$A$13:$A$656,0),MATCH(I6,$N$13:$N$656,0))</f>
        <v>Patrick Mahomes II</v>
      </c>
      <c r="I6" s="173">
        <f t="array" aca="1" ref="I6" ca="1">LARGE(IF(($H$13:$H$656=0)*($B$13:$B$656="QB"),$N$13:$N$656,0),2)</f>
        <v>85.688999999999965</v>
      </c>
      <c r="J6" s="172">
        <f ca="1">INDEX($I$13:$I$656,MATCH(I6,$N$13:$N$656,0))</f>
        <v>31.731467801887625</v>
      </c>
      <c r="K6" s="104">
        <f ca="1">IFERROR((F6-I6)/F6,0)</f>
        <v>0.24656426128320363</v>
      </c>
      <c r="L6" s="177"/>
    </row>
    <row r="7" spans="1:17" x14ac:dyDescent="0.25">
      <c r="A7" s="64" t="s">
        <v>481</v>
      </c>
      <c r="B7" s="64" t="s">
        <v>482</v>
      </c>
      <c r="C7" s="72" t="s">
        <v>483</v>
      </c>
      <c r="D7" s="66"/>
      <c r="E7" s="67" t="s">
        <v>484</v>
      </c>
      <c r="F7" s="68" t="s">
        <v>14</v>
      </c>
      <c r="G7" s="69" t="s">
        <v>267</v>
      </c>
      <c r="H7" s="67" t="s">
        <v>485</v>
      </c>
      <c r="I7" s="68" t="s">
        <v>14</v>
      </c>
      <c r="J7" s="69" t="s">
        <v>267</v>
      </c>
      <c r="K7" s="73"/>
      <c r="L7" s="176"/>
    </row>
    <row r="8" spans="1:17" x14ac:dyDescent="0.25">
      <c r="A8" s="169">
        <f>A4/(LeagueInfo!F4-COUNTIF(Teams!$C$3:$C$22,"&gt;0"))</f>
        <v>13.333333333333334</v>
      </c>
      <c r="B8" s="70">
        <f>IFERROR(SUMIFS(H$13:H$656,H$13:H$656,"&gt;0",B$13:B$656,"TE",$J$13:$J$656,"No")/SUMIFS(F$13:F$656,H$13:H$656,"&gt;0",B$13:B$656,"TE",$J$13:$J$656,"No"),0)</f>
        <v>0</v>
      </c>
      <c r="C8" s="266">
        <f ca="1">AVERAGEIFS($I$13:$I$656, $G$13:$G$656, 0, $B$13:$B$656, "TE",$I$13:$I$656,"&gt;0")</f>
        <v>9.3128939633923409</v>
      </c>
      <c r="D8" s="267"/>
      <c r="E8" s="71" t="str">
        <f t="array" aca="1" ref="E8" ca="1">INDEX(IF($B$13:$B$656="TE",$A$13:$A$656,0),MATCH(F8,$N$13:$N$656,0))</f>
        <v>Travis Kelce</v>
      </c>
      <c r="F8" s="171">
        <f t="array" aca="1" ref="F8" ca="1">MAX(IF(($H$13:$H$656=0)*($B$13:$B$656="TE"),$N$13:$N$656,0))</f>
        <v>112.26</v>
      </c>
      <c r="G8" s="172">
        <f ca="1">INDEX($I$13:$I$656,MATCH(F8,$N$13:$N$656,0))</f>
        <v>41.899900117181751</v>
      </c>
      <c r="H8" s="71" t="str">
        <f t="array" aca="1" ref="H8" ca="1">INDEX(IF($B$13:$B$656="TE",$A$13:$A$656,0),MATCH(I8,$N$13:$N$656,0))</f>
        <v>Mark Andrews</v>
      </c>
      <c r="I8" s="173">
        <f t="array" aca="1" ref="I8" ca="1">LARGE(IF(($H$13:$H$656=0)*($B$13:$B$656="TE"),$N$13:$N$656,0),2)</f>
        <v>109.13000000000001</v>
      </c>
      <c r="J8" s="172">
        <f ca="1">INDEX($I$13:$I$656,MATCH(I8,$N$13:$N$656,0))</f>
        <v>40.729057370880987</v>
      </c>
      <c r="K8" s="104">
        <f ca="1">IFERROR((F8-I8)/F8,0)</f>
        <v>2.7881703189025435E-2</v>
      </c>
      <c r="L8" s="177"/>
    </row>
    <row r="9" spans="1:17" x14ac:dyDescent="0.25">
      <c r="J9"/>
    </row>
    <row r="10" spans="1:17" x14ac:dyDescent="0.25">
      <c r="A10" s="5"/>
    </row>
    <row r="11" spans="1:17" x14ac:dyDescent="0.25">
      <c r="A11" s="165"/>
      <c r="B11" s="165"/>
      <c r="C11" s="165"/>
      <c r="D11" s="165"/>
      <c r="E11" s="165"/>
      <c r="F11" s="166"/>
      <c r="G11" s="165"/>
      <c r="H11" s="165"/>
      <c r="I11" s="167"/>
      <c r="J11" s="165"/>
      <c r="K11" s="168"/>
      <c r="L11" s="165"/>
      <c r="M11" s="165"/>
      <c r="N11" s="165"/>
      <c r="O11" s="165"/>
    </row>
    <row r="12" spans="1:17" x14ac:dyDescent="0.25">
      <c r="A12" s="80" t="s">
        <v>85</v>
      </c>
      <c r="B12" s="81" t="s">
        <v>20</v>
      </c>
      <c r="C12" s="81" t="s">
        <v>440</v>
      </c>
      <c r="D12" s="81" t="s">
        <v>452</v>
      </c>
      <c r="E12" s="81" t="s">
        <v>273</v>
      </c>
      <c r="F12" s="81" t="s">
        <v>486</v>
      </c>
      <c r="G12" s="81" t="s">
        <v>487</v>
      </c>
      <c r="H12" s="82" t="s">
        <v>488</v>
      </c>
      <c r="I12" s="81" t="str">
        <f ca="1">IF(A2&gt;=1,"Inflated $","Deflated $")</f>
        <v>Inflated $</v>
      </c>
      <c r="J12" s="83" t="s">
        <v>489</v>
      </c>
      <c r="K12" s="214" t="str">
        <f>CONCATENATE(LeagueInfo!F7," $")</f>
        <v>Yahoo $</v>
      </c>
      <c r="L12" s="84" t="s">
        <v>490</v>
      </c>
      <c r="M12" s="5" t="s">
        <v>491</v>
      </c>
      <c r="N12" s="84" t="s">
        <v>272</v>
      </c>
      <c r="O12" s="84" t="s">
        <v>270</v>
      </c>
      <c r="P12" s="4"/>
      <c r="Q12" s="178"/>
    </row>
    <row r="13" spans="1:17" x14ac:dyDescent="0.25">
      <c r="A13" s="158" t="s">
        <v>879</v>
      </c>
      <c r="B13" s="158" t="s">
        <v>28</v>
      </c>
      <c r="C13" s="162">
        <f ca="1">IFERROR(INDEX(BYEs!$B$2:$B$33,MATCH(D13,BYEs!$A$2:$A$33,0)),"N/A")</f>
        <v>14</v>
      </c>
      <c r="D13" s="219" t="str">
        <f ca="1">INDEX(INDIRECT(""&amp;B13&amp;"!F2:F628"),MATCH(A13,INDIRECT(""&amp;B13&amp;"!B2:B628"),0))</f>
        <v>IND</v>
      </c>
      <c r="E13" s="218" t="str">
        <f ca="1">INDEX(INDIRECT(""&amp;$B13&amp;"!AA2:AA628"),MATCH($A13,INDIRECT(""&amp;$B13&amp;"!B2:B628"),0))</f>
        <v>RB1</v>
      </c>
      <c r="F13" s="159">
        <f ca="1">IF(LeagueInfo!$H$7="Starter/Bench",INDEX(INDIRECT(""&amp;B13&amp;"!T2:T628"),MATCH(A13,INDIRECT(""&amp;B13&amp;"!B2:B628"),0)),INDEX(INDIRECT(""&amp;B13&amp;"!AB2:AB628"),MATCH(A13,INDIRECT(""&amp;B13&amp;"!B2:B628"),0)))</f>
        <v>71.40171450420452</v>
      </c>
      <c r="G13" s="163">
        <f>IF(H13&gt;0,F13-H13,0)</f>
        <v>0</v>
      </c>
      <c r="H13" s="161"/>
      <c r="I13" s="163">
        <f ca="1">F13*$A$2</f>
        <v>71.40171450420452</v>
      </c>
      <c r="J13" s="160" t="s">
        <v>76</v>
      </c>
      <c r="K13" s="160">
        <f>IF(LeagueInfo!$F$7="Yahoo",IFERROR(INDEX(DefaultAuctionValues!$B$2:$B$1000,MATCH(A13,DefaultAuctionValues!$A$2:$A$1000,0)),0),IF(LeagueInfo!$F$7="ESPN",IFERROR(INDEX(DefaultAuctionValues!$C$2:$C$1000,MATCH(A13,DefaultAuctionValues!$A$2:$A$1000,0)),0),IF(LeagueInfo!$F$7="Custom",IFERROR(INDEX(DefaultAuctionValues!$D$2:$D$1000,MATCH(A13,DefaultAuctionValues!$A$2:$A$1000,0)),0))))</f>
        <v>71</v>
      </c>
      <c r="L13" s="164">
        <f ca="1">I13-K13</f>
        <v>0.40171450420452004</v>
      </c>
      <c r="M13" s="175"/>
      <c r="N13" s="170">
        <f ca="1">INDEX(INDIRECT(""&amp;$B13&amp;"!Z2:Z628"),MATCH($A13,INDIRECT(""&amp;$B13&amp;"!B2:B628"),0))</f>
        <v>192.19500000000002</v>
      </c>
      <c r="O13" s="158" t="str">
        <f ca="1">IF(INDEX(INDIRECT(""&amp;$B13&amp;"!W2:W628"),MATCH($A13,INDIRECT(""&amp;$B13&amp;"!B2:B628"),0))=0,"",INDEX(INDIRECT(""&amp;$B13&amp;"!W2:W628"),MATCH($A13,INDIRECT(""&amp;$B13&amp;"!B2:B628"),0)))</f>
        <v/>
      </c>
    </row>
    <row r="14" spans="1:17" x14ac:dyDescent="0.25">
      <c r="A14" s="158" t="s">
        <v>116</v>
      </c>
      <c r="B14" s="158" t="s">
        <v>28</v>
      </c>
      <c r="C14" s="162">
        <f ca="1">IFERROR(INDEX(BYEs!$B$2:$B$33,MATCH(D14,BYEs!$A$2:$A$33,0)),"N/A")</f>
        <v>13</v>
      </c>
      <c r="D14" s="219" t="str">
        <f ca="1">INDEX(INDIRECT(""&amp;B14&amp;"!F2:F628"),MATCH(A14,INDIRECT(""&amp;B14&amp;"!B2:B628"),0))</f>
        <v>CAR</v>
      </c>
      <c r="E14" s="218" t="str">
        <f ca="1">INDEX(INDIRECT(""&amp;$B14&amp;"!AA2:AA628"),MATCH($A14,INDIRECT(""&amp;$B14&amp;"!B2:B628"),0))</f>
        <v>RB2</v>
      </c>
      <c r="F14" s="159">
        <f ca="1">IF(LeagueInfo!$H$7="Starter/Bench",INDEX(INDIRECT(""&amp;B14&amp;"!T2:T628"),MATCH(A14,INDIRECT(""&amp;B14&amp;"!B2:B628"),0)),INDEX(INDIRECT(""&amp;B14&amp;"!AB2:AB628"),MATCH(A14,INDIRECT(""&amp;B14&amp;"!B2:B628"),0)))</f>
        <v>62.412784410400263</v>
      </c>
      <c r="G14" s="163">
        <f>IF(H14&gt;0,F14-H14,0)</f>
        <v>0</v>
      </c>
      <c r="H14" s="161"/>
      <c r="I14" s="163">
        <f ca="1">F14*$A$2</f>
        <v>62.412784410400263</v>
      </c>
      <c r="J14" s="160" t="s">
        <v>76</v>
      </c>
      <c r="K14" s="160">
        <f>IF(LeagueInfo!$F$7="Yahoo",IFERROR(INDEX(DefaultAuctionValues!$B$2:$B$1000,MATCH(A14,DefaultAuctionValues!$A$2:$A$1000,0)),0),IF(LeagueInfo!$F$7="ESPN",IFERROR(INDEX(DefaultAuctionValues!$C$2:$C$1000,MATCH(A14,DefaultAuctionValues!$A$2:$A$1000,0)),0),IF(LeagueInfo!$F$7="Custom",IFERROR(INDEX(DefaultAuctionValues!$D$2:$D$1000,MATCH(A14,DefaultAuctionValues!$A$2:$A$1000,0)),0))))</f>
        <v>61</v>
      </c>
      <c r="L14" s="164">
        <f ca="1">I14-K14</f>
        <v>1.4127844104002634</v>
      </c>
      <c r="M14" s="175"/>
      <c r="N14" s="170">
        <f ca="1">INDEX(INDIRECT(""&amp;$B14&amp;"!Z2:Z628"),MATCH($A14,INDIRECT(""&amp;$B14&amp;"!B2:B628"),0))</f>
        <v>168.16500000000005</v>
      </c>
      <c r="O14" s="158" t="str">
        <f ca="1">IF(INDEX(INDIRECT(""&amp;$B14&amp;"!W2:W628"),MATCH($A14,INDIRECT(""&amp;$B14&amp;"!B2:B628"),0))=0,"",INDEX(INDIRECT(""&amp;$B14&amp;"!W2:W628"),MATCH($A14,INDIRECT(""&amp;$B14&amp;"!B2:B628"),0)))</f>
        <v/>
      </c>
    </row>
    <row r="15" spans="1:17" x14ac:dyDescent="0.25">
      <c r="A15" s="158" t="s">
        <v>549</v>
      </c>
      <c r="B15" s="158" t="s">
        <v>28</v>
      </c>
      <c r="C15" s="162">
        <f ca="1">IFERROR(INDEX(BYEs!$B$2:$B$33,MATCH(D15,BYEs!$A$2:$A$33,0)),"N/A")</f>
        <v>8</v>
      </c>
      <c r="D15" s="219" t="str">
        <f ca="1">INDEX(INDIRECT(""&amp;B15&amp;"!F2:F628"),MATCH(A15,INDIRECT(""&amp;B15&amp;"!B2:B628"),0))</f>
        <v>LAC</v>
      </c>
      <c r="E15" s="218" t="str">
        <f ca="1">INDEX(INDIRECT(""&amp;$B15&amp;"!AA2:AA628"),MATCH($A15,INDIRECT(""&amp;$B15&amp;"!B2:B628"),0))</f>
        <v>RB2</v>
      </c>
      <c r="F15" s="159">
        <f ca="1">IF(LeagueInfo!$H$7="Starter/Bench",INDEX(INDIRECT(""&amp;B15&amp;"!T2:T628"),MATCH(A15,INDIRECT(""&amp;B15&amp;"!B2:B628"),0)),INDEX(INDIRECT(""&amp;B15&amp;"!AB2:AB628"),MATCH(A15,INDIRECT(""&amp;B15&amp;"!B2:B628"),0)))</f>
        <v>58.253113056130431</v>
      </c>
      <c r="G15" s="163">
        <f>IF(H15&gt;0,F15-H15,0)</f>
        <v>0</v>
      </c>
      <c r="H15" s="161"/>
      <c r="I15" s="163">
        <f ca="1">F15*$A$2</f>
        <v>58.253113056130431</v>
      </c>
      <c r="J15" s="160" t="s">
        <v>76</v>
      </c>
      <c r="K15" s="160">
        <f>IF(LeagueInfo!$F$7="Yahoo",IFERROR(INDEX(DefaultAuctionValues!$B$2:$B$1000,MATCH(A15,DefaultAuctionValues!$A$2:$A$1000,0)),0),IF(LeagueInfo!$F$7="ESPN",IFERROR(INDEX(DefaultAuctionValues!$C$2:$C$1000,MATCH(A15,DefaultAuctionValues!$A$2:$A$1000,0)),0),IF(LeagueInfo!$F$7="Custom",IFERROR(INDEX(DefaultAuctionValues!$D$2:$D$1000,MATCH(A15,DefaultAuctionValues!$A$2:$A$1000,0)),0))))</f>
        <v>62</v>
      </c>
      <c r="L15" s="164">
        <f ca="1">I15-K15</f>
        <v>-3.7468869438695691</v>
      </c>
      <c r="M15" s="175"/>
      <c r="N15" s="170">
        <f ca="1">INDEX(INDIRECT(""&amp;$B15&amp;"!Z2:Z628"),MATCH($A15,INDIRECT(""&amp;$B15&amp;"!B2:B628"),0))</f>
        <v>157.04499999999999</v>
      </c>
      <c r="O15" s="158" t="str">
        <f ca="1">IF(INDEX(INDIRECT(""&amp;$B15&amp;"!W2:W628"),MATCH($A15,INDIRECT(""&amp;$B15&amp;"!B2:B628"),0))=0,"",INDEX(INDIRECT(""&amp;$B15&amp;"!W2:W628"),MATCH($A15,INDIRECT(""&amp;$B15&amp;"!B2:B628"),0)))</f>
        <v/>
      </c>
    </row>
    <row r="16" spans="1:17" x14ac:dyDescent="0.25">
      <c r="A16" s="158" t="s">
        <v>148</v>
      </c>
      <c r="B16" s="158" t="s">
        <v>28</v>
      </c>
      <c r="C16" s="162">
        <f ca="1">IFERROR(INDEX(BYEs!$B$2:$B$33,MATCH(D16,BYEs!$A$2:$A$33,0)),"N/A")</f>
        <v>6</v>
      </c>
      <c r="D16" s="219" t="str">
        <f ca="1">INDEX(INDIRECT(""&amp;B16&amp;"!F2:F628"),MATCH(A16,INDIRECT(""&amp;B16&amp;"!B2:B628"),0))</f>
        <v>TEN</v>
      </c>
      <c r="E16" s="218" t="str">
        <f ca="1">INDEX(INDIRECT(""&amp;$B16&amp;"!AA2:AA628"),MATCH($A16,INDIRECT(""&amp;$B16&amp;"!B2:B628"),0))</f>
        <v>RB3</v>
      </c>
      <c r="F16" s="159">
        <f ca="1">IF(LeagueInfo!$H$7="Starter/Bench",INDEX(INDIRECT(""&amp;B16&amp;"!T2:T628"),MATCH(A16,INDIRECT(""&amp;B16&amp;"!B2:B628"),0)),INDEX(INDIRECT(""&amp;B16&amp;"!AB2:AB628"),MATCH(A16,INDIRECT(""&amp;B16&amp;"!B2:B628"),0)))</f>
        <v>56.869049745806848</v>
      </c>
      <c r="G16" s="163">
        <f>IF(H16&gt;0,F16-H16,0)</f>
        <v>0</v>
      </c>
      <c r="H16" s="161"/>
      <c r="I16" s="163">
        <f ca="1">F16*$A$2</f>
        <v>56.869049745806848</v>
      </c>
      <c r="J16" s="160" t="s">
        <v>76</v>
      </c>
      <c r="K16" s="160">
        <f>IF(LeagueInfo!$F$7="Yahoo",IFERROR(INDEX(DefaultAuctionValues!$B$2:$B$1000,MATCH(A16,DefaultAuctionValues!$A$2:$A$1000,0)),0),IF(LeagueInfo!$F$7="ESPN",IFERROR(INDEX(DefaultAuctionValues!$C$2:$C$1000,MATCH(A16,DefaultAuctionValues!$A$2:$A$1000,0)),0),IF(LeagueInfo!$F$7="Custom",IFERROR(INDEX(DefaultAuctionValues!$D$2:$D$1000,MATCH(A16,DefaultAuctionValues!$A$2:$A$1000,0)),0))))</f>
        <v>60</v>
      </c>
      <c r="L16" s="164">
        <f ca="1">I16-K16</f>
        <v>-3.1309502541931522</v>
      </c>
      <c r="M16" s="175"/>
      <c r="N16" s="170">
        <f ca="1">INDEX(INDIRECT(""&amp;$B16&amp;"!Z2:Z628"),MATCH($A16,INDIRECT(""&amp;$B16&amp;"!B2:B628"),0))</f>
        <v>153.345</v>
      </c>
      <c r="O16" s="158" t="str">
        <f ca="1">IF(INDEX(INDIRECT(""&amp;$B16&amp;"!W2:W628"),MATCH($A16,INDIRECT(""&amp;$B16&amp;"!B2:B628"),0))=0,"",INDEX(INDIRECT(""&amp;$B16&amp;"!W2:W628"),MATCH($A16,INDIRECT(""&amp;$B16&amp;"!B2:B628"),0)))</f>
        <v/>
      </c>
    </row>
    <row r="17" spans="1:15" x14ac:dyDescent="0.25">
      <c r="A17" s="158" t="s">
        <v>375</v>
      </c>
      <c r="B17" s="158" t="s">
        <v>35</v>
      </c>
      <c r="C17" s="162">
        <f ca="1">IFERROR(INDEX(BYEs!$B$2:$B$33,MATCH(D17,BYEs!$A$2:$A$33,0)),"N/A")</f>
        <v>7</v>
      </c>
      <c r="D17" s="219" t="str">
        <f ca="1">INDEX(INDIRECT(""&amp;B17&amp;"!F2:F628"),MATCH(A17,INDIRECT(""&amp;B17&amp;"!B2:B628"),0))</f>
        <v>LAR</v>
      </c>
      <c r="E17" s="218" t="str">
        <f ca="1">INDEX(INDIRECT(""&amp;$B17&amp;"!AA2:AA628"),MATCH($A17,INDIRECT(""&amp;$B17&amp;"!B2:B628"),0))</f>
        <v>WR1</v>
      </c>
      <c r="F17" s="159">
        <f ca="1">IF(LeagueInfo!$H$7="Starter/Bench",INDEX(INDIRECT(""&amp;B17&amp;"!T2:T628"),MATCH(A17,INDIRECT(""&amp;B17&amp;"!B2:B628"),0)),INDEX(INDIRECT(""&amp;B17&amp;"!AB2:AB628"),MATCH(A17,INDIRECT(""&amp;B17&amp;"!B2:B628"),0)))</f>
        <v>56.46093065289211</v>
      </c>
      <c r="G17" s="163">
        <f>IF(H17&gt;0,F17-H17,0)</f>
        <v>0</v>
      </c>
      <c r="H17" s="161"/>
      <c r="I17" s="163">
        <f ca="1">F17*$A$2</f>
        <v>56.46093065289211</v>
      </c>
      <c r="J17" s="160" t="s">
        <v>76</v>
      </c>
      <c r="K17" s="160">
        <f>IF(LeagueInfo!$F$7="Yahoo",IFERROR(INDEX(DefaultAuctionValues!$B$2:$B$1000,MATCH(A17,DefaultAuctionValues!$A$2:$A$1000,0)),0),IF(LeagueInfo!$F$7="ESPN",IFERROR(INDEX(DefaultAuctionValues!$C$2:$C$1000,MATCH(A17,DefaultAuctionValues!$A$2:$A$1000,0)),0),IF(LeagueInfo!$F$7="Custom",IFERROR(INDEX(DefaultAuctionValues!$D$2:$D$1000,MATCH(A17,DefaultAuctionValues!$A$2:$A$1000,0)),0))))</f>
        <v>59</v>
      </c>
      <c r="L17" s="164">
        <f ca="1">I17-K17</f>
        <v>-2.5390693471078905</v>
      </c>
      <c r="M17" s="175"/>
      <c r="N17" s="170">
        <f ca="1">INDEX(INDIRECT(""&amp;$B17&amp;"!Z2:Z628"),MATCH($A17,INDIRECT(""&amp;$B17&amp;"!B2:B628"),0))</f>
        <v>151.62000000000006</v>
      </c>
      <c r="O17" s="158" t="str">
        <f ca="1">IF(INDEX(INDIRECT(""&amp;$B17&amp;"!W2:W628"),MATCH($A17,INDIRECT(""&amp;$B17&amp;"!B2:B628"),0))=0,"",INDEX(INDIRECT(""&amp;$B17&amp;"!W2:W628"),MATCH($A17,INDIRECT(""&amp;$B17&amp;"!B2:B628"),0)))</f>
        <v/>
      </c>
    </row>
    <row r="18" spans="1:15" x14ac:dyDescent="0.25">
      <c r="A18" s="158" t="s">
        <v>335</v>
      </c>
      <c r="B18" s="158" t="s">
        <v>28</v>
      </c>
      <c r="C18" s="162">
        <f ca="1">IFERROR(INDEX(BYEs!$B$2:$B$33,MATCH(D18,BYEs!$A$2:$A$33,0)),"N/A")</f>
        <v>14</v>
      </c>
      <c r="D18" s="219" t="str">
        <f ca="1">INDEX(INDIRECT(""&amp;B18&amp;"!F2:F628"),MATCH(A18,INDIRECT(""&amp;B18&amp;"!B2:B628"),0))</f>
        <v>NO</v>
      </c>
      <c r="E18" s="218" t="str">
        <f ca="1">INDEX(INDIRECT(""&amp;$B18&amp;"!AA2:AA628"),MATCH($A18,INDIRECT(""&amp;$B18&amp;"!B2:B628"),0))</f>
        <v>RB4</v>
      </c>
      <c r="F18" s="159">
        <f ca="1">IF(LeagueInfo!$H$7="Starter/Bench",INDEX(INDIRECT(""&amp;B18&amp;"!T2:T628"),MATCH(A18,INDIRECT(""&amp;B18&amp;"!B2:B628"),0)),INDEX(INDIRECT(""&amp;B18&amp;"!AB2:AB628"),MATCH(A18,INDIRECT(""&amp;B18&amp;"!B2:B628"),0)))</f>
        <v>46.144429446623811</v>
      </c>
      <c r="G18" s="163">
        <f>IF(H18&gt;0,F18-H18,0)</f>
        <v>0</v>
      </c>
      <c r="H18" s="161"/>
      <c r="I18" s="163">
        <f ca="1">F18*$A$2</f>
        <v>46.144429446623811</v>
      </c>
      <c r="J18" s="160" t="s">
        <v>76</v>
      </c>
      <c r="K18" s="160">
        <f>IF(LeagueInfo!$F$7="Yahoo",IFERROR(INDEX(DefaultAuctionValues!$B$2:$B$1000,MATCH(A18,DefaultAuctionValues!$A$2:$A$1000,0)),0),IF(LeagueInfo!$F$7="ESPN",IFERROR(INDEX(DefaultAuctionValues!$C$2:$C$1000,MATCH(A18,DefaultAuctionValues!$A$2:$A$1000,0)),0),IF(LeagueInfo!$F$7="Custom",IFERROR(INDEX(DefaultAuctionValues!$D$2:$D$1000,MATCH(A18,DefaultAuctionValues!$A$2:$A$1000,0)),0))))</f>
        <v>40</v>
      </c>
      <c r="L18" s="164">
        <f ca="1">I18-K18</f>
        <v>6.1444294466238105</v>
      </c>
      <c r="M18" s="175"/>
      <c r="N18" s="170">
        <f ca="1">INDEX(INDIRECT(""&amp;$B18&amp;"!Z2:Z628"),MATCH($A18,INDIRECT(""&amp;$B18&amp;"!B2:B628"),0))</f>
        <v>124.675</v>
      </c>
      <c r="O18" s="158" t="str">
        <f ca="1">IF(INDEX(INDIRECT(""&amp;$B18&amp;"!W2:W628"),MATCH($A18,INDIRECT(""&amp;$B18&amp;"!B2:B628"),0))=0,"",INDEX(INDIRECT(""&amp;$B18&amp;"!W2:W628"),MATCH($A18,INDIRECT(""&amp;$B18&amp;"!B2:B628"),0)))</f>
        <v/>
      </c>
    </row>
    <row r="19" spans="1:15" x14ac:dyDescent="0.25">
      <c r="A19" s="158" t="s">
        <v>118</v>
      </c>
      <c r="B19" s="158" t="s">
        <v>28</v>
      </c>
      <c r="C19" s="162">
        <f ca="1">IFERROR(INDEX(BYEs!$B$2:$B$33,MATCH(D19,BYEs!$A$2:$A$33,0)),"N/A")</f>
        <v>10</v>
      </c>
      <c r="D19" s="219" t="str">
        <f ca="1">INDEX(INDIRECT(""&amp;B19&amp;"!F2:F628"),MATCH(A19,INDIRECT(""&amp;B19&amp;"!B2:B628"),0))</f>
        <v>CIN</v>
      </c>
      <c r="E19" s="218" t="str">
        <f ca="1">INDEX(INDIRECT(""&amp;$B19&amp;"!AA2:AA628"),MATCH($A19,INDIRECT(""&amp;$B19&amp;"!B2:B628"),0))</f>
        <v>RB4</v>
      </c>
      <c r="F19" s="159">
        <f ca="1">IF(LeagueInfo!$H$7="Starter/Bench",INDEX(INDIRECT(""&amp;B19&amp;"!T2:T628"),MATCH(A19,INDIRECT(""&amp;B19&amp;"!B2:B628"),0)),INDEX(INDIRECT(""&amp;B19&amp;"!AB2:AB628"),MATCH(A19,INDIRECT(""&amp;B19&amp;"!B2:B628"),0)))</f>
        <v>44.932438872178288</v>
      </c>
      <c r="G19" s="163">
        <f>IF(H19&gt;0,F19-H19,0)</f>
        <v>0</v>
      </c>
      <c r="H19" s="161"/>
      <c r="I19" s="163">
        <f ca="1">F19*$A$2</f>
        <v>44.932438872178288</v>
      </c>
      <c r="J19" s="160" t="s">
        <v>76</v>
      </c>
      <c r="K19" s="160">
        <f>IF(LeagueInfo!$F$7="Yahoo",IFERROR(INDEX(DefaultAuctionValues!$B$2:$B$1000,MATCH(A19,DefaultAuctionValues!$A$2:$A$1000,0)),0),IF(LeagueInfo!$F$7="ESPN",IFERROR(INDEX(DefaultAuctionValues!$C$2:$C$1000,MATCH(A19,DefaultAuctionValues!$A$2:$A$1000,0)),0),IF(LeagueInfo!$F$7="Custom",IFERROR(INDEX(DefaultAuctionValues!$D$2:$D$1000,MATCH(A19,DefaultAuctionValues!$A$2:$A$1000,0)),0))))</f>
        <v>53</v>
      </c>
      <c r="L19" s="164">
        <f ca="1">I19-K19</f>
        <v>-8.0675611278217119</v>
      </c>
      <c r="M19" s="175"/>
      <c r="N19" s="170">
        <f ca="1">INDEX(INDIRECT(""&amp;$B19&amp;"!Z2:Z628"),MATCH($A19,INDIRECT(""&amp;$B19&amp;"!B2:B628"),0))</f>
        <v>121.43499999999999</v>
      </c>
      <c r="O19" s="158" t="str">
        <f ca="1">IF(INDEX(INDIRECT(""&amp;$B19&amp;"!W2:W628"),MATCH($A19,INDIRECT(""&amp;$B19&amp;"!B2:B628"),0))=0,"",INDEX(INDIRECT(""&amp;$B19&amp;"!W2:W628"),MATCH($A19,INDIRECT(""&amp;$B19&amp;"!B2:B628"),0)))</f>
        <v/>
      </c>
    </row>
    <row r="20" spans="1:15" x14ac:dyDescent="0.25">
      <c r="A20" s="158" t="s">
        <v>926</v>
      </c>
      <c r="B20" s="158" t="s">
        <v>28</v>
      </c>
      <c r="C20" s="162">
        <f ca="1">IFERROR(INDEX(BYEs!$B$2:$B$33,MATCH(D20,BYEs!$A$2:$A$33,0)),"N/A")</f>
        <v>9</v>
      </c>
      <c r="D20" s="219" t="str">
        <f ca="1">INDEX(INDIRECT(""&amp;B20&amp;"!F2:F628"),MATCH(A20,INDIRECT(""&amp;B20&amp;"!B2:B628"),0))</f>
        <v>PIT</v>
      </c>
      <c r="E20" s="218" t="str">
        <f ca="1">INDEX(INDIRECT(""&amp;$B20&amp;"!AA2:AA628"),MATCH($A20,INDIRECT(""&amp;$B20&amp;"!B2:B628"),0))</f>
        <v>RB4</v>
      </c>
      <c r="F20" s="159">
        <f ca="1">IF(LeagueInfo!$H$7="Starter/Bench",INDEX(INDIRECT(""&amp;B20&amp;"!T2:T628"),MATCH(A20,INDIRECT(""&amp;B20&amp;"!B2:B628"),0)),INDEX(INDIRECT(""&amp;B20&amp;"!AB2:AB628"),MATCH(A20,INDIRECT(""&amp;B20&amp;"!B2:B628"),0)))</f>
        <v>44.012223806395582</v>
      </c>
      <c r="G20" s="163">
        <f>IF(H20&gt;0,F20-H20,0)</f>
        <v>0</v>
      </c>
      <c r="H20" s="161"/>
      <c r="I20" s="163">
        <f ca="1">F20*$A$2</f>
        <v>44.012223806395582</v>
      </c>
      <c r="J20" s="160" t="s">
        <v>76</v>
      </c>
      <c r="K20" s="160">
        <f>IF(LeagueInfo!$F$7="Yahoo",IFERROR(INDEX(DefaultAuctionValues!$B$2:$B$1000,MATCH(A20,DefaultAuctionValues!$A$2:$A$1000,0)),0),IF(LeagueInfo!$F$7="ESPN",IFERROR(INDEX(DefaultAuctionValues!$C$2:$C$1000,MATCH(A20,DefaultAuctionValues!$A$2:$A$1000,0)),0),IF(LeagueInfo!$F$7="Custom",IFERROR(INDEX(DefaultAuctionValues!$D$2:$D$1000,MATCH(A20,DefaultAuctionValues!$A$2:$A$1000,0)),0))))</f>
        <v>55</v>
      </c>
      <c r="L20" s="164">
        <f ca="1">I20-K20</f>
        <v>-10.987776193604418</v>
      </c>
      <c r="M20" s="175"/>
      <c r="N20" s="170">
        <f ca="1">INDEX(INDIRECT(""&amp;$B20&amp;"!Z2:Z628"),MATCH($A20,INDIRECT(""&amp;$B20&amp;"!B2:B628"),0))</f>
        <v>118.97500000000001</v>
      </c>
      <c r="O20" s="158" t="str">
        <f ca="1">IF(INDEX(INDIRECT(""&amp;$B20&amp;"!W2:W628"),MATCH($A20,INDIRECT(""&amp;$B20&amp;"!B2:B628"),0))=0,"",INDEX(INDIRECT(""&amp;$B20&amp;"!W2:W628"),MATCH($A20,INDIRECT(""&amp;$B20&amp;"!B2:B628"),0)))</f>
        <v/>
      </c>
    </row>
    <row r="21" spans="1:15" x14ac:dyDescent="0.25">
      <c r="A21" s="158" t="s">
        <v>139</v>
      </c>
      <c r="B21" s="158" t="s">
        <v>28</v>
      </c>
      <c r="C21" s="162">
        <f ca="1">IFERROR(INDEX(BYEs!$B$2:$B$33,MATCH(D21,BYEs!$A$2:$A$33,0)),"N/A")</f>
        <v>7</v>
      </c>
      <c r="D21" s="219" t="str">
        <f ca="1">INDEX(INDIRECT(""&amp;B21&amp;"!F2:F628"),MATCH(A21,INDIRECT(""&amp;B21&amp;"!B2:B628"),0))</f>
        <v>MIN</v>
      </c>
      <c r="E21" s="218" t="str">
        <f ca="1">INDEX(INDIRECT(""&amp;$B21&amp;"!AA2:AA628"),MATCH($A21,INDIRECT(""&amp;$B21&amp;"!B2:B628"),0))</f>
        <v>RB4</v>
      </c>
      <c r="F21" s="159">
        <f ca="1">IF(LeagueInfo!$H$7="Starter/Bench",INDEX(INDIRECT(""&amp;B21&amp;"!T2:T628"),MATCH(A21,INDIRECT(""&amp;B21&amp;"!B2:B628"),0)),INDEX(INDIRECT(""&amp;B21&amp;"!AB2:AB628"),MATCH(A21,INDIRECT(""&amp;B21&amp;"!B2:B628"),0)))</f>
        <v>43.510968445359467</v>
      </c>
      <c r="G21" s="163">
        <f>IF(H21&gt;0,F21-H21,0)</f>
        <v>0</v>
      </c>
      <c r="H21" s="161"/>
      <c r="I21" s="163">
        <f ca="1">F21*$A$2</f>
        <v>43.510968445359467</v>
      </c>
      <c r="J21" s="160" t="s">
        <v>76</v>
      </c>
      <c r="K21" s="160">
        <f>IF(LeagueInfo!$F$7="Yahoo",IFERROR(INDEX(DefaultAuctionValues!$B$2:$B$1000,MATCH(A21,DefaultAuctionValues!$A$2:$A$1000,0)),0),IF(LeagueInfo!$F$7="ESPN",IFERROR(INDEX(DefaultAuctionValues!$C$2:$C$1000,MATCH(A21,DefaultAuctionValues!$A$2:$A$1000,0)),0),IF(LeagueInfo!$F$7="Custom",IFERROR(INDEX(DefaultAuctionValues!$D$2:$D$1000,MATCH(A21,DefaultAuctionValues!$A$2:$A$1000,0)),0))))</f>
        <v>58</v>
      </c>
      <c r="L21" s="164">
        <f ca="1">I21-K21</f>
        <v>-14.489031554640533</v>
      </c>
      <c r="M21" s="175"/>
      <c r="N21" s="170">
        <f ca="1">INDEX(INDIRECT(""&amp;$B21&amp;"!Z2:Z628"),MATCH($A21,INDIRECT(""&amp;$B21&amp;"!B2:B628"),0))</f>
        <v>117.63499999999998</v>
      </c>
      <c r="O21" s="158" t="str">
        <f ca="1">IF(INDEX(INDIRECT(""&amp;$B21&amp;"!W2:W628"),MATCH($A21,INDIRECT(""&amp;$B21&amp;"!B2:B628"),0))=0,"",INDEX(INDIRECT(""&amp;$B21&amp;"!W2:W628"),MATCH($A21,INDIRECT(""&amp;$B21&amp;"!B2:B628"),0)))</f>
        <v/>
      </c>
    </row>
    <row r="22" spans="1:15" x14ac:dyDescent="0.25">
      <c r="A22" s="158" t="s">
        <v>531</v>
      </c>
      <c r="B22" s="158" t="s">
        <v>29</v>
      </c>
      <c r="C22" s="162">
        <f ca="1">IFERROR(INDEX(BYEs!$B$2:$B$33,MATCH(D22,BYEs!$A$2:$A$33,0)),"N/A")</f>
        <v>7</v>
      </c>
      <c r="D22" s="219" t="str">
        <f ca="1">INDEX(INDIRECT(""&amp;B22&amp;"!F2:F628"),MATCH(A22,INDIRECT(""&amp;B22&amp;"!B2:B628"),0))</f>
        <v>BUF</v>
      </c>
      <c r="E22" s="218" t="str">
        <f ca="1">INDEX(INDIRECT(""&amp;$B22&amp;"!AA2:AA628"),MATCH($A22,INDIRECT(""&amp;$B22&amp;"!B2:B628"),0))</f>
        <v>QB1</v>
      </c>
      <c r="F22" s="159">
        <f ca="1">IF(LeagueInfo!$H$7="Starter/Bench",INDEX(INDIRECT(""&amp;B22&amp;"!T2:T628"),MATCH(A22,INDIRECT(""&amp;B22&amp;"!B2:B628"),0)),INDEX(INDIRECT(""&amp;B22&amp;"!AB2:AB628"),MATCH(A22,INDIRECT(""&amp;B22&amp;"!B2:B628"),0)))</f>
        <v>42.221171409480618</v>
      </c>
      <c r="G22" s="163">
        <f>IF(H22&gt;0,F22-H22,0)</f>
        <v>0</v>
      </c>
      <c r="H22" s="161"/>
      <c r="I22" s="163">
        <f ca="1">F22*$A$2</f>
        <v>42.221171409480618</v>
      </c>
      <c r="J22" s="160" t="s">
        <v>76</v>
      </c>
      <c r="K22" s="160">
        <f>IF(LeagueInfo!$F$7="Yahoo",IFERROR(INDEX(DefaultAuctionValues!$B$2:$B$1000,MATCH(A22,DefaultAuctionValues!$A$2:$A$1000,0)),0),IF(LeagueInfo!$F$7="ESPN",IFERROR(INDEX(DefaultAuctionValues!$C$2:$C$1000,MATCH(A22,DefaultAuctionValues!$A$2:$A$1000,0)),0),IF(LeagueInfo!$F$7="Custom",IFERROR(INDEX(DefaultAuctionValues!$D$2:$D$1000,MATCH(A22,DefaultAuctionValues!$A$2:$A$1000,0)),0))))</f>
        <v>31</v>
      </c>
      <c r="L22" s="164">
        <f ca="1">I22-K22</f>
        <v>11.221171409480618</v>
      </c>
      <c r="M22" s="175"/>
      <c r="N22" s="170">
        <f ca="1">INDEX(INDIRECT(""&amp;$B22&amp;"!Z2:Z628"),MATCH($A22,INDIRECT(""&amp;$B22&amp;"!B2:B628"),0))</f>
        <v>113.73099999999999</v>
      </c>
      <c r="O22" s="158" t="str">
        <f ca="1">IF(INDEX(INDIRECT(""&amp;$B22&amp;"!W2:W628"),MATCH($A22,INDIRECT(""&amp;$B22&amp;"!B2:B628"),0))=0,"",INDEX(INDIRECT(""&amp;$B22&amp;"!W2:W628"),MATCH($A22,INDIRECT(""&amp;$B22&amp;"!B2:B628"),0)))</f>
        <v/>
      </c>
    </row>
    <row r="23" spans="1:15" x14ac:dyDescent="0.25">
      <c r="A23" s="158" t="s">
        <v>121</v>
      </c>
      <c r="B23" s="158" t="s">
        <v>43</v>
      </c>
      <c r="C23" s="162">
        <f ca="1">IFERROR(INDEX(BYEs!$B$2:$B$33,MATCH(D23,BYEs!$A$2:$A$33,0)),"N/A")</f>
        <v>8</v>
      </c>
      <c r="D23" s="219" t="str">
        <f ca="1">INDEX(INDIRECT(""&amp;B23&amp;"!F2:F628"),MATCH(A23,INDIRECT(""&amp;B23&amp;"!B2:B628"),0))</f>
        <v>KC</v>
      </c>
      <c r="E23" s="218" t="str">
        <f ca="1">INDEX(INDIRECT(""&amp;$B23&amp;"!AA2:AA628"),MATCH($A23,INDIRECT(""&amp;$B23&amp;"!B2:B628"),0))</f>
        <v>TE1</v>
      </c>
      <c r="F23" s="159">
        <f ca="1">IF(LeagueInfo!$H$7="Starter/Bench",INDEX(INDIRECT(""&amp;B23&amp;"!T2:T628"),MATCH(A23,INDIRECT(""&amp;B23&amp;"!B2:B628"),0)),INDEX(INDIRECT(""&amp;B23&amp;"!AB2:AB628"),MATCH(A23,INDIRECT(""&amp;B23&amp;"!B2:B628"),0)))</f>
        <v>41.899900117181751</v>
      </c>
      <c r="G23" s="163">
        <f>IF(H23&gt;0,F23-H23,0)</f>
        <v>0</v>
      </c>
      <c r="H23" s="161"/>
      <c r="I23" s="163">
        <f ca="1">F23*$A$2</f>
        <v>41.899900117181751</v>
      </c>
      <c r="J23" s="160" t="s">
        <v>76</v>
      </c>
      <c r="K23" s="160">
        <f>IF(LeagueInfo!$F$7="Yahoo",IFERROR(INDEX(DefaultAuctionValues!$B$2:$B$1000,MATCH(A23,DefaultAuctionValues!$A$2:$A$1000,0)),0),IF(LeagueInfo!$F$7="ESPN",IFERROR(INDEX(DefaultAuctionValues!$C$2:$C$1000,MATCH(A23,DefaultAuctionValues!$A$2:$A$1000,0)),0),IF(LeagueInfo!$F$7="Custom",IFERROR(INDEX(DefaultAuctionValues!$D$2:$D$1000,MATCH(A23,DefaultAuctionValues!$A$2:$A$1000,0)),0))))</f>
        <v>42</v>
      </c>
      <c r="L23" s="164">
        <f ca="1">I23-K23</f>
        <v>-0.10009988281824889</v>
      </c>
      <c r="M23" s="175"/>
      <c r="N23" s="170">
        <f ca="1">INDEX(INDIRECT(""&amp;$B23&amp;"!Z2:Z628"),MATCH($A23,INDIRECT(""&amp;$B23&amp;"!B2:B628"),0))</f>
        <v>112.26</v>
      </c>
      <c r="O23" s="158" t="str">
        <f ca="1">IF(INDEX(INDIRECT(""&amp;$B23&amp;"!W2:W628"),MATCH($A23,INDIRECT(""&amp;$B23&amp;"!B2:B628"),0))=0,"",INDEX(INDIRECT(""&amp;$B23&amp;"!W2:W628"),MATCH($A23,INDIRECT(""&amp;$B23&amp;"!B2:B628"),0)))</f>
        <v/>
      </c>
    </row>
    <row r="24" spans="1:15" x14ac:dyDescent="0.25">
      <c r="A24" s="158" t="s">
        <v>835</v>
      </c>
      <c r="B24" s="158" t="s">
        <v>35</v>
      </c>
      <c r="C24" s="162">
        <f ca="1">IFERROR(INDEX(BYEs!$B$2:$B$33,MATCH(D24,BYEs!$A$2:$A$33,0)),"N/A")</f>
        <v>7</v>
      </c>
      <c r="D24" s="219" t="str">
        <f ca="1">INDEX(INDIRECT(""&amp;B24&amp;"!F2:F628"),MATCH(A24,INDIRECT(""&amp;B24&amp;"!B2:B628"),0))</f>
        <v>MIN</v>
      </c>
      <c r="E24" s="218" t="str">
        <f ca="1">INDEX(INDIRECT(""&amp;$B24&amp;"!AA2:AA628"),MATCH($A24,INDIRECT(""&amp;$B24&amp;"!B2:B628"),0))</f>
        <v>WR3</v>
      </c>
      <c r="F24" s="159">
        <f ca="1">IF(LeagueInfo!$H$7="Starter/Bench",INDEX(INDIRECT(""&amp;B24&amp;"!T2:T628"),MATCH(A24,INDIRECT(""&amp;B24&amp;"!B2:B628"),0)),INDEX(INDIRECT(""&amp;B24&amp;"!AB2:AB628"),MATCH(A24,INDIRECT(""&amp;B24&amp;"!B2:B628"),0)))</f>
        <v>41.89085877799922</v>
      </c>
      <c r="G24" s="163">
        <f>IF(H24&gt;0,F24-H24,0)</f>
        <v>0</v>
      </c>
      <c r="H24" s="161"/>
      <c r="I24" s="163">
        <f ca="1">F24*$A$2</f>
        <v>41.89085877799922</v>
      </c>
      <c r="J24" s="160" t="s">
        <v>76</v>
      </c>
      <c r="K24" s="160">
        <f>IF(LeagueInfo!$F$7="Yahoo",IFERROR(INDEX(DefaultAuctionValues!$B$2:$B$1000,MATCH(A24,DefaultAuctionValues!$A$2:$A$1000,0)),0),IF(LeagueInfo!$F$7="ESPN",IFERROR(INDEX(DefaultAuctionValues!$C$2:$C$1000,MATCH(A24,DefaultAuctionValues!$A$2:$A$1000,0)),0),IF(LeagueInfo!$F$7="Custom",IFERROR(INDEX(DefaultAuctionValues!$D$2:$D$1000,MATCH(A24,DefaultAuctionValues!$A$2:$A$1000,0)),0))))</f>
        <v>58</v>
      </c>
      <c r="L24" s="164">
        <f ca="1">I24-K24</f>
        <v>-16.10914122200078</v>
      </c>
      <c r="M24" s="175"/>
      <c r="N24" s="170">
        <f ca="1">INDEX(INDIRECT(""&amp;$B24&amp;"!Z2:Z628"),MATCH($A24,INDIRECT(""&amp;$B24&amp;"!B2:B628"),0))</f>
        <v>112.67000000000006</v>
      </c>
      <c r="O24" s="158" t="str">
        <f ca="1">IF(INDEX(INDIRECT(""&amp;$B24&amp;"!W2:W628"),MATCH($A24,INDIRECT(""&amp;$B24&amp;"!B2:B628"),0))=0,"",INDEX(INDIRECT(""&amp;$B24&amp;"!W2:W628"),MATCH($A24,INDIRECT(""&amp;$B24&amp;"!B2:B628"),0)))</f>
        <v/>
      </c>
    </row>
    <row r="25" spans="1:15" x14ac:dyDescent="0.25">
      <c r="A25" s="158" t="s">
        <v>591</v>
      </c>
      <c r="B25" s="158" t="s">
        <v>43</v>
      </c>
      <c r="C25" s="162">
        <f ca="1">IFERROR(INDEX(BYEs!$B$2:$B$33,MATCH(D25,BYEs!$A$2:$A$33,0)),"N/A")</f>
        <v>10</v>
      </c>
      <c r="D25" s="219" t="str">
        <f ca="1">INDEX(INDIRECT(""&amp;B25&amp;"!F2:F628"),MATCH(A25,INDIRECT(""&amp;B25&amp;"!B2:B628"),0))</f>
        <v>BAL</v>
      </c>
      <c r="E25" s="218" t="str">
        <f ca="1">INDEX(INDIRECT(""&amp;$B25&amp;"!AA2:AA628"),MATCH($A25,INDIRECT(""&amp;$B25&amp;"!B2:B628"),0))</f>
        <v>TE1</v>
      </c>
      <c r="F25" s="159">
        <f ca="1">IF(LeagueInfo!$H$7="Starter/Bench",INDEX(INDIRECT(""&amp;B25&amp;"!T2:T628"),MATCH(A25,INDIRECT(""&amp;B25&amp;"!B2:B628"),0)),INDEX(INDIRECT(""&amp;B25&amp;"!AB2:AB628"),MATCH(A25,INDIRECT(""&amp;B25&amp;"!B2:B628"),0)))</f>
        <v>40.729057370880987</v>
      </c>
      <c r="G25" s="163">
        <f>IF(H25&gt;0,F25-H25,0)</f>
        <v>0</v>
      </c>
      <c r="H25" s="161"/>
      <c r="I25" s="163">
        <f ca="1">F25*$A$2</f>
        <v>40.729057370880987</v>
      </c>
      <c r="J25" s="160" t="s">
        <v>76</v>
      </c>
      <c r="K25" s="160">
        <f>IF(LeagueInfo!$F$7="Yahoo",IFERROR(INDEX(DefaultAuctionValues!$B$2:$B$1000,MATCH(A25,DefaultAuctionValues!$A$2:$A$1000,0)),0),IF(LeagueInfo!$F$7="ESPN",IFERROR(INDEX(DefaultAuctionValues!$C$2:$C$1000,MATCH(A25,DefaultAuctionValues!$A$2:$A$1000,0)),0),IF(LeagueInfo!$F$7="Custom",IFERROR(INDEX(DefaultAuctionValues!$D$2:$D$1000,MATCH(A25,DefaultAuctionValues!$A$2:$A$1000,0)),0))))</f>
        <v>32</v>
      </c>
      <c r="L25" s="164">
        <f ca="1">I25-K25</f>
        <v>8.7290573708809873</v>
      </c>
      <c r="M25" s="175"/>
      <c r="N25" s="170">
        <f ca="1">INDEX(INDIRECT(""&amp;$B25&amp;"!Z2:Z628"),MATCH($A25,INDIRECT(""&amp;$B25&amp;"!B2:B628"),0))</f>
        <v>109.13000000000001</v>
      </c>
      <c r="O25" s="158" t="str">
        <f ca="1">IF(INDEX(INDIRECT(""&amp;$B25&amp;"!W2:W628"),MATCH($A25,INDIRECT(""&amp;$B25&amp;"!B2:B628"),0))=0,"",INDEX(INDIRECT(""&amp;$B25&amp;"!W2:W628"),MATCH($A25,INDIRECT(""&amp;$B25&amp;"!B2:B628"),0)))</f>
        <v/>
      </c>
    </row>
    <row r="26" spans="1:15" x14ac:dyDescent="0.25">
      <c r="A26" s="158" t="s">
        <v>945</v>
      </c>
      <c r="B26" s="158" t="s">
        <v>35</v>
      </c>
      <c r="C26" s="162">
        <f ca="1">IFERROR(INDEX(BYEs!$B$2:$B$33,MATCH(D26,BYEs!$A$2:$A$33,0)),"N/A")</f>
        <v>10</v>
      </c>
      <c r="D26" s="219" t="str">
        <f ca="1">INDEX(INDIRECT(""&amp;B26&amp;"!F2:F628"),MATCH(A26,INDIRECT(""&amp;B26&amp;"!B2:B628"),0))</f>
        <v>CIN</v>
      </c>
      <c r="E26" s="218" t="str">
        <f ca="1">INDEX(INDIRECT(""&amp;$B26&amp;"!AA2:AA628"),MATCH($A26,INDIRECT(""&amp;$B26&amp;"!B2:B628"),0))</f>
        <v>WR3</v>
      </c>
      <c r="F26" s="159">
        <f ca="1">IF(LeagueInfo!$H$7="Starter/Bench",INDEX(INDIRECT(""&amp;B26&amp;"!T2:T628"),MATCH(A26,INDIRECT(""&amp;B26&amp;"!B2:B628"),0)),INDEX(INDIRECT(""&amp;B26&amp;"!AB2:AB628"),MATCH(A26,INDIRECT(""&amp;B26&amp;"!B2:B628"),0)))</f>
        <v>40.562906142418477</v>
      </c>
      <c r="G26" s="163">
        <f>IF(H26&gt;0,F26-H26,0)</f>
        <v>0</v>
      </c>
      <c r="H26" s="161"/>
      <c r="I26" s="163">
        <f ca="1">F26*$A$2</f>
        <v>40.562906142418477</v>
      </c>
      <c r="J26" s="160" t="s">
        <v>76</v>
      </c>
      <c r="K26" s="160">
        <f>IF(LeagueInfo!$F$7="Yahoo",IFERROR(INDEX(DefaultAuctionValues!$B$2:$B$1000,MATCH(A26,DefaultAuctionValues!$A$2:$A$1000,0)),0),IF(LeagueInfo!$F$7="ESPN",IFERROR(INDEX(DefaultAuctionValues!$C$2:$C$1000,MATCH(A26,DefaultAuctionValues!$A$2:$A$1000,0)),0),IF(LeagueInfo!$F$7="Custom",IFERROR(INDEX(DefaultAuctionValues!$D$2:$D$1000,MATCH(A26,DefaultAuctionValues!$A$2:$A$1000,0)),0))))</f>
        <v>54</v>
      </c>
      <c r="L26" s="164">
        <f ca="1">I26-K26</f>
        <v>-13.437093857581523</v>
      </c>
      <c r="M26" s="175"/>
      <c r="N26" s="170">
        <f ca="1">INDEX(INDIRECT(""&amp;$B26&amp;"!Z2:Z628"),MATCH($A26,INDIRECT(""&amp;$B26&amp;"!B2:B628"),0))</f>
        <v>109.12000000000005</v>
      </c>
      <c r="O26" s="158" t="str">
        <f ca="1">IF(INDEX(INDIRECT(""&amp;$B26&amp;"!W2:W628"),MATCH($A26,INDIRECT(""&amp;$B26&amp;"!B2:B628"),0))=0,"",INDEX(INDIRECT(""&amp;$B26&amp;"!W2:W628"),MATCH($A26,INDIRECT(""&amp;$B26&amp;"!B2:B628"),0)))</f>
        <v/>
      </c>
    </row>
    <row r="27" spans="1:15" x14ac:dyDescent="0.25">
      <c r="A27" s="158" t="s">
        <v>346</v>
      </c>
      <c r="B27" s="158" t="s">
        <v>28</v>
      </c>
      <c r="C27" s="162">
        <f ca="1">IFERROR(INDEX(BYEs!$B$2:$B$33,MATCH(D27,BYEs!$A$2:$A$33,0)),"N/A")</f>
        <v>14</v>
      </c>
      <c r="D27" s="219" t="str">
        <f ca="1">INDEX(INDIRECT(""&amp;B27&amp;"!F2:F628"),MATCH(A27,INDIRECT(""&amp;B27&amp;"!B2:B628"),0))</f>
        <v>GB</v>
      </c>
      <c r="E27" s="218" t="str">
        <f ca="1">INDEX(INDIRECT(""&amp;$B27&amp;"!AA2:AA628"),MATCH($A27,INDIRECT(""&amp;$B27&amp;"!B2:B628"),0))</f>
        <v>RB4</v>
      </c>
      <c r="F27" s="159">
        <f ca="1">IF(LeagueInfo!$H$7="Starter/Bench",INDEX(INDIRECT(""&amp;B27&amp;"!T2:T628"),MATCH(A27,INDIRECT(""&amp;B27&amp;"!B2:B628"),0)),INDEX(INDIRECT(""&amp;B27&amp;"!AB2:AB628"),MATCH(A27,INDIRECT(""&amp;B27&amp;"!B2:B628"),0)))</f>
        <v>39.635591176453438</v>
      </c>
      <c r="G27" s="163">
        <f>IF(H27&gt;0,F27-H27,0)</f>
        <v>0</v>
      </c>
      <c r="H27" s="161"/>
      <c r="I27" s="163">
        <f ca="1">F27*$A$2</f>
        <v>39.635591176453438</v>
      </c>
      <c r="J27" s="160" t="s">
        <v>76</v>
      </c>
      <c r="K27" s="160">
        <f>IF(LeagueInfo!$F$7="Yahoo",IFERROR(INDEX(DefaultAuctionValues!$B$2:$B$1000,MATCH(A27,DefaultAuctionValues!$A$2:$A$1000,0)),0),IF(LeagueInfo!$F$7="ESPN",IFERROR(INDEX(DefaultAuctionValues!$C$2:$C$1000,MATCH(A27,DefaultAuctionValues!$A$2:$A$1000,0)),0),IF(LeagueInfo!$F$7="Custom",IFERROR(INDEX(DefaultAuctionValues!$D$2:$D$1000,MATCH(A27,DefaultAuctionValues!$A$2:$A$1000,0)),0))))</f>
        <v>38</v>
      </c>
      <c r="L27" s="164">
        <f ca="1">I27-K27</f>
        <v>1.6355911764534383</v>
      </c>
      <c r="M27" s="175"/>
      <c r="N27" s="170">
        <f ca="1">INDEX(INDIRECT(""&amp;$B27&amp;"!Z2:Z628"),MATCH($A27,INDIRECT(""&amp;$B27&amp;"!B2:B628"),0))</f>
        <v>107.27500000000002</v>
      </c>
      <c r="O27" s="158" t="str">
        <f ca="1">IF(INDEX(INDIRECT(""&amp;$B27&amp;"!W2:W628"),MATCH($A27,INDIRECT(""&amp;$B27&amp;"!B2:B628"),0))=0,"",INDEX(INDIRECT(""&amp;$B27&amp;"!W2:W628"),MATCH($A27,INDIRECT(""&amp;$B27&amp;"!B2:B628"),0)))</f>
        <v/>
      </c>
    </row>
    <row r="28" spans="1:15" x14ac:dyDescent="0.25">
      <c r="A28" s="158" t="s">
        <v>111</v>
      </c>
      <c r="B28" s="158" t="s">
        <v>28</v>
      </c>
      <c r="C28" s="162">
        <f ca="1">IFERROR(INDEX(BYEs!$B$2:$B$33,MATCH(D28,BYEs!$A$2:$A$33,0)),"N/A")</f>
        <v>11</v>
      </c>
      <c r="D28" s="219" t="str">
        <f ca="1">INDEX(INDIRECT(""&amp;B28&amp;"!F2:F628"),MATCH(A28,INDIRECT(""&amp;B28&amp;"!B2:B628"),0))</f>
        <v>TB</v>
      </c>
      <c r="E28" s="218" t="str">
        <f ca="1">INDEX(INDIRECT(""&amp;$B28&amp;"!AA2:AA628"),MATCH($A28,INDIRECT(""&amp;$B28&amp;"!B2:B628"),0))</f>
        <v>RB4</v>
      </c>
      <c r="F28" s="159">
        <f ca="1">IF(LeagueInfo!$H$7="Starter/Bench",INDEX(INDIRECT(""&amp;B28&amp;"!T2:T628"),MATCH(A28,INDIRECT(""&amp;B28&amp;"!B2:B628"),0)),INDEX(INDIRECT(""&amp;B28&amp;"!AB2:AB628"),MATCH(A28,INDIRECT(""&amp;B28&amp;"!B2:B628"),0)))</f>
        <v>39.040818024179231</v>
      </c>
      <c r="G28" s="163">
        <f>IF(H28&gt;0,F28-H28,0)</f>
        <v>0</v>
      </c>
      <c r="H28" s="161"/>
      <c r="I28" s="163">
        <f ca="1">F28*$A$2</f>
        <v>39.040818024179231</v>
      </c>
      <c r="J28" s="160" t="s">
        <v>76</v>
      </c>
      <c r="K28" s="160">
        <f>IF(LeagueInfo!$F$7="Yahoo",IFERROR(INDEX(DefaultAuctionValues!$B$2:$B$1000,MATCH(A28,DefaultAuctionValues!$A$2:$A$1000,0)),0),IF(LeagueInfo!$F$7="ESPN",IFERROR(INDEX(DefaultAuctionValues!$C$2:$C$1000,MATCH(A28,DefaultAuctionValues!$A$2:$A$1000,0)),0),IF(LeagueInfo!$F$7="Custom",IFERROR(INDEX(DefaultAuctionValues!$D$2:$D$1000,MATCH(A28,DefaultAuctionValues!$A$2:$A$1000,0)),0))))</f>
        <v>39</v>
      </c>
      <c r="L28" s="164">
        <f ca="1">I28-K28</f>
        <v>4.0818024179230861E-2</v>
      </c>
      <c r="M28" s="175"/>
      <c r="N28" s="170">
        <f ca="1">INDEX(INDIRECT(""&amp;$B28&amp;"!Z2:Z628"),MATCH($A28,INDIRECT(""&amp;$B28&amp;"!B2:B628"),0))</f>
        <v>105.68499999999999</v>
      </c>
      <c r="O28" s="158" t="str">
        <f ca="1">IF(INDEX(INDIRECT(""&amp;$B28&amp;"!W2:W628"),MATCH($A28,INDIRECT(""&amp;$B28&amp;"!B2:B628"),0))=0,"",INDEX(INDIRECT(""&amp;$B28&amp;"!W2:W628"),MATCH($A28,INDIRECT(""&amp;$B28&amp;"!B2:B628"),0)))</f>
        <v/>
      </c>
    </row>
    <row r="29" spans="1:15" x14ac:dyDescent="0.25">
      <c r="A29" s="158" t="s">
        <v>880</v>
      </c>
      <c r="B29" s="158" t="s">
        <v>28</v>
      </c>
      <c r="C29" s="162">
        <f ca="1">IFERROR(INDEX(BYEs!$B$2:$B$33,MATCH(D29,BYEs!$A$2:$A$33,0)),"N/A")</f>
        <v>6</v>
      </c>
      <c r="D29" s="219" t="str">
        <f ca="1">INDEX(INDIRECT(""&amp;B29&amp;"!F2:F628"),MATCH(A29,INDIRECT(""&amp;B29&amp;"!B2:B628"),0))</f>
        <v>DET</v>
      </c>
      <c r="E29" s="218" t="str">
        <f ca="1">INDEX(INDIRECT(""&amp;$B29&amp;"!AA2:AA628"),MATCH($A29,INDIRECT(""&amp;$B29&amp;"!B2:B628"),0))</f>
        <v>RB5</v>
      </c>
      <c r="F29" s="159">
        <f ca="1">IF(LeagueInfo!$H$7="Starter/Bench",INDEX(INDIRECT(""&amp;B29&amp;"!T2:T628"),MATCH(A29,INDIRECT(""&amp;B29&amp;"!B2:B628"),0)),INDEX(INDIRECT(""&amp;B29&amp;"!AB2:AB628"),MATCH(A29,INDIRECT(""&amp;B29&amp;"!B2:B628"),0)))</f>
        <v>36.459726986008206</v>
      </c>
      <c r="G29" s="163">
        <f>IF(H29&gt;0,F29-H29,0)</f>
        <v>0</v>
      </c>
      <c r="H29" s="161"/>
      <c r="I29" s="163">
        <f ca="1">F29*$A$2</f>
        <v>36.459726986008206</v>
      </c>
      <c r="J29" s="160" t="s">
        <v>76</v>
      </c>
      <c r="K29" s="160">
        <f>IF(LeagueInfo!$F$7="Yahoo",IFERROR(INDEX(DefaultAuctionValues!$B$2:$B$1000,MATCH(A29,DefaultAuctionValues!$A$2:$A$1000,0)),0),IF(LeagueInfo!$F$7="ESPN",IFERROR(INDEX(DefaultAuctionValues!$C$2:$C$1000,MATCH(A29,DefaultAuctionValues!$A$2:$A$1000,0)),0),IF(LeagueInfo!$F$7="Custom",IFERROR(INDEX(DefaultAuctionValues!$D$2:$D$1000,MATCH(A29,DefaultAuctionValues!$A$2:$A$1000,0)),0))))</f>
        <v>44</v>
      </c>
      <c r="L29" s="164">
        <f ca="1">I29-K29</f>
        <v>-7.5402730139917935</v>
      </c>
      <c r="M29" s="175"/>
      <c r="N29" s="170">
        <f ca="1">INDEX(INDIRECT(""&amp;$B29&amp;"!Z2:Z628"),MATCH($A29,INDIRECT(""&amp;$B29&amp;"!B2:B628"),0))</f>
        <v>98.784999999999954</v>
      </c>
      <c r="O29" s="158" t="str">
        <f ca="1">IF(INDEX(INDIRECT(""&amp;$B29&amp;"!W2:W628"),MATCH($A29,INDIRECT(""&amp;$B29&amp;"!B2:B628"),0))=0,"",INDEX(INDIRECT(""&amp;$B29&amp;"!W2:W628"),MATCH($A29,INDIRECT(""&amp;$B29&amp;"!B2:B628"),0)))</f>
        <v/>
      </c>
    </row>
    <row r="30" spans="1:15" x14ac:dyDescent="0.25">
      <c r="A30" s="158" t="s">
        <v>541</v>
      </c>
      <c r="B30" s="158" t="s">
        <v>28</v>
      </c>
      <c r="C30" s="162">
        <f ca="1">IFERROR(INDEX(BYEs!$B$2:$B$33,MATCH(D30,BYEs!$A$2:$A$33,0)),"N/A")</f>
        <v>9</v>
      </c>
      <c r="D30" s="219" t="str">
        <f ca="1">INDEX(INDIRECT(""&amp;B30&amp;"!F2:F628"),MATCH(A30,INDIRECT(""&amp;B30&amp;"!B2:B628"),0))</f>
        <v>NYG</v>
      </c>
      <c r="E30" s="218" t="str">
        <f ca="1">INDEX(INDIRECT(""&amp;$B30&amp;"!AA2:AA628"),MATCH($A30,INDIRECT(""&amp;$B30&amp;"!B2:B628"),0))</f>
        <v>RB5</v>
      </c>
      <c r="F30" s="159">
        <f ca="1">IF(LeagueInfo!$H$7="Starter/Bench",INDEX(INDIRECT(""&amp;B30&amp;"!T2:T628"),MATCH(A30,INDIRECT(""&amp;B30&amp;"!B2:B628"),0)),INDEX(INDIRECT(""&amp;B30&amp;"!AB2:AB628"),MATCH(A30,INDIRECT(""&amp;B30&amp;"!B2:B628"),0)))</f>
        <v>35.864953833734027</v>
      </c>
      <c r="G30" s="163">
        <f>IF(H30&gt;0,F30-H30,0)</f>
        <v>0</v>
      </c>
      <c r="H30" s="161"/>
      <c r="I30" s="163">
        <f ca="1">F30*$A$2</f>
        <v>35.864953833734027</v>
      </c>
      <c r="J30" s="160" t="s">
        <v>76</v>
      </c>
      <c r="K30" s="160">
        <f>IF(LeagueInfo!$F$7="Yahoo",IFERROR(INDEX(DefaultAuctionValues!$B$2:$B$1000,MATCH(A30,DefaultAuctionValues!$A$2:$A$1000,0)),0),IF(LeagueInfo!$F$7="ESPN",IFERROR(INDEX(DefaultAuctionValues!$C$2:$C$1000,MATCH(A30,DefaultAuctionValues!$A$2:$A$1000,0)),0),IF(LeagueInfo!$F$7="Custom",IFERROR(INDEX(DefaultAuctionValues!$D$2:$D$1000,MATCH(A30,DefaultAuctionValues!$A$2:$A$1000,0)),0))))</f>
        <v>38</v>
      </c>
      <c r="L30" s="164">
        <f ca="1">I30-K30</f>
        <v>-2.1350461662659725</v>
      </c>
      <c r="M30" s="175"/>
      <c r="N30" s="170">
        <f ca="1">INDEX(INDIRECT(""&amp;$B30&amp;"!Z2:Z628"),MATCH($A30,INDIRECT(""&amp;$B30&amp;"!B2:B628"),0))</f>
        <v>97.194999999999979</v>
      </c>
      <c r="O30" s="158" t="str">
        <f ca="1">IF(INDEX(INDIRECT(""&amp;$B30&amp;"!W2:W628"),MATCH($A30,INDIRECT(""&amp;$B30&amp;"!B2:B628"),0))=0,"",INDEX(INDIRECT(""&amp;$B30&amp;"!W2:W628"),MATCH($A30,INDIRECT(""&amp;$B30&amp;"!B2:B628"),0)))</f>
        <v/>
      </c>
    </row>
    <row r="31" spans="1:15" x14ac:dyDescent="0.25">
      <c r="A31" s="158" t="s">
        <v>125</v>
      </c>
      <c r="B31" s="158" t="s">
        <v>35</v>
      </c>
      <c r="C31" s="162">
        <f ca="1">IFERROR(INDEX(BYEs!$B$2:$B$33,MATCH(D31,BYEs!$A$2:$A$33,0)),"N/A")</f>
        <v>6</v>
      </c>
      <c r="D31" s="219" t="str">
        <f ca="1">INDEX(INDIRECT(""&amp;B31&amp;"!F2:F628"),MATCH(A31,INDIRECT(""&amp;B31&amp;"!B2:B628"),0))</f>
        <v>LV</v>
      </c>
      <c r="E31" s="218" t="str">
        <f ca="1">INDEX(INDIRECT(""&amp;$B31&amp;"!AA2:AA628"),MATCH($A31,INDIRECT(""&amp;$B31&amp;"!B2:B628"),0))</f>
        <v>WR4</v>
      </c>
      <c r="F31" s="159">
        <f ca="1">IF(LeagueInfo!$H$7="Starter/Bench",INDEX(INDIRECT(""&amp;B31&amp;"!T2:T628"),MATCH(A31,INDIRECT(""&amp;B31&amp;"!B2:B628"),0)),INDEX(INDIRECT(""&amp;B31&amp;"!AB2:AB628"),MATCH(A31,INDIRECT(""&amp;B31&amp;"!B2:B628"),0)))</f>
        <v>35.239873465146943</v>
      </c>
      <c r="G31" s="163">
        <f>IF(H31&gt;0,F31-H31,0)</f>
        <v>0</v>
      </c>
      <c r="H31" s="161"/>
      <c r="I31" s="163">
        <f ca="1">F31*$A$2</f>
        <v>35.239873465146943</v>
      </c>
      <c r="J31" s="160" t="s">
        <v>76</v>
      </c>
      <c r="K31" s="160">
        <f>IF(LeagueInfo!$F$7="Yahoo",IFERROR(INDEX(DefaultAuctionValues!$B$2:$B$1000,MATCH(A31,DefaultAuctionValues!$A$2:$A$1000,0)),0),IF(LeagueInfo!$F$7="ESPN",IFERROR(INDEX(DefaultAuctionValues!$C$2:$C$1000,MATCH(A31,DefaultAuctionValues!$A$2:$A$1000,0)),0),IF(LeagueInfo!$F$7="Custom",IFERROR(INDEX(DefaultAuctionValues!$D$2:$D$1000,MATCH(A31,DefaultAuctionValues!$A$2:$A$1000,0)),0))))</f>
        <v>47</v>
      </c>
      <c r="L31" s="164">
        <f ca="1">I31-K31</f>
        <v>-11.760126534853057</v>
      </c>
      <c r="M31" s="175"/>
      <c r="N31" s="170">
        <f ca="1">INDEX(INDIRECT(""&amp;$B31&amp;"!Z2:Z628"),MATCH($A31,INDIRECT(""&amp;$B31&amp;"!B2:B628"),0))</f>
        <v>94.890000000000029</v>
      </c>
      <c r="O31" s="158" t="str">
        <f ca="1">IF(INDEX(INDIRECT(""&amp;$B31&amp;"!W2:W628"),MATCH($A31,INDIRECT(""&amp;$B31&amp;"!B2:B628"),0))=0,"",INDEX(INDIRECT(""&amp;$B31&amp;"!W2:W628"),MATCH($A31,INDIRECT(""&amp;$B31&amp;"!B2:B628"),0)))</f>
        <v/>
      </c>
    </row>
    <row r="32" spans="1:15" x14ac:dyDescent="0.25">
      <c r="A32" s="158" t="s">
        <v>339</v>
      </c>
      <c r="B32" s="158" t="s">
        <v>28</v>
      </c>
      <c r="C32" s="162">
        <f ca="1">IFERROR(INDEX(BYEs!$B$2:$B$33,MATCH(D32,BYEs!$A$2:$A$33,0)),"N/A")</f>
        <v>13</v>
      </c>
      <c r="D32" s="219" t="str">
        <f ca="1">INDEX(INDIRECT(""&amp;B32&amp;"!F2:F628"),MATCH(A32,INDIRECT(""&amp;B32&amp;"!B2:B628"),0))</f>
        <v>ARI</v>
      </c>
      <c r="E32" s="218" t="str">
        <f ca="1">INDEX(INDIRECT(""&amp;$B32&amp;"!AA2:AA628"),MATCH($A32,INDIRECT(""&amp;$B32&amp;"!B2:B628"),0))</f>
        <v>RB5</v>
      </c>
      <c r="F32" s="159">
        <f ca="1">IF(LeagueInfo!$H$7="Starter/Bench",INDEX(INDIRECT(""&amp;B32&amp;"!T2:T628"),MATCH(A32,INDIRECT(""&amp;B32&amp;"!B2:B628"),0)),INDEX(INDIRECT(""&amp;B32&amp;"!AB2:AB628"),MATCH(A32,INDIRECT(""&amp;B32&amp;"!B2:B628"),0)))</f>
        <v>35.191625736819859</v>
      </c>
      <c r="G32" s="163">
        <f>IF(H32&gt;0,F32-H32,0)</f>
        <v>0</v>
      </c>
      <c r="H32" s="161"/>
      <c r="I32" s="163">
        <f ca="1">F32*$A$2</f>
        <v>35.191625736819859</v>
      </c>
      <c r="J32" s="160" t="s">
        <v>76</v>
      </c>
      <c r="K32" s="160">
        <f>IF(LeagueInfo!$F$7="Yahoo",IFERROR(INDEX(DefaultAuctionValues!$B$2:$B$1000,MATCH(A32,DefaultAuctionValues!$A$2:$A$1000,0)),0),IF(LeagueInfo!$F$7="ESPN",IFERROR(INDEX(DefaultAuctionValues!$C$2:$C$1000,MATCH(A32,DefaultAuctionValues!$A$2:$A$1000,0)),0),IF(LeagueInfo!$F$7="Custom",IFERROR(INDEX(DefaultAuctionValues!$D$2:$D$1000,MATCH(A32,DefaultAuctionValues!$A$2:$A$1000,0)),0))))</f>
        <v>25</v>
      </c>
      <c r="L32" s="164">
        <f ca="1">I32-K32</f>
        <v>10.191625736819859</v>
      </c>
      <c r="M32" s="175"/>
      <c r="N32" s="170">
        <f ca="1">INDEX(INDIRECT(""&amp;$B32&amp;"!Z2:Z628"),MATCH($A32,INDIRECT(""&amp;$B32&amp;"!B2:B628"),0))</f>
        <v>95.39500000000001</v>
      </c>
      <c r="O32" s="158" t="str">
        <f ca="1">IF(INDEX(INDIRECT(""&amp;$B32&amp;"!W2:W628"),MATCH($A32,INDIRECT(""&amp;$B32&amp;"!B2:B628"),0))=0,"",INDEX(INDIRECT(""&amp;$B32&amp;"!W2:W628"),MATCH($A32,INDIRECT(""&amp;$B32&amp;"!B2:B628"),0)))</f>
        <v/>
      </c>
    </row>
    <row r="33" spans="1:15" x14ac:dyDescent="0.25">
      <c r="A33" s="158" t="s">
        <v>702</v>
      </c>
      <c r="B33" s="158" t="s">
        <v>35</v>
      </c>
      <c r="C33" s="162">
        <f ca="1">IFERROR(INDEX(BYEs!$B$2:$B$33,MATCH(D33,BYEs!$A$2:$A$33,0)),"N/A")</f>
        <v>9</v>
      </c>
      <c r="D33" s="219" t="str">
        <f ca="1">INDEX(INDIRECT(""&amp;B33&amp;"!F2:F628"),MATCH(A33,INDIRECT(""&amp;B33&amp;"!B2:B628"),0))</f>
        <v>SF</v>
      </c>
      <c r="E33" s="218" t="str">
        <f ca="1">INDEX(INDIRECT(""&amp;$B33&amp;"!AA2:AA628"),MATCH($A33,INDIRECT(""&amp;$B33&amp;"!B2:B628"),0))</f>
        <v>WR4</v>
      </c>
      <c r="F33" s="159">
        <f ca="1">IF(LeagueInfo!$H$7="Starter/Bench",INDEX(INDIRECT(""&amp;B33&amp;"!T2:T628"),MATCH(A33,INDIRECT(""&amp;B33&amp;"!B2:B628"),0)),INDEX(INDIRECT(""&amp;B33&amp;"!AB2:AB628"),MATCH(A33,INDIRECT(""&amp;B33&amp;"!B2:B628"),0)))</f>
        <v>35.108948557413626</v>
      </c>
      <c r="G33" s="163">
        <f>IF(H33&gt;0,F33-H33,0)</f>
        <v>0</v>
      </c>
      <c r="H33" s="161"/>
      <c r="I33" s="163">
        <f ca="1">F33*$A$2</f>
        <v>35.108948557413626</v>
      </c>
      <c r="J33" s="160" t="s">
        <v>76</v>
      </c>
      <c r="K33" s="160">
        <f>IF(LeagueInfo!$F$7="Yahoo",IFERROR(INDEX(DefaultAuctionValues!$B$2:$B$1000,MATCH(A33,DefaultAuctionValues!$A$2:$A$1000,0)),0),IF(LeagueInfo!$F$7="ESPN",IFERROR(INDEX(DefaultAuctionValues!$C$2:$C$1000,MATCH(A33,DefaultAuctionValues!$A$2:$A$1000,0)),0),IF(LeagueInfo!$F$7="Custom",IFERROR(INDEX(DefaultAuctionValues!$D$2:$D$1000,MATCH(A33,DefaultAuctionValues!$A$2:$A$1000,0)),0))))</f>
        <v>37</v>
      </c>
      <c r="L33" s="164">
        <f ca="1">I33-K33</f>
        <v>-1.8910514425863738</v>
      </c>
      <c r="M33" s="175"/>
      <c r="N33" s="170">
        <f ca="1">INDEX(INDIRECT(""&amp;$B33&amp;"!Z2:Z628"),MATCH($A33,INDIRECT(""&amp;$B33&amp;"!B2:B628"),0))</f>
        <v>94.54</v>
      </c>
      <c r="O33" s="158" t="str">
        <f ca="1">IF(INDEX(INDIRECT(""&amp;$B33&amp;"!W2:W628"),MATCH($A33,INDIRECT(""&amp;$B33&amp;"!B2:B628"),0))=0,"",INDEX(INDIRECT(""&amp;$B33&amp;"!W2:W628"),MATCH($A33,INDIRECT(""&amp;$B33&amp;"!B2:B628"),0)))</f>
        <v/>
      </c>
    </row>
    <row r="34" spans="1:15" x14ac:dyDescent="0.25">
      <c r="A34" s="158" t="s">
        <v>927</v>
      </c>
      <c r="B34" s="158" t="s">
        <v>28</v>
      </c>
      <c r="C34" s="162">
        <f ca="1">IFERROR(INDEX(BYEs!$B$2:$B$33,MATCH(D34,BYEs!$A$2:$A$33,0)),"N/A")</f>
        <v>9</v>
      </c>
      <c r="D34" s="219" t="str">
        <f ca="1">INDEX(INDIRECT(""&amp;B34&amp;"!F2:F628"),MATCH(A34,INDIRECT(""&amp;B34&amp;"!B2:B628"),0))</f>
        <v>DEN</v>
      </c>
      <c r="E34" s="218" t="str">
        <f ca="1">INDEX(INDIRECT(""&amp;$B34&amp;"!AA2:AA628"),MATCH($A34,INDIRECT(""&amp;$B34&amp;"!B2:B628"),0))</f>
        <v>RB5</v>
      </c>
      <c r="F34" s="159">
        <f ca="1">IF(LeagueInfo!$H$7="Starter/Bench",INDEX(INDIRECT(""&amp;B34&amp;"!T2:T628"),MATCH(A34,INDIRECT(""&amp;B34&amp;"!B2:B628"),0)),INDEX(INDIRECT(""&amp;B34&amp;"!AB2:AB628"),MATCH(A34,INDIRECT(""&amp;B34&amp;"!B2:B628"),0)))</f>
        <v>34.813813860218005</v>
      </c>
      <c r="G34" s="163">
        <f>IF(H34&gt;0,F34-H34,0)</f>
        <v>0</v>
      </c>
      <c r="H34" s="161"/>
      <c r="I34" s="163">
        <f ca="1">F34*$A$2</f>
        <v>34.813813860218005</v>
      </c>
      <c r="J34" s="160" t="s">
        <v>76</v>
      </c>
      <c r="K34" s="160">
        <f>IF(LeagueInfo!$F$7="Yahoo",IFERROR(INDEX(DefaultAuctionValues!$B$2:$B$1000,MATCH(A34,DefaultAuctionValues!$A$2:$A$1000,0)),0),IF(LeagueInfo!$F$7="ESPN",IFERROR(INDEX(DefaultAuctionValues!$C$2:$C$1000,MATCH(A34,DefaultAuctionValues!$A$2:$A$1000,0)),0),IF(LeagueInfo!$F$7="Custom",IFERROR(INDEX(DefaultAuctionValues!$D$2:$D$1000,MATCH(A34,DefaultAuctionValues!$A$2:$A$1000,0)),0))))</f>
        <v>43</v>
      </c>
      <c r="L34" s="164">
        <f ca="1">I34-K34</f>
        <v>-8.1861861397819951</v>
      </c>
      <c r="M34" s="175"/>
      <c r="N34" s="170">
        <f ca="1">INDEX(INDIRECT(""&amp;$B34&amp;"!Z2:Z628"),MATCH($A34,INDIRECT(""&amp;$B34&amp;"!B2:B628"),0))</f>
        <v>94.384999999999977</v>
      </c>
      <c r="O34" s="158" t="str">
        <f ca="1">IF(INDEX(INDIRECT(""&amp;$B34&amp;"!W2:W628"),MATCH($A34,INDIRECT(""&amp;$B34&amp;"!B2:B628"),0))=0,"",INDEX(INDIRECT(""&amp;$B34&amp;"!W2:W628"),MATCH($A34,INDIRECT(""&amp;$B34&amp;"!B2:B628"),0)))</f>
        <v/>
      </c>
    </row>
    <row r="35" spans="1:15" x14ac:dyDescent="0.25">
      <c r="A35" s="158" t="s">
        <v>914</v>
      </c>
      <c r="B35" s="158" t="s">
        <v>29</v>
      </c>
      <c r="C35" s="162">
        <f ca="1">IFERROR(INDEX(BYEs!$B$2:$B$33,MATCH(D35,BYEs!$A$2:$A$33,0)),"N/A")</f>
        <v>8</v>
      </c>
      <c r="D35" s="219" t="str">
        <f ca="1">INDEX(INDIRECT(""&amp;B35&amp;"!F2:F628"),MATCH(A35,INDIRECT(""&amp;B35&amp;"!B2:B628"),0))</f>
        <v>KC</v>
      </c>
      <c r="E35" s="218" t="str">
        <f ca="1">INDEX(INDIRECT(""&amp;$B35&amp;"!AA2:AA628"),MATCH($A35,INDIRECT(""&amp;$B35&amp;"!B2:B628"),0))</f>
        <v>QB2</v>
      </c>
      <c r="F35" s="159">
        <f ca="1">IF(LeagueInfo!$H$7="Starter/Bench",INDEX(INDIRECT(""&amp;B35&amp;"!T2:T628"),MATCH(A35,INDIRECT(""&amp;B35&amp;"!B2:B628"),0)),INDEX(INDIRECT(""&amp;B35&amp;"!AB2:AB628"),MATCH(A35,INDIRECT(""&amp;B35&amp;"!B2:B628"),0)))</f>
        <v>31.731467801887625</v>
      </c>
      <c r="G35" s="163">
        <f>IF(H35&gt;0,F35-H35,0)</f>
        <v>0</v>
      </c>
      <c r="H35" s="161"/>
      <c r="I35" s="163">
        <f ca="1">F35*$A$2</f>
        <v>31.731467801887625</v>
      </c>
      <c r="J35" s="160" t="s">
        <v>76</v>
      </c>
      <c r="K35" s="160">
        <f>IF(LeagueInfo!$F$7="Yahoo",IFERROR(INDEX(DefaultAuctionValues!$B$2:$B$1000,MATCH(A35,DefaultAuctionValues!$A$2:$A$1000,0)),0),IF(LeagueInfo!$F$7="ESPN",IFERROR(INDEX(DefaultAuctionValues!$C$2:$C$1000,MATCH(A35,DefaultAuctionValues!$A$2:$A$1000,0)),0),IF(LeagueInfo!$F$7="Custom",IFERROR(INDEX(DefaultAuctionValues!$D$2:$D$1000,MATCH(A35,DefaultAuctionValues!$A$2:$A$1000,0)),0))))</f>
        <v>14</v>
      </c>
      <c r="L35" s="164">
        <f ca="1">I35-K35</f>
        <v>17.731467801887625</v>
      </c>
      <c r="M35" s="175"/>
      <c r="N35" s="170">
        <f ca="1">INDEX(INDIRECT(""&amp;$B35&amp;"!Z2:Z628"),MATCH($A35,INDIRECT(""&amp;$B35&amp;"!B2:B628"),0))</f>
        <v>85.688999999999965</v>
      </c>
      <c r="O35" s="158" t="str">
        <f ca="1">IF(INDEX(INDIRECT(""&amp;$B35&amp;"!W2:W628"),MATCH($A35,INDIRECT(""&amp;$B35&amp;"!B2:B628"),0))=0,"",INDEX(INDIRECT(""&amp;$B35&amp;"!W2:W628"),MATCH($A35,INDIRECT(""&amp;$B35&amp;"!B2:B628"),0)))</f>
        <v/>
      </c>
    </row>
    <row r="36" spans="1:15" x14ac:dyDescent="0.25">
      <c r="A36" s="158" t="s">
        <v>548</v>
      </c>
      <c r="B36" s="158" t="s">
        <v>28</v>
      </c>
      <c r="C36" s="162">
        <f ca="1">IFERROR(INDEX(BYEs!$B$2:$B$33,MATCH(D36,BYEs!$A$2:$A$33,0)),"N/A")</f>
        <v>9</v>
      </c>
      <c r="D36" s="219" t="str">
        <f ca="1">INDEX(INDIRECT(""&amp;B36&amp;"!F2:F628"),MATCH(A36,INDIRECT(""&amp;B36&amp;"!B2:B628"),0))</f>
        <v>CLE</v>
      </c>
      <c r="E36" s="218" t="str">
        <f ca="1">INDEX(INDIRECT(""&amp;$B36&amp;"!AA2:AA628"),MATCH($A36,INDIRECT(""&amp;$B36&amp;"!B2:B628"),0))</f>
        <v>RB5</v>
      </c>
      <c r="F36" s="159">
        <f ca="1">IF(LeagueInfo!$H$7="Starter/Bench",INDEX(INDIRECT(""&amp;B36&amp;"!T2:T628"),MATCH(A36,INDIRECT(""&amp;B36&amp;"!B2:B628"),0)),INDEX(INDIRECT(""&amp;B36&amp;"!AB2:AB628"),MATCH(A36,INDIRECT(""&amp;B36&amp;"!B2:B628"),0)))</f>
        <v>31.07684292234433</v>
      </c>
      <c r="G36" s="163">
        <f>IF(H36&gt;0,F36-H36,0)</f>
        <v>0</v>
      </c>
      <c r="H36" s="161"/>
      <c r="I36" s="163">
        <f ca="1">F36*$A$2</f>
        <v>31.07684292234433</v>
      </c>
      <c r="J36" s="160" t="s">
        <v>76</v>
      </c>
      <c r="K36" s="160">
        <f>IF(LeagueInfo!$F$7="Yahoo",IFERROR(INDEX(DefaultAuctionValues!$B$2:$B$1000,MATCH(A36,DefaultAuctionValues!$A$2:$A$1000,0)),0),IF(LeagueInfo!$F$7="ESPN",IFERROR(INDEX(DefaultAuctionValues!$C$2:$C$1000,MATCH(A36,DefaultAuctionValues!$A$2:$A$1000,0)),0),IF(LeagueInfo!$F$7="Custom",IFERROR(INDEX(DefaultAuctionValues!$D$2:$D$1000,MATCH(A36,DefaultAuctionValues!$A$2:$A$1000,0)),0))))</f>
        <v>48</v>
      </c>
      <c r="L36" s="164">
        <f ca="1">I36-K36</f>
        <v>-16.92315707765567</v>
      </c>
      <c r="M36" s="175"/>
      <c r="N36" s="170">
        <f ca="1">INDEX(INDIRECT(""&amp;$B36&amp;"!Z2:Z628"),MATCH($A36,INDIRECT(""&amp;$B36&amp;"!B2:B628"),0))</f>
        <v>84.39500000000001</v>
      </c>
      <c r="O36" s="158" t="str">
        <f ca="1">IF(INDEX(INDIRECT(""&amp;$B36&amp;"!W2:W628"),MATCH($A36,INDIRECT(""&amp;$B36&amp;"!B2:B628"),0))=0,"",INDEX(INDIRECT(""&amp;$B36&amp;"!W2:W628"),MATCH($A36,INDIRECT(""&amp;$B36&amp;"!B2:B628"),0)))</f>
        <v/>
      </c>
    </row>
    <row r="37" spans="1:15" x14ac:dyDescent="0.25">
      <c r="A37" s="158" t="s">
        <v>169</v>
      </c>
      <c r="B37" s="158" t="s">
        <v>35</v>
      </c>
      <c r="C37" s="162">
        <f ca="1">IFERROR(INDEX(BYEs!$B$2:$B$33,MATCH(D37,BYEs!$A$2:$A$33,0)),"N/A")</f>
        <v>7</v>
      </c>
      <c r="D37" s="219" t="str">
        <f ca="1">INDEX(INDIRECT(""&amp;B37&amp;"!F2:F628"),MATCH(A37,INDIRECT(""&amp;B37&amp;"!B2:B628"),0))</f>
        <v>BUF</v>
      </c>
      <c r="E37" s="218" t="str">
        <f ca="1">INDEX(INDIRECT(""&amp;$B37&amp;"!AA2:AA628"),MATCH($A37,INDIRECT(""&amp;$B37&amp;"!B2:B628"),0))</f>
        <v>WR4</v>
      </c>
      <c r="F37" s="159">
        <f ca="1">IF(LeagueInfo!$H$7="Starter/Bench",INDEX(INDIRECT(""&amp;B37&amp;"!T2:T628"),MATCH(A37,INDIRECT(""&amp;B37&amp;"!B2:B628"),0)),INDEX(INDIRECT(""&amp;B37&amp;"!AB2:AB628"),MATCH(A37,INDIRECT(""&amp;B37&amp;"!B2:B628"),0)))</f>
        <v>30.73605663912101</v>
      </c>
      <c r="G37" s="163">
        <f>IF(H37&gt;0,F37-H37,0)</f>
        <v>0</v>
      </c>
      <c r="H37" s="161"/>
      <c r="I37" s="163">
        <f ca="1">F37*$A$2</f>
        <v>30.73605663912101</v>
      </c>
      <c r="J37" s="160" t="s">
        <v>76</v>
      </c>
      <c r="K37" s="160">
        <f>IF(LeagueInfo!$F$7="Yahoo",IFERROR(INDEX(DefaultAuctionValues!$B$2:$B$1000,MATCH(A37,DefaultAuctionValues!$A$2:$A$1000,0)),0),IF(LeagueInfo!$F$7="ESPN",IFERROR(INDEX(DefaultAuctionValues!$C$2:$C$1000,MATCH(A37,DefaultAuctionValues!$A$2:$A$1000,0)),0),IF(LeagueInfo!$F$7="Custom",IFERROR(INDEX(DefaultAuctionValues!$D$2:$D$1000,MATCH(A37,DefaultAuctionValues!$A$2:$A$1000,0)),0))))</f>
        <v>45</v>
      </c>
      <c r="L37" s="164">
        <f ca="1">I37-K37</f>
        <v>-14.26394336087899</v>
      </c>
      <c r="M37" s="175"/>
      <c r="N37" s="170">
        <f ca="1">INDEX(INDIRECT(""&amp;$B37&amp;"!Z2:Z628"),MATCH($A37,INDIRECT(""&amp;$B37&amp;"!B2:B628"),0))</f>
        <v>82.850000000000037</v>
      </c>
      <c r="O37" s="158" t="str">
        <f ca="1">IF(INDEX(INDIRECT(""&amp;$B37&amp;"!W2:W628"),MATCH($A37,INDIRECT(""&amp;$B37&amp;"!B2:B628"),0))=0,"",INDEX(INDIRECT(""&amp;$B37&amp;"!W2:W628"),MATCH($A37,INDIRECT(""&amp;$B37&amp;"!B2:B628"),0)))</f>
        <v/>
      </c>
    </row>
    <row r="38" spans="1:15" x14ac:dyDescent="0.25">
      <c r="A38" s="158" t="s">
        <v>661</v>
      </c>
      <c r="B38" s="158" t="s">
        <v>28</v>
      </c>
      <c r="C38" s="162">
        <f ca="1">IFERROR(INDEX(BYEs!$B$2:$B$33,MATCH(D38,BYEs!$A$2:$A$33,0)),"N/A")</f>
        <v>14</v>
      </c>
      <c r="D38" s="219" t="str">
        <f ca="1">INDEX(INDIRECT(""&amp;B38&amp;"!F2:F628"),MATCH(A38,INDIRECT(""&amp;B38&amp;"!B2:B628"),0))</f>
        <v>CHI</v>
      </c>
      <c r="E38" s="218" t="str">
        <f ca="1">INDEX(INDIRECT(""&amp;$B38&amp;"!AA2:AA628"),MATCH($A38,INDIRECT(""&amp;$B38&amp;"!B2:B628"),0))</f>
        <v>RB5</v>
      </c>
      <c r="F38" s="159">
        <f ca="1">IF(LeagueInfo!$H$7="Starter/Bench",INDEX(INDIRECT(""&amp;B38&amp;"!T2:T628"),MATCH(A38,INDIRECT(""&amp;B38&amp;"!B2:B628"),0)),INDEX(INDIRECT(""&amp;B38&amp;"!AB2:AB628"),MATCH(A38,INDIRECT(""&amp;B38&amp;"!B2:B628"),0)))</f>
        <v>29.367337698512216</v>
      </c>
      <c r="G38" s="163">
        <f>IF(H38&gt;0,F38-H38,0)</f>
        <v>0</v>
      </c>
      <c r="H38" s="161"/>
      <c r="I38" s="163">
        <f ca="1">F38*$A$2</f>
        <v>29.367337698512216</v>
      </c>
      <c r="J38" s="160" t="s">
        <v>76</v>
      </c>
      <c r="K38" s="160">
        <f>IF(LeagueInfo!$F$7="Yahoo",IFERROR(INDEX(DefaultAuctionValues!$B$2:$B$1000,MATCH(A38,DefaultAuctionValues!$A$2:$A$1000,0)),0),IF(LeagueInfo!$F$7="ESPN",IFERROR(INDEX(DefaultAuctionValues!$C$2:$C$1000,MATCH(A38,DefaultAuctionValues!$A$2:$A$1000,0)),0),IF(LeagueInfo!$F$7="Custom",IFERROR(INDEX(DefaultAuctionValues!$D$2:$D$1000,MATCH(A38,DefaultAuctionValues!$A$2:$A$1000,0)),0))))</f>
        <v>20</v>
      </c>
      <c r="L38" s="164">
        <f ca="1">I38-K38</f>
        <v>9.3673376985122161</v>
      </c>
      <c r="M38" s="175"/>
      <c r="N38" s="170">
        <f ca="1">INDEX(INDIRECT(""&amp;$B38&amp;"!Z2:Z628"),MATCH($A38,INDIRECT(""&amp;$B38&amp;"!B2:B628"),0))</f>
        <v>79.824999999999989</v>
      </c>
      <c r="O38" s="158" t="str">
        <f ca="1">IF(INDEX(INDIRECT(""&amp;$B38&amp;"!W2:W628"),MATCH($A38,INDIRECT(""&amp;$B38&amp;"!B2:B628"),0))=0,"",INDEX(INDIRECT(""&amp;$B38&amp;"!W2:W628"),MATCH($A38,INDIRECT(""&amp;$B38&amp;"!B2:B628"),0)))</f>
        <v/>
      </c>
    </row>
    <row r="39" spans="1:15" x14ac:dyDescent="0.25">
      <c r="A39" s="158" t="s">
        <v>832</v>
      </c>
      <c r="B39" s="158" t="s">
        <v>35</v>
      </c>
      <c r="C39" s="162">
        <f ca="1">IFERROR(INDEX(BYEs!$B$2:$B$33,MATCH(D39,BYEs!$A$2:$A$33,0)),"N/A")</f>
        <v>9</v>
      </c>
      <c r="D39" s="219" t="str">
        <f ca="1">INDEX(INDIRECT(""&amp;B39&amp;"!F2:F628"),MATCH(A39,INDIRECT(""&amp;B39&amp;"!B2:B628"),0))</f>
        <v>DAL</v>
      </c>
      <c r="E39" s="218" t="str">
        <f ca="1">INDEX(INDIRECT(""&amp;$B39&amp;"!AA2:AA628"),MATCH($A39,INDIRECT(""&amp;$B39&amp;"!B2:B628"),0))</f>
        <v>WR5</v>
      </c>
      <c r="F39" s="159">
        <f ca="1">IF(LeagueInfo!$H$7="Starter/Bench",INDEX(INDIRECT(""&amp;B39&amp;"!T2:T628"),MATCH(A39,INDIRECT(""&amp;B39&amp;"!B2:B628"),0)),INDEX(INDIRECT(""&amp;B39&amp;"!AB2:AB628"),MATCH(A39,INDIRECT(""&amp;B39&amp;"!B2:B628"),0)))</f>
        <v>27.036492817742548</v>
      </c>
      <c r="G39" s="163">
        <f>IF(H39&gt;0,F39-H39,0)</f>
        <v>0</v>
      </c>
      <c r="H39" s="161"/>
      <c r="I39" s="163">
        <f ca="1">F39*$A$2</f>
        <v>27.036492817742548</v>
      </c>
      <c r="J39" s="160" t="s">
        <v>76</v>
      </c>
      <c r="K39" s="160">
        <f>IF(LeagueInfo!$F$7="Yahoo",IFERROR(INDEX(DefaultAuctionValues!$B$2:$B$1000,MATCH(A39,DefaultAuctionValues!$A$2:$A$1000,0)),0),IF(LeagueInfo!$F$7="ESPN",IFERROR(INDEX(DefaultAuctionValues!$C$2:$C$1000,MATCH(A39,DefaultAuctionValues!$A$2:$A$1000,0)),0),IF(LeagueInfo!$F$7="Custom",IFERROR(INDEX(DefaultAuctionValues!$D$2:$D$1000,MATCH(A39,DefaultAuctionValues!$A$2:$A$1000,0)),0))))</f>
        <v>40</v>
      </c>
      <c r="L39" s="164">
        <f ca="1">I39-K39</f>
        <v>-12.963507182257452</v>
      </c>
      <c r="M39" s="175"/>
      <c r="N39" s="170">
        <f ca="1">INDEX(INDIRECT(""&amp;$B39&amp;"!Z2:Z628"),MATCH($A39,INDIRECT(""&amp;$B39&amp;"!B2:B628"),0))</f>
        <v>72.960000000000022</v>
      </c>
      <c r="O39" s="158" t="str">
        <f ca="1">IF(INDEX(INDIRECT(""&amp;$B39&amp;"!W2:W628"),MATCH($A39,INDIRECT(""&amp;$B39&amp;"!B2:B628"),0))=0,"",INDEX(INDIRECT(""&amp;$B39&amp;"!W2:W628"),MATCH($A39,INDIRECT(""&amp;$B39&amp;"!B2:B628"),0)))</f>
        <v/>
      </c>
    </row>
    <row r="40" spans="1:15" x14ac:dyDescent="0.25">
      <c r="A40" s="158" t="s">
        <v>132</v>
      </c>
      <c r="B40" s="158" t="s">
        <v>35</v>
      </c>
      <c r="C40" s="162">
        <f ca="1">IFERROR(INDEX(BYEs!$B$2:$B$33,MATCH(D40,BYEs!$A$2:$A$33,0)),"N/A")</f>
        <v>11</v>
      </c>
      <c r="D40" s="219" t="str">
        <f ca="1">INDEX(INDIRECT(""&amp;B40&amp;"!F2:F628"),MATCH(A40,INDIRECT(""&amp;B40&amp;"!B2:B628"),0))</f>
        <v>MIA</v>
      </c>
      <c r="E40" s="218" t="str">
        <f ca="1">INDEX(INDIRECT(""&amp;$B40&amp;"!AA2:AA628"),MATCH($A40,INDIRECT(""&amp;$B40&amp;"!B2:B628"),0))</f>
        <v>WR5</v>
      </c>
      <c r="F40" s="159">
        <f ca="1">IF(LeagueInfo!$H$7="Starter/Bench",INDEX(INDIRECT(""&amp;B40&amp;"!T2:T628"),MATCH(A40,INDIRECT(""&amp;B40&amp;"!B2:B628"),0)),INDEX(INDIRECT(""&amp;B40&amp;"!AB2:AB628"),MATCH(A40,INDIRECT(""&amp;B40&amp;"!B2:B628"),0)))</f>
        <v>26.901827198359705</v>
      </c>
      <c r="G40" s="163">
        <f>IF(H40&gt;0,F40-H40,0)</f>
        <v>0</v>
      </c>
      <c r="H40" s="161"/>
      <c r="I40" s="163">
        <f ca="1">F40*$A$2</f>
        <v>26.901827198359705</v>
      </c>
      <c r="J40" s="160" t="s">
        <v>76</v>
      </c>
      <c r="K40" s="160">
        <f>IF(LeagueInfo!$F$7="Yahoo",IFERROR(INDEX(DefaultAuctionValues!$B$2:$B$1000,MATCH(A40,DefaultAuctionValues!$A$2:$A$1000,0)),0),IF(LeagueInfo!$F$7="ESPN",IFERROR(INDEX(DefaultAuctionValues!$C$2:$C$1000,MATCH(A40,DefaultAuctionValues!$A$2:$A$1000,0)),0),IF(LeagueInfo!$F$7="Custom",IFERROR(INDEX(DefaultAuctionValues!$D$2:$D$1000,MATCH(A40,DefaultAuctionValues!$A$2:$A$1000,0)),0))))</f>
        <v>31</v>
      </c>
      <c r="L40" s="164">
        <f ca="1">I40-K40</f>
        <v>-4.0981728016402954</v>
      </c>
      <c r="M40" s="175"/>
      <c r="N40" s="170">
        <f ca="1">INDEX(INDIRECT(""&amp;$B40&amp;"!Z2:Z628"),MATCH($A40,INDIRECT(""&amp;$B40&amp;"!B2:B628"),0))</f>
        <v>72.600000000000009</v>
      </c>
      <c r="O40" s="158" t="str">
        <f ca="1">IF(INDEX(INDIRECT(""&amp;$B40&amp;"!W2:W628"),MATCH($A40,INDIRECT(""&amp;$B40&amp;"!B2:B628"),0))=0,"",INDEX(INDIRECT(""&amp;$B40&amp;"!W2:W628"),MATCH($A40,INDIRECT(""&amp;$B40&amp;"!B2:B628"),0)))</f>
        <v/>
      </c>
    </row>
    <row r="41" spans="1:15" x14ac:dyDescent="0.25">
      <c r="A41" s="158" t="s">
        <v>93</v>
      </c>
      <c r="B41" s="158" t="s">
        <v>28</v>
      </c>
      <c r="C41" s="162">
        <f ca="1">IFERROR(INDEX(BYEs!$B$2:$B$33,MATCH(D41,BYEs!$A$2:$A$33,0)),"N/A")</f>
        <v>9</v>
      </c>
      <c r="D41" s="219" t="str">
        <f ca="1">INDEX(INDIRECT(""&amp;B41&amp;"!F2:F628"),MATCH(A41,INDIRECT(""&amp;B41&amp;"!B2:B628"),0))</f>
        <v>DAL</v>
      </c>
      <c r="E41" s="218" t="str">
        <f ca="1">INDEX(INDIRECT(""&amp;$B41&amp;"!AA2:AA628"),MATCH($A41,INDIRECT(""&amp;$B41&amp;"!B2:B628"),0))</f>
        <v>RB6</v>
      </c>
      <c r="F41" s="159">
        <f ca="1">IF(LeagueInfo!$H$7="Starter/Bench",INDEX(INDIRECT(""&amp;B41&amp;"!T2:T628"),MATCH(A41,INDIRECT(""&amp;B41&amp;"!B2:B628"),0)),INDEX(INDIRECT(""&amp;B41&amp;"!AB2:AB628"),MATCH(A41,INDIRECT(""&amp;B41&amp;"!B2:B628"),0)))</f>
        <v>26.558063249720298</v>
      </c>
      <c r="G41" s="163">
        <f>IF(H41&gt;0,F41-H41,0)</f>
        <v>0</v>
      </c>
      <c r="H41" s="161"/>
      <c r="I41" s="163">
        <f ca="1">F41*$A$2</f>
        <v>26.558063249720298</v>
      </c>
      <c r="J41" s="160" t="s">
        <v>76</v>
      </c>
      <c r="K41" s="160">
        <f>IF(LeagueInfo!$F$7="Yahoo",IFERROR(INDEX(DefaultAuctionValues!$B$2:$B$1000,MATCH(A41,DefaultAuctionValues!$A$2:$A$1000,0)),0),IF(LeagueInfo!$F$7="ESPN",IFERROR(INDEX(DefaultAuctionValues!$C$2:$C$1000,MATCH(A41,DefaultAuctionValues!$A$2:$A$1000,0)),0),IF(LeagueInfo!$F$7="Custom",IFERROR(INDEX(DefaultAuctionValues!$D$2:$D$1000,MATCH(A41,DefaultAuctionValues!$A$2:$A$1000,0)),0))))</f>
        <v>27</v>
      </c>
      <c r="L41" s="164">
        <f ca="1">I41-K41</f>
        <v>-0.44193675027970158</v>
      </c>
      <c r="M41" s="175"/>
      <c r="N41" s="170">
        <f ca="1">INDEX(INDIRECT(""&amp;$B41&amp;"!Z2:Z628"),MATCH($A41,INDIRECT(""&amp;$B41&amp;"!B2:B628"),0))</f>
        <v>72.315000000000026</v>
      </c>
      <c r="O41" s="158" t="str">
        <f ca="1">IF(INDEX(INDIRECT(""&amp;$B41&amp;"!W2:W628"),MATCH($A41,INDIRECT(""&amp;$B41&amp;"!B2:B628"),0))=0,"",INDEX(INDIRECT(""&amp;$B41&amp;"!W2:W628"),MATCH($A41,INDIRECT(""&amp;$B41&amp;"!B2:B628"),0)))</f>
        <v/>
      </c>
    </row>
    <row r="42" spans="1:15" x14ac:dyDescent="0.25">
      <c r="A42" s="158" t="s">
        <v>873</v>
      </c>
      <c r="B42" s="158" t="s">
        <v>29</v>
      </c>
      <c r="C42" s="162">
        <f ca="1">IFERROR(INDEX(BYEs!$B$2:$B$33,MATCH(D42,BYEs!$A$2:$A$33,0)),"N/A")</f>
        <v>8</v>
      </c>
      <c r="D42" s="219" t="str">
        <f ca="1">INDEX(INDIRECT(""&amp;B42&amp;"!F2:F628"),MATCH(A42,INDIRECT(""&amp;B42&amp;"!B2:B628"),0))</f>
        <v>LAC</v>
      </c>
      <c r="E42" s="218" t="str">
        <f ca="1">INDEX(INDIRECT(""&amp;$B42&amp;"!AA2:AA628"),MATCH($A42,INDIRECT(""&amp;$B42&amp;"!B2:B628"),0))</f>
        <v>QB3</v>
      </c>
      <c r="F42" s="159">
        <f ca="1">IF(LeagueInfo!$H$7="Starter/Bench",INDEX(INDIRECT(""&amp;B42&amp;"!T2:T628"),MATCH(A42,INDIRECT(""&amp;B42&amp;"!B2:B628"),0)),INDEX(INDIRECT(""&amp;B42&amp;"!AB2:AB628"),MATCH(A42,INDIRECT(""&amp;B42&amp;"!B2:B628"),0)))</f>
        <v>25.372257997698171</v>
      </c>
      <c r="G42" s="163">
        <f>IF(H42&gt;0,F42-H42,0)</f>
        <v>0</v>
      </c>
      <c r="H42" s="161"/>
      <c r="I42" s="163">
        <f ca="1">F42*$A$2</f>
        <v>25.372257997698171</v>
      </c>
      <c r="J42" s="160" t="s">
        <v>76</v>
      </c>
      <c r="K42" s="160">
        <f>IF(LeagueInfo!$F$7="Yahoo",IFERROR(INDEX(DefaultAuctionValues!$B$2:$B$1000,MATCH(A42,DefaultAuctionValues!$A$2:$A$1000,0)),0),IF(LeagueInfo!$F$7="ESPN",IFERROR(INDEX(DefaultAuctionValues!$C$2:$C$1000,MATCH(A42,DefaultAuctionValues!$A$2:$A$1000,0)),0),IF(LeagueInfo!$F$7="Custom",IFERROR(INDEX(DefaultAuctionValues!$D$2:$D$1000,MATCH(A42,DefaultAuctionValues!$A$2:$A$1000,0)),0))))</f>
        <v>14</v>
      </c>
      <c r="L42" s="164">
        <f ca="1">I42-K42</f>
        <v>11.372257997698171</v>
      </c>
      <c r="M42" s="175"/>
      <c r="N42" s="170">
        <f ca="1">INDEX(INDIRECT(""&amp;$B42&amp;"!Z2:Z628"),MATCH($A42,INDIRECT(""&amp;$B42&amp;"!B2:B628"),0))</f>
        <v>68.688999999999965</v>
      </c>
      <c r="O42" s="158" t="str">
        <f ca="1">IF(INDEX(INDIRECT(""&amp;$B42&amp;"!W2:W628"),MATCH($A42,INDIRECT(""&amp;$B42&amp;"!B2:B628"),0))=0,"",INDEX(INDIRECT(""&amp;$B42&amp;"!W2:W628"),MATCH($A42,INDIRECT(""&amp;$B42&amp;"!B2:B628"),0)))</f>
        <v/>
      </c>
    </row>
    <row r="43" spans="1:15" x14ac:dyDescent="0.25">
      <c r="A43" s="158" t="s">
        <v>97</v>
      </c>
      <c r="B43" s="158" t="s">
        <v>35</v>
      </c>
      <c r="C43" s="162">
        <f ca="1">IFERROR(INDEX(BYEs!$B$2:$B$33,MATCH(D43,BYEs!$A$2:$A$33,0)),"N/A")</f>
        <v>11</v>
      </c>
      <c r="D43" s="219" t="str">
        <f ca="1">INDEX(INDIRECT(""&amp;B43&amp;"!F2:F628"),MATCH(A43,INDIRECT(""&amp;B43&amp;"!B2:B628"),0))</f>
        <v>TB</v>
      </c>
      <c r="E43" s="218" t="str">
        <f ca="1">INDEX(INDIRECT(""&amp;$B43&amp;"!AA2:AA628"),MATCH($A43,INDIRECT(""&amp;$B43&amp;"!B2:B628"),0))</f>
        <v>WR5</v>
      </c>
      <c r="F43" s="159">
        <f ca="1">IF(LeagueInfo!$H$7="Starter/Bench",INDEX(INDIRECT(""&amp;B43&amp;"!T2:T628"),MATCH(A43,INDIRECT(""&amp;B43&amp;"!B2:B628"),0)),INDEX(INDIRECT(""&amp;B43&amp;"!AB2:AB628"),MATCH(A43,INDIRECT(""&amp;B43&amp;"!B2:B628"),0)))</f>
        <v>25.181099839579034</v>
      </c>
      <c r="G43" s="163">
        <f>IF(H43&gt;0,F43-H43,0)</f>
        <v>0</v>
      </c>
      <c r="H43" s="161"/>
      <c r="I43" s="163">
        <f ca="1">F43*$A$2</f>
        <v>25.181099839579034</v>
      </c>
      <c r="J43" s="160" t="s">
        <v>76</v>
      </c>
      <c r="K43" s="160">
        <f>IF(LeagueInfo!$F$7="Yahoo",IFERROR(INDEX(DefaultAuctionValues!$B$2:$B$1000,MATCH(A43,DefaultAuctionValues!$A$2:$A$1000,0)),0),IF(LeagueInfo!$F$7="ESPN",IFERROR(INDEX(DefaultAuctionValues!$C$2:$C$1000,MATCH(A43,DefaultAuctionValues!$A$2:$A$1000,0)),0),IF(LeagueInfo!$F$7="Custom",IFERROR(INDEX(DefaultAuctionValues!$D$2:$D$1000,MATCH(A43,DefaultAuctionValues!$A$2:$A$1000,0)),0))))</f>
        <v>31</v>
      </c>
      <c r="L43" s="164">
        <f ca="1">I43-K43</f>
        <v>-5.8189001604209665</v>
      </c>
      <c r="M43" s="175"/>
      <c r="N43" s="170">
        <f ca="1">INDEX(INDIRECT(""&amp;$B43&amp;"!Z2:Z628"),MATCH($A43,INDIRECT(""&amp;$B43&amp;"!B2:B628"),0))</f>
        <v>68.000000000000014</v>
      </c>
      <c r="O43" s="158" t="str">
        <f ca="1">IF(INDEX(INDIRECT(""&amp;$B43&amp;"!W2:W628"),MATCH($A43,INDIRECT(""&amp;$B43&amp;"!B2:B628"),0))=0,"",INDEX(INDIRECT(""&amp;$B43&amp;"!W2:W628"),MATCH($A43,INDIRECT(""&amp;$B43&amp;"!B2:B628"),0)))</f>
        <v/>
      </c>
    </row>
    <row r="44" spans="1:15" x14ac:dyDescent="0.25">
      <c r="A44" s="158" t="s">
        <v>534</v>
      </c>
      <c r="B44" s="158" t="s">
        <v>29</v>
      </c>
      <c r="C44" s="162">
        <f ca="1">IFERROR(INDEX(BYEs!$B$2:$B$33,MATCH(D44,BYEs!$A$2:$A$33,0)),"N/A")</f>
        <v>10</v>
      </c>
      <c r="D44" s="219" t="str">
        <f ca="1">INDEX(INDIRECT(""&amp;B44&amp;"!F2:F628"),MATCH(A44,INDIRECT(""&amp;B44&amp;"!B2:B628"),0))</f>
        <v>BAL</v>
      </c>
      <c r="E44" s="218" t="str">
        <f ca="1">INDEX(INDIRECT(""&amp;$B44&amp;"!AA2:AA628"),MATCH($A44,INDIRECT(""&amp;$B44&amp;"!B2:B628"),0))</f>
        <v>QB3</v>
      </c>
      <c r="F44" s="159">
        <f ca="1">IF(LeagueInfo!$H$7="Starter/Bench",INDEX(INDIRECT(""&amp;B44&amp;"!T2:T628"),MATCH(A44,INDIRECT(""&amp;B44&amp;"!B2:B628"),0)),INDEX(INDIRECT(""&amp;B44&amp;"!AB2:AB628"),MATCH(A44,INDIRECT(""&amp;B44&amp;"!B2:B628"),0)))</f>
        <v>23.98071326407555</v>
      </c>
      <c r="G44" s="163">
        <f>IF(H44&gt;0,F44-H44,0)</f>
        <v>0</v>
      </c>
      <c r="H44" s="161"/>
      <c r="I44" s="163">
        <f ca="1">F44*$A$2</f>
        <v>23.98071326407555</v>
      </c>
      <c r="J44" s="160" t="s">
        <v>76</v>
      </c>
      <c r="K44" s="160">
        <f>IF(LeagueInfo!$F$7="Yahoo",IFERROR(INDEX(DefaultAuctionValues!$B$2:$B$1000,MATCH(A44,DefaultAuctionValues!$A$2:$A$1000,0)),0),IF(LeagueInfo!$F$7="ESPN",IFERROR(INDEX(DefaultAuctionValues!$C$2:$C$1000,MATCH(A44,DefaultAuctionValues!$A$2:$A$1000,0)),0),IF(LeagueInfo!$F$7="Custom",IFERROR(INDEX(DefaultAuctionValues!$D$2:$D$1000,MATCH(A44,DefaultAuctionValues!$A$2:$A$1000,0)),0))))</f>
        <v>13</v>
      </c>
      <c r="L44" s="164">
        <f ca="1">I44-K44</f>
        <v>10.98071326407555</v>
      </c>
      <c r="M44" s="175"/>
      <c r="N44" s="170">
        <f ca="1">INDEX(INDIRECT(""&amp;$B44&amp;"!Z2:Z628"),MATCH($A44,INDIRECT(""&amp;$B44&amp;"!B2:B628"),0))</f>
        <v>64.968999999999994</v>
      </c>
      <c r="O44" s="158" t="str">
        <f ca="1">IF(INDEX(INDIRECT(""&amp;$B44&amp;"!W2:W628"),MATCH($A44,INDIRECT(""&amp;$B44&amp;"!B2:B628"),0))=0,"",INDEX(INDIRECT(""&amp;$B44&amp;"!W2:W628"),MATCH($A44,INDIRECT(""&amp;$B44&amp;"!B2:B628"),0)))</f>
        <v/>
      </c>
    </row>
    <row r="45" spans="1:15" x14ac:dyDescent="0.25">
      <c r="A45" s="158" t="s">
        <v>2444</v>
      </c>
      <c r="B45" s="158" t="s">
        <v>28</v>
      </c>
      <c r="C45" s="162">
        <f ca="1">IFERROR(INDEX(BYEs!$B$2:$B$33,MATCH(D45,BYEs!$A$2:$A$33,0)),"N/A")</f>
        <v>11</v>
      </c>
      <c r="D45" s="219" t="str">
        <f ca="1">INDEX(INDIRECT(""&amp;B45&amp;"!F2:F628"),MATCH(A45,INDIRECT(""&amp;B45&amp;"!B2:B628"),0))</f>
        <v>JAC</v>
      </c>
      <c r="E45" s="218" t="str">
        <f ca="1">INDEX(INDIRECT(""&amp;$B45&amp;"!AA2:AA628"),MATCH($A45,INDIRECT(""&amp;$B45&amp;"!B2:B628"),0))</f>
        <v>RB6</v>
      </c>
      <c r="F45" s="159">
        <f ca="1">IF(LeagueInfo!$H$7="Starter/Bench",INDEX(INDIRECT(""&amp;B45&amp;"!T2:T628"),MATCH(A45,INDIRECT(""&amp;B45&amp;"!B2:B628"),0)),INDEX(INDIRECT(""&amp;B45&amp;"!AB2:AB628"),MATCH(A45,INDIRECT(""&amp;B45&amp;"!B2:B628"),0)))</f>
        <v>23.655271009690285</v>
      </c>
      <c r="G45" s="163">
        <f>IF(H45&gt;0,F45-H45,0)</f>
        <v>0</v>
      </c>
      <c r="H45" s="161"/>
      <c r="I45" s="163">
        <f ca="1">F45*$A$2</f>
        <v>23.655271009690285</v>
      </c>
      <c r="J45" s="160" t="s">
        <v>76</v>
      </c>
      <c r="K45" s="160">
        <f>IF(LeagueInfo!$F$7="Yahoo",IFERROR(INDEX(DefaultAuctionValues!$B$2:$B$1000,MATCH(A45,DefaultAuctionValues!$A$2:$A$1000,0)),0),IF(LeagueInfo!$F$7="ESPN",IFERROR(INDEX(DefaultAuctionValues!$C$2:$C$1000,MATCH(A45,DefaultAuctionValues!$A$2:$A$1000,0)),0),IF(LeagueInfo!$F$7="Custom",IFERROR(INDEX(DefaultAuctionValues!$D$2:$D$1000,MATCH(A45,DefaultAuctionValues!$A$2:$A$1000,0)),0))))</f>
        <v>14</v>
      </c>
      <c r="L45" s="164">
        <f ca="1">I45-K45</f>
        <v>9.655271009690285</v>
      </c>
      <c r="M45" s="175"/>
      <c r="N45" s="170">
        <f ca="1">INDEX(INDIRECT(""&amp;$B45&amp;"!Z2:Z628"),MATCH($A45,INDIRECT(""&amp;$B45&amp;"!B2:B628"),0))</f>
        <v>64.555000000000007</v>
      </c>
      <c r="O45" s="158" t="str">
        <f ca="1">IF(INDEX(INDIRECT(""&amp;$B45&amp;"!W2:W628"),MATCH($A45,INDIRECT(""&amp;$B45&amp;"!B2:B628"),0))=0,"",INDEX(INDIRECT(""&amp;$B45&amp;"!W2:W628"),MATCH($A45,INDIRECT(""&amp;$B45&amp;"!B2:B628"),0)))</f>
        <v/>
      </c>
    </row>
    <row r="46" spans="1:15" x14ac:dyDescent="0.25">
      <c r="A46" s="158" t="s">
        <v>646</v>
      </c>
      <c r="B46" s="158" t="s">
        <v>29</v>
      </c>
      <c r="C46" s="162">
        <f ca="1">IFERROR(INDEX(BYEs!$B$2:$B$33,MATCH(D46,BYEs!$A$2:$A$33,0)),"N/A")</f>
        <v>13</v>
      </c>
      <c r="D46" s="219" t="str">
        <f ca="1">INDEX(INDIRECT(""&amp;B46&amp;"!F2:F628"),MATCH(A46,INDIRECT(""&amp;B46&amp;"!B2:B628"),0))</f>
        <v>ARI</v>
      </c>
      <c r="E46" s="218" t="str">
        <f ca="1">INDEX(INDIRECT(""&amp;$B46&amp;"!AA2:AA628"),MATCH($A46,INDIRECT(""&amp;$B46&amp;"!B2:B628"),0))</f>
        <v>QB3</v>
      </c>
      <c r="F46" s="159">
        <f ca="1">IF(LeagueInfo!$H$7="Starter/Bench",INDEX(INDIRECT(""&amp;B46&amp;"!T2:T628"),MATCH(A46,INDIRECT(""&amp;B46&amp;"!B2:B628"),0)),INDEX(INDIRECT(""&amp;B46&amp;"!AB2:AB628"),MATCH(A46,INDIRECT(""&amp;B46&amp;"!B2:B628"),0)))</f>
        <v>23.441302644214325</v>
      </c>
      <c r="G46" s="163">
        <f>IF(H46&gt;0,F46-H46,0)</f>
        <v>0</v>
      </c>
      <c r="H46" s="161"/>
      <c r="I46" s="163">
        <f ca="1">F46*$A$2</f>
        <v>23.441302644214325</v>
      </c>
      <c r="J46" s="160" t="s">
        <v>76</v>
      </c>
      <c r="K46" s="160">
        <f>IF(LeagueInfo!$F$7="Yahoo",IFERROR(INDEX(DefaultAuctionValues!$B$2:$B$1000,MATCH(A46,DefaultAuctionValues!$A$2:$A$1000,0)),0),IF(LeagueInfo!$F$7="ESPN",IFERROR(INDEX(DefaultAuctionValues!$C$2:$C$1000,MATCH(A46,DefaultAuctionValues!$A$2:$A$1000,0)),0),IF(LeagueInfo!$F$7="Custom",IFERROR(INDEX(DefaultAuctionValues!$D$2:$D$1000,MATCH(A46,DefaultAuctionValues!$A$2:$A$1000,0)),0))))</f>
        <v>6</v>
      </c>
      <c r="L46" s="164">
        <f ca="1">I46-K46</f>
        <v>17.441302644214325</v>
      </c>
      <c r="M46" s="175"/>
      <c r="N46" s="170">
        <f ca="1">INDEX(INDIRECT(""&amp;$B46&amp;"!Z2:Z628"),MATCH($A46,INDIRECT(""&amp;$B46&amp;"!B2:B628"),0))</f>
        <v>63.527000000000044</v>
      </c>
      <c r="O46" s="158" t="str">
        <f ca="1">IF(INDEX(INDIRECT(""&amp;$B46&amp;"!W2:W628"),MATCH($A46,INDIRECT(""&amp;$B46&amp;"!B2:B628"),0))=0,"",INDEX(INDIRECT(""&amp;$B46&amp;"!W2:W628"),MATCH($A46,INDIRECT(""&amp;$B46&amp;"!B2:B628"),0)))</f>
        <v/>
      </c>
    </row>
    <row r="47" spans="1:15" x14ac:dyDescent="0.25">
      <c r="A47" s="158" t="s">
        <v>882</v>
      </c>
      <c r="B47" s="158" t="s">
        <v>28</v>
      </c>
      <c r="C47" s="162">
        <f ca="1">IFERROR(INDEX(BYEs!$B$2:$B$33,MATCH(D47,BYEs!$A$2:$A$33,0)),"N/A")</f>
        <v>10</v>
      </c>
      <c r="D47" s="219" t="str">
        <f ca="1">INDEX(INDIRECT(""&amp;B47&amp;"!F2:F628"),MATCH(A47,INDIRECT(""&amp;B47&amp;"!B2:B628"),0))</f>
        <v>BAL</v>
      </c>
      <c r="E47" s="218" t="str">
        <f ca="1">INDEX(INDIRECT(""&amp;$B47&amp;"!AA2:AA628"),MATCH($A47,INDIRECT(""&amp;$B47&amp;"!B2:B628"),0))</f>
        <v>RB6</v>
      </c>
      <c r="F47" s="159">
        <f ca="1">IF(LeagueInfo!$H$7="Starter/Bench",INDEX(INDIRECT(""&amp;B47&amp;"!T2:T628"),MATCH(A47,INDIRECT(""&amp;B47&amp;"!B2:B628"),0)),INDEX(INDIRECT(""&amp;B47&amp;"!AB2:AB628"),MATCH(A47,INDIRECT(""&amp;B47&amp;"!B2:B628"),0)))</f>
        <v>23.397161905873183</v>
      </c>
      <c r="G47" s="163">
        <f>IF(H47&gt;0,F47-H47,0)</f>
        <v>0</v>
      </c>
      <c r="H47" s="161"/>
      <c r="I47" s="163">
        <f ca="1">F47*$A$2</f>
        <v>23.397161905873183</v>
      </c>
      <c r="J47" s="160" t="s">
        <v>76</v>
      </c>
      <c r="K47" s="160">
        <f>IF(LeagueInfo!$F$7="Yahoo",IFERROR(INDEX(DefaultAuctionValues!$B$2:$B$1000,MATCH(A47,DefaultAuctionValues!$A$2:$A$1000,0)),0),IF(LeagueInfo!$F$7="ESPN",IFERROR(INDEX(DefaultAuctionValues!$C$2:$C$1000,MATCH(A47,DefaultAuctionValues!$A$2:$A$1000,0)),0),IF(LeagueInfo!$F$7="Custom",IFERROR(INDEX(DefaultAuctionValues!$D$2:$D$1000,MATCH(A47,DefaultAuctionValues!$A$2:$A$1000,0)),0))))</f>
        <v>12</v>
      </c>
      <c r="L47" s="164">
        <f ca="1">I47-K47</f>
        <v>11.397161905873183</v>
      </c>
      <c r="M47" s="175"/>
      <c r="N47" s="170">
        <f ca="1">INDEX(INDIRECT(""&amp;$B47&amp;"!Z2:Z628"),MATCH($A47,INDIRECT(""&amp;$B47&amp;"!B2:B628"),0))</f>
        <v>63.865000000000002</v>
      </c>
      <c r="O47" s="158" t="str">
        <f ca="1">IF(INDEX(INDIRECT(""&amp;$B47&amp;"!W2:W628"),MATCH($A47,INDIRECT(""&amp;$B47&amp;"!B2:B628"),0))=0,"",INDEX(INDIRECT(""&amp;$B47&amp;"!W2:W628"),MATCH($A47,INDIRECT(""&amp;$B47&amp;"!B2:B628"),0)))</f>
        <v/>
      </c>
    </row>
    <row r="48" spans="1:15" x14ac:dyDescent="0.25">
      <c r="A48" s="158" t="s">
        <v>881</v>
      </c>
      <c r="B48" s="158" t="s">
        <v>28</v>
      </c>
      <c r="C48" s="162">
        <f ca="1">IFERROR(INDEX(BYEs!$B$2:$B$33,MATCH(D48,BYEs!$A$2:$A$33,0)),"N/A")</f>
        <v>7</v>
      </c>
      <c r="D48" s="219" t="str">
        <f ca="1">INDEX(INDIRECT(""&amp;B48&amp;"!F2:F628"),MATCH(A48,INDIRECT(""&amp;B48&amp;"!B2:B628"),0))</f>
        <v>LAR</v>
      </c>
      <c r="E48" s="218" t="str">
        <f ca="1">INDEX(INDIRECT(""&amp;$B48&amp;"!AA2:AA628"),MATCH($A48,INDIRECT(""&amp;$B48&amp;"!B2:B628"),0))</f>
        <v>RB6</v>
      </c>
      <c r="F48" s="159">
        <f ca="1">IF(LeagueInfo!$H$7="Starter/Bench",INDEX(INDIRECT(""&amp;B48&amp;"!T2:T628"),MATCH(A48,INDIRECT(""&amp;B48&amp;"!B2:B628"),0)),INDEX(INDIRECT(""&amp;B48&amp;"!AB2:AB628"),MATCH(A48,INDIRECT(""&amp;B48&amp;"!B2:B628"),0)))</f>
        <v>23.311125537934153</v>
      </c>
      <c r="G48" s="163">
        <f>IF(H48&gt;0,F48-H48,0)</f>
        <v>0</v>
      </c>
      <c r="H48" s="161"/>
      <c r="I48" s="163">
        <f ca="1">F48*$A$2</f>
        <v>23.311125537934153</v>
      </c>
      <c r="J48" s="160" t="s">
        <v>76</v>
      </c>
      <c r="K48" s="160">
        <f>IF(LeagueInfo!$F$7="Yahoo",IFERROR(INDEX(DefaultAuctionValues!$B$2:$B$1000,MATCH(A48,DefaultAuctionValues!$A$2:$A$1000,0)),0),IF(LeagueInfo!$F$7="ESPN",IFERROR(INDEX(DefaultAuctionValues!$C$2:$C$1000,MATCH(A48,DefaultAuctionValues!$A$2:$A$1000,0)),0),IF(LeagueInfo!$F$7="Custom",IFERROR(INDEX(DefaultAuctionValues!$D$2:$D$1000,MATCH(A48,DefaultAuctionValues!$A$2:$A$1000,0)),0))))</f>
        <v>23</v>
      </c>
      <c r="L48" s="164">
        <f ca="1">I48-K48</f>
        <v>0.31112553793415287</v>
      </c>
      <c r="M48" s="175"/>
      <c r="N48" s="170">
        <f ca="1">INDEX(INDIRECT(""&amp;$B48&amp;"!Z2:Z628"),MATCH($A48,INDIRECT(""&amp;$B48&amp;"!B2:B628"),0))</f>
        <v>63.635000000000012</v>
      </c>
      <c r="O48" s="158" t="str">
        <f ca="1">IF(INDEX(INDIRECT(""&amp;$B48&amp;"!W2:W628"),MATCH($A48,INDIRECT(""&amp;$B48&amp;"!B2:B628"),0))=0,"",INDEX(INDIRECT(""&amp;$B48&amp;"!W2:W628"),MATCH($A48,INDIRECT(""&amp;$B48&amp;"!B2:B628"),0)))</f>
        <v/>
      </c>
    </row>
    <row r="49" spans="1:15" x14ac:dyDescent="0.25">
      <c r="A49" s="158" t="s">
        <v>874</v>
      </c>
      <c r="B49" s="158" t="s">
        <v>29</v>
      </c>
      <c r="C49" s="162">
        <f ca="1">IFERROR(INDEX(BYEs!$B$2:$B$33,MATCH(D49,BYEs!$A$2:$A$33,0)),"N/A")</f>
        <v>7</v>
      </c>
      <c r="D49" s="219" t="str">
        <f ca="1">INDEX(INDIRECT(""&amp;B49&amp;"!F2:F628"),MATCH(A49,INDIRECT(""&amp;B49&amp;"!B2:B628"),0))</f>
        <v>PHI</v>
      </c>
      <c r="E49" s="218" t="str">
        <f ca="1">INDEX(INDIRECT(""&amp;$B49&amp;"!AA2:AA628"),MATCH($A49,INDIRECT(""&amp;$B49&amp;"!B2:B628"),0))</f>
        <v>QB3</v>
      </c>
      <c r="F49" s="159">
        <f ca="1">IF(LeagueInfo!$H$7="Starter/Bench",INDEX(INDIRECT(""&amp;B49&amp;"!T2:T628"),MATCH(A49,INDIRECT(""&amp;B49&amp;"!B2:B628"),0)),INDEX(INDIRECT(""&amp;B49&amp;"!AB2:AB628"),MATCH(A49,INDIRECT(""&amp;B49&amp;"!B2:B628"),0)))</f>
        <v>23.067231479261981</v>
      </c>
      <c r="G49" s="163">
        <f>IF(H49&gt;0,F49-H49,0)</f>
        <v>0</v>
      </c>
      <c r="H49" s="161"/>
      <c r="I49" s="163">
        <f ca="1">F49*$A$2</f>
        <v>23.067231479261981</v>
      </c>
      <c r="J49" s="160" t="s">
        <v>76</v>
      </c>
      <c r="K49" s="160">
        <f>IF(LeagueInfo!$F$7="Yahoo",IFERROR(INDEX(DefaultAuctionValues!$B$2:$B$1000,MATCH(A49,DefaultAuctionValues!$A$2:$A$1000,0)),0),IF(LeagueInfo!$F$7="ESPN",IFERROR(INDEX(DefaultAuctionValues!$C$2:$C$1000,MATCH(A49,DefaultAuctionValues!$A$2:$A$1000,0)),0),IF(LeagueInfo!$F$7="Custom",IFERROR(INDEX(DefaultAuctionValues!$D$2:$D$1000,MATCH(A49,DefaultAuctionValues!$A$2:$A$1000,0)),0))))</f>
        <v>6</v>
      </c>
      <c r="L49" s="164">
        <f ca="1">I49-K49</f>
        <v>17.067231479261981</v>
      </c>
      <c r="M49" s="175"/>
      <c r="N49" s="170">
        <f ca="1">INDEX(INDIRECT(""&amp;$B49&amp;"!Z2:Z628"),MATCH($A49,INDIRECT(""&amp;$B49&amp;"!B2:B628"),0))</f>
        <v>62.526999999999987</v>
      </c>
      <c r="O49" s="158" t="str">
        <f ca="1">IF(INDEX(INDIRECT(""&amp;$B49&amp;"!W2:W628"),MATCH($A49,INDIRECT(""&amp;$B49&amp;"!B2:B628"),0))=0,"",INDEX(INDIRECT(""&amp;$B49&amp;"!W2:W628"),MATCH($A49,INDIRECT(""&amp;$B49&amp;"!B2:B628"),0)))</f>
        <v/>
      </c>
    </row>
    <row r="50" spans="1:15" x14ac:dyDescent="0.25">
      <c r="A50" s="158" t="s">
        <v>660</v>
      </c>
      <c r="B50" s="158" t="s">
        <v>28</v>
      </c>
      <c r="C50" s="162">
        <f ca="1">IFERROR(INDEX(BYEs!$B$2:$B$33,MATCH(D50,BYEs!$A$2:$A$33,0)),"N/A")</f>
        <v>6</v>
      </c>
      <c r="D50" s="219" t="str">
        <f ca="1">INDEX(INDIRECT(""&amp;B50&amp;"!F2:F628"),MATCH(A50,INDIRECT(""&amp;B50&amp;"!B2:B628"),0))</f>
        <v>LV</v>
      </c>
      <c r="E50" s="218" t="str">
        <f ca="1">INDEX(INDIRECT(""&amp;$B50&amp;"!AA2:AA628"),MATCH($A50,INDIRECT(""&amp;$B50&amp;"!B2:B628"),0))</f>
        <v>RB6</v>
      </c>
      <c r="F50" s="159">
        <f ca="1">IF(LeagueInfo!$H$7="Starter/Bench",INDEX(INDIRECT(""&amp;B50&amp;"!T2:T628"),MATCH(A50,INDIRECT(""&amp;B50&amp;"!B2:B628"),0)),INDEX(INDIRECT(""&amp;B50&amp;"!AB2:AB628"),MATCH(A50,INDIRECT(""&amp;B50&amp;"!B2:B628"),0)))</f>
        <v>22.914610103084691</v>
      </c>
      <c r="G50" s="163">
        <f>IF(H50&gt;0,F50-H50,0)</f>
        <v>0</v>
      </c>
      <c r="H50" s="161"/>
      <c r="I50" s="163">
        <f ca="1">F50*$A$2</f>
        <v>22.914610103084691</v>
      </c>
      <c r="J50" s="160" t="s">
        <v>76</v>
      </c>
      <c r="K50" s="160">
        <f>IF(LeagueInfo!$F$7="Yahoo",IFERROR(INDEX(DefaultAuctionValues!$B$2:$B$1000,MATCH(A50,DefaultAuctionValues!$A$2:$A$1000,0)),0),IF(LeagueInfo!$F$7="ESPN",IFERROR(INDEX(DefaultAuctionValues!$C$2:$C$1000,MATCH(A50,DefaultAuctionValues!$A$2:$A$1000,0)),0),IF(LeagueInfo!$F$7="Custom",IFERROR(INDEX(DefaultAuctionValues!$D$2:$D$1000,MATCH(A50,DefaultAuctionValues!$A$2:$A$1000,0)),0))))</f>
        <v>12</v>
      </c>
      <c r="L50" s="164">
        <f ca="1">I50-K50</f>
        <v>10.914610103084691</v>
      </c>
      <c r="M50" s="175"/>
      <c r="N50" s="170">
        <f ca="1">INDEX(INDIRECT(""&amp;$B50&amp;"!Z2:Z628"),MATCH($A50,INDIRECT(""&amp;$B50&amp;"!B2:B628"),0))</f>
        <v>62.57500000000001</v>
      </c>
      <c r="O50" s="158" t="str">
        <f ca="1">IF(INDEX(INDIRECT(""&amp;$B50&amp;"!W2:W628"),MATCH($A50,INDIRECT(""&amp;$B50&amp;"!B2:B628"),0))=0,"",INDEX(INDIRECT(""&amp;$B50&amp;"!W2:W628"),MATCH($A50,INDIRECT(""&amp;$B50&amp;"!B2:B628"),0)))</f>
        <v/>
      </c>
    </row>
    <row r="51" spans="1:15" x14ac:dyDescent="0.25">
      <c r="A51" s="158" t="s">
        <v>839</v>
      </c>
      <c r="B51" s="158" t="s">
        <v>35</v>
      </c>
      <c r="C51" s="162">
        <f ca="1">IFERROR(INDEX(BYEs!$B$2:$B$33,MATCH(D51,BYEs!$A$2:$A$33,0)),"N/A")</f>
        <v>10</v>
      </c>
      <c r="D51" s="219" t="str">
        <f ca="1">INDEX(INDIRECT(""&amp;B51&amp;"!F2:F628"),MATCH(A51,INDIRECT(""&amp;B51&amp;"!B2:B628"),0))</f>
        <v>CIN</v>
      </c>
      <c r="E51" s="218" t="str">
        <f ca="1">INDEX(INDIRECT(""&amp;$B51&amp;"!AA2:AA628"),MATCH($A51,INDIRECT(""&amp;$B51&amp;"!B2:B628"),0))</f>
        <v>WR6</v>
      </c>
      <c r="F51" s="159">
        <f ca="1">IF(LeagueInfo!$H$7="Starter/Bench",INDEX(INDIRECT(""&amp;B51&amp;"!T2:T628"),MATCH(A51,INDIRECT(""&amp;B51&amp;"!B2:B628"),0)),INDEX(INDIRECT(""&amp;B51&amp;"!AB2:AB628"),MATCH(A51,INDIRECT(""&amp;B51&amp;"!B2:B628"),0)))</f>
        <v>22.5962680897585</v>
      </c>
      <c r="G51" s="163">
        <f>IF(H51&gt;0,F51-H51,0)</f>
        <v>0</v>
      </c>
      <c r="H51" s="161"/>
      <c r="I51" s="163">
        <f ca="1">F51*$A$2</f>
        <v>22.5962680897585</v>
      </c>
      <c r="J51" s="160" t="s">
        <v>76</v>
      </c>
      <c r="K51" s="160">
        <f>IF(LeagueInfo!$F$7="Yahoo",IFERROR(INDEX(DefaultAuctionValues!$B$2:$B$1000,MATCH(A51,DefaultAuctionValues!$A$2:$A$1000,0)),0),IF(LeagueInfo!$F$7="ESPN",IFERROR(INDEX(DefaultAuctionValues!$C$2:$C$1000,MATCH(A51,DefaultAuctionValues!$A$2:$A$1000,0)),0),IF(LeagueInfo!$F$7="Custom",IFERROR(INDEX(DefaultAuctionValues!$D$2:$D$1000,MATCH(A51,DefaultAuctionValues!$A$2:$A$1000,0)),0))))</f>
        <v>26</v>
      </c>
      <c r="L51" s="164">
        <f ca="1">I51-K51</f>
        <v>-3.4037319102415005</v>
      </c>
      <c r="M51" s="175"/>
      <c r="N51" s="170">
        <f ca="1">INDEX(INDIRECT(""&amp;$B51&amp;"!Z2:Z628"),MATCH($A51,INDIRECT(""&amp;$B51&amp;"!B2:B628"),0))</f>
        <v>61.090000000000018</v>
      </c>
      <c r="O51" s="158" t="str">
        <f ca="1">IF(INDEX(INDIRECT(""&amp;$B51&amp;"!W2:W628"),MATCH($A51,INDIRECT(""&amp;$B51&amp;"!B2:B628"),0))=0,"",INDEX(INDIRECT(""&amp;$B51&amp;"!W2:W628"),MATCH($A51,INDIRECT(""&amp;$B51&amp;"!B2:B628"),0)))</f>
        <v/>
      </c>
    </row>
    <row r="52" spans="1:15" x14ac:dyDescent="0.25">
      <c r="A52" s="158" t="s">
        <v>935</v>
      </c>
      <c r="B52" s="158" t="s">
        <v>28</v>
      </c>
      <c r="C52" s="162">
        <f ca="1">IFERROR(INDEX(BYEs!$B$2:$B$33,MATCH(D52,BYEs!$A$2:$A$33,0)),"N/A")</f>
        <v>9</v>
      </c>
      <c r="D52" s="219" t="str">
        <f ca="1">INDEX(INDIRECT(""&amp;B52&amp;"!F2:F628"),MATCH(A52,INDIRECT(""&amp;B52&amp;"!B2:B628"),0))</f>
        <v>SF</v>
      </c>
      <c r="E52" s="218" t="str">
        <f ca="1">INDEX(INDIRECT(""&amp;$B52&amp;"!AA2:AA628"),MATCH($A52,INDIRECT(""&amp;$B52&amp;"!B2:B628"),0))</f>
        <v>RB6</v>
      </c>
      <c r="F52" s="159">
        <f ca="1">IF(LeagueInfo!$H$7="Starter/Bench",INDEX(INDIRECT(""&amp;B52&amp;"!T2:T628"),MATCH(A52,INDIRECT(""&amp;B52&amp;"!B2:B628"),0)),INDEX(INDIRECT(""&amp;B52&amp;"!AB2:AB628"),MATCH(A52,INDIRECT(""&amp;B52&amp;"!B2:B628"),0)))</f>
        <v>21.646508853896322</v>
      </c>
      <c r="G52" s="163">
        <f>IF(H52&gt;0,F52-H52,0)</f>
        <v>0</v>
      </c>
      <c r="H52" s="161"/>
      <c r="I52" s="163">
        <f ca="1">F52*$A$2</f>
        <v>21.646508853896322</v>
      </c>
      <c r="J52" s="160" t="s">
        <v>76</v>
      </c>
      <c r="K52" s="160">
        <f>IF(LeagueInfo!$F$7="Yahoo",IFERROR(INDEX(DefaultAuctionValues!$B$2:$B$1000,MATCH(A52,DefaultAuctionValues!$A$2:$A$1000,0)),0),IF(LeagueInfo!$F$7="ESPN",IFERROR(INDEX(DefaultAuctionValues!$C$2:$C$1000,MATCH(A52,DefaultAuctionValues!$A$2:$A$1000,0)),0),IF(LeagueInfo!$F$7="Custom",IFERROR(INDEX(DefaultAuctionValues!$D$2:$D$1000,MATCH(A52,DefaultAuctionValues!$A$2:$A$1000,0)),0))))</f>
        <v>17</v>
      </c>
      <c r="L52" s="164">
        <f ca="1">I52-K52</f>
        <v>4.6465088538963215</v>
      </c>
      <c r="M52" s="175"/>
      <c r="N52" s="170">
        <f ca="1">INDEX(INDIRECT(""&amp;$B52&amp;"!Z2:Z628"),MATCH($A52,INDIRECT(""&amp;$B52&amp;"!B2:B628"),0))</f>
        <v>59.184999999999995</v>
      </c>
      <c r="O52" s="158" t="str">
        <f ca="1">IF(INDEX(INDIRECT(""&amp;$B52&amp;"!W2:W628"),MATCH($A52,INDIRECT(""&amp;$B52&amp;"!B2:B628"),0))=0,"",INDEX(INDIRECT(""&amp;$B52&amp;"!W2:W628"),MATCH($A52,INDIRECT(""&amp;$B52&amp;"!B2:B628"),0)))</f>
        <v/>
      </c>
    </row>
    <row r="53" spans="1:15" x14ac:dyDescent="0.25">
      <c r="A53" s="158" t="s">
        <v>665</v>
      </c>
      <c r="B53" s="158" t="s">
        <v>28</v>
      </c>
      <c r="C53" s="162">
        <f ca="1">IFERROR(INDEX(BYEs!$B$2:$B$33,MATCH(D53,BYEs!$A$2:$A$33,0)),"N/A")</f>
        <v>10</v>
      </c>
      <c r="D53" s="219" t="str">
        <f ca="1">INDEX(INDIRECT(""&amp;B53&amp;"!F2:F628"),MATCH(A53,INDIRECT(""&amp;B53&amp;"!B2:B628"),0))</f>
        <v>NE</v>
      </c>
      <c r="E53" s="218" t="str">
        <f ca="1">INDEX(INDIRECT(""&amp;$B53&amp;"!AA2:AA628"),MATCH($A53,INDIRECT(""&amp;$B53&amp;"!B2:B628"),0))</f>
        <v>RB6</v>
      </c>
      <c r="F53" s="159">
        <f ca="1">IF(LeagueInfo!$H$7="Starter/Bench",INDEX(INDIRECT(""&amp;B53&amp;"!T2:T628"),MATCH(A53,INDIRECT(""&amp;B53&amp;"!B2:B628"),0)),INDEX(INDIRECT(""&amp;B53&amp;"!AB2:AB628"),MATCH(A53,INDIRECT(""&amp;B53&amp;"!B2:B628"),0)))</f>
        <v>21.040513566673546</v>
      </c>
      <c r="G53" s="163">
        <f>IF(H53&gt;0,F53-H53,0)</f>
        <v>0</v>
      </c>
      <c r="H53" s="161"/>
      <c r="I53" s="163">
        <f ca="1">F53*$A$2</f>
        <v>21.040513566673546</v>
      </c>
      <c r="J53" s="160" t="s">
        <v>76</v>
      </c>
      <c r="K53" s="160">
        <f>IF(LeagueInfo!$F$7="Yahoo",IFERROR(INDEX(DefaultAuctionValues!$B$2:$B$1000,MATCH(A53,DefaultAuctionValues!$A$2:$A$1000,0)),0),IF(LeagueInfo!$F$7="ESPN",IFERROR(INDEX(DefaultAuctionValues!$C$2:$C$1000,MATCH(A53,DefaultAuctionValues!$A$2:$A$1000,0)),0),IF(LeagueInfo!$F$7="Custom",IFERROR(INDEX(DefaultAuctionValues!$D$2:$D$1000,MATCH(A53,DefaultAuctionValues!$A$2:$A$1000,0)),0))))</f>
        <v>7</v>
      </c>
      <c r="L53" s="164">
        <f ca="1">I53-K53</f>
        <v>14.040513566673546</v>
      </c>
      <c r="M53" s="175"/>
      <c r="N53" s="170">
        <f ca="1">INDEX(INDIRECT(""&amp;$B53&amp;"!Z2:Z628"),MATCH($A53,INDIRECT(""&amp;$B53&amp;"!B2:B628"),0))</f>
        <v>57.564999999999962</v>
      </c>
      <c r="O53" s="158" t="str">
        <f ca="1">IF(INDEX(INDIRECT(""&amp;$B53&amp;"!W2:W628"),MATCH($A53,INDIRECT(""&amp;$B53&amp;"!B2:B628"),0))=0,"",INDEX(INDIRECT(""&amp;$B53&amp;"!W2:W628"),MATCH($A53,INDIRECT(""&amp;$B53&amp;"!B2:B628"),0)))</f>
        <v/>
      </c>
    </row>
    <row r="54" spans="1:15" x14ac:dyDescent="0.25">
      <c r="A54" s="158" t="s">
        <v>836</v>
      </c>
      <c r="B54" s="158" t="s">
        <v>35</v>
      </c>
      <c r="C54" s="162">
        <f ca="1">IFERROR(INDEX(BYEs!$B$2:$B$33,MATCH(D54,BYEs!$A$2:$A$33,0)),"N/A")</f>
        <v>14</v>
      </c>
      <c r="D54" s="219" t="str">
        <f ca="1">INDEX(INDIRECT(""&amp;B54&amp;"!F2:F628"),MATCH(A54,INDIRECT(""&amp;B54&amp;"!B2:B628"),0))</f>
        <v>IND</v>
      </c>
      <c r="E54" s="218" t="str">
        <f ca="1">INDEX(INDIRECT(""&amp;$B54&amp;"!AA2:AA628"),MATCH($A54,INDIRECT(""&amp;$B54&amp;"!B2:B628"),0))</f>
        <v>WR6</v>
      </c>
      <c r="F54" s="159">
        <f ca="1">IF(LeagueInfo!$H$7="Starter/Bench",INDEX(INDIRECT(""&amp;B54&amp;"!T2:T628"),MATCH(A54,INDIRECT(""&amp;B54&amp;"!B2:B628"),0)),INDEX(INDIRECT(""&amp;B54&amp;"!AB2:AB628"),MATCH(A54,INDIRECT(""&amp;B54&amp;"!B2:B628"),0)))</f>
        <v>20.737134399945454</v>
      </c>
      <c r="G54" s="163">
        <f>IF(H54&gt;0,F54-H54,0)</f>
        <v>0</v>
      </c>
      <c r="H54" s="161"/>
      <c r="I54" s="163">
        <f ca="1">F54*$A$2</f>
        <v>20.737134399945454</v>
      </c>
      <c r="J54" s="160" t="s">
        <v>76</v>
      </c>
      <c r="K54" s="160">
        <f>IF(LeagueInfo!$F$7="Yahoo",IFERROR(INDEX(DefaultAuctionValues!$B$2:$B$1000,MATCH(A54,DefaultAuctionValues!$A$2:$A$1000,0)),0),IF(LeagueInfo!$F$7="ESPN",IFERROR(INDEX(DefaultAuctionValues!$C$2:$C$1000,MATCH(A54,DefaultAuctionValues!$A$2:$A$1000,0)),0),IF(LeagueInfo!$F$7="Custom",IFERROR(INDEX(DefaultAuctionValues!$D$2:$D$1000,MATCH(A54,DefaultAuctionValues!$A$2:$A$1000,0)),0))))</f>
        <v>23</v>
      </c>
      <c r="L54" s="164">
        <f ca="1">I54-K54</f>
        <v>-2.2628656000545462</v>
      </c>
      <c r="M54" s="175"/>
      <c r="N54" s="170">
        <f ca="1">INDEX(INDIRECT(""&amp;$B54&amp;"!Z2:Z628"),MATCH($A54,INDIRECT(""&amp;$B54&amp;"!B2:B628"),0))</f>
        <v>56.11999999999999</v>
      </c>
      <c r="O54" s="158" t="str">
        <f ca="1">IF(INDEX(INDIRECT(""&amp;$B54&amp;"!W2:W628"),MATCH($A54,INDIRECT(""&amp;$B54&amp;"!B2:B628"),0))=0,"",INDEX(INDIRECT(""&amp;$B54&amp;"!W2:W628"),MATCH($A54,INDIRECT(""&amp;$B54&amp;"!B2:B628"),0)))</f>
        <v/>
      </c>
    </row>
    <row r="55" spans="1:15" x14ac:dyDescent="0.25">
      <c r="A55" s="158" t="s">
        <v>701</v>
      </c>
      <c r="B55" s="158" t="s">
        <v>35</v>
      </c>
      <c r="C55" s="162">
        <f ca="1">IFERROR(INDEX(BYEs!$B$2:$B$33,MATCH(D55,BYEs!$A$2:$A$33,0)),"N/A")</f>
        <v>7</v>
      </c>
      <c r="D55" s="219" t="str">
        <f ca="1">INDEX(INDIRECT(""&amp;B55&amp;"!F2:F628"),MATCH(A55,INDIRECT(""&amp;B55&amp;"!B2:B628"),0))</f>
        <v>PHI</v>
      </c>
      <c r="E55" s="218" t="str">
        <f ca="1">INDEX(INDIRECT(""&amp;$B55&amp;"!AA2:AA628"),MATCH($A55,INDIRECT(""&amp;$B55&amp;"!B2:B628"),0))</f>
        <v>WR6</v>
      </c>
      <c r="F55" s="159">
        <f ca="1">IF(LeagueInfo!$H$7="Starter/Bench",INDEX(INDIRECT(""&amp;B55&amp;"!T2:T628"),MATCH(A55,INDIRECT(""&amp;B55&amp;"!B2:B628"),0)),INDEX(INDIRECT(""&amp;B55&amp;"!AB2:AB628"),MATCH(A55,INDIRECT(""&amp;B55&amp;"!B2:B628"),0)))</f>
        <v>20.617431627160727</v>
      </c>
      <c r="G55" s="163">
        <f>IF(H55&gt;0,F55-H55,0)</f>
        <v>0</v>
      </c>
      <c r="H55" s="161"/>
      <c r="I55" s="163">
        <f ca="1">F55*$A$2</f>
        <v>20.617431627160727</v>
      </c>
      <c r="J55" s="160" t="s">
        <v>76</v>
      </c>
      <c r="K55" s="160">
        <f>IF(LeagueInfo!$F$7="Yahoo",IFERROR(INDEX(DefaultAuctionValues!$B$2:$B$1000,MATCH(A55,DefaultAuctionValues!$A$2:$A$1000,0)),0),IF(LeagueInfo!$F$7="ESPN",IFERROR(INDEX(DefaultAuctionValues!$C$2:$C$1000,MATCH(A55,DefaultAuctionValues!$A$2:$A$1000,0)),0),IF(LeagueInfo!$F$7="Custom",IFERROR(INDEX(DefaultAuctionValues!$D$2:$D$1000,MATCH(A55,DefaultAuctionValues!$A$2:$A$1000,0)),0))))</f>
        <v>23</v>
      </c>
      <c r="L55" s="164">
        <f ca="1">I55-K55</f>
        <v>-2.3825683728392733</v>
      </c>
      <c r="M55" s="175"/>
      <c r="N55" s="170">
        <f ca="1">INDEX(INDIRECT(""&amp;$B55&amp;"!Z2:Z628"),MATCH($A55,INDIRECT(""&amp;$B55&amp;"!B2:B628"),0))</f>
        <v>55.800000000000026</v>
      </c>
      <c r="O55" s="158" t="str">
        <f ca="1">IF(INDEX(INDIRECT(""&amp;$B55&amp;"!W2:W628"),MATCH($A55,INDIRECT(""&amp;$B55&amp;"!B2:B628"),0))=0,"",INDEX(INDIRECT(""&amp;$B55&amp;"!W2:W628"),MATCH($A55,INDIRECT(""&amp;$B55&amp;"!B2:B628"),0)))</f>
        <v/>
      </c>
    </row>
    <row r="56" spans="1:15" x14ac:dyDescent="0.25">
      <c r="A56" s="158" t="s">
        <v>129</v>
      </c>
      <c r="B56" s="158" t="s">
        <v>35</v>
      </c>
      <c r="C56" s="162">
        <f ca="1">IFERROR(INDEX(BYEs!$B$2:$B$33,MATCH(D56,BYEs!$A$2:$A$33,0)),"N/A")</f>
        <v>8</v>
      </c>
      <c r="D56" s="219" t="str">
        <f ca="1">INDEX(INDIRECT(""&amp;B56&amp;"!F2:F628"),MATCH(A56,INDIRECT(""&amp;B56&amp;"!B2:B628"),0))</f>
        <v>LAC</v>
      </c>
      <c r="E56" s="218" t="str">
        <f ca="1">INDEX(INDIRECT(""&amp;$B56&amp;"!AA2:AA628"),MATCH($A56,INDIRECT(""&amp;$B56&amp;"!B2:B628"),0))</f>
        <v>WR6</v>
      </c>
      <c r="F56" s="159">
        <f ca="1">IF(LeagueInfo!$H$7="Starter/Bench",INDEX(INDIRECT(""&amp;B56&amp;"!T2:T628"),MATCH(A56,INDIRECT(""&amp;B56&amp;"!B2:B628"),0)),INDEX(INDIRECT(""&amp;B56&amp;"!AB2:AB628"),MATCH(A56,INDIRECT(""&amp;B56&amp;"!B2:B628"),0)))</f>
        <v>19.760808659419915</v>
      </c>
      <c r="G56" s="163">
        <f>IF(H56&gt;0,F56-H56,0)</f>
        <v>0</v>
      </c>
      <c r="H56" s="161"/>
      <c r="I56" s="163">
        <f ca="1">F56*$A$2</f>
        <v>19.760808659419915</v>
      </c>
      <c r="J56" s="160" t="s">
        <v>76</v>
      </c>
      <c r="K56" s="160">
        <f>IF(LeagueInfo!$F$7="Yahoo",IFERROR(INDEX(DefaultAuctionValues!$B$2:$B$1000,MATCH(A56,DefaultAuctionValues!$A$2:$A$1000,0)),0),IF(LeagueInfo!$F$7="ESPN",IFERROR(INDEX(DefaultAuctionValues!$C$2:$C$1000,MATCH(A56,DefaultAuctionValues!$A$2:$A$1000,0)),0),IF(LeagueInfo!$F$7="Custom",IFERROR(INDEX(DefaultAuctionValues!$D$2:$D$1000,MATCH(A56,DefaultAuctionValues!$A$2:$A$1000,0)),0))))</f>
        <v>26</v>
      </c>
      <c r="L56" s="164">
        <f ca="1">I56-K56</f>
        <v>-6.239191340580085</v>
      </c>
      <c r="M56" s="175"/>
      <c r="N56" s="170">
        <f ca="1">INDEX(INDIRECT(""&amp;$B56&amp;"!Z2:Z628"),MATCH($A56,INDIRECT(""&amp;$B56&amp;"!B2:B628"),0))</f>
        <v>53.510000000000034</v>
      </c>
      <c r="O56" s="158" t="str">
        <f ca="1">IF(INDEX(INDIRECT(""&amp;$B56&amp;"!W2:W628"),MATCH($A56,INDIRECT(""&amp;$B56&amp;"!B2:B628"),0))=0,"",INDEX(INDIRECT(""&amp;$B56&amp;"!W2:W628"),MATCH($A56,INDIRECT(""&amp;$B56&amp;"!B2:B628"),0)))</f>
        <v/>
      </c>
    </row>
    <row r="57" spans="1:15" x14ac:dyDescent="0.25">
      <c r="A57" s="158" t="s">
        <v>973</v>
      </c>
      <c r="B57" s="158" t="s">
        <v>43</v>
      </c>
      <c r="C57" s="162">
        <f ca="1">IFERROR(INDEX(BYEs!$B$2:$B$33,MATCH(D57,BYEs!$A$2:$A$33,0)),"N/A")</f>
        <v>14</v>
      </c>
      <c r="D57" s="219" t="str">
        <f ca="1">INDEX(INDIRECT(""&amp;B57&amp;"!F2:F628"),MATCH(A57,INDIRECT(""&amp;B57&amp;"!B2:B628"),0))</f>
        <v>ATL</v>
      </c>
      <c r="E57" s="218" t="str">
        <f ca="1">INDEX(INDIRECT(""&amp;$B57&amp;"!AA2:AA628"),MATCH($A57,INDIRECT(""&amp;$B57&amp;"!B2:B628"),0))</f>
        <v>TE5</v>
      </c>
      <c r="F57" s="159">
        <f ca="1">IF(LeagueInfo!$H$7="Starter/Bench",INDEX(INDIRECT(""&amp;B57&amp;"!T2:T628"),MATCH(A57,INDIRECT(""&amp;B57&amp;"!B2:B628"),0)),INDEX(INDIRECT(""&amp;B57&amp;"!AB2:AB628"),MATCH(A57,INDIRECT(""&amp;B57&amp;"!B2:B628"),0)))</f>
        <v>19.605258686023436</v>
      </c>
      <c r="G57" s="163">
        <f>IF(H57&gt;0,F57-H57,0)</f>
        <v>0</v>
      </c>
      <c r="H57" s="161"/>
      <c r="I57" s="163">
        <f ca="1">F57*$A$2</f>
        <v>19.605258686023436</v>
      </c>
      <c r="J57" s="160" t="s">
        <v>76</v>
      </c>
      <c r="K57" s="160">
        <f>IF(LeagueInfo!$F$7="Yahoo",IFERROR(INDEX(DefaultAuctionValues!$B$2:$B$1000,MATCH(A57,DefaultAuctionValues!$A$2:$A$1000,0)),0),IF(LeagueInfo!$F$7="ESPN",IFERROR(INDEX(DefaultAuctionValues!$C$2:$C$1000,MATCH(A57,DefaultAuctionValues!$A$2:$A$1000,0)),0),IF(LeagueInfo!$F$7="Custom",IFERROR(INDEX(DefaultAuctionValues!$D$2:$D$1000,MATCH(A57,DefaultAuctionValues!$A$2:$A$1000,0)),0))))</f>
        <v>18</v>
      </c>
      <c r="L57" s="164">
        <f ca="1">I57-K57</f>
        <v>1.6052586860234364</v>
      </c>
      <c r="M57" s="175"/>
      <c r="N57" s="170">
        <f ca="1">INDEX(INDIRECT(""&amp;$B57&amp;"!Z2:Z628"),MATCH($A57,INDIRECT(""&amp;$B57&amp;"!B2:B628"),0))</f>
        <v>52.660000000000011</v>
      </c>
      <c r="O57" s="158" t="str">
        <f ca="1">IF(INDEX(INDIRECT(""&amp;$B57&amp;"!W2:W628"),MATCH($A57,INDIRECT(""&amp;$B57&amp;"!B2:B628"),0))=0,"",INDEX(INDIRECT(""&amp;$B57&amp;"!W2:W628"),MATCH($A57,INDIRECT(""&amp;$B57&amp;"!B2:B628"),0)))</f>
        <v/>
      </c>
    </row>
    <row r="58" spans="1:15" x14ac:dyDescent="0.25">
      <c r="A58" s="158" t="s">
        <v>663</v>
      </c>
      <c r="B58" s="158" t="s">
        <v>28</v>
      </c>
      <c r="C58" s="162">
        <f ca="1">IFERROR(INDEX(BYEs!$B$2:$B$33,MATCH(D58,BYEs!$A$2:$A$33,0)),"N/A")</f>
        <v>7</v>
      </c>
      <c r="D58" s="219" t="str">
        <f ca="1">INDEX(INDIRECT(""&amp;B58&amp;"!F2:F628"),MATCH(A58,INDIRECT(""&amp;B58&amp;"!B2:B628"),0))</f>
        <v>PHI</v>
      </c>
      <c r="E58" s="218" t="str">
        <f ca="1">INDEX(INDIRECT(""&amp;$B58&amp;"!AA2:AA628"),MATCH($A58,INDIRECT(""&amp;$B58&amp;"!B2:B628"),0))</f>
        <v>RB7</v>
      </c>
      <c r="F58" s="159">
        <f ca="1">IF(LeagueInfo!$H$7="Starter/Bench",INDEX(INDIRECT(""&amp;B58&amp;"!T2:T628"),MATCH(A58,INDIRECT(""&amp;B58&amp;"!B2:B628"),0)),INDEX(INDIRECT(""&amp;B58&amp;"!AB2:AB628"),MATCH(A58,INDIRECT(""&amp;B58&amp;"!B2:B628"),0)))</f>
        <v>19.028010699230073</v>
      </c>
      <c r="G58" s="163">
        <f>IF(H58&gt;0,F58-H58,0)</f>
        <v>0</v>
      </c>
      <c r="H58" s="161"/>
      <c r="I58" s="163">
        <f ca="1">F58*$A$2</f>
        <v>19.028010699230073</v>
      </c>
      <c r="J58" s="160" t="s">
        <v>76</v>
      </c>
      <c r="K58" s="160">
        <f>IF(LeagueInfo!$F$7="Yahoo",IFERROR(INDEX(DefaultAuctionValues!$B$2:$B$1000,MATCH(A58,DefaultAuctionValues!$A$2:$A$1000,0)),0),IF(LeagueInfo!$F$7="ESPN",IFERROR(INDEX(DefaultAuctionValues!$C$2:$C$1000,MATCH(A58,DefaultAuctionValues!$A$2:$A$1000,0)),0),IF(LeagueInfo!$F$7="Custom",IFERROR(INDEX(DefaultAuctionValues!$D$2:$D$1000,MATCH(A58,DefaultAuctionValues!$A$2:$A$1000,0)),0))))</f>
        <v>6</v>
      </c>
      <c r="L58" s="164">
        <f ca="1">I58-K58</f>
        <v>13.028010699230073</v>
      </c>
      <c r="M58" s="175"/>
      <c r="N58" s="170">
        <f ca="1">INDEX(INDIRECT(""&amp;$B58&amp;"!Z2:Z628"),MATCH($A58,INDIRECT(""&amp;$B58&amp;"!B2:B628"),0))</f>
        <v>52.184999999999995</v>
      </c>
      <c r="O58" s="158" t="str">
        <f ca="1">IF(INDEX(INDIRECT(""&amp;$B58&amp;"!W2:W628"),MATCH($A58,INDIRECT(""&amp;$B58&amp;"!B2:B628"),0))=0,"",INDEX(INDIRECT(""&amp;$B58&amp;"!W2:W628"),MATCH($A58,INDIRECT(""&amp;$B58&amp;"!B2:B628"),0)))</f>
        <v/>
      </c>
    </row>
    <row r="59" spans="1:15" x14ac:dyDescent="0.25">
      <c r="A59" s="158" t="s">
        <v>743</v>
      </c>
      <c r="B59" s="158" t="s">
        <v>43</v>
      </c>
      <c r="C59" s="162">
        <f ca="1">IFERROR(INDEX(BYEs!$B$2:$B$33,MATCH(D59,BYEs!$A$2:$A$33,0)),"N/A")</f>
        <v>6</v>
      </c>
      <c r="D59" s="219" t="str">
        <f ca="1">INDEX(INDIRECT(""&amp;B59&amp;"!F2:F628"),MATCH(A59,INDIRECT(""&amp;B59&amp;"!B2:B628"),0))</f>
        <v>LV</v>
      </c>
      <c r="E59" s="218" t="str">
        <f ca="1">INDEX(INDIRECT(""&amp;$B59&amp;"!AA2:AA628"),MATCH($A59,INDIRECT(""&amp;$B59&amp;"!B2:B628"),0))</f>
        <v>TE5</v>
      </c>
      <c r="F59" s="159">
        <f ca="1">IF(LeagueInfo!$H$7="Starter/Bench",INDEX(INDIRECT(""&amp;B59&amp;"!T2:T628"),MATCH(A59,INDIRECT(""&amp;B59&amp;"!B2:B628"),0)),INDEX(INDIRECT(""&amp;B59&amp;"!AB2:AB628"),MATCH(A59,INDIRECT(""&amp;B59&amp;"!B2:B628"),0)))</f>
        <v>18.857116356118784</v>
      </c>
      <c r="G59" s="163">
        <f>IF(H59&gt;0,F59-H59,0)</f>
        <v>0</v>
      </c>
      <c r="H59" s="161"/>
      <c r="I59" s="163">
        <f ca="1">F59*$A$2</f>
        <v>18.857116356118784</v>
      </c>
      <c r="J59" s="160" t="s">
        <v>76</v>
      </c>
      <c r="K59" s="160">
        <f>IF(LeagueInfo!$F$7="Yahoo",IFERROR(INDEX(DefaultAuctionValues!$B$2:$B$1000,MATCH(A59,DefaultAuctionValues!$A$2:$A$1000,0)),0),IF(LeagueInfo!$F$7="ESPN",IFERROR(INDEX(DefaultAuctionValues!$C$2:$C$1000,MATCH(A59,DefaultAuctionValues!$A$2:$A$1000,0)),0),IF(LeagueInfo!$F$7="Custom",IFERROR(INDEX(DefaultAuctionValues!$D$2:$D$1000,MATCH(A59,DefaultAuctionValues!$A$2:$A$1000,0)),0))))</f>
        <v>11</v>
      </c>
      <c r="L59" s="164">
        <f ca="1">I59-K59</f>
        <v>7.8571163561187838</v>
      </c>
      <c r="M59" s="175"/>
      <c r="N59" s="170">
        <f ca="1">INDEX(INDIRECT(""&amp;$B59&amp;"!Z2:Z628"),MATCH($A59,INDIRECT(""&amp;$B59&amp;"!B2:B628"),0))</f>
        <v>50.659999999999982</v>
      </c>
      <c r="O59" s="158" t="str">
        <f ca="1">IF(INDEX(INDIRECT(""&amp;$B59&amp;"!W2:W628"),MATCH($A59,INDIRECT(""&amp;$B59&amp;"!B2:B628"),0))=0,"",INDEX(INDIRECT(""&amp;$B59&amp;"!W2:W628"),MATCH($A59,INDIRECT(""&amp;$B59&amp;"!B2:B628"),0)))</f>
        <v/>
      </c>
    </row>
    <row r="60" spans="1:15" x14ac:dyDescent="0.25">
      <c r="A60" s="158" t="s">
        <v>115</v>
      </c>
      <c r="B60" s="158" t="s">
        <v>29</v>
      </c>
      <c r="C60" s="162">
        <f ca="1">IFERROR(INDEX(BYEs!$B$2:$B$33,MATCH(D60,BYEs!$A$2:$A$33,0)),"N/A")</f>
        <v>11</v>
      </c>
      <c r="D60" s="219" t="str">
        <f ca="1">INDEX(INDIRECT(""&amp;B60&amp;"!F2:F628"),MATCH(A60,INDIRECT(""&amp;B60&amp;"!B2:B628"),0))</f>
        <v>TB</v>
      </c>
      <c r="E60" s="218" t="str">
        <f ca="1">INDEX(INDIRECT(""&amp;$B60&amp;"!AA2:AA628"),MATCH($A60,INDIRECT(""&amp;$B60&amp;"!B2:B628"),0))</f>
        <v>QB4</v>
      </c>
      <c r="F60" s="159">
        <f ca="1">IF(LeagueInfo!$H$7="Starter/Bench",INDEX(INDIRECT(""&amp;B60&amp;"!T2:T628"),MATCH(A60,INDIRECT(""&amp;B60&amp;"!B2:B628"),0)),INDEX(INDIRECT(""&amp;B60&amp;"!AB2:AB628"),MATCH(A60,INDIRECT(""&amp;B60&amp;"!B2:B628"),0)))</f>
        <v>18.291090845150737</v>
      </c>
      <c r="G60" s="163">
        <f>IF(H60&gt;0,F60-H60,0)</f>
        <v>0</v>
      </c>
      <c r="H60" s="161"/>
      <c r="I60" s="163">
        <f ca="1">F60*$A$2</f>
        <v>18.291090845150737</v>
      </c>
      <c r="J60" s="160" t="s">
        <v>76</v>
      </c>
      <c r="K60" s="160">
        <f>IF(LeagueInfo!$F$7="Yahoo",IFERROR(INDEX(DefaultAuctionValues!$B$2:$B$1000,MATCH(A60,DefaultAuctionValues!$A$2:$A$1000,0)),0),IF(LeagueInfo!$F$7="ESPN",IFERROR(INDEX(DefaultAuctionValues!$C$2:$C$1000,MATCH(A60,DefaultAuctionValues!$A$2:$A$1000,0)),0),IF(LeagueInfo!$F$7="Custom",IFERROR(INDEX(DefaultAuctionValues!$D$2:$D$1000,MATCH(A60,DefaultAuctionValues!$A$2:$A$1000,0)),0))))</f>
        <v>4</v>
      </c>
      <c r="L60" s="164">
        <f ca="1">I60-K60</f>
        <v>14.291090845150737</v>
      </c>
      <c r="M60" s="175"/>
      <c r="N60" s="170">
        <f ca="1">INDEX(INDIRECT(""&amp;$B60&amp;"!Z2:Z628"),MATCH($A60,INDIRECT(""&amp;$B60&amp;"!B2:B628"),0))</f>
        <v>49.758999999999958</v>
      </c>
      <c r="O60" s="158" t="str">
        <f ca="1">IF(INDEX(INDIRECT(""&amp;$B60&amp;"!W2:W628"),MATCH($A60,INDIRECT(""&amp;$B60&amp;"!B2:B628"),0))=0,"",INDEX(INDIRECT(""&amp;$B60&amp;"!W2:W628"),MATCH($A60,INDIRECT(""&amp;$B60&amp;"!B2:B628"),0)))</f>
        <v/>
      </c>
    </row>
    <row r="61" spans="1:15" x14ac:dyDescent="0.25">
      <c r="A61" s="158" t="s">
        <v>848</v>
      </c>
      <c r="B61" s="158" t="s">
        <v>28</v>
      </c>
      <c r="C61" s="162">
        <f ca="1">IFERROR(INDEX(BYEs!$B$2:$B$33,MATCH(D61,BYEs!$A$2:$A$33,0)),"N/A")</f>
        <v>14</v>
      </c>
      <c r="D61" s="219" t="str">
        <f ca="1">INDEX(INDIRECT(""&amp;B61&amp;"!F2:F628"),MATCH(A61,INDIRECT(""&amp;B61&amp;"!B2:B628"),0))</f>
        <v>WAS</v>
      </c>
      <c r="E61" s="218" t="str">
        <f ca="1">INDEX(INDIRECT(""&amp;$B61&amp;"!AA2:AA628"),MATCH($A61,INDIRECT(""&amp;$B61&amp;"!B2:B628"),0))</f>
        <v>RB7</v>
      </c>
      <c r="F61" s="159">
        <f ca="1">IF(LeagueInfo!$H$7="Starter/Bench",INDEX(INDIRECT(""&amp;B61&amp;"!T2:T628"),MATCH(A61,INDIRECT(""&amp;B61&amp;"!B2:B628"),0)),INDEX(INDIRECT(""&amp;B61&amp;"!AB2:AB628"),MATCH(A61,INDIRECT(""&amp;B61&amp;"!B2:B628"),0)))</f>
        <v>18.029240688807391</v>
      </c>
      <c r="G61" s="163">
        <f>IF(H61&gt;0,F61-H61,0)</f>
        <v>0</v>
      </c>
      <c r="H61" s="161"/>
      <c r="I61" s="163">
        <f ca="1">F61*$A$2</f>
        <v>18.029240688807391</v>
      </c>
      <c r="J61" s="160" t="s">
        <v>76</v>
      </c>
      <c r="K61" s="160">
        <f>IF(LeagueInfo!$F$7="Yahoo",IFERROR(INDEX(DefaultAuctionValues!$B$2:$B$1000,MATCH(A61,DefaultAuctionValues!$A$2:$A$1000,0)),0),IF(LeagueInfo!$F$7="ESPN",IFERROR(INDEX(DefaultAuctionValues!$C$2:$C$1000,MATCH(A61,DefaultAuctionValues!$A$2:$A$1000,0)),0),IF(LeagueInfo!$F$7="Custom",IFERROR(INDEX(DefaultAuctionValues!$D$2:$D$1000,MATCH(A61,DefaultAuctionValues!$A$2:$A$1000,0)),0))))</f>
        <v>19</v>
      </c>
      <c r="L61" s="164">
        <f ca="1">I61-K61</f>
        <v>-0.97075931119260872</v>
      </c>
      <c r="M61" s="175"/>
      <c r="N61" s="170">
        <f ca="1">INDEX(INDIRECT(""&amp;$B61&amp;"!Z2:Z628"),MATCH($A61,INDIRECT(""&amp;$B61&amp;"!B2:B628"),0))</f>
        <v>49.515000000000036</v>
      </c>
      <c r="O61" s="158" t="str">
        <f ca="1">IF(INDEX(INDIRECT(""&amp;$B61&amp;"!W2:W628"),MATCH($A61,INDIRECT(""&amp;$B61&amp;"!B2:B628"),0))=0,"",INDEX(INDIRECT(""&amp;$B61&amp;"!W2:W628"),MATCH($A61,INDIRECT(""&amp;$B61&amp;"!B2:B628"),0)))</f>
        <v/>
      </c>
    </row>
    <row r="62" spans="1:15" x14ac:dyDescent="0.25">
      <c r="A62" s="158" t="s">
        <v>113</v>
      </c>
      <c r="B62" s="158" t="s">
        <v>35</v>
      </c>
      <c r="C62" s="162">
        <f ca="1">IFERROR(INDEX(BYEs!$B$2:$B$33,MATCH(D62,BYEs!$A$2:$A$33,0)),"N/A")</f>
        <v>6</v>
      </c>
      <c r="D62" s="219" t="str">
        <f ca="1">INDEX(INDIRECT(""&amp;B62&amp;"!F2:F628"),MATCH(A62,INDIRECT(""&amp;B62&amp;"!B2:B628"),0))</f>
        <v>HOU</v>
      </c>
      <c r="E62" s="218" t="str">
        <f ca="1">INDEX(INDIRECT(""&amp;$B62&amp;"!AA2:AA628"),MATCH($A62,INDIRECT(""&amp;$B62&amp;"!B2:B628"),0))</f>
        <v>WR6</v>
      </c>
      <c r="F62" s="159">
        <f ca="1">IF(LeagueInfo!$H$7="Starter/Bench",INDEX(INDIRECT(""&amp;B62&amp;"!T2:T628"),MATCH(A62,INDIRECT(""&amp;B62&amp;"!B2:B628"),0)),INDEX(INDIRECT(""&amp;B62&amp;"!AB2:AB628"),MATCH(A62,INDIRECT(""&amp;B62&amp;"!B2:B628"),0)))</f>
        <v>18.025118454041142</v>
      </c>
      <c r="G62" s="163">
        <f>IF(H62&gt;0,F62-H62,0)</f>
        <v>0</v>
      </c>
      <c r="H62" s="161"/>
      <c r="I62" s="163">
        <f ca="1">F62*$A$2</f>
        <v>18.025118454041142</v>
      </c>
      <c r="J62" s="160" t="s">
        <v>76</v>
      </c>
      <c r="K62" s="160">
        <f>IF(LeagueInfo!$F$7="Yahoo",IFERROR(INDEX(DefaultAuctionValues!$B$2:$B$1000,MATCH(A62,DefaultAuctionValues!$A$2:$A$1000,0)),0),IF(LeagueInfo!$F$7="ESPN",IFERROR(INDEX(DefaultAuctionValues!$C$2:$C$1000,MATCH(A62,DefaultAuctionValues!$A$2:$A$1000,0)),0),IF(LeagueInfo!$F$7="Custom",IFERROR(INDEX(DefaultAuctionValues!$D$2:$D$1000,MATCH(A62,DefaultAuctionValues!$A$2:$A$1000,0)),0))))</f>
        <v>4</v>
      </c>
      <c r="L62" s="164">
        <f ca="1">I62-K62</f>
        <v>14.025118454041142</v>
      </c>
      <c r="M62" s="175"/>
      <c r="N62" s="170">
        <f ca="1">INDEX(INDIRECT(""&amp;$B62&amp;"!Z2:Z628"),MATCH($A62,INDIRECT(""&amp;$B62&amp;"!B2:B628"),0))</f>
        <v>48.870000000000019</v>
      </c>
      <c r="O62" s="158" t="str">
        <f ca="1">IF(INDEX(INDIRECT(""&amp;$B62&amp;"!W2:W628"),MATCH($A62,INDIRECT(""&amp;$B62&amp;"!B2:B628"),0))=0,"",INDEX(INDIRECT(""&amp;$B62&amp;"!W2:W628"),MATCH($A62,INDIRECT(""&amp;$B62&amp;"!B2:B628"),0)))</f>
        <v/>
      </c>
    </row>
    <row r="63" spans="1:15" x14ac:dyDescent="0.25">
      <c r="A63" s="158" t="s">
        <v>185</v>
      </c>
      <c r="B63" s="158" t="s">
        <v>35</v>
      </c>
      <c r="C63" s="162">
        <f ca="1">IFERROR(INDEX(BYEs!$B$2:$B$33,MATCH(D63,BYEs!$A$2:$A$33,0)),"N/A")</f>
        <v>8</v>
      </c>
      <c r="D63" s="219" t="str">
        <f ca="1">INDEX(INDIRECT(""&amp;B63&amp;"!F2:F628"),MATCH(A63,INDIRECT(""&amp;B63&amp;"!B2:B628"),0))</f>
        <v>LAC</v>
      </c>
      <c r="E63" s="218" t="str">
        <f ca="1">INDEX(INDIRECT(""&amp;$B63&amp;"!AA2:AA628"),MATCH($A63,INDIRECT(""&amp;$B63&amp;"!B2:B628"),0))</f>
        <v>WR6</v>
      </c>
      <c r="F63" s="159">
        <f ca="1">IF(LeagueInfo!$H$7="Starter/Bench",INDEX(INDIRECT(""&amp;B63&amp;"!T2:T628"),MATCH(A63,INDIRECT(""&amp;B63&amp;"!B2:B628"),0)),INDEX(INDIRECT(""&amp;B63&amp;"!AB2:AB628"),MATCH(A63,INDIRECT(""&amp;B63&amp;"!B2:B628"),0)))</f>
        <v>17.849305006513546</v>
      </c>
      <c r="G63" s="163">
        <f>IF(H63&gt;0,F63-H63,0)</f>
        <v>0</v>
      </c>
      <c r="H63" s="161"/>
      <c r="I63" s="163">
        <f ca="1">F63*$A$2</f>
        <v>17.849305006513546</v>
      </c>
      <c r="J63" s="160" t="s">
        <v>76</v>
      </c>
      <c r="K63" s="160">
        <f>IF(LeagueInfo!$F$7="Yahoo",IFERROR(INDEX(DefaultAuctionValues!$B$2:$B$1000,MATCH(A63,DefaultAuctionValues!$A$2:$A$1000,0)),0),IF(LeagueInfo!$F$7="ESPN",IFERROR(INDEX(DefaultAuctionValues!$C$2:$C$1000,MATCH(A63,DefaultAuctionValues!$A$2:$A$1000,0)),0),IF(LeagueInfo!$F$7="Custom",IFERROR(INDEX(DefaultAuctionValues!$D$2:$D$1000,MATCH(A63,DefaultAuctionValues!$A$2:$A$1000,0)),0))))</f>
        <v>10</v>
      </c>
      <c r="L63" s="164">
        <f ca="1">I63-K63</f>
        <v>7.8493050065135463</v>
      </c>
      <c r="M63" s="175"/>
      <c r="N63" s="170">
        <f ca="1">INDEX(INDIRECT(""&amp;$B63&amp;"!Z2:Z628"),MATCH($A63,INDIRECT(""&amp;$B63&amp;"!B2:B628"),0))</f>
        <v>48.40000000000002</v>
      </c>
      <c r="O63" s="158" t="str">
        <f ca="1">IF(INDEX(INDIRECT(""&amp;$B63&amp;"!W2:W628"),MATCH($A63,INDIRECT(""&amp;$B63&amp;"!B2:B628"),0))=0,"",INDEX(INDIRECT(""&amp;$B63&amp;"!W2:W628"),MATCH($A63,INDIRECT(""&amp;$B63&amp;"!B2:B628"),0)))</f>
        <v/>
      </c>
    </row>
    <row r="64" spans="1:15" x14ac:dyDescent="0.25">
      <c r="A64" s="158" t="s">
        <v>2409</v>
      </c>
      <c r="B64" s="158" t="s">
        <v>35</v>
      </c>
      <c r="C64" s="162">
        <f ca="1">IFERROR(INDEX(BYEs!$B$2:$B$33,MATCH(D64,BYEs!$A$2:$A$33,0)),"N/A")</f>
        <v>13</v>
      </c>
      <c r="D64" s="219" t="str">
        <f ca="1">INDEX(INDIRECT(""&amp;B64&amp;"!F2:F628"),MATCH(A64,INDIRECT(""&amp;B64&amp;"!B2:B628"),0))</f>
        <v>CAR</v>
      </c>
      <c r="E64" s="218" t="str">
        <f ca="1">INDEX(INDIRECT(""&amp;$B64&amp;"!AA2:AA628"),MATCH($A64,INDIRECT(""&amp;$B64&amp;"!B2:B628"),0))</f>
        <v>WR6</v>
      </c>
      <c r="F64" s="159">
        <f ca="1">IF(LeagueInfo!$H$7="Starter/Bench",INDEX(INDIRECT(""&amp;B64&amp;"!T2:T628"),MATCH(A64,INDIRECT(""&amp;B64&amp;"!B2:B628"),0)),INDEX(INDIRECT(""&amp;B64&amp;"!AB2:AB628"),MATCH(A64,INDIRECT(""&amp;B64&amp;"!B2:B628"),0)))</f>
        <v>17.632343730841207</v>
      </c>
      <c r="G64" s="163">
        <f>IF(H64&gt;0,F64-H64,0)</f>
        <v>0</v>
      </c>
      <c r="H64" s="161"/>
      <c r="I64" s="163">
        <f ca="1">F64*$A$2</f>
        <v>17.632343730841207</v>
      </c>
      <c r="J64" s="160" t="s">
        <v>76</v>
      </c>
      <c r="K64" s="160">
        <f>IF(LeagueInfo!$F$7="Yahoo",IFERROR(INDEX(DefaultAuctionValues!$B$2:$B$1000,MATCH(A64,DefaultAuctionValues!$A$2:$A$1000,0)),0),IF(LeagueInfo!$F$7="ESPN",IFERROR(INDEX(DefaultAuctionValues!$C$2:$C$1000,MATCH(A64,DefaultAuctionValues!$A$2:$A$1000,0)),0),IF(LeagueInfo!$F$7="Custom",IFERROR(INDEX(DefaultAuctionValues!$D$2:$D$1000,MATCH(A64,DefaultAuctionValues!$A$2:$A$1000,0)),0))))</f>
        <v>16</v>
      </c>
      <c r="L64" s="164">
        <f ca="1">I64-K64</f>
        <v>1.6323437308412068</v>
      </c>
      <c r="M64" s="175"/>
      <c r="N64" s="170">
        <f ca="1">INDEX(INDIRECT(""&amp;$B64&amp;"!Z2:Z628"),MATCH($A64,INDIRECT(""&amp;$B64&amp;"!B2:B628"),0))</f>
        <v>47.820000000000036</v>
      </c>
      <c r="O64" s="158" t="str">
        <f ca="1">IF(INDEX(INDIRECT(""&amp;$B64&amp;"!W2:W628"),MATCH($A64,INDIRECT(""&amp;$B64&amp;"!B2:B628"),0))=0,"",INDEX(INDIRECT(""&amp;$B64&amp;"!W2:W628"),MATCH($A64,INDIRECT(""&amp;$B64&amp;"!B2:B628"),0)))</f>
        <v/>
      </c>
    </row>
    <row r="65" spans="1:15" x14ac:dyDescent="0.25">
      <c r="A65" s="158" t="s">
        <v>164</v>
      </c>
      <c r="B65" s="158" t="s">
        <v>29</v>
      </c>
      <c r="C65" s="162">
        <f ca="1">IFERROR(INDEX(BYEs!$B$2:$B$33,MATCH(D65,BYEs!$A$2:$A$33,0)),"N/A")</f>
        <v>9</v>
      </c>
      <c r="D65" s="219" t="str">
        <f ca="1">INDEX(INDIRECT(""&amp;B65&amp;"!F2:F628"),MATCH(A65,INDIRECT(""&amp;B65&amp;"!B2:B628"),0))</f>
        <v>DAL</v>
      </c>
      <c r="E65" s="218" t="str">
        <f ca="1">INDEX(INDIRECT(""&amp;$B65&amp;"!AA2:AA628"),MATCH($A65,INDIRECT(""&amp;$B65&amp;"!B2:B628"),0))</f>
        <v>QB4</v>
      </c>
      <c r="F65" s="159">
        <f ca="1">IF(LeagueInfo!$H$7="Starter/Bench",INDEX(INDIRECT(""&amp;B65&amp;"!T2:T628"),MATCH(A65,INDIRECT(""&amp;B65&amp;"!B2:B628"),0)),INDEX(INDIRECT(""&amp;B65&amp;"!AB2:AB628"),MATCH(A65,INDIRECT(""&amp;B65&amp;"!B2:B628"),0)))</f>
        <v>16.959397497920495</v>
      </c>
      <c r="G65" s="163">
        <f>IF(H65&gt;0,F65-H65,0)</f>
        <v>0</v>
      </c>
      <c r="H65" s="161"/>
      <c r="I65" s="163">
        <f ca="1">F65*$A$2</f>
        <v>16.959397497920495</v>
      </c>
      <c r="J65" s="160" t="s">
        <v>76</v>
      </c>
      <c r="K65" s="160">
        <f>IF(LeagueInfo!$F$7="Yahoo",IFERROR(INDEX(DefaultAuctionValues!$B$2:$B$1000,MATCH(A65,DefaultAuctionValues!$A$2:$A$1000,0)),0),IF(LeagueInfo!$F$7="ESPN",IFERROR(INDEX(DefaultAuctionValues!$C$2:$C$1000,MATCH(A65,DefaultAuctionValues!$A$2:$A$1000,0)),0),IF(LeagueInfo!$F$7="Custom",IFERROR(INDEX(DefaultAuctionValues!$D$2:$D$1000,MATCH(A65,DefaultAuctionValues!$A$2:$A$1000,0)),0))))</f>
        <v>3</v>
      </c>
      <c r="L65" s="164">
        <f ca="1">I65-K65</f>
        <v>13.959397497920495</v>
      </c>
      <c r="M65" s="175"/>
      <c r="N65" s="170">
        <f ca="1">INDEX(INDIRECT(""&amp;$B65&amp;"!Z2:Z628"),MATCH($A65,INDIRECT(""&amp;$B65&amp;"!B2:B628"),0))</f>
        <v>46.199000000000012</v>
      </c>
      <c r="O65" s="158" t="str">
        <f ca="1">IF(INDEX(INDIRECT(""&amp;$B65&amp;"!W2:W628"),MATCH($A65,INDIRECT(""&amp;$B65&amp;"!B2:B628"),0))=0,"",INDEX(INDIRECT(""&amp;$B65&amp;"!W2:W628"),MATCH($A65,INDIRECT(""&amp;$B65&amp;"!B2:B628"),0)))</f>
        <v/>
      </c>
    </row>
    <row r="66" spans="1:15" x14ac:dyDescent="0.25">
      <c r="A66" s="158" t="s">
        <v>718</v>
      </c>
      <c r="B66" s="158" t="s">
        <v>35</v>
      </c>
      <c r="C66" s="162">
        <f ca="1">IFERROR(INDEX(BYEs!$B$2:$B$33,MATCH(D66,BYEs!$A$2:$A$33,0)),"N/A")</f>
        <v>9</v>
      </c>
      <c r="D66" s="219" t="str">
        <f ca="1">INDEX(INDIRECT(""&amp;B66&amp;"!F2:F628"),MATCH(A66,INDIRECT(""&amp;B66&amp;"!B2:B628"),0))</f>
        <v>PIT</v>
      </c>
      <c r="E66" s="218" t="str">
        <f ca="1">INDEX(INDIRECT(""&amp;$B66&amp;"!AA2:AA628"),MATCH($A66,INDIRECT(""&amp;$B66&amp;"!B2:B628"),0))</f>
        <v>WR6</v>
      </c>
      <c r="F66" s="159">
        <f ca="1">IF(LeagueInfo!$H$7="Starter/Bench",INDEX(INDIRECT(""&amp;B66&amp;"!T2:T628"),MATCH(A66,INDIRECT(""&amp;B66&amp;"!B2:B628"),0)),INDEX(INDIRECT(""&amp;B66&amp;"!AB2:AB628"),MATCH(A66,INDIRECT(""&amp;B66&amp;"!B2:B628"),0)))</f>
        <v>16.622351585469936</v>
      </c>
      <c r="G66" s="163">
        <f>IF(H66&gt;0,F66-H66,0)</f>
        <v>0</v>
      </c>
      <c r="H66" s="161"/>
      <c r="I66" s="163">
        <f ca="1">F66*$A$2</f>
        <v>16.622351585469936</v>
      </c>
      <c r="J66" s="160" t="s">
        <v>76</v>
      </c>
      <c r="K66" s="160">
        <f>IF(LeagueInfo!$F$7="Yahoo",IFERROR(INDEX(DefaultAuctionValues!$B$2:$B$1000,MATCH(A66,DefaultAuctionValues!$A$2:$A$1000,0)),0),IF(LeagueInfo!$F$7="ESPN",IFERROR(INDEX(DefaultAuctionValues!$C$2:$C$1000,MATCH(A66,DefaultAuctionValues!$A$2:$A$1000,0)),0),IF(LeagueInfo!$F$7="Custom",IFERROR(INDEX(DefaultAuctionValues!$D$2:$D$1000,MATCH(A66,DefaultAuctionValues!$A$2:$A$1000,0)),0))))</f>
        <v>12</v>
      </c>
      <c r="L66" s="164">
        <f ca="1">I66-K66</f>
        <v>4.6223515854699357</v>
      </c>
      <c r="M66" s="175"/>
      <c r="N66" s="170">
        <f ca="1">INDEX(INDIRECT(""&amp;$B66&amp;"!Z2:Z628"),MATCH($A66,INDIRECT(""&amp;$B66&amp;"!B2:B628"),0))</f>
        <v>45.120000000000019</v>
      </c>
      <c r="O66" s="158" t="str">
        <f ca="1">IF(INDEX(INDIRECT(""&amp;$B66&amp;"!W2:W628"),MATCH($A66,INDIRECT(""&amp;$B66&amp;"!B2:B628"),0))=0,"",INDEX(INDIRECT(""&amp;$B66&amp;"!W2:W628"),MATCH($A66,INDIRECT(""&amp;$B66&amp;"!B2:B628"),0)))</f>
        <v/>
      </c>
    </row>
    <row r="67" spans="1:15" x14ac:dyDescent="0.25">
      <c r="A67" s="158" t="s">
        <v>898</v>
      </c>
      <c r="B67" s="158" t="s">
        <v>28</v>
      </c>
      <c r="C67" s="162">
        <f ca="1">IFERROR(INDEX(BYEs!$B$2:$B$33,MATCH(D67,BYEs!$A$2:$A$33,0)),"N/A")</f>
        <v>14</v>
      </c>
      <c r="D67" s="219" t="str">
        <f ca="1">INDEX(INDIRECT(""&amp;B67&amp;"!F2:F628"),MATCH(A67,INDIRECT(""&amp;B67&amp;"!B2:B628"),0))</f>
        <v>GB</v>
      </c>
      <c r="E67" s="218" t="str">
        <f ca="1">INDEX(INDIRECT(""&amp;$B67&amp;"!AA2:AA628"),MATCH($A67,INDIRECT(""&amp;$B67&amp;"!B2:B628"),0))</f>
        <v>RB7</v>
      </c>
      <c r="F67" s="159">
        <f ca="1">IF(LeagueInfo!$H$7="Starter/Bench",INDEX(INDIRECT(""&amp;B67&amp;"!T2:T628"),MATCH(A67,INDIRECT(""&amp;B67&amp;"!B2:B628"),0)),INDEX(INDIRECT(""&amp;B67&amp;"!AB2:AB628"),MATCH(A67,INDIRECT(""&amp;B67&amp;"!B2:B628"),0)))</f>
        <v>16.484326777554298</v>
      </c>
      <c r="G67" s="163">
        <f>IF(H67&gt;0,F67-H67,0)</f>
        <v>0</v>
      </c>
      <c r="H67" s="161"/>
      <c r="I67" s="163">
        <f ca="1">F67*$A$2</f>
        <v>16.484326777554298</v>
      </c>
      <c r="J67" s="160" t="s">
        <v>76</v>
      </c>
      <c r="K67" s="160">
        <f>IF(LeagueInfo!$F$7="Yahoo",IFERROR(INDEX(DefaultAuctionValues!$B$2:$B$1000,MATCH(A67,DefaultAuctionValues!$A$2:$A$1000,0)),0),IF(LeagueInfo!$F$7="ESPN",IFERROR(INDEX(DefaultAuctionValues!$C$2:$C$1000,MATCH(A67,DefaultAuctionValues!$A$2:$A$1000,0)),0),IF(LeagueInfo!$F$7="Custom",IFERROR(INDEX(DefaultAuctionValues!$D$2:$D$1000,MATCH(A67,DefaultAuctionValues!$A$2:$A$1000,0)),0))))</f>
        <v>10</v>
      </c>
      <c r="L67" s="164">
        <f ca="1">I67-K67</f>
        <v>6.4843267775542976</v>
      </c>
      <c r="M67" s="175"/>
      <c r="N67" s="170">
        <f ca="1">INDEX(INDIRECT(""&amp;$B67&amp;"!Z2:Z628"),MATCH($A67,INDIRECT(""&amp;$B67&amp;"!B2:B628"),0))</f>
        <v>45.385000000000012</v>
      </c>
      <c r="O67" s="158" t="str">
        <f ca="1">IF(INDEX(INDIRECT(""&amp;$B67&amp;"!W2:W628"),MATCH($A67,INDIRECT(""&amp;$B67&amp;"!B2:B628"),0))=0,"",INDEX(INDIRECT(""&amp;$B67&amp;"!W2:W628"),MATCH($A67,INDIRECT(""&amp;$B67&amp;"!B2:B628"),0)))</f>
        <v/>
      </c>
    </row>
    <row r="68" spans="1:15" x14ac:dyDescent="0.25">
      <c r="A68" s="158" t="s">
        <v>597</v>
      </c>
      <c r="B68" s="158" t="s">
        <v>43</v>
      </c>
      <c r="C68" s="162">
        <f ca="1">IFERROR(INDEX(BYEs!$B$2:$B$33,MATCH(D68,BYEs!$A$2:$A$33,0)),"N/A")</f>
        <v>9</v>
      </c>
      <c r="D68" s="219" t="str">
        <f ca="1">INDEX(INDIRECT(""&amp;B68&amp;"!F2:F628"),MATCH(A68,INDIRECT(""&amp;B68&amp;"!B2:B628"),0))</f>
        <v>DAL</v>
      </c>
      <c r="E68" s="218" t="str">
        <f ca="1">INDEX(INDIRECT(""&amp;$B68&amp;"!AA2:AA628"),MATCH($A68,INDIRECT(""&amp;$B68&amp;"!B2:B628"),0))</f>
        <v>TE6</v>
      </c>
      <c r="F68" s="159">
        <f ca="1">IF(LeagueInfo!$H$7="Starter/Bench",INDEX(INDIRECT(""&amp;B68&amp;"!T2:T628"),MATCH(A68,INDIRECT(""&amp;B68&amp;"!B2:B628"),0)),INDEX(INDIRECT(""&amp;B68&amp;"!AB2:AB628"),MATCH(A68,INDIRECT(""&amp;B68&amp;"!B2:B628"),0)))</f>
        <v>16.478023747022029</v>
      </c>
      <c r="G68" s="163">
        <f>IF(H68&gt;0,F68-H68,0)</f>
        <v>0</v>
      </c>
      <c r="H68" s="161"/>
      <c r="I68" s="163">
        <f ca="1">F68*$A$2</f>
        <v>16.478023747022029</v>
      </c>
      <c r="J68" s="160" t="s">
        <v>76</v>
      </c>
      <c r="K68" s="160">
        <f>IF(LeagueInfo!$F$7="Yahoo",IFERROR(INDEX(DefaultAuctionValues!$B$2:$B$1000,MATCH(A68,DefaultAuctionValues!$A$2:$A$1000,0)),0),IF(LeagueInfo!$F$7="ESPN",IFERROR(INDEX(DefaultAuctionValues!$C$2:$C$1000,MATCH(A68,DefaultAuctionValues!$A$2:$A$1000,0)),0),IF(LeagueInfo!$F$7="Custom",IFERROR(INDEX(DefaultAuctionValues!$D$2:$D$1000,MATCH(A68,DefaultAuctionValues!$A$2:$A$1000,0)),0))))</f>
        <v>7</v>
      </c>
      <c r="L68" s="164">
        <f ca="1">I68-K68</f>
        <v>9.4780237470220285</v>
      </c>
      <c r="M68" s="175"/>
      <c r="N68" s="170">
        <f ca="1">INDEX(INDIRECT(""&amp;$B68&amp;"!Z2:Z628"),MATCH($A68,INDIRECT(""&amp;$B68&amp;"!B2:B628"),0))</f>
        <v>44.3</v>
      </c>
      <c r="O68" s="158" t="str">
        <f ca="1">IF(INDEX(INDIRECT(""&amp;$B68&amp;"!W2:W628"),MATCH($A68,INDIRECT(""&amp;$B68&amp;"!B2:B628"),0))=0,"",INDEX(INDIRECT(""&amp;$B68&amp;"!W2:W628"),MATCH($A68,INDIRECT(""&amp;$B68&amp;"!B2:B628"),0)))</f>
        <v/>
      </c>
    </row>
    <row r="69" spans="1:15" x14ac:dyDescent="0.25">
      <c r="A69" s="158" t="s">
        <v>420</v>
      </c>
      <c r="B69" s="158" t="s">
        <v>43</v>
      </c>
      <c r="C69" s="162">
        <f ca="1">IFERROR(INDEX(BYEs!$B$2:$B$33,MATCH(D69,BYEs!$A$2:$A$33,0)),"N/A")</f>
        <v>9</v>
      </c>
      <c r="D69" s="219" t="str">
        <f ca="1">INDEX(INDIRECT(""&amp;B69&amp;"!F2:F628"),MATCH(A69,INDIRECT(""&amp;B69&amp;"!B2:B628"),0))</f>
        <v>SF</v>
      </c>
      <c r="E69" s="218" t="str">
        <f ca="1">INDEX(INDIRECT(""&amp;$B69&amp;"!AA2:AA628"),MATCH($A69,INDIRECT(""&amp;$B69&amp;"!B2:B628"),0))</f>
        <v>TE6</v>
      </c>
      <c r="F69" s="159">
        <f ca="1">IF(LeagueInfo!$H$7="Starter/Bench",INDEX(INDIRECT(""&amp;B69&amp;"!T2:T628"),MATCH(A69,INDIRECT(""&amp;B69&amp;"!B2:B628"),0)),INDEX(INDIRECT(""&amp;B69&amp;"!AB2:AB628"),MATCH(A69,INDIRECT(""&amp;B69&amp;"!B2:B628"),0)))</f>
        <v>16.182507526709699</v>
      </c>
      <c r="G69" s="163">
        <f>IF(H69&gt;0,F69-H69,0)</f>
        <v>0</v>
      </c>
      <c r="H69" s="161"/>
      <c r="I69" s="163">
        <f ca="1">F69*$A$2</f>
        <v>16.182507526709699</v>
      </c>
      <c r="J69" s="160" t="s">
        <v>76</v>
      </c>
      <c r="K69" s="160">
        <f>IF(LeagueInfo!$F$7="Yahoo",IFERROR(INDEX(DefaultAuctionValues!$B$2:$B$1000,MATCH(A69,DefaultAuctionValues!$A$2:$A$1000,0)),0),IF(LeagueInfo!$F$7="ESPN",IFERROR(INDEX(DefaultAuctionValues!$C$2:$C$1000,MATCH(A69,DefaultAuctionValues!$A$2:$A$1000,0)),0),IF(LeagueInfo!$F$7="Custom",IFERROR(INDEX(DefaultAuctionValues!$D$2:$D$1000,MATCH(A69,DefaultAuctionValues!$A$2:$A$1000,0)),0))))</f>
        <v>12</v>
      </c>
      <c r="L69" s="164">
        <f ca="1">I69-K69</f>
        <v>4.1825075267096992</v>
      </c>
      <c r="M69" s="175"/>
      <c r="N69" s="170">
        <f ca="1">INDEX(INDIRECT(""&amp;$B69&amp;"!Z2:Z628"),MATCH($A69,INDIRECT(""&amp;$B69&amp;"!B2:B628"),0))</f>
        <v>43.510000000000005</v>
      </c>
      <c r="O69" s="158" t="str">
        <f ca="1">IF(INDEX(INDIRECT(""&amp;$B69&amp;"!W2:W628"),MATCH($A69,INDIRECT(""&amp;$B69&amp;"!B2:B628"),0))=0,"",INDEX(INDIRECT(""&amp;$B69&amp;"!W2:W628"),MATCH($A69,INDIRECT(""&amp;$B69&amp;"!B2:B628"),0)))</f>
        <v/>
      </c>
    </row>
    <row r="70" spans="1:15" x14ac:dyDescent="0.25">
      <c r="A70" s="158" t="s">
        <v>670</v>
      </c>
      <c r="B70" s="158" t="s">
        <v>28</v>
      </c>
      <c r="C70" s="162">
        <f ca="1">IFERROR(INDEX(BYEs!$B$2:$B$33,MATCH(D70,BYEs!$A$2:$A$33,0)),"N/A")</f>
        <v>9</v>
      </c>
      <c r="D70" s="219" t="str">
        <f ca="1">INDEX(INDIRECT(""&amp;B70&amp;"!F2:F628"),MATCH(A70,INDIRECT(""&amp;B70&amp;"!B2:B628"),0))</f>
        <v>DAL</v>
      </c>
      <c r="E70" s="218" t="str">
        <f ca="1">INDEX(INDIRECT(""&amp;$B70&amp;"!AA2:AA628"),MATCH($A70,INDIRECT(""&amp;$B70&amp;"!B2:B628"),0))</f>
        <v>RB7</v>
      </c>
      <c r="F70" s="159">
        <f ca="1">IF(LeagueInfo!$H$7="Starter/Bench",INDEX(INDIRECT(""&amp;B70&amp;"!T2:T628"),MATCH(A70,INDIRECT(""&amp;B70&amp;"!B2:B628"),0)),INDEX(INDIRECT(""&amp;B70&amp;"!AB2:AB628"),MATCH(A70,INDIRECT(""&amp;B70&amp;"!B2:B628"),0)))</f>
        <v>16.125218459200067</v>
      </c>
      <c r="G70" s="163">
        <f>IF(H70&gt;0,F70-H70,0)</f>
        <v>0</v>
      </c>
      <c r="H70" s="161"/>
      <c r="I70" s="163">
        <f ca="1">F70*$A$2</f>
        <v>16.125218459200067</v>
      </c>
      <c r="J70" s="160" t="s">
        <v>76</v>
      </c>
      <c r="K70" s="160">
        <f>IF(LeagueInfo!$F$7="Yahoo",IFERROR(INDEX(DefaultAuctionValues!$B$2:$B$1000,MATCH(A70,DefaultAuctionValues!$A$2:$A$1000,0)),0),IF(LeagueInfo!$F$7="ESPN",IFERROR(INDEX(DefaultAuctionValues!$C$2:$C$1000,MATCH(A70,DefaultAuctionValues!$A$2:$A$1000,0)),0),IF(LeagueInfo!$F$7="Custom",IFERROR(INDEX(DefaultAuctionValues!$D$2:$D$1000,MATCH(A70,DefaultAuctionValues!$A$2:$A$1000,0)),0))))</f>
        <v>3</v>
      </c>
      <c r="L70" s="164">
        <f ca="1">I70-K70</f>
        <v>13.125218459200067</v>
      </c>
      <c r="M70" s="175"/>
      <c r="N70" s="170">
        <f ca="1">INDEX(INDIRECT(""&amp;$B70&amp;"!Z2:Z628"),MATCH($A70,INDIRECT(""&amp;$B70&amp;"!B2:B628"),0))</f>
        <v>44.425000000000004</v>
      </c>
      <c r="O70" s="158" t="str">
        <f ca="1">IF(INDEX(INDIRECT(""&amp;$B70&amp;"!W2:W628"),MATCH($A70,INDIRECT(""&amp;$B70&amp;"!B2:B628"),0))=0,"",INDEX(INDIRECT(""&amp;$B70&amp;"!W2:W628"),MATCH($A70,INDIRECT(""&amp;$B70&amp;"!B2:B628"),0)))</f>
        <v/>
      </c>
    </row>
    <row r="71" spans="1:15" x14ac:dyDescent="0.25">
      <c r="A71" s="158" t="s">
        <v>2447</v>
      </c>
      <c r="B71" s="158" t="s">
        <v>28</v>
      </c>
      <c r="C71" s="162">
        <f ca="1">IFERROR(INDEX(BYEs!$B$2:$B$33,MATCH(D71,BYEs!$A$2:$A$33,0)),"N/A")</f>
        <v>6</v>
      </c>
      <c r="D71" s="219" t="str">
        <f ca="1">INDEX(INDIRECT(""&amp;B71&amp;"!F2:F628"),MATCH(A71,INDIRECT(""&amp;B71&amp;"!B2:B628"),0))</f>
        <v>HOU</v>
      </c>
      <c r="E71" s="218" t="str">
        <f ca="1">INDEX(INDIRECT(""&amp;$B71&amp;"!AA2:AA628"),MATCH($A71,INDIRECT(""&amp;$B71&amp;"!B2:B628"),0))</f>
        <v>RB7</v>
      </c>
      <c r="F71" s="159">
        <f ca="1">IF(LeagueInfo!$H$7="Starter/Bench",INDEX(INDIRECT(""&amp;B71&amp;"!T2:T628"),MATCH(A71,INDIRECT(""&amp;B71&amp;"!B2:B628"),0)),INDEX(INDIRECT(""&amp;B71&amp;"!AB2:AB628"),MATCH(A71,INDIRECT(""&amp;B71&amp;"!B2:B628"),0)))</f>
        <v>15.926960741775348</v>
      </c>
      <c r="G71" s="163">
        <f>IF(H71&gt;0,F71-H71,0)</f>
        <v>0</v>
      </c>
      <c r="H71" s="161"/>
      <c r="I71" s="163">
        <f ca="1">F71*$A$2</f>
        <v>15.926960741775348</v>
      </c>
      <c r="J71" s="160" t="s">
        <v>76</v>
      </c>
      <c r="K71" s="160">
        <f>IF(LeagueInfo!$F$7="Yahoo",IFERROR(INDEX(DefaultAuctionValues!$B$2:$B$1000,MATCH(A71,DefaultAuctionValues!$A$2:$A$1000,0)),0),IF(LeagueInfo!$F$7="ESPN",IFERROR(INDEX(DefaultAuctionValues!$C$2:$C$1000,MATCH(A71,DefaultAuctionValues!$A$2:$A$1000,0)),0),IF(LeagueInfo!$F$7="Custom",IFERROR(INDEX(DefaultAuctionValues!$D$2:$D$1000,MATCH(A71,DefaultAuctionValues!$A$2:$A$1000,0)),0))))</f>
        <v>5</v>
      </c>
      <c r="L71" s="164">
        <f ca="1">I71-K71</f>
        <v>10.926960741775348</v>
      </c>
      <c r="M71" s="175"/>
      <c r="N71" s="170">
        <f ca="1">INDEX(INDIRECT(""&amp;$B71&amp;"!Z2:Z628"),MATCH($A71,INDIRECT(""&amp;$B71&amp;"!B2:B628"),0))</f>
        <v>43.895000000000032</v>
      </c>
      <c r="O71" s="158" t="str">
        <f ca="1">IF(INDEX(INDIRECT(""&amp;$B71&amp;"!W2:W628"),MATCH($A71,INDIRECT(""&amp;$B71&amp;"!B2:B628"),0))=0,"",INDEX(INDIRECT(""&amp;$B71&amp;"!W2:W628"),MATCH($A71,INDIRECT(""&amp;$B71&amp;"!B2:B628"),0)))</f>
        <v/>
      </c>
    </row>
    <row r="72" spans="1:15" x14ac:dyDescent="0.25">
      <c r="A72" s="158" t="s">
        <v>878</v>
      </c>
      <c r="B72" s="158" t="s">
        <v>28</v>
      </c>
      <c r="C72" s="162">
        <f ca="1">IFERROR(INDEX(BYEs!$B$2:$B$33,MATCH(D72,BYEs!$A$2:$A$33,0)),"N/A")</f>
        <v>8</v>
      </c>
      <c r="D72" s="219" t="str">
        <f ca="1">INDEX(INDIRECT(""&amp;B72&amp;"!F2:F628"),MATCH(A72,INDIRECT(""&amp;B72&amp;"!B2:B628"),0))</f>
        <v>KC</v>
      </c>
      <c r="E72" s="218" t="str">
        <f ca="1">INDEX(INDIRECT(""&amp;$B72&amp;"!AA2:AA628"),MATCH($A72,INDIRECT(""&amp;$B72&amp;"!B2:B628"),0))</f>
        <v>RB7</v>
      </c>
      <c r="F72" s="159">
        <f ca="1">IF(LeagueInfo!$H$7="Starter/Bench",INDEX(INDIRECT(""&amp;B72&amp;"!T2:T628"),MATCH(A72,INDIRECT(""&amp;B72&amp;"!B2:B628"),0)),INDEX(INDIRECT(""&amp;B72&amp;"!AB2:AB628"),MATCH(A72,INDIRECT(""&amp;B72&amp;"!B2:B628"),0)))</f>
        <v>15.627703809813477</v>
      </c>
      <c r="G72" s="163">
        <f>IF(H72&gt;0,F72-H72,0)</f>
        <v>0</v>
      </c>
      <c r="H72" s="161"/>
      <c r="I72" s="163">
        <f ca="1">F72*$A$2</f>
        <v>15.627703809813477</v>
      </c>
      <c r="J72" s="160" t="s">
        <v>76</v>
      </c>
      <c r="K72" s="160">
        <f>IF(LeagueInfo!$F$7="Yahoo",IFERROR(INDEX(DefaultAuctionValues!$B$2:$B$1000,MATCH(A72,DefaultAuctionValues!$A$2:$A$1000,0)),0),IF(LeagueInfo!$F$7="ESPN",IFERROR(INDEX(DefaultAuctionValues!$C$2:$C$1000,MATCH(A72,DefaultAuctionValues!$A$2:$A$1000,0)),0),IF(LeagueInfo!$F$7="Custom",IFERROR(INDEX(DefaultAuctionValues!$D$2:$D$1000,MATCH(A72,DefaultAuctionValues!$A$2:$A$1000,0)),0))))</f>
        <v>5</v>
      </c>
      <c r="L72" s="164">
        <f ca="1">I72-K72</f>
        <v>10.627703809813477</v>
      </c>
      <c r="M72" s="175"/>
      <c r="N72" s="170">
        <f ca="1">INDEX(INDIRECT(""&amp;$B72&amp;"!Z2:Z628"),MATCH($A72,INDIRECT(""&amp;$B72&amp;"!B2:B628"),0))</f>
        <v>43.094999999999992</v>
      </c>
      <c r="O72" s="158" t="str">
        <f ca="1">IF(INDEX(INDIRECT(""&amp;$B72&amp;"!W2:W628"),MATCH($A72,INDIRECT(""&amp;$B72&amp;"!B2:B628"),0))=0,"",INDEX(INDIRECT(""&amp;$B72&amp;"!W2:W628"),MATCH($A72,INDIRECT(""&amp;$B72&amp;"!B2:B628"),0)))</f>
        <v/>
      </c>
    </row>
    <row r="73" spans="1:15" x14ac:dyDescent="0.25">
      <c r="A73" s="158" t="s">
        <v>2443</v>
      </c>
      <c r="B73" s="158" t="s">
        <v>28</v>
      </c>
      <c r="C73" s="162">
        <f ca="1">IFERROR(INDEX(BYEs!$B$2:$B$33,MATCH(D73,BYEs!$A$2:$A$33,0)),"N/A")</f>
        <v>10</v>
      </c>
      <c r="D73" s="219" t="str">
        <f ca="1">INDEX(INDIRECT(""&amp;B73&amp;"!F2:F628"),MATCH(A73,INDIRECT(""&amp;B73&amp;"!B2:B628"),0))</f>
        <v>NYJ</v>
      </c>
      <c r="E73" s="218" t="str">
        <f ca="1">INDEX(INDIRECT(""&amp;$B73&amp;"!AA2:AA628"),MATCH($A73,INDIRECT(""&amp;$B73&amp;"!B2:B628"),0))</f>
        <v>RB7</v>
      </c>
      <c r="F73" s="159">
        <f ca="1">IF(LeagueInfo!$H$7="Starter/Bench",INDEX(INDIRECT(""&amp;B73&amp;"!T2:T628"),MATCH(A73,INDIRECT(""&amp;B73&amp;"!B2:B628"),0)),INDEX(INDIRECT(""&amp;B73&amp;"!AB2:AB628"),MATCH(A73,INDIRECT(""&amp;B73&amp;"!B2:B628"),0)))</f>
        <v>15.484463456991195</v>
      </c>
      <c r="G73" s="163">
        <f>IF(H73&gt;0,F73-H73,0)</f>
        <v>0</v>
      </c>
      <c r="H73" s="161"/>
      <c r="I73" s="163">
        <f ca="1">F73*$A$2</f>
        <v>15.484463456991195</v>
      </c>
      <c r="J73" s="160" t="s">
        <v>76</v>
      </c>
      <c r="K73" s="160">
        <f>IF(LeagueInfo!$F$7="Yahoo",IFERROR(INDEX(DefaultAuctionValues!$B$2:$B$1000,MATCH(A73,DefaultAuctionValues!$A$2:$A$1000,0)),0),IF(LeagueInfo!$F$7="ESPN",IFERROR(INDEX(DefaultAuctionValues!$C$2:$C$1000,MATCH(A73,DefaultAuctionValues!$A$2:$A$1000,0)),0),IF(LeagueInfo!$F$7="Custom",IFERROR(INDEX(DefaultAuctionValues!$D$2:$D$1000,MATCH(A73,DefaultAuctionValues!$A$2:$A$1000,0)),0))))</f>
        <v>16</v>
      </c>
      <c r="L73" s="164">
        <f ca="1">I73-K73</f>
        <v>-0.51553654300880503</v>
      </c>
      <c r="M73" s="175"/>
      <c r="N73" s="170">
        <f ca="1">INDEX(INDIRECT(""&amp;$B73&amp;"!Z2:Z628"),MATCH($A73,INDIRECT(""&amp;$B73&amp;"!B2:B628"),0))</f>
        <v>42.699999999999996</v>
      </c>
      <c r="O73" s="158" t="str">
        <f ca="1">IF(INDEX(INDIRECT(""&amp;$B73&amp;"!W2:W628"),MATCH($A73,INDIRECT(""&amp;$B73&amp;"!B2:B628"),0))=0,"",INDEX(INDIRECT(""&amp;$B73&amp;"!W2:W628"),MATCH($A73,INDIRECT(""&amp;$B73&amp;"!B2:B628"),0)))</f>
        <v/>
      </c>
    </row>
    <row r="74" spans="1:15" x14ac:dyDescent="0.25">
      <c r="A74" s="158" t="s">
        <v>668</v>
      </c>
      <c r="B74" s="158" t="s">
        <v>28</v>
      </c>
      <c r="C74" s="162">
        <f ca="1">IFERROR(INDEX(BYEs!$B$2:$B$33,MATCH(D74,BYEs!$A$2:$A$33,0)),"N/A")</f>
        <v>7</v>
      </c>
      <c r="D74" s="219" t="str">
        <f ca="1">INDEX(INDIRECT(""&amp;B74&amp;"!F2:F628"),MATCH(A74,INDIRECT(""&amp;B74&amp;"!B2:B628"),0))</f>
        <v>BUF</v>
      </c>
      <c r="E74" s="218" t="str">
        <f ca="1">INDEX(INDIRECT(""&amp;$B74&amp;"!AA2:AA628"),MATCH($A74,INDIRECT(""&amp;$B74&amp;"!B2:B628"),0))</f>
        <v>RB7</v>
      </c>
      <c r="F74" s="159">
        <f ca="1">IF(LeagueInfo!$H$7="Starter/Bench",INDEX(INDIRECT(""&amp;B74&amp;"!T2:T628"),MATCH(A74,INDIRECT(""&amp;B74&amp;"!B2:B628"),0)),INDEX(INDIRECT(""&amp;B74&amp;"!AB2:AB628"),MATCH(A74,INDIRECT(""&amp;B74&amp;"!B2:B628"),0)))</f>
        <v>14.964083947371003</v>
      </c>
      <c r="G74" s="163">
        <f>IF(H74&gt;0,F74-H74,0)</f>
        <v>0</v>
      </c>
      <c r="H74" s="161"/>
      <c r="I74" s="163">
        <f ca="1">F74*$A$2</f>
        <v>14.964083947371003</v>
      </c>
      <c r="J74" s="160" t="s">
        <v>76</v>
      </c>
      <c r="K74" s="160">
        <f>IF(LeagueInfo!$F$7="Yahoo",IFERROR(INDEX(DefaultAuctionValues!$B$2:$B$1000,MATCH(A74,DefaultAuctionValues!$A$2:$A$1000,0)),0),IF(LeagueInfo!$F$7="ESPN",IFERROR(INDEX(DefaultAuctionValues!$C$2:$C$1000,MATCH(A74,DefaultAuctionValues!$A$2:$A$1000,0)),0),IF(LeagueInfo!$F$7="Custom",IFERROR(INDEX(DefaultAuctionValues!$D$2:$D$1000,MATCH(A74,DefaultAuctionValues!$A$2:$A$1000,0)),0))))</f>
        <v>6</v>
      </c>
      <c r="L74" s="164">
        <f ca="1">I74-K74</f>
        <v>8.9640839473710034</v>
      </c>
      <c r="M74" s="175"/>
      <c r="N74" s="170">
        <f ca="1">INDEX(INDIRECT(""&amp;$B74&amp;"!Z2:Z628"),MATCH($A74,INDIRECT(""&amp;$B74&amp;"!B2:B628"),0))</f>
        <v>41.265000000000008</v>
      </c>
      <c r="O74" s="158" t="str">
        <f ca="1">IF(INDEX(INDIRECT(""&amp;$B74&amp;"!W2:W628"),MATCH($A74,INDIRECT(""&amp;$B74&amp;"!B2:B628"),0))=0,"",INDEX(INDIRECT(""&amp;$B74&amp;"!W2:W628"),MATCH($A74,INDIRECT(""&amp;$B74&amp;"!B2:B628"),0)))</f>
        <v/>
      </c>
    </row>
    <row r="75" spans="1:15" x14ac:dyDescent="0.25">
      <c r="A75" s="158" t="s">
        <v>391</v>
      </c>
      <c r="B75" s="158" t="s">
        <v>28</v>
      </c>
      <c r="C75" s="162">
        <f ca="1">IFERROR(INDEX(BYEs!$B$2:$B$33,MATCH(D75,BYEs!$A$2:$A$33,0)),"N/A")</f>
        <v>14</v>
      </c>
      <c r="D75" s="219" t="str">
        <f ca="1">INDEX(INDIRECT(""&amp;B75&amp;"!F2:F628"),MATCH(A75,INDIRECT(""&amp;B75&amp;"!B2:B628"),0))</f>
        <v>ATL</v>
      </c>
      <c r="E75" s="218" t="str">
        <f ca="1">INDEX(INDIRECT(""&amp;$B75&amp;"!AA2:AA628"),MATCH($A75,INDIRECT(""&amp;$B75&amp;"!B2:B628"),0))</f>
        <v>RB7</v>
      </c>
      <c r="F75" s="159">
        <f ca="1">IF(LeagueInfo!$H$7="Starter/Bench",INDEX(INDIRECT(""&amp;B75&amp;"!T2:T628"),MATCH(A75,INDIRECT(""&amp;B75&amp;"!B2:B628"),0)),INDEX(INDIRECT(""&amp;B75&amp;"!AB2:AB628"),MATCH(A75,INDIRECT(""&amp;B75&amp;"!B2:B628"),0)))</f>
        <v>14.75375634069524</v>
      </c>
      <c r="G75" s="163">
        <f>IF(H75&gt;0,F75-H75,0)</f>
        <v>0</v>
      </c>
      <c r="H75" s="161"/>
      <c r="I75" s="163">
        <f ca="1">F75*$A$2</f>
        <v>14.75375634069524</v>
      </c>
      <c r="J75" s="160" t="s">
        <v>76</v>
      </c>
      <c r="K75" s="160">
        <f>IF(LeagueInfo!$F$7="Yahoo",IFERROR(INDEX(DefaultAuctionValues!$B$2:$B$1000,MATCH(A75,DefaultAuctionValues!$A$2:$A$1000,0)),0),IF(LeagueInfo!$F$7="ESPN",IFERROR(INDEX(DefaultAuctionValues!$C$2:$C$1000,MATCH(A75,DefaultAuctionValues!$A$2:$A$1000,0)),0),IF(LeagueInfo!$F$7="Custom",IFERROR(INDEX(DefaultAuctionValues!$D$2:$D$1000,MATCH(A75,DefaultAuctionValues!$A$2:$A$1000,0)),0))))</f>
        <v>2</v>
      </c>
      <c r="L75" s="164">
        <f ca="1">I75-K75</f>
        <v>12.75375634069524</v>
      </c>
      <c r="M75" s="175"/>
      <c r="N75" s="170">
        <f ca="1">INDEX(INDIRECT(""&amp;$B75&amp;"!Z2:Z628"),MATCH($A75,INDIRECT(""&amp;$B75&amp;"!B2:B628"),0))</f>
        <v>40.684999999999995</v>
      </c>
      <c r="O75" s="158" t="str">
        <f ca="1">IF(INDEX(INDIRECT(""&amp;$B75&amp;"!W2:W628"),MATCH($A75,INDIRECT(""&amp;$B75&amp;"!B2:B628"),0))=0,"",INDEX(INDIRECT(""&amp;$B75&amp;"!W2:W628"),MATCH($A75,INDIRECT(""&amp;$B75&amp;"!B2:B628"),0)))</f>
        <v/>
      </c>
    </row>
    <row r="76" spans="1:15" x14ac:dyDescent="0.25">
      <c r="A76" s="158" t="s">
        <v>552</v>
      </c>
      <c r="B76" s="158" t="s">
        <v>28</v>
      </c>
      <c r="C76" s="162">
        <f ca="1">IFERROR(INDEX(BYEs!$B$2:$B$33,MATCH(D76,BYEs!$A$2:$A$33,0)),"N/A")</f>
        <v>11</v>
      </c>
      <c r="D76" s="219" t="str">
        <f ca="1">INDEX(INDIRECT(""&amp;B76&amp;"!F2:F628"),MATCH(A76,INDIRECT(""&amp;B76&amp;"!B2:B628"),0))</f>
        <v>MIA</v>
      </c>
      <c r="E76" s="218" t="str">
        <f ca="1">INDEX(INDIRECT(""&amp;$B76&amp;"!AA2:AA628"),MATCH($A76,INDIRECT(""&amp;$B76&amp;"!B2:B628"),0))</f>
        <v>RB7</v>
      </c>
      <c r="F76" s="159">
        <f ca="1">IF(LeagueInfo!$H$7="Starter/Bench",INDEX(INDIRECT(""&amp;B76&amp;"!T2:T628"),MATCH(A76,INDIRECT(""&amp;B76&amp;"!B2:B628"),0)),INDEX(INDIRECT(""&amp;B76&amp;"!AB2:AB628"),MATCH(A76,INDIRECT(""&amp;B76&amp;"!B2:B628"),0)))</f>
        <v>14.679416410749493</v>
      </c>
      <c r="G76" s="163">
        <f>IF(H76&gt;0,F76-H76,0)</f>
        <v>0</v>
      </c>
      <c r="H76" s="161"/>
      <c r="I76" s="163">
        <f ca="1">F76*$A$2</f>
        <v>14.679416410749493</v>
      </c>
      <c r="J76" s="160" t="s">
        <v>76</v>
      </c>
      <c r="K76" s="160">
        <f>IF(LeagueInfo!$F$7="Yahoo",IFERROR(INDEX(DefaultAuctionValues!$B$2:$B$1000,MATCH(A76,DefaultAuctionValues!$A$2:$A$1000,0)),0),IF(LeagueInfo!$F$7="ESPN",IFERROR(INDEX(DefaultAuctionValues!$C$2:$C$1000,MATCH(A76,DefaultAuctionValues!$A$2:$A$1000,0)),0),IF(LeagueInfo!$F$7="Custom",IFERROR(INDEX(DefaultAuctionValues!$D$2:$D$1000,MATCH(A76,DefaultAuctionValues!$A$2:$A$1000,0)),0))))</f>
        <v>4</v>
      </c>
      <c r="L76" s="164">
        <f ca="1">I76-K76</f>
        <v>10.679416410749493</v>
      </c>
      <c r="M76" s="175"/>
      <c r="N76" s="170">
        <f ca="1">INDEX(INDIRECT(""&amp;$B76&amp;"!Z2:Z628"),MATCH($A76,INDIRECT(""&amp;$B76&amp;"!B2:B628"),0))</f>
        <v>40.479999999999983</v>
      </c>
      <c r="O76" s="158" t="str">
        <f ca="1">IF(INDEX(INDIRECT(""&amp;$B76&amp;"!W2:W628"),MATCH($A76,INDIRECT(""&amp;$B76&amp;"!B2:B628"),0))=0,"",INDEX(INDIRECT(""&amp;$B76&amp;"!W2:W628"),MATCH($A76,INDIRECT(""&amp;$B76&amp;"!B2:B628"),0)))</f>
        <v/>
      </c>
    </row>
    <row r="77" spans="1:15" x14ac:dyDescent="0.25">
      <c r="A77" s="158" t="s">
        <v>543</v>
      </c>
      <c r="B77" s="158" t="s">
        <v>28</v>
      </c>
      <c r="C77" s="162">
        <f ca="1">IFERROR(INDEX(BYEs!$B$2:$B$33,MATCH(D77,BYEs!$A$2:$A$33,0)),"N/A")</f>
        <v>11</v>
      </c>
      <c r="D77" s="219" t="str">
        <f ca="1">INDEX(INDIRECT(""&amp;B77&amp;"!F2:F628"),MATCH(A77,INDIRECT(""&amp;B77&amp;"!B2:B628"),0))</f>
        <v>SEA</v>
      </c>
      <c r="E77" s="218" t="str">
        <f ca="1">INDEX(INDIRECT(""&amp;$B77&amp;"!AA2:AA628"),MATCH($A77,INDIRECT(""&amp;$B77&amp;"!B2:B628"),0))</f>
        <v>RB7</v>
      </c>
      <c r="F77" s="159">
        <f ca="1">IF(LeagueInfo!$H$7="Starter/Bench",INDEX(INDIRECT(""&amp;B77&amp;"!T2:T628"),MATCH(A77,INDIRECT(""&amp;B77&amp;"!B2:B628"),0)),INDEX(INDIRECT(""&amp;B77&amp;"!AB2:AB628"),MATCH(A77,INDIRECT(""&amp;B77&amp;"!B2:B628"),0)))</f>
        <v>14.231563662051974</v>
      </c>
      <c r="G77" s="163">
        <f>IF(H77&gt;0,F77-H77,0)</f>
        <v>0</v>
      </c>
      <c r="H77" s="161"/>
      <c r="I77" s="163">
        <f ca="1">F77*$A$2</f>
        <v>14.231563662051974</v>
      </c>
      <c r="J77" s="160" t="s">
        <v>76</v>
      </c>
      <c r="K77" s="160">
        <f>IF(LeagueInfo!$F$7="Yahoo",IFERROR(INDEX(DefaultAuctionValues!$B$2:$B$1000,MATCH(A77,DefaultAuctionValues!$A$2:$A$1000,0)),0),IF(LeagueInfo!$F$7="ESPN",IFERROR(INDEX(DefaultAuctionValues!$C$2:$C$1000,MATCH(A77,DefaultAuctionValues!$A$2:$A$1000,0)),0),IF(LeagueInfo!$F$7="Custom",IFERROR(INDEX(DefaultAuctionValues!$D$2:$D$1000,MATCH(A77,DefaultAuctionValues!$A$2:$A$1000,0)),0))))</f>
        <v>5</v>
      </c>
      <c r="L77" s="164">
        <f ca="1">I77-K77</f>
        <v>9.2315636620519737</v>
      </c>
      <c r="M77" s="175"/>
      <c r="N77" s="170">
        <f ca="1">INDEX(INDIRECT(""&amp;$B77&amp;"!Z2:Z628"),MATCH($A77,INDIRECT(""&amp;$B77&amp;"!B2:B628"),0))</f>
        <v>39.244999999999983</v>
      </c>
      <c r="O77" s="158" t="str">
        <f ca="1">IF(INDEX(INDIRECT(""&amp;$B77&amp;"!W2:W628"),MATCH($A77,INDIRECT(""&amp;$B77&amp;"!B2:B628"),0))=0,"",INDEX(INDIRECT(""&amp;$B77&amp;"!W2:W628"),MATCH($A77,INDIRECT(""&amp;$B77&amp;"!B2:B628"),0)))</f>
        <v/>
      </c>
    </row>
    <row r="78" spans="1:15" x14ac:dyDescent="0.25">
      <c r="A78" s="158" t="s">
        <v>2410</v>
      </c>
      <c r="B78" s="158" t="s">
        <v>35</v>
      </c>
      <c r="C78" s="162">
        <f ca="1">IFERROR(INDEX(BYEs!$B$2:$B$33,MATCH(D78,BYEs!$A$2:$A$33,0)),"N/A")</f>
        <v>11</v>
      </c>
      <c r="D78" s="219" t="str">
        <f ca="1">INDEX(INDIRECT(""&amp;B78&amp;"!F2:F628"),MATCH(A78,INDIRECT(""&amp;B78&amp;"!B2:B628"),0))</f>
        <v>SEA</v>
      </c>
      <c r="E78" s="218" t="str">
        <f ca="1">INDEX(INDIRECT(""&amp;$B78&amp;"!AA2:AA628"),MATCH($A78,INDIRECT(""&amp;$B78&amp;"!B2:B628"),0))</f>
        <v>WR7</v>
      </c>
      <c r="F78" s="159">
        <f ca="1">IF(LeagueInfo!$H$7="Starter/Bench",INDEX(INDIRECT(""&amp;B78&amp;"!T2:T628"),MATCH(A78,INDIRECT(""&amp;B78&amp;"!B2:B628"),0)),INDEX(INDIRECT(""&amp;B78&amp;"!AB2:AB628"),MATCH(A78,INDIRECT(""&amp;B78&amp;"!B2:B628"),0)))</f>
        <v>13.869187811420861</v>
      </c>
      <c r="G78" s="163">
        <f>IF(H78&gt;0,F78-H78,0)</f>
        <v>0</v>
      </c>
      <c r="H78" s="161"/>
      <c r="I78" s="163">
        <f ca="1">F78*$A$2</f>
        <v>13.869187811420861</v>
      </c>
      <c r="J78" s="160" t="s">
        <v>76</v>
      </c>
      <c r="K78" s="160">
        <f>IF(LeagueInfo!$F$7="Yahoo",IFERROR(INDEX(DefaultAuctionValues!$B$2:$B$1000,MATCH(A78,DefaultAuctionValues!$A$2:$A$1000,0)),0),IF(LeagueInfo!$F$7="ESPN",IFERROR(INDEX(DefaultAuctionValues!$C$2:$C$1000,MATCH(A78,DefaultAuctionValues!$A$2:$A$1000,0)),0),IF(LeagueInfo!$F$7="Custom",IFERROR(INDEX(DefaultAuctionValues!$D$2:$D$1000,MATCH(A78,DefaultAuctionValues!$A$2:$A$1000,0)),0))))</f>
        <v>8</v>
      </c>
      <c r="L78" s="164">
        <f ca="1">I78-K78</f>
        <v>5.8691878114208613</v>
      </c>
      <c r="M78" s="175"/>
      <c r="N78" s="170">
        <f ca="1">INDEX(INDIRECT(""&amp;$B78&amp;"!Z2:Z628"),MATCH($A78,INDIRECT(""&amp;$B78&amp;"!B2:B628"),0))</f>
        <v>37.760000000000034</v>
      </c>
      <c r="O78" s="158" t="str">
        <f ca="1">IF(INDEX(INDIRECT(""&amp;$B78&amp;"!W2:W628"),MATCH($A78,INDIRECT(""&amp;$B78&amp;"!B2:B628"),0))=0,"",INDEX(INDIRECT(""&amp;$B78&amp;"!W2:W628"),MATCH($A78,INDIRECT(""&amp;$B78&amp;"!B2:B628"),0)))</f>
        <v/>
      </c>
    </row>
    <row r="79" spans="1:15" x14ac:dyDescent="0.25">
      <c r="A79" s="158" t="s">
        <v>933</v>
      </c>
      <c r="B79" s="158" t="s">
        <v>28</v>
      </c>
      <c r="C79" s="162">
        <f ca="1">IFERROR(INDEX(BYEs!$B$2:$B$33,MATCH(D79,BYEs!$A$2:$A$33,0)),"N/A")</f>
        <v>10</v>
      </c>
      <c r="D79" s="219" t="str">
        <f ca="1">INDEX(INDIRECT(""&amp;B79&amp;"!F2:F628"),MATCH(A79,INDIRECT(""&amp;B79&amp;"!B2:B628"),0))</f>
        <v>NE</v>
      </c>
      <c r="E79" s="218" t="str">
        <f ca="1">INDEX(INDIRECT(""&amp;$B79&amp;"!AA2:AA628"),MATCH($A79,INDIRECT(""&amp;$B79&amp;"!B2:B628"),0))</f>
        <v>RB7</v>
      </c>
      <c r="F79" s="159">
        <f ca="1">IF(LeagueInfo!$H$7="Starter/Bench",INDEX(INDIRECT(""&amp;B79&amp;"!T2:T628"),MATCH(A79,INDIRECT(""&amp;B79&amp;"!B2:B628"),0)),INDEX(INDIRECT(""&amp;B79&amp;"!AB2:AB628"),MATCH(A79,INDIRECT(""&amp;B79&amp;"!B2:B628"),0)))</f>
        <v>13.845358660138727</v>
      </c>
      <c r="G79" s="163">
        <f>IF(H79&gt;0,F79-H79,0)</f>
        <v>0</v>
      </c>
      <c r="H79" s="161"/>
      <c r="I79" s="163">
        <f ca="1">F79*$A$2</f>
        <v>13.845358660138727</v>
      </c>
      <c r="J79" s="160" t="s">
        <v>76</v>
      </c>
      <c r="K79" s="160">
        <f>IF(LeagueInfo!$F$7="Yahoo",IFERROR(INDEX(DefaultAuctionValues!$B$2:$B$1000,MATCH(A79,DefaultAuctionValues!$A$2:$A$1000,0)),0),IF(LeagueInfo!$F$7="ESPN",IFERROR(INDEX(DefaultAuctionValues!$C$2:$C$1000,MATCH(A79,DefaultAuctionValues!$A$2:$A$1000,0)),0),IF(LeagueInfo!$F$7="Custom",IFERROR(INDEX(DefaultAuctionValues!$D$2:$D$1000,MATCH(A79,DefaultAuctionValues!$A$2:$A$1000,0)),0))))</f>
        <v>4</v>
      </c>
      <c r="L79" s="164">
        <f ca="1">I79-K79</f>
        <v>9.8453586601387268</v>
      </c>
      <c r="M79" s="175"/>
      <c r="N79" s="170">
        <f ca="1">INDEX(INDIRECT(""&amp;$B79&amp;"!Z2:Z628"),MATCH($A79,INDIRECT(""&amp;$B79&amp;"!B2:B628"),0))</f>
        <v>38.179999999999986</v>
      </c>
      <c r="O79" s="158" t="str">
        <f ca="1">IF(INDEX(INDIRECT(""&amp;$B79&amp;"!W2:W628"),MATCH($A79,INDIRECT(""&amp;$B79&amp;"!B2:B628"),0))=0,"",INDEX(INDIRECT(""&amp;$B79&amp;"!W2:W628"),MATCH($A79,INDIRECT(""&amp;$B79&amp;"!B2:B628"),0)))</f>
        <v/>
      </c>
    </row>
    <row r="80" spans="1:15" x14ac:dyDescent="0.25">
      <c r="A80" s="158" t="s">
        <v>948</v>
      </c>
      <c r="B80" s="158" t="s">
        <v>35</v>
      </c>
      <c r="C80" s="162">
        <f ca="1">IFERROR(INDEX(BYEs!$B$2:$B$33,MATCH(D80,BYEs!$A$2:$A$33,0)),"N/A")</f>
        <v>11</v>
      </c>
      <c r="D80" s="219" t="str">
        <f ca="1">INDEX(INDIRECT(""&amp;B80&amp;"!F2:F628"),MATCH(A80,INDIRECT(""&amp;B80&amp;"!B2:B628"),0))</f>
        <v>MIA</v>
      </c>
      <c r="E80" s="218" t="str">
        <f ca="1">INDEX(INDIRECT(""&amp;$B80&amp;"!AA2:AA628"),MATCH($A80,INDIRECT(""&amp;$B80&amp;"!B2:B628"),0))</f>
        <v>WR7</v>
      </c>
      <c r="F80" s="159">
        <f ca="1">IF(LeagueInfo!$H$7="Starter/Bench",INDEX(INDIRECT(""&amp;B80&amp;"!T2:T628"),MATCH(A80,INDIRECT(""&amp;B80&amp;"!B2:B628"),0)),INDEX(INDIRECT(""&amp;B80&amp;"!AB2:AB628"),MATCH(A80,INDIRECT(""&amp;B80&amp;"!B2:B628"),0)))</f>
        <v>13.53626447461329</v>
      </c>
      <c r="G80" s="163">
        <f>IF(H80&gt;0,F80-H80,0)</f>
        <v>0</v>
      </c>
      <c r="H80" s="161"/>
      <c r="I80" s="163">
        <f ca="1">F80*$A$2</f>
        <v>13.53626447461329</v>
      </c>
      <c r="J80" s="160" t="s">
        <v>76</v>
      </c>
      <c r="K80" s="160">
        <f>IF(LeagueInfo!$F$7="Yahoo",IFERROR(INDEX(DefaultAuctionValues!$B$2:$B$1000,MATCH(A80,DefaultAuctionValues!$A$2:$A$1000,0)),0),IF(LeagueInfo!$F$7="ESPN",IFERROR(INDEX(DefaultAuctionValues!$C$2:$C$1000,MATCH(A80,DefaultAuctionValues!$A$2:$A$1000,0)),0),IF(LeagueInfo!$F$7="Custom",IFERROR(INDEX(DefaultAuctionValues!$D$2:$D$1000,MATCH(A80,DefaultAuctionValues!$A$2:$A$1000,0)),0))))</f>
        <v>13</v>
      </c>
      <c r="L80" s="164">
        <f ca="1">I80-K80</f>
        <v>0.53626447461329008</v>
      </c>
      <c r="M80" s="175"/>
      <c r="N80" s="170">
        <f ca="1">INDEX(INDIRECT(""&amp;$B80&amp;"!Z2:Z628"),MATCH($A80,INDIRECT(""&amp;$B80&amp;"!B2:B628"),0))</f>
        <v>36.870000000000019</v>
      </c>
      <c r="O80" s="158" t="str">
        <f ca="1">IF(INDEX(INDIRECT(""&amp;$B80&amp;"!W2:W628"),MATCH($A80,INDIRECT(""&amp;$B80&amp;"!B2:B628"),0))=0,"",INDEX(INDIRECT(""&amp;$B80&amp;"!W2:W628"),MATCH($A80,INDIRECT(""&amp;$B80&amp;"!B2:B628"),0)))</f>
        <v/>
      </c>
    </row>
    <row r="81" spans="1:15" x14ac:dyDescent="0.25">
      <c r="A81" s="158" t="s">
        <v>871</v>
      </c>
      <c r="B81" s="158" t="s">
        <v>29</v>
      </c>
      <c r="C81" s="162">
        <f ca="1">IFERROR(INDEX(BYEs!$B$2:$B$33,MATCH(D81,BYEs!$A$2:$A$33,0)),"N/A")</f>
        <v>10</v>
      </c>
      <c r="D81" s="219" t="str">
        <f ca="1">INDEX(INDIRECT(""&amp;B81&amp;"!F2:F628"),MATCH(A81,INDIRECT(""&amp;B81&amp;"!B2:B628"),0))</f>
        <v>CIN</v>
      </c>
      <c r="E81" s="218" t="str">
        <f ca="1">INDEX(INDIRECT(""&amp;$B81&amp;"!AA2:AA628"),MATCH($A81,INDIRECT(""&amp;$B81&amp;"!B2:B628"),0))</f>
        <v>QB4</v>
      </c>
      <c r="F81" s="159">
        <f ca="1">IF(LeagueInfo!$H$7="Starter/Bench",INDEX(INDIRECT(""&amp;B81&amp;"!T2:T628"),MATCH(A81,INDIRECT(""&amp;B81&amp;"!B2:B628"),0)),INDEX(INDIRECT(""&amp;B81&amp;"!AB2:AB628"),MATCH(A81,INDIRECT(""&amp;B81&amp;"!B2:B628"),0)))</f>
        <v>13.361581033409056</v>
      </c>
      <c r="G81" s="163">
        <f>IF(H81&gt;0,F81-H81,0)</f>
        <v>0</v>
      </c>
      <c r="H81" s="161"/>
      <c r="I81" s="163">
        <f ca="1">F81*$A$2</f>
        <v>13.361581033409056</v>
      </c>
      <c r="J81" s="160" t="s">
        <v>76</v>
      </c>
      <c r="K81" s="160">
        <f>IF(LeagueInfo!$F$7="Yahoo",IFERROR(INDEX(DefaultAuctionValues!$B$2:$B$1000,MATCH(A81,DefaultAuctionValues!$A$2:$A$1000,0)),0),IF(LeagueInfo!$F$7="ESPN",IFERROR(INDEX(DefaultAuctionValues!$C$2:$C$1000,MATCH(A81,DefaultAuctionValues!$A$2:$A$1000,0)),0),IF(LeagueInfo!$F$7="Custom",IFERROR(INDEX(DefaultAuctionValues!$D$2:$D$1000,MATCH(A81,DefaultAuctionValues!$A$2:$A$1000,0)),0))))</f>
        <v>6</v>
      </c>
      <c r="L81" s="164">
        <f ca="1">I81-K81</f>
        <v>7.3615810334090561</v>
      </c>
      <c r="M81" s="175"/>
      <c r="N81" s="170">
        <f ca="1">INDEX(INDIRECT(""&amp;$B81&amp;"!Z2:Z628"),MATCH($A81,INDIRECT(""&amp;$B81&amp;"!B2:B628"),0))</f>
        <v>36.58099999999996</v>
      </c>
      <c r="O81" s="158" t="str">
        <f ca="1">IF(INDEX(INDIRECT(""&amp;$B81&amp;"!W2:W628"),MATCH($A81,INDIRECT(""&amp;$B81&amp;"!B2:B628"),0))=0,"",INDEX(INDIRECT(""&amp;$B81&amp;"!W2:W628"),MATCH($A81,INDIRECT(""&amp;$B81&amp;"!B2:B628"),0)))</f>
        <v/>
      </c>
    </row>
    <row r="82" spans="1:15" x14ac:dyDescent="0.25">
      <c r="A82" s="158" t="s">
        <v>953</v>
      </c>
      <c r="B82" s="158" t="s">
        <v>35</v>
      </c>
      <c r="C82" s="162">
        <f ca="1">IFERROR(INDEX(BYEs!$B$2:$B$33,MATCH(D82,BYEs!$A$2:$A$33,0)),"N/A")</f>
        <v>6</v>
      </c>
      <c r="D82" s="219" t="str">
        <f ca="1">INDEX(INDIRECT(""&amp;B82&amp;"!F2:F628"),MATCH(A82,INDIRECT(""&amp;B82&amp;"!B2:B628"),0))</f>
        <v>DET</v>
      </c>
      <c r="E82" s="218" t="str">
        <f ca="1">INDEX(INDIRECT(""&amp;$B82&amp;"!AA2:AA628"),MATCH($A82,INDIRECT(""&amp;$B82&amp;"!B2:B628"),0))</f>
        <v>WR7</v>
      </c>
      <c r="F82" s="159">
        <f ca="1">IF(LeagueInfo!$H$7="Starter/Bench",INDEX(INDIRECT(""&amp;B82&amp;"!T2:T628"),MATCH(A82,INDIRECT(""&amp;B82&amp;"!B2:B628"),0)),INDEX(INDIRECT(""&amp;B82&amp;"!AB2:AB628"),MATCH(A82,INDIRECT(""&amp;B82&amp;"!B2:B628"),0)))</f>
        <v>12.993861285432418</v>
      </c>
      <c r="G82" s="163">
        <f>IF(H82&gt;0,F82-H82,0)</f>
        <v>0</v>
      </c>
      <c r="H82" s="161"/>
      <c r="I82" s="163">
        <f ca="1">F82*$A$2</f>
        <v>12.993861285432418</v>
      </c>
      <c r="J82" s="160" t="s">
        <v>76</v>
      </c>
      <c r="K82" s="160">
        <f>IF(LeagueInfo!$F$7="Yahoo",IFERROR(INDEX(DefaultAuctionValues!$B$2:$B$1000,MATCH(A82,DefaultAuctionValues!$A$2:$A$1000,0)),0),IF(LeagueInfo!$F$7="ESPN",IFERROR(INDEX(DefaultAuctionValues!$C$2:$C$1000,MATCH(A82,DefaultAuctionValues!$A$2:$A$1000,0)),0),IF(LeagueInfo!$F$7="Custom",IFERROR(INDEX(DefaultAuctionValues!$D$2:$D$1000,MATCH(A82,DefaultAuctionValues!$A$2:$A$1000,0)),0))))</f>
        <v>5</v>
      </c>
      <c r="L82" s="164">
        <f ca="1">I82-K82</f>
        <v>7.993861285432418</v>
      </c>
      <c r="M82" s="175"/>
      <c r="N82" s="170">
        <f ca="1">INDEX(INDIRECT(""&amp;$B82&amp;"!Z2:Z628"),MATCH($A82,INDIRECT(""&amp;$B82&amp;"!B2:B628"),0))</f>
        <v>35.42</v>
      </c>
      <c r="O82" s="158" t="str">
        <f ca="1">IF(INDEX(INDIRECT(""&amp;$B82&amp;"!W2:W628"),MATCH($A82,INDIRECT(""&amp;$B82&amp;"!B2:B628"),0))=0,"",INDEX(INDIRECT(""&amp;$B82&amp;"!W2:W628"),MATCH($A82,INDIRECT(""&amp;$B82&amp;"!B2:B628"),0)))</f>
        <v/>
      </c>
    </row>
    <row r="83" spans="1:15" x14ac:dyDescent="0.25">
      <c r="A83" s="158" t="s">
        <v>708</v>
      </c>
      <c r="B83" s="158" t="s">
        <v>35</v>
      </c>
      <c r="C83" s="162">
        <f ca="1">IFERROR(INDEX(BYEs!$B$2:$B$33,MATCH(D83,BYEs!$A$2:$A$33,0)),"N/A")</f>
        <v>14</v>
      </c>
      <c r="D83" s="219" t="str">
        <f ca="1">INDEX(INDIRECT(""&amp;B83&amp;"!F2:F628"),MATCH(A83,INDIRECT(""&amp;B83&amp;"!B2:B628"),0))</f>
        <v>WAS</v>
      </c>
      <c r="E83" s="218" t="str">
        <f ca="1">INDEX(INDIRECT(""&amp;$B83&amp;"!AA2:AA628"),MATCH($A83,INDIRECT(""&amp;$B83&amp;"!B2:B628"),0))</f>
        <v>WR7</v>
      </c>
      <c r="F83" s="159">
        <f ca="1">IF(LeagueInfo!$H$7="Starter/Bench",INDEX(INDIRECT(""&amp;B83&amp;"!T2:T628"),MATCH(A83,INDIRECT(""&amp;B83&amp;"!B2:B628"),0)),INDEX(INDIRECT(""&amp;B83&amp;"!AB2:AB628"),MATCH(A83,INDIRECT(""&amp;B83&amp;"!B2:B628"),0)))</f>
        <v>12.698345065120098</v>
      </c>
      <c r="G83" s="163">
        <f>IF(H83&gt;0,F83-H83,0)</f>
        <v>0</v>
      </c>
      <c r="H83" s="161"/>
      <c r="I83" s="163">
        <f ca="1">F83*$A$2</f>
        <v>12.698345065120098</v>
      </c>
      <c r="J83" s="160" t="s">
        <v>76</v>
      </c>
      <c r="K83" s="160">
        <f>IF(LeagueInfo!$F$7="Yahoo",IFERROR(INDEX(DefaultAuctionValues!$B$2:$B$1000,MATCH(A83,DefaultAuctionValues!$A$2:$A$1000,0)),0),IF(LeagueInfo!$F$7="ESPN",IFERROR(INDEX(DefaultAuctionValues!$C$2:$C$1000,MATCH(A83,DefaultAuctionValues!$A$2:$A$1000,0)),0),IF(LeagueInfo!$F$7="Custom",IFERROR(INDEX(DefaultAuctionValues!$D$2:$D$1000,MATCH(A83,DefaultAuctionValues!$A$2:$A$1000,0)),0))))</f>
        <v>12</v>
      </c>
      <c r="L83" s="164">
        <f ca="1">I83-K83</f>
        <v>0.69834506512009753</v>
      </c>
      <c r="M83" s="175"/>
      <c r="N83" s="170">
        <f ca="1">INDEX(INDIRECT(""&amp;$B83&amp;"!Z2:Z628"),MATCH($A83,INDIRECT(""&amp;$B83&amp;"!B2:B628"),0))</f>
        <v>34.630000000000038</v>
      </c>
      <c r="O83" s="158" t="str">
        <f ca="1">IF(INDEX(INDIRECT(""&amp;$B83&amp;"!W2:W628"),MATCH($A83,INDIRECT(""&amp;$B83&amp;"!B2:B628"),0))=0,"",INDEX(INDIRECT(""&amp;$B83&amp;"!W2:W628"),MATCH($A83,INDIRECT(""&amp;$B83&amp;"!B2:B628"),0)))</f>
        <v/>
      </c>
    </row>
    <row r="84" spans="1:15" x14ac:dyDescent="0.25">
      <c r="A84" s="158" t="s">
        <v>854</v>
      </c>
      <c r="B84" s="158" t="s">
        <v>35</v>
      </c>
      <c r="C84" s="162">
        <f ca="1">IFERROR(INDEX(BYEs!$B$2:$B$33,MATCH(D84,BYEs!$A$2:$A$33,0)),"N/A")</f>
        <v>7</v>
      </c>
      <c r="D84" s="219" t="str">
        <f ca="1">INDEX(INDIRECT(""&amp;B84&amp;"!F2:F628"),MATCH(A84,INDIRECT(""&amp;B84&amp;"!B2:B628"),0))</f>
        <v>BUF</v>
      </c>
      <c r="E84" s="218" t="str">
        <f ca="1">INDEX(INDIRECT(""&amp;$B84&amp;"!AA2:AA628"),MATCH($A84,INDIRECT(""&amp;$B84&amp;"!B2:B628"),0))</f>
        <v>WR7</v>
      </c>
      <c r="F84" s="159">
        <f ca="1">IF(LeagueInfo!$H$7="Starter/Bench",INDEX(INDIRECT(""&amp;B84&amp;"!T2:T628"),MATCH(A84,INDIRECT(""&amp;B84&amp;"!B2:B628"),0)),INDEX(INDIRECT(""&amp;B84&amp;"!AB2:AB628"),MATCH(A84,INDIRECT(""&amp;B84&amp;"!B2:B628"),0)))</f>
        <v>12.582383003984878</v>
      </c>
      <c r="G84" s="163">
        <f>IF(H84&gt;0,F84-H84,0)</f>
        <v>0</v>
      </c>
      <c r="H84" s="161"/>
      <c r="I84" s="163">
        <f ca="1">F84*$A$2</f>
        <v>12.582383003984878</v>
      </c>
      <c r="J84" s="160" t="s">
        <v>76</v>
      </c>
      <c r="K84" s="160">
        <f>IF(LeagueInfo!$F$7="Yahoo",IFERROR(INDEX(DefaultAuctionValues!$B$2:$B$1000,MATCH(A84,DefaultAuctionValues!$A$2:$A$1000,0)),0),IF(LeagueInfo!$F$7="ESPN",IFERROR(INDEX(DefaultAuctionValues!$C$2:$C$1000,MATCH(A84,DefaultAuctionValues!$A$2:$A$1000,0)),0),IF(LeagueInfo!$F$7="Custom",IFERROR(INDEX(DefaultAuctionValues!$D$2:$D$1000,MATCH(A84,DefaultAuctionValues!$A$2:$A$1000,0)),0))))</f>
        <v>5</v>
      </c>
      <c r="L84" s="164">
        <f ca="1">I84-K84</f>
        <v>7.5823830039848783</v>
      </c>
      <c r="M84" s="175"/>
      <c r="N84" s="170">
        <f ca="1">INDEX(INDIRECT(""&amp;$B84&amp;"!Z2:Z628"),MATCH($A84,INDIRECT(""&amp;$B84&amp;"!B2:B628"),0))</f>
        <v>34.320000000000036</v>
      </c>
      <c r="O84" s="158" t="str">
        <f ca="1">IF(INDEX(INDIRECT(""&amp;$B84&amp;"!W2:W628"),MATCH($A84,INDIRECT(""&amp;$B84&amp;"!B2:B628"),0))=0,"",INDEX(INDIRECT(""&amp;$B84&amp;"!W2:W628"),MATCH($A84,INDIRECT(""&amp;$B84&amp;"!B2:B628"),0)))</f>
        <v/>
      </c>
    </row>
    <row r="85" spans="1:15" x14ac:dyDescent="0.25">
      <c r="A85" s="158" t="s">
        <v>103</v>
      </c>
      <c r="B85" s="158" t="s">
        <v>35</v>
      </c>
      <c r="C85" s="162">
        <f ca="1">IFERROR(INDEX(BYEs!$B$2:$B$33,MATCH(D85,BYEs!$A$2:$A$33,0)),"N/A")</f>
        <v>14</v>
      </c>
      <c r="D85" s="219" t="str">
        <f ca="1">INDEX(INDIRECT(""&amp;B85&amp;"!F2:F628"),MATCH(A85,INDIRECT(""&amp;B85&amp;"!B2:B628"),0))</f>
        <v>NO</v>
      </c>
      <c r="E85" s="218" t="str">
        <f ca="1">INDEX(INDIRECT(""&amp;$B85&amp;"!AA2:AA628"),MATCH($A85,INDIRECT(""&amp;$B85&amp;"!B2:B628"),0))</f>
        <v>WR7</v>
      </c>
      <c r="F85" s="159">
        <f ca="1">IF(LeagueInfo!$H$7="Starter/Bench",INDEX(INDIRECT(""&amp;B85&amp;"!T2:T628"),MATCH(A85,INDIRECT(""&amp;B85&amp;"!B2:B628"),0)),INDEX(INDIRECT(""&amp;B85&amp;"!AB2:AB628"),MATCH(A85,INDIRECT(""&amp;B85&amp;"!B2:B628"),0)))</f>
        <v>12.204571127383026</v>
      </c>
      <c r="G85" s="163">
        <f>IF(H85&gt;0,F85-H85,0)</f>
        <v>0</v>
      </c>
      <c r="H85" s="161"/>
      <c r="I85" s="163">
        <f ca="1">F85*$A$2</f>
        <v>12.204571127383026</v>
      </c>
      <c r="J85" s="160" t="s">
        <v>76</v>
      </c>
      <c r="K85" s="160">
        <f>IF(LeagueInfo!$F$7="Yahoo",IFERROR(INDEX(DefaultAuctionValues!$B$2:$B$1000,MATCH(A85,DefaultAuctionValues!$A$2:$A$1000,0)),0),IF(LeagueInfo!$F$7="ESPN",IFERROR(INDEX(DefaultAuctionValues!$C$2:$C$1000,MATCH(A85,DefaultAuctionValues!$A$2:$A$1000,0)),0),IF(LeagueInfo!$F$7="Custom",IFERROR(INDEX(DefaultAuctionValues!$D$2:$D$1000,MATCH(A85,DefaultAuctionValues!$A$2:$A$1000,0)),0))))</f>
        <v>6</v>
      </c>
      <c r="L85" s="164">
        <f ca="1">I85-K85</f>
        <v>6.2045711273830264</v>
      </c>
      <c r="M85" s="175"/>
      <c r="N85" s="170">
        <f ca="1">INDEX(INDIRECT(""&amp;$B85&amp;"!Z2:Z628"),MATCH($A85,INDIRECT(""&amp;$B85&amp;"!B2:B628"),0))</f>
        <v>33.310000000000016</v>
      </c>
      <c r="O85" s="158" t="str">
        <f ca="1">IF(INDEX(INDIRECT(""&amp;$B85&amp;"!W2:W628"),MATCH($A85,INDIRECT(""&amp;$B85&amp;"!B2:B628"),0))=0,"",INDEX(INDIRECT(""&amp;$B85&amp;"!W2:W628"),MATCH($A85,INDIRECT(""&amp;$B85&amp;"!B2:B628"),0)))</f>
        <v/>
      </c>
    </row>
    <row r="86" spans="1:15" x14ac:dyDescent="0.25">
      <c r="A86" s="158" t="s">
        <v>161</v>
      </c>
      <c r="B86" s="158" t="s">
        <v>28</v>
      </c>
      <c r="C86" s="162">
        <f ca="1">IFERROR(INDEX(BYEs!$B$2:$B$33,MATCH(D86,BYEs!$A$2:$A$33,0)),"N/A")</f>
        <v>9</v>
      </c>
      <c r="D86" s="219" t="str">
        <f ca="1">INDEX(INDIRECT(""&amp;B86&amp;"!F2:F628"),MATCH(A86,INDIRECT(""&amp;B86&amp;"!B2:B628"),0))</f>
        <v>CLE</v>
      </c>
      <c r="E86" s="218" t="str">
        <f ca="1">INDEX(INDIRECT(""&amp;$B86&amp;"!AA2:AA628"),MATCH($A86,INDIRECT(""&amp;$B86&amp;"!B2:B628"),0))</f>
        <v>RB7</v>
      </c>
      <c r="F86" s="159">
        <f ca="1">IF(LeagueInfo!$H$7="Starter/Bench",INDEX(INDIRECT(""&amp;B86&amp;"!T2:T628"),MATCH(A86,INDIRECT(""&amp;B86&amp;"!B2:B628"),0)),INDEX(INDIRECT(""&amp;B86&amp;"!AB2:AB628"),MATCH(A86,INDIRECT(""&amp;B86&amp;"!B2:B628"),0)))</f>
        <v>11.812796185280753</v>
      </c>
      <c r="G86" s="163">
        <f>IF(H86&gt;0,F86-H86,0)</f>
        <v>0</v>
      </c>
      <c r="H86" s="161"/>
      <c r="I86" s="163">
        <f ca="1">F86*$A$2</f>
        <v>11.812796185280753</v>
      </c>
      <c r="J86" s="160" t="s">
        <v>76</v>
      </c>
      <c r="K86" s="160">
        <f>IF(LeagueInfo!$F$7="Yahoo",IFERROR(INDEX(DefaultAuctionValues!$B$2:$B$1000,MATCH(A86,DefaultAuctionValues!$A$2:$A$1000,0)),0),IF(LeagueInfo!$F$7="ESPN",IFERROR(INDEX(DefaultAuctionValues!$C$2:$C$1000,MATCH(A86,DefaultAuctionValues!$A$2:$A$1000,0)),0),IF(LeagueInfo!$F$7="Custom",IFERROR(INDEX(DefaultAuctionValues!$D$2:$D$1000,MATCH(A86,DefaultAuctionValues!$A$2:$A$1000,0)),0))))</f>
        <v>4</v>
      </c>
      <c r="L86" s="164">
        <f ca="1">I86-K86</f>
        <v>7.812796185280753</v>
      </c>
      <c r="M86" s="175"/>
      <c r="N86" s="170">
        <f ca="1">INDEX(INDIRECT(""&amp;$B86&amp;"!Z2:Z628"),MATCH($A86,INDIRECT(""&amp;$B86&amp;"!B2:B628"),0))</f>
        <v>32.574999999999996</v>
      </c>
      <c r="O86" s="158" t="str">
        <f ca="1">IF(INDEX(INDIRECT(""&amp;$B86&amp;"!W2:W628"),MATCH($A86,INDIRECT(""&amp;$B86&amp;"!B2:B628"),0))=0,"",INDEX(INDIRECT(""&amp;$B86&amp;"!W2:W628"),MATCH($A86,INDIRECT(""&amp;$B86&amp;"!B2:B628"),0)))</f>
        <v/>
      </c>
    </row>
    <row r="87" spans="1:15" x14ac:dyDescent="0.25">
      <c r="A87" s="158" t="s">
        <v>112</v>
      </c>
      <c r="B87" s="158" t="s">
        <v>29</v>
      </c>
      <c r="C87" s="162">
        <f ca="1">IFERROR(INDEX(BYEs!$B$2:$B$33,MATCH(D87,BYEs!$A$2:$A$33,0)),"N/A")</f>
        <v>14</v>
      </c>
      <c r="D87" s="219" t="str">
        <f ca="1">INDEX(INDIRECT(""&amp;B87&amp;"!F2:F628"),MATCH(A87,INDIRECT(""&amp;B87&amp;"!B2:B628"),0))</f>
        <v>GB</v>
      </c>
      <c r="E87" s="218" t="str">
        <f ca="1">INDEX(INDIRECT(""&amp;$B87&amp;"!AA2:AA628"),MATCH($A87,INDIRECT(""&amp;$B87&amp;"!B2:B628"),0))</f>
        <v>QB4</v>
      </c>
      <c r="F87" s="159">
        <f ca="1">IF(LeagueInfo!$H$7="Starter/Bench",INDEX(INDIRECT(""&amp;B87&amp;"!T2:T628"),MATCH(A87,INDIRECT(""&amp;B87&amp;"!B2:B628"),0)),INDEX(INDIRECT(""&amp;B87&amp;"!AB2:AB628"),MATCH(A87,INDIRECT(""&amp;B87&amp;"!B2:B628"),0)))</f>
        <v>11.335611604027308</v>
      </c>
      <c r="G87" s="163">
        <f>IF(H87&gt;0,F87-H87,0)</f>
        <v>0</v>
      </c>
      <c r="H87" s="161"/>
      <c r="I87" s="163">
        <f ca="1">F87*$A$2</f>
        <v>11.335611604027308</v>
      </c>
      <c r="J87" s="160" t="s">
        <v>76</v>
      </c>
      <c r="K87" s="160">
        <f>IF(LeagueInfo!$F$7="Yahoo",IFERROR(INDEX(DefaultAuctionValues!$B$2:$B$1000,MATCH(A87,DefaultAuctionValues!$A$2:$A$1000,0)),0),IF(LeagueInfo!$F$7="ESPN",IFERROR(INDEX(DefaultAuctionValues!$C$2:$C$1000,MATCH(A87,DefaultAuctionValues!$A$2:$A$1000,0)),0),IF(LeagueInfo!$F$7="Custom",IFERROR(INDEX(DefaultAuctionValues!$D$2:$D$1000,MATCH(A87,DefaultAuctionValues!$A$2:$A$1000,0)),0))))</f>
        <v>2</v>
      </c>
      <c r="L87" s="164">
        <f ca="1">I87-K87</f>
        <v>9.3356116040273083</v>
      </c>
      <c r="M87" s="175"/>
      <c r="N87" s="170">
        <f ca="1">INDEX(INDIRECT(""&amp;$B87&amp;"!Z2:Z628"),MATCH($A87,INDIRECT(""&amp;$B87&amp;"!B2:B628"),0))</f>
        <v>31.16500000000002</v>
      </c>
      <c r="O87" s="158" t="str">
        <f ca="1">IF(INDEX(INDIRECT(""&amp;$B87&amp;"!W2:W628"),MATCH($A87,INDIRECT(""&amp;$B87&amp;"!B2:B628"),0))=0,"",INDEX(INDIRECT(""&amp;$B87&amp;"!W2:W628"),MATCH($A87,INDIRECT(""&amp;$B87&amp;"!B2:B628"),0)))</f>
        <v/>
      </c>
    </row>
    <row r="88" spans="1:15" x14ac:dyDescent="0.25">
      <c r="A88" s="158" t="s">
        <v>700</v>
      </c>
      <c r="B88" s="158" t="s">
        <v>35</v>
      </c>
      <c r="C88" s="162">
        <f ca="1">IFERROR(INDEX(BYEs!$B$2:$B$33,MATCH(D88,BYEs!$A$2:$A$33,0)),"N/A")</f>
        <v>13</v>
      </c>
      <c r="D88" s="219" t="str">
        <f ca="1">INDEX(INDIRECT(""&amp;B88&amp;"!F2:F628"),MATCH(A88,INDIRECT(""&amp;B88&amp;"!B2:B628"),0))</f>
        <v>ARI</v>
      </c>
      <c r="E88" s="218" t="str">
        <f ca="1">INDEX(INDIRECT(""&amp;$B88&amp;"!AA2:AA628"),MATCH($A88,INDIRECT(""&amp;$B88&amp;"!B2:B628"),0))</f>
        <v>WR7</v>
      </c>
      <c r="F88" s="159">
        <f ca="1">IF(LeagueInfo!$H$7="Starter/Bench",INDEX(INDIRECT(""&amp;B88&amp;"!T2:T628"),MATCH(A88,INDIRECT(""&amp;B88&amp;"!B2:B628"),0)),INDEX(INDIRECT(""&amp;B88&amp;"!AB2:AB628"),MATCH(A88,INDIRECT(""&amp;B88&amp;"!B2:B628"),0)))</f>
        <v>11.011284111185136</v>
      </c>
      <c r="G88" s="163">
        <f>IF(H88&gt;0,F88-H88,0)</f>
        <v>0</v>
      </c>
      <c r="H88" s="161"/>
      <c r="I88" s="163">
        <f ca="1">F88*$A$2</f>
        <v>11.011284111185136</v>
      </c>
      <c r="J88" s="160" t="s">
        <v>76</v>
      </c>
      <c r="K88" s="160">
        <f>IF(LeagueInfo!$F$7="Yahoo",IFERROR(INDEX(DefaultAuctionValues!$B$2:$B$1000,MATCH(A88,DefaultAuctionValues!$A$2:$A$1000,0)),0),IF(LeagueInfo!$F$7="ESPN",IFERROR(INDEX(DefaultAuctionValues!$C$2:$C$1000,MATCH(A88,DefaultAuctionValues!$A$2:$A$1000,0)),0),IF(LeagueInfo!$F$7="Custom",IFERROR(INDEX(DefaultAuctionValues!$D$2:$D$1000,MATCH(A88,DefaultAuctionValues!$A$2:$A$1000,0)),0))))</f>
        <v>3</v>
      </c>
      <c r="L88" s="164">
        <f ca="1">I88-K88</f>
        <v>8.0112841111851356</v>
      </c>
      <c r="M88" s="175"/>
      <c r="N88" s="170">
        <f ca="1">INDEX(INDIRECT(""&amp;$B88&amp;"!Z2:Z628"),MATCH($A88,INDIRECT(""&amp;$B88&amp;"!B2:B628"),0))</f>
        <v>30.120000000000047</v>
      </c>
      <c r="O88" s="158" t="str">
        <f ca="1">IF(INDEX(INDIRECT(""&amp;$B88&amp;"!W2:W628"),MATCH($A88,INDIRECT(""&amp;$B88&amp;"!B2:B628"),0))=0,"",INDEX(INDIRECT(""&amp;$B88&amp;"!W2:W628"),MATCH($A88,INDIRECT(""&amp;$B88&amp;"!B2:B628"),0)))</f>
        <v/>
      </c>
    </row>
    <row r="89" spans="1:15" x14ac:dyDescent="0.25">
      <c r="A89" s="158" t="s">
        <v>565</v>
      </c>
      <c r="B89" s="158" t="s">
        <v>35</v>
      </c>
      <c r="C89" s="162">
        <f ca="1">IFERROR(INDEX(BYEs!$B$2:$B$33,MATCH(D89,BYEs!$A$2:$A$33,0)),"N/A")</f>
        <v>9</v>
      </c>
      <c r="D89" s="219" t="str">
        <f ca="1">INDEX(INDIRECT(""&amp;B89&amp;"!F2:F628"),MATCH(A89,INDIRECT(""&amp;B89&amp;"!B2:B628"),0))</f>
        <v>DEN</v>
      </c>
      <c r="E89" s="218" t="str">
        <f ca="1">INDEX(INDIRECT(""&amp;$B89&amp;"!AA2:AA628"),MATCH($A89,INDIRECT(""&amp;$B89&amp;"!B2:B628"),0))</f>
        <v>WR7</v>
      </c>
      <c r="F89" s="159">
        <f ca="1">IF(LeagueInfo!$H$7="Starter/Bench",INDEX(INDIRECT(""&amp;B89&amp;"!T2:T628"),MATCH(A89,INDIRECT(""&amp;B89&amp;"!B2:B628"),0)),INDEX(INDIRECT(""&amp;B89&amp;"!AB2:AB628"),MATCH(A89,INDIRECT(""&amp;B89&amp;"!B2:B628"),0)))</f>
        <v>10.857914933554675</v>
      </c>
      <c r="G89" s="163">
        <f>IF(H89&gt;0,F89-H89,0)</f>
        <v>0</v>
      </c>
      <c r="H89" s="161"/>
      <c r="I89" s="163">
        <f ca="1">F89*$A$2</f>
        <v>10.857914933554675</v>
      </c>
      <c r="J89" s="160" t="s">
        <v>76</v>
      </c>
      <c r="K89" s="160">
        <f>IF(LeagueInfo!$F$7="Yahoo",IFERROR(INDEX(DefaultAuctionValues!$B$2:$B$1000,MATCH(A89,DefaultAuctionValues!$A$2:$A$1000,0)),0),IF(LeagueInfo!$F$7="ESPN",IFERROR(INDEX(DefaultAuctionValues!$C$2:$C$1000,MATCH(A89,DefaultAuctionValues!$A$2:$A$1000,0)),0),IF(LeagueInfo!$F$7="Custom",IFERROR(INDEX(DefaultAuctionValues!$D$2:$D$1000,MATCH(A89,DefaultAuctionValues!$A$2:$A$1000,0)),0))))</f>
        <v>10</v>
      </c>
      <c r="L89" s="164">
        <f ca="1">I89-K89</f>
        <v>0.85791493355467452</v>
      </c>
      <c r="M89" s="175"/>
      <c r="N89" s="170">
        <f ca="1">INDEX(INDIRECT(""&amp;$B89&amp;"!Z2:Z628"),MATCH($A89,INDIRECT(""&amp;$B89&amp;"!B2:B628"),0))</f>
        <v>29.710000000000022</v>
      </c>
      <c r="O89" s="158" t="str">
        <f ca="1">IF(INDEX(INDIRECT(""&amp;$B89&amp;"!W2:W628"),MATCH($A89,INDIRECT(""&amp;$B89&amp;"!B2:B628"),0))=0,"",INDEX(INDIRECT(""&amp;$B89&amp;"!W2:W628"),MATCH($A89,INDIRECT(""&amp;$B89&amp;"!B2:B628"),0)))</f>
        <v/>
      </c>
    </row>
    <row r="90" spans="1:15" x14ac:dyDescent="0.25">
      <c r="A90" s="158" t="s">
        <v>590</v>
      </c>
      <c r="B90" s="158" t="s">
        <v>43</v>
      </c>
      <c r="C90" s="162">
        <f ca="1">IFERROR(INDEX(BYEs!$B$2:$B$33,MATCH(D90,BYEs!$A$2:$A$33,0)),"N/A")</f>
        <v>7</v>
      </c>
      <c r="D90" s="219" t="str">
        <f ca="1">INDEX(INDIRECT(""&amp;B90&amp;"!F2:F628"),MATCH(A90,INDIRECT(""&amp;B90&amp;"!B2:B628"),0))</f>
        <v>PHI</v>
      </c>
      <c r="E90" s="218" t="str">
        <f ca="1">INDEX(INDIRECT(""&amp;$B90&amp;"!AA2:AA628"),MATCH($A90,INDIRECT(""&amp;$B90&amp;"!B2:B628"),0))</f>
        <v>TE7</v>
      </c>
      <c r="F90" s="159">
        <f ca="1">IF(LeagueInfo!$H$7="Starter/Bench",INDEX(INDIRECT(""&amp;B90&amp;"!T2:T628"),MATCH(A90,INDIRECT(""&amp;B90&amp;"!B2:B628"),0)),INDEX(INDIRECT(""&amp;B90&amp;"!AB2:AB628"),MATCH(A90,INDIRECT(""&amp;B90&amp;"!B2:B628"),0)))</f>
        <v>10.851993426139117</v>
      </c>
      <c r="G90" s="163">
        <f>IF(H90&gt;0,F90-H90,0)</f>
        <v>0</v>
      </c>
      <c r="H90" s="161"/>
      <c r="I90" s="163">
        <f ca="1">F90*$A$2</f>
        <v>10.851993426139117</v>
      </c>
      <c r="J90" s="160" t="s">
        <v>76</v>
      </c>
      <c r="K90" s="160">
        <f>IF(LeagueInfo!$F$7="Yahoo",IFERROR(INDEX(DefaultAuctionValues!$B$2:$B$1000,MATCH(A90,DefaultAuctionValues!$A$2:$A$1000,0)),0),IF(LeagueInfo!$F$7="ESPN",IFERROR(INDEX(DefaultAuctionValues!$C$2:$C$1000,MATCH(A90,DefaultAuctionValues!$A$2:$A$1000,0)),0),IF(LeagueInfo!$F$7="Custom",IFERROR(INDEX(DefaultAuctionValues!$D$2:$D$1000,MATCH(A90,DefaultAuctionValues!$A$2:$A$1000,0)),0))))</f>
        <v>3</v>
      </c>
      <c r="L90" s="164">
        <f ca="1">I90-K90</f>
        <v>7.8519934261391171</v>
      </c>
      <c r="M90" s="175"/>
      <c r="N90" s="170">
        <f ca="1">INDEX(INDIRECT(""&amp;$B90&amp;"!Z2:Z628"),MATCH($A90,INDIRECT(""&amp;$B90&amp;"!B2:B628"),0))</f>
        <v>29.259999999999977</v>
      </c>
      <c r="O90" s="158" t="str">
        <f ca="1">IF(INDEX(INDIRECT(""&amp;$B90&amp;"!W2:W628"),MATCH($A90,INDIRECT(""&amp;$B90&amp;"!B2:B628"),0))=0,"",INDEX(INDIRECT(""&amp;$B90&amp;"!W2:W628"),MATCH($A90,INDIRECT(""&amp;$B90&amp;"!B2:B628"),0)))</f>
        <v/>
      </c>
    </row>
    <row r="91" spans="1:15" x14ac:dyDescent="0.25">
      <c r="A91" s="158" t="s">
        <v>929</v>
      </c>
      <c r="B91" s="158" t="s">
        <v>28</v>
      </c>
      <c r="C91" s="162">
        <f ca="1">IFERROR(INDEX(BYEs!$B$2:$B$33,MATCH(D91,BYEs!$A$2:$A$33,0)),"N/A")</f>
        <v>10</v>
      </c>
      <c r="D91" s="219" t="str">
        <f ca="1">INDEX(INDIRECT(""&amp;B91&amp;"!F2:F628"),MATCH(A91,INDIRECT(""&amp;B91&amp;"!B2:B628"),0))</f>
        <v>NYJ</v>
      </c>
      <c r="E91" s="218" t="str">
        <f ca="1">INDEX(INDIRECT(""&amp;$B91&amp;"!AA2:AA628"),MATCH($A91,INDIRECT(""&amp;$B91&amp;"!B2:B628"),0))</f>
        <v>RB7</v>
      </c>
      <c r="F91" s="159">
        <f ca="1">IF(LeagueInfo!$H$7="Starter/Bench",INDEX(INDIRECT(""&amp;B91&amp;"!T2:T628"),MATCH(A91,INDIRECT(""&amp;B91&amp;"!B2:B628"),0)),INDEX(INDIRECT(""&amp;B91&amp;"!AB2:AB628"),MATCH(A91,INDIRECT(""&amp;B91&amp;"!B2:B628"),0)))</f>
        <v>10.830058574778498</v>
      </c>
      <c r="G91" s="163">
        <f>IF(H91&gt;0,F91-H91,0)</f>
        <v>0</v>
      </c>
      <c r="H91" s="161"/>
      <c r="I91" s="163">
        <f ca="1">F91*$A$2</f>
        <v>10.830058574778498</v>
      </c>
      <c r="J91" s="160" t="s">
        <v>76</v>
      </c>
      <c r="K91" s="160">
        <f>IF(LeagueInfo!$F$7="Yahoo",IFERROR(INDEX(DefaultAuctionValues!$B$2:$B$1000,MATCH(A91,DefaultAuctionValues!$A$2:$A$1000,0)),0),IF(LeagueInfo!$F$7="ESPN",IFERROR(INDEX(DefaultAuctionValues!$C$2:$C$1000,MATCH(A91,DefaultAuctionValues!$A$2:$A$1000,0)),0),IF(LeagueInfo!$F$7="Custom",IFERROR(INDEX(DefaultAuctionValues!$D$2:$D$1000,MATCH(A91,DefaultAuctionValues!$A$2:$A$1000,0)),0))))</f>
        <v>1</v>
      </c>
      <c r="L91" s="164">
        <f ca="1">I91-K91</f>
        <v>9.8300585747784979</v>
      </c>
      <c r="M91" s="175"/>
      <c r="N91" s="170">
        <f ca="1">INDEX(INDIRECT(""&amp;$B91&amp;"!Z2:Z628"),MATCH($A91,INDIRECT(""&amp;$B91&amp;"!B2:B628"),0))</f>
        <v>29.864999999999988</v>
      </c>
      <c r="O91" s="158" t="str">
        <f ca="1">IF(INDEX(INDIRECT(""&amp;$B91&amp;"!W2:W628"),MATCH($A91,INDIRECT(""&amp;$B91&amp;"!B2:B628"),0))=0,"",INDEX(INDIRECT(""&amp;$B91&amp;"!W2:W628"),MATCH($A91,INDIRECT(""&amp;$B91&amp;"!B2:B628"),0)))</f>
        <v/>
      </c>
    </row>
    <row r="92" spans="1:15" x14ac:dyDescent="0.25">
      <c r="A92" s="158" t="s">
        <v>928</v>
      </c>
      <c r="B92" s="158" t="s">
        <v>28</v>
      </c>
      <c r="C92" s="162">
        <f ca="1">IFERROR(INDEX(BYEs!$B$2:$B$33,MATCH(D92,BYEs!$A$2:$A$33,0)),"N/A")</f>
        <v>9</v>
      </c>
      <c r="D92" s="219" t="str">
        <f ca="1">INDEX(INDIRECT(""&amp;B92&amp;"!F2:F628"),MATCH(A92,INDIRECT(""&amp;B92&amp;"!B2:B628"),0))</f>
        <v>DEN</v>
      </c>
      <c r="E92" s="218" t="str">
        <f ca="1">INDEX(INDIRECT(""&amp;$B92&amp;"!AA2:AA628"),MATCH($A92,INDIRECT(""&amp;$B92&amp;"!B2:B628"),0))</f>
        <v>RB7</v>
      </c>
      <c r="F92" s="159">
        <f ca="1">IF(LeagueInfo!$H$7="Starter/Bench",INDEX(INDIRECT(""&amp;B92&amp;"!T2:T628"),MATCH(A92,INDIRECT(""&amp;B92&amp;"!B2:B628"),0)),INDEX(INDIRECT(""&amp;B92&amp;"!AB2:AB628"),MATCH(A92,INDIRECT(""&amp;B92&amp;"!B2:B628"),0)))</f>
        <v>10.675939207817819</v>
      </c>
      <c r="G92" s="163">
        <f>IF(H92&gt;0,F92-H92,0)</f>
        <v>0</v>
      </c>
      <c r="H92" s="161"/>
      <c r="I92" s="163">
        <f ca="1">F92*$A$2</f>
        <v>10.675939207817819</v>
      </c>
      <c r="J92" s="160" t="s">
        <v>76</v>
      </c>
      <c r="K92" s="160">
        <f>IF(LeagueInfo!$F$7="Yahoo",IFERROR(INDEX(DefaultAuctionValues!$B$2:$B$1000,MATCH(A92,DefaultAuctionValues!$A$2:$A$1000,0)),0),IF(LeagueInfo!$F$7="ESPN",IFERROR(INDEX(DefaultAuctionValues!$C$2:$C$1000,MATCH(A92,DefaultAuctionValues!$A$2:$A$1000,0)),0),IF(LeagueInfo!$F$7="Custom",IFERROR(INDEX(DefaultAuctionValues!$D$2:$D$1000,MATCH(A92,DefaultAuctionValues!$A$2:$A$1000,0)),0))))</f>
        <v>2</v>
      </c>
      <c r="L92" s="164">
        <f ca="1">I92-K92</f>
        <v>8.6759392078178195</v>
      </c>
      <c r="M92" s="175"/>
      <c r="N92" s="170">
        <f ca="1">INDEX(INDIRECT(""&amp;$B92&amp;"!Z2:Z628"),MATCH($A92,INDIRECT(""&amp;$B92&amp;"!B2:B628"),0))</f>
        <v>29.440000000000005</v>
      </c>
      <c r="O92" s="158" t="str">
        <f ca="1">IF(INDEX(INDIRECT(""&amp;$B92&amp;"!W2:W628"),MATCH($A92,INDIRECT(""&amp;$B92&amp;"!B2:B628"),0))=0,"",INDEX(INDIRECT(""&amp;$B92&amp;"!W2:W628"),MATCH($A92,INDIRECT(""&amp;$B92&amp;"!B2:B628"),0)))</f>
        <v/>
      </c>
    </row>
    <row r="93" spans="1:15" x14ac:dyDescent="0.25">
      <c r="A93" s="158" t="s">
        <v>187</v>
      </c>
      <c r="B93" s="158" t="s">
        <v>29</v>
      </c>
      <c r="C93" s="162">
        <f ca="1">IFERROR(INDEX(BYEs!$B$2:$B$33,MATCH(D93,BYEs!$A$2:$A$33,0)),"N/A")</f>
        <v>7</v>
      </c>
      <c r="D93" s="219" t="str">
        <f ca="1">INDEX(INDIRECT(""&amp;B93&amp;"!F2:F628"),MATCH(A93,INDIRECT(""&amp;B93&amp;"!B2:B628"),0))</f>
        <v>LAR</v>
      </c>
      <c r="E93" s="218" t="str">
        <f ca="1">INDEX(INDIRECT(""&amp;$B93&amp;"!AA2:AA628"),MATCH($A93,INDIRECT(""&amp;$B93&amp;"!B2:B628"),0))</f>
        <v>QB4</v>
      </c>
      <c r="F93" s="159">
        <f ca="1">IF(LeagueInfo!$H$7="Starter/Bench",INDEX(INDIRECT(""&amp;B93&amp;"!T2:T628"),MATCH(A93,INDIRECT(""&amp;B93&amp;"!B2:B628"),0)),INDEX(INDIRECT(""&amp;B93&amp;"!AB2:AB628"),MATCH(A93,INDIRECT(""&amp;B93&amp;"!B2:B628"),0)))</f>
        <v>10.591958128102094</v>
      </c>
      <c r="G93" s="163">
        <f>IF(H93&gt;0,F93-H93,0)</f>
        <v>0</v>
      </c>
      <c r="H93" s="161"/>
      <c r="I93" s="163">
        <f ca="1">F93*$A$2</f>
        <v>10.591958128102094</v>
      </c>
      <c r="J93" s="160" t="s">
        <v>76</v>
      </c>
      <c r="K93" s="160">
        <f>IF(LeagueInfo!$F$7="Yahoo",IFERROR(INDEX(DefaultAuctionValues!$B$2:$B$1000,MATCH(A93,DefaultAuctionValues!$A$2:$A$1000,0)),0),IF(LeagueInfo!$F$7="ESPN",IFERROR(INDEX(DefaultAuctionValues!$C$2:$C$1000,MATCH(A93,DefaultAuctionValues!$A$2:$A$1000,0)),0),IF(LeagueInfo!$F$7="Custom",IFERROR(INDEX(DefaultAuctionValues!$D$2:$D$1000,MATCH(A93,DefaultAuctionValues!$A$2:$A$1000,0)),0))))</f>
        <v>2</v>
      </c>
      <c r="L93" s="164">
        <f ca="1">I93-K93</f>
        <v>8.5919581281020942</v>
      </c>
      <c r="M93" s="175"/>
      <c r="N93" s="170">
        <f ca="1">INDEX(INDIRECT(""&amp;$B93&amp;"!Z2:Z628"),MATCH($A93,INDIRECT(""&amp;$B93&amp;"!B2:B628"),0))</f>
        <v>29.177000000000021</v>
      </c>
      <c r="O93" s="158" t="str">
        <f ca="1">IF(INDEX(INDIRECT(""&amp;$B93&amp;"!W2:W628"),MATCH($A93,INDIRECT(""&amp;$B93&amp;"!B2:B628"),0))=0,"",INDEX(INDIRECT(""&amp;$B93&amp;"!W2:W628"),MATCH($A93,INDIRECT(""&amp;$B93&amp;"!B2:B628"),0)))</f>
        <v/>
      </c>
    </row>
    <row r="94" spans="1:15" x14ac:dyDescent="0.25">
      <c r="A94" s="158" t="s">
        <v>859</v>
      </c>
      <c r="B94" s="158" t="s">
        <v>35</v>
      </c>
      <c r="C94" s="162">
        <f ca="1">IFERROR(INDEX(BYEs!$B$2:$B$33,MATCH(D94,BYEs!$A$2:$A$33,0)),"N/A")</f>
        <v>14</v>
      </c>
      <c r="D94" s="219" t="str">
        <f ca="1">INDEX(INDIRECT(""&amp;B94&amp;"!F2:F628"),MATCH(A94,INDIRECT(""&amp;B94&amp;"!B2:B628"),0))</f>
        <v>CHI</v>
      </c>
      <c r="E94" s="218" t="str">
        <f ca="1">INDEX(INDIRECT(""&amp;$B94&amp;"!AA2:AA628"),MATCH($A94,INDIRECT(""&amp;$B94&amp;"!B2:B628"),0))</f>
        <v>WR7</v>
      </c>
      <c r="F94" s="159">
        <f ca="1">IF(LeagueInfo!$H$7="Starter/Bench",INDEX(INDIRECT(""&amp;B94&amp;"!T2:T628"),MATCH(A94,INDIRECT(""&amp;B94&amp;"!B2:B628"),0)),INDEX(INDIRECT(""&amp;B94&amp;"!AB2:AB628"),MATCH(A94,INDIRECT(""&amp;B94&amp;"!B2:B628"),0)))</f>
        <v>10.345437437569993</v>
      </c>
      <c r="G94" s="163">
        <f>IF(H94&gt;0,F94-H94,0)</f>
        <v>0</v>
      </c>
      <c r="H94" s="161"/>
      <c r="I94" s="163">
        <f ca="1">F94*$A$2</f>
        <v>10.345437437569993</v>
      </c>
      <c r="J94" s="160" t="s">
        <v>76</v>
      </c>
      <c r="K94" s="160">
        <f>IF(LeagueInfo!$F$7="Yahoo",IFERROR(INDEX(DefaultAuctionValues!$B$2:$B$1000,MATCH(A94,DefaultAuctionValues!$A$2:$A$1000,0)),0),IF(LeagueInfo!$F$7="ESPN",IFERROR(INDEX(DefaultAuctionValues!$C$2:$C$1000,MATCH(A94,DefaultAuctionValues!$A$2:$A$1000,0)),0),IF(LeagueInfo!$F$7="Custom",IFERROR(INDEX(DefaultAuctionValues!$D$2:$D$1000,MATCH(A94,DefaultAuctionValues!$A$2:$A$1000,0)),0))))</f>
        <v>2</v>
      </c>
      <c r="L94" s="164">
        <f ca="1">I94-K94</f>
        <v>8.3454374375699931</v>
      </c>
      <c r="M94" s="175"/>
      <c r="N94" s="170">
        <f ca="1">INDEX(INDIRECT(""&amp;$B94&amp;"!Z2:Z628"),MATCH($A94,INDIRECT(""&amp;$B94&amp;"!B2:B628"),0))</f>
        <v>28.340000000000018</v>
      </c>
      <c r="O94" s="158" t="str">
        <f ca="1">IF(INDEX(INDIRECT(""&amp;$B94&amp;"!W2:W628"),MATCH($A94,INDIRECT(""&amp;$B94&amp;"!B2:B628"),0))=0,"",INDEX(INDIRECT(""&amp;$B94&amp;"!W2:W628"),MATCH($A94,INDIRECT(""&amp;$B94&amp;"!B2:B628"),0)))</f>
        <v/>
      </c>
    </row>
    <row r="95" spans="1:15" x14ac:dyDescent="0.25">
      <c r="A95" s="158" t="s">
        <v>834</v>
      </c>
      <c r="B95" s="158" t="s">
        <v>35</v>
      </c>
      <c r="C95" s="162">
        <f ca="1">IFERROR(INDEX(BYEs!$B$2:$B$33,MATCH(D95,BYEs!$A$2:$A$33,0)),"N/A")</f>
        <v>9</v>
      </c>
      <c r="D95" s="219" t="str">
        <f ca="1">INDEX(INDIRECT(""&amp;B95&amp;"!F2:F628"),MATCH(A95,INDIRECT(""&amp;B95&amp;"!B2:B628"),0))</f>
        <v>DEN</v>
      </c>
      <c r="E95" s="218" t="str">
        <f ca="1">INDEX(INDIRECT(""&amp;$B95&amp;"!AA2:AA628"),MATCH($A95,INDIRECT(""&amp;$B95&amp;"!B2:B628"),0))</f>
        <v>WR7</v>
      </c>
      <c r="F95" s="159">
        <f ca="1">IF(LeagueInfo!$H$7="Starter/Bench",INDEX(INDIRECT(""&amp;B95&amp;"!T2:T628"),MATCH(A95,INDIRECT(""&amp;B95&amp;"!B2:B628"),0)),INDEX(INDIRECT(""&amp;B95&amp;"!AB2:AB628"),MATCH(A95,INDIRECT(""&amp;B95&amp;"!B2:B628"),0)))</f>
        <v>10.326733879322372</v>
      </c>
      <c r="G95" s="163">
        <f>IF(H95&gt;0,F95-H95,0)</f>
        <v>0</v>
      </c>
      <c r="H95" s="161"/>
      <c r="I95" s="163">
        <f ca="1">F95*$A$2</f>
        <v>10.326733879322372</v>
      </c>
      <c r="J95" s="160" t="s">
        <v>76</v>
      </c>
      <c r="K95" s="160">
        <f>IF(LeagueInfo!$F$7="Yahoo",IFERROR(INDEX(DefaultAuctionValues!$B$2:$B$1000,MATCH(A95,DefaultAuctionValues!$A$2:$A$1000,0)),0),IF(LeagueInfo!$F$7="ESPN",IFERROR(INDEX(DefaultAuctionValues!$C$2:$C$1000,MATCH(A95,DefaultAuctionValues!$A$2:$A$1000,0)),0),IF(LeagueInfo!$F$7="Custom",IFERROR(INDEX(DefaultAuctionValues!$D$2:$D$1000,MATCH(A95,DefaultAuctionValues!$A$2:$A$1000,0)),0))))</f>
        <v>6</v>
      </c>
      <c r="L95" s="164">
        <f ca="1">I95-K95</f>
        <v>4.3267338793223722</v>
      </c>
      <c r="M95" s="175"/>
      <c r="N95" s="170">
        <f ca="1">INDEX(INDIRECT(""&amp;$B95&amp;"!Z2:Z628"),MATCH($A95,INDIRECT(""&amp;$B95&amp;"!B2:B628"),0))</f>
        <v>28.290000000000006</v>
      </c>
      <c r="O95" s="158" t="str">
        <f ca="1">IF(INDEX(INDIRECT(""&amp;$B95&amp;"!W2:W628"),MATCH($A95,INDIRECT(""&amp;$B95&amp;"!B2:B628"),0))=0,"",INDEX(INDIRECT(""&amp;$B95&amp;"!W2:W628"),MATCH($A95,INDIRECT(""&amp;$B95&amp;"!B2:B628"),0)))</f>
        <v/>
      </c>
    </row>
    <row r="96" spans="1:15" x14ac:dyDescent="0.25">
      <c r="A96" s="158" t="s">
        <v>918</v>
      </c>
      <c r="B96" s="158" t="s">
        <v>29</v>
      </c>
      <c r="C96" s="162">
        <f ca="1">IFERROR(INDEX(BYEs!$B$2:$B$33,MATCH(D96,BYEs!$A$2:$A$33,0)),"N/A")</f>
        <v>9</v>
      </c>
      <c r="D96" s="219" t="str">
        <f ca="1">INDEX(INDIRECT(""&amp;B96&amp;"!F2:F628"),MATCH(A96,INDIRECT(""&amp;B96&amp;"!B2:B628"),0))</f>
        <v>SF</v>
      </c>
      <c r="E96" s="218" t="str">
        <f ca="1">INDEX(INDIRECT(""&amp;$B96&amp;"!AA2:AA628"),MATCH($A96,INDIRECT(""&amp;$B96&amp;"!B2:B628"),0))</f>
        <v>QB5</v>
      </c>
      <c r="F96" s="159">
        <f ca="1">IF(LeagueInfo!$H$7="Starter/Bench",INDEX(INDIRECT(""&amp;B96&amp;"!T2:T628"),MATCH(A96,INDIRECT(""&amp;B96&amp;"!B2:B628"),0)),INDEX(INDIRECT(""&amp;B96&amp;"!AB2:AB628"),MATCH(A96,INDIRECT(""&amp;B96&amp;"!B2:B628"),0)))</f>
        <v>10.21938324780959</v>
      </c>
      <c r="G96" s="163">
        <f>IF(H96&gt;0,F96-H96,0)</f>
        <v>0</v>
      </c>
      <c r="H96" s="161"/>
      <c r="I96" s="163">
        <f ca="1">F96*$A$2</f>
        <v>10.21938324780959</v>
      </c>
      <c r="J96" s="160" t="s">
        <v>76</v>
      </c>
      <c r="K96" s="160">
        <f>IF(LeagueInfo!$F$7="Yahoo",IFERROR(INDEX(DefaultAuctionValues!$B$2:$B$1000,MATCH(A96,DefaultAuctionValues!$A$2:$A$1000,0)),0),IF(LeagueInfo!$F$7="ESPN",IFERROR(INDEX(DefaultAuctionValues!$C$2:$C$1000,MATCH(A96,DefaultAuctionValues!$A$2:$A$1000,0)),0),IF(LeagueInfo!$F$7="Custom",IFERROR(INDEX(DefaultAuctionValues!$D$2:$D$1000,MATCH(A96,DefaultAuctionValues!$A$2:$A$1000,0)),0))))</f>
        <v>2</v>
      </c>
      <c r="L96" s="164">
        <f ca="1">I96-K96</f>
        <v>8.2193832478095903</v>
      </c>
      <c r="M96" s="175"/>
      <c r="N96" s="170">
        <f ca="1">INDEX(INDIRECT(""&amp;$B96&amp;"!Z2:Z628"),MATCH($A96,INDIRECT(""&amp;$B96&amp;"!B2:B628"),0))</f>
        <v>28.18100000000004</v>
      </c>
      <c r="O96" s="158" t="str">
        <f ca="1">IF(INDEX(INDIRECT(""&amp;$B96&amp;"!W2:W628"),MATCH($A96,INDIRECT(""&amp;$B96&amp;"!B2:B628"),0))=0,"",INDEX(INDIRECT(""&amp;$B96&amp;"!W2:W628"),MATCH($A96,INDIRECT(""&amp;$B96&amp;"!B2:B628"),0)))</f>
        <v/>
      </c>
    </row>
    <row r="97" spans="1:15" x14ac:dyDescent="0.25">
      <c r="A97" s="158" t="s">
        <v>381</v>
      </c>
      <c r="B97" s="158" t="s">
        <v>35</v>
      </c>
      <c r="C97" s="162">
        <f ca="1">IFERROR(INDEX(BYEs!$B$2:$B$33,MATCH(D97,BYEs!$A$2:$A$33,0)),"N/A")</f>
        <v>11</v>
      </c>
      <c r="D97" s="219" t="str">
        <f ca="1">INDEX(INDIRECT(""&amp;B97&amp;"!F2:F628"),MATCH(A97,INDIRECT(""&amp;B97&amp;"!B2:B628"),0))</f>
        <v>TB</v>
      </c>
      <c r="E97" s="218" t="str">
        <f ca="1">INDEX(INDIRECT(""&amp;$B97&amp;"!AA2:AA628"),MATCH($A97,INDIRECT(""&amp;$B97&amp;"!B2:B628"),0))</f>
        <v>WR7</v>
      </c>
      <c r="F97" s="159">
        <f ca="1">IF(LeagueInfo!$H$7="Starter/Bench",INDEX(INDIRECT(""&amp;B97&amp;"!T2:T628"),MATCH(A97,INDIRECT(""&amp;B97&amp;"!B2:B628"),0)),INDEX(INDIRECT(""&amp;B97&amp;"!AB2:AB628"),MATCH(A97,INDIRECT(""&amp;B97&amp;"!B2:B628"),0)))</f>
        <v>10.019995524061471</v>
      </c>
      <c r="G97" s="163">
        <f>IF(H97&gt;0,F97-H97,0)</f>
        <v>0</v>
      </c>
      <c r="H97" s="161"/>
      <c r="I97" s="163">
        <f ca="1">F97*$A$2</f>
        <v>10.019995524061471</v>
      </c>
      <c r="J97" s="160" t="s">
        <v>76</v>
      </c>
      <c r="K97" s="160">
        <f>IF(LeagueInfo!$F$7="Yahoo",IFERROR(INDEX(DefaultAuctionValues!$B$2:$B$1000,MATCH(A97,DefaultAuctionValues!$A$2:$A$1000,0)),0),IF(LeagueInfo!$F$7="ESPN",IFERROR(INDEX(DefaultAuctionValues!$C$2:$C$1000,MATCH(A97,DefaultAuctionValues!$A$2:$A$1000,0)),0),IF(LeagueInfo!$F$7="Custom",IFERROR(INDEX(DefaultAuctionValues!$D$2:$D$1000,MATCH(A97,DefaultAuctionValues!$A$2:$A$1000,0)),0))))</f>
        <v>4</v>
      </c>
      <c r="L97" s="164">
        <f ca="1">I97-K97</f>
        <v>6.0199955240614713</v>
      </c>
      <c r="M97" s="175"/>
      <c r="N97" s="170">
        <f ca="1">INDEX(INDIRECT(""&amp;$B97&amp;"!Z2:Z628"),MATCH($A97,INDIRECT(""&amp;$B97&amp;"!B2:B628"),0))</f>
        <v>27.470000000000013</v>
      </c>
      <c r="O97" s="158" t="str">
        <f ca="1">IF(INDEX(INDIRECT(""&amp;$B97&amp;"!W2:W628"),MATCH($A97,INDIRECT(""&amp;$B97&amp;"!B2:B628"),0))=0,"",INDEX(INDIRECT(""&amp;$B97&amp;"!W2:W628"),MATCH($A97,INDIRECT(""&amp;$B97&amp;"!B2:B628"),0)))</f>
        <v/>
      </c>
    </row>
    <row r="98" spans="1:15" x14ac:dyDescent="0.25">
      <c r="A98" s="158" t="s">
        <v>145</v>
      </c>
      <c r="B98" s="158" t="s">
        <v>29</v>
      </c>
      <c r="C98" s="162">
        <f ca="1">IFERROR(INDEX(BYEs!$B$2:$B$33,MATCH(D98,BYEs!$A$2:$A$33,0)),"N/A")</f>
        <v>9</v>
      </c>
      <c r="D98" s="219" t="str">
        <f ca="1">INDEX(INDIRECT(""&amp;B98&amp;"!F2:F628"),MATCH(A98,INDIRECT(""&amp;B98&amp;"!B2:B628"),0))</f>
        <v>DEN</v>
      </c>
      <c r="E98" s="218" t="str">
        <f ca="1">INDEX(INDIRECT(""&amp;$B98&amp;"!AA2:AA628"),MATCH($A98,INDIRECT(""&amp;$B98&amp;"!B2:B628"),0))</f>
        <v>QB5</v>
      </c>
      <c r="F98" s="159">
        <f ca="1">IF(LeagueInfo!$H$7="Starter/Bench",INDEX(INDIRECT(""&amp;B98&amp;"!T2:T628"),MATCH(A98,INDIRECT(""&amp;B98&amp;"!B2:B628"),0)),INDEX(INDIRECT(""&amp;B98&amp;"!AB2:AB628"),MATCH(A98,INDIRECT(""&amp;B98&amp;"!B2:B628"),0)))</f>
        <v>8.6415635639367672</v>
      </c>
      <c r="G98" s="163">
        <f>IF(H98&gt;0,F98-H98,0)</f>
        <v>0</v>
      </c>
      <c r="H98" s="161"/>
      <c r="I98" s="163">
        <f ca="1">F98*$A$2</f>
        <v>8.6415635639367672</v>
      </c>
      <c r="J98" s="160" t="s">
        <v>76</v>
      </c>
      <c r="K98" s="160">
        <f>IF(LeagueInfo!$F$7="Yahoo",IFERROR(INDEX(DefaultAuctionValues!$B$2:$B$1000,MATCH(A98,DefaultAuctionValues!$A$2:$A$1000,0)),0),IF(LeagueInfo!$F$7="ESPN",IFERROR(INDEX(DefaultAuctionValues!$C$2:$C$1000,MATCH(A98,DefaultAuctionValues!$A$2:$A$1000,0)),0),IF(LeagueInfo!$F$7="Custom",IFERROR(INDEX(DefaultAuctionValues!$D$2:$D$1000,MATCH(A98,DefaultAuctionValues!$A$2:$A$1000,0)),0))))</f>
        <v>4</v>
      </c>
      <c r="L98" s="164">
        <f ca="1">I98-K98</f>
        <v>4.6415635639367672</v>
      </c>
      <c r="M98" s="175"/>
      <c r="N98" s="170">
        <f ca="1">INDEX(INDIRECT(""&amp;$B98&amp;"!Z2:Z628"),MATCH($A98,INDIRECT(""&amp;$B98&amp;"!B2:B628"),0))</f>
        <v>23.829999999999984</v>
      </c>
      <c r="O98" s="158" t="str">
        <f ca="1">IF(INDEX(INDIRECT(""&amp;$B98&amp;"!W2:W628"),MATCH($A98,INDIRECT(""&amp;$B98&amp;"!B2:B628"),0))=0,"",INDEX(INDIRECT(""&amp;$B98&amp;"!W2:W628"),MATCH($A98,INDIRECT(""&amp;$B98&amp;"!B2:B628"),0)))</f>
        <v/>
      </c>
    </row>
    <row r="99" spans="1:15" x14ac:dyDescent="0.25">
      <c r="A99" s="158" t="s">
        <v>741</v>
      </c>
      <c r="B99" s="158" t="s">
        <v>43</v>
      </c>
      <c r="C99" s="162">
        <f ca="1">IFERROR(INDEX(BYEs!$B$2:$B$33,MATCH(D99,BYEs!$A$2:$A$33,0)),"N/A")</f>
        <v>6</v>
      </c>
      <c r="D99" s="219" t="str">
        <f ca="1">INDEX(INDIRECT(""&amp;B99&amp;"!F2:F628"),MATCH(A99,INDIRECT(""&amp;B99&amp;"!B2:B628"),0))</f>
        <v>DET</v>
      </c>
      <c r="E99" s="218" t="str">
        <f ca="1">INDEX(INDIRECT(""&amp;$B99&amp;"!AA2:AA628"),MATCH($A99,INDIRECT(""&amp;$B99&amp;"!B2:B628"),0))</f>
        <v>TE7</v>
      </c>
      <c r="F99" s="159">
        <f ca="1">IF(LeagueInfo!$H$7="Starter/Bench",INDEX(INDIRECT(""&amp;B99&amp;"!T2:T628"),MATCH(A99,INDIRECT(""&amp;B99&amp;"!B2:B628"),0)),INDEX(INDIRECT(""&amp;B99&amp;"!AB2:AB628"),MATCH(A99,INDIRECT(""&amp;B99&amp;"!B2:B628"),0)))</f>
        <v>8.5963443014766199</v>
      </c>
      <c r="G99" s="163">
        <f>IF(H99&gt;0,F99-H99,0)</f>
        <v>0</v>
      </c>
      <c r="H99" s="161"/>
      <c r="I99" s="163">
        <f ca="1">F99*$A$2</f>
        <v>8.5963443014766199</v>
      </c>
      <c r="J99" s="160" t="s">
        <v>76</v>
      </c>
      <c r="K99" s="160">
        <f>IF(LeagueInfo!$F$7="Yahoo",IFERROR(INDEX(DefaultAuctionValues!$B$2:$B$1000,MATCH(A99,DefaultAuctionValues!$A$2:$A$1000,0)),0),IF(LeagueInfo!$F$7="ESPN",IFERROR(INDEX(DefaultAuctionValues!$C$2:$C$1000,MATCH(A99,DefaultAuctionValues!$A$2:$A$1000,0)),0),IF(LeagueInfo!$F$7="Custom",IFERROR(INDEX(DefaultAuctionValues!$D$2:$D$1000,MATCH(A99,DefaultAuctionValues!$A$2:$A$1000,0)),0))))</f>
        <v>4</v>
      </c>
      <c r="L99" s="164">
        <f ca="1">I99-K99</f>
        <v>4.5963443014766199</v>
      </c>
      <c r="M99" s="175"/>
      <c r="N99" s="170">
        <f ca="1">INDEX(INDIRECT(""&amp;$B99&amp;"!Z2:Z628"),MATCH($A99,INDIRECT(""&amp;$B99&amp;"!B2:B628"),0))</f>
        <v>23.229999999999976</v>
      </c>
      <c r="O99" s="158" t="str">
        <f ca="1">IF(INDEX(INDIRECT(""&amp;$B99&amp;"!W2:W628"),MATCH($A99,INDIRECT(""&amp;$B99&amp;"!B2:B628"),0))=0,"",INDEX(INDIRECT(""&amp;$B99&amp;"!W2:W628"),MATCH($A99,INDIRECT(""&amp;$B99&amp;"!B2:B628"),0)))</f>
        <v/>
      </c>
    </row>
    <row r="100" spans="1:15" x14ac:dyDescent="0.25">
      <c r="A100" s="158" t="s">
        <v>213</v>
      </c>
      <c r="B100" s="158" t="s">
        <v>35</v>
      </c>
      <c r="C100" s="162">
        <f ca="1">IFERROR(INDEX(BYEs!$B$2:$B$33,MATCH(D100,BYEs!$A$2:$A$33,0)),"N/A")</f>
        <v>11</v>
      </c>
      <c r="D100" s="219" t="str">
        <f ca="1">INDEX(INDIRECT(""&amp;B100&amp;"!F2:F628"),MATCH(A100,INDIRECT(""&amp;B100&amp;"!B2:B628"),0))</f>
        <v>SEA</v>
      </c>
      <c r="E100" s="218" t="str">
        <f ca="1">INDEX(INDIRECT(""&amp;$B100&amp;"!AA2:AA628"),MATCH($A100,INDIRECT(""&amp;$B100&amp;"!B2:B628"),0))</f>
        <v>WR7</v>
      </c>
      <c r="F100" s="159">
        <f ca="1">IF(LeagueInfo!$H$7="Starter/Bench",INDEX(INDIRECT(""&amp;B100&amp;"!T2:T628"),MATCH(A100,INDIRECT(""&amp;B100&amp;"!B2:B628"),0)),INDEX(INDIRECT(""&amp;B100&amp;"!AB2:AB628"),MATCH(A100,INDIRECT(""&amp;B100&amp;"!B2:B628"),0)))</f>
        <v>8.534932999200759</v>
      </c>
      <c r="G100" s="163">
        <f>IF(H100&gt;0,F100-H100,0)</f>
        <v>0</v>
      </c>
      <c r="H100" s="161"/>
      <c r="I100" s="163">
        <f ca="1">F100*$A$2</f>
        <v>8.534932999200759</v>
      </c>
      <c r="J100" s="160" t="s">
        <v>76</v>
      </c>
      <c r="K100" s="160">
        <f>IF(LeagueInfo!$F$7="Yahoo",IFERROR(INDEX(DefaultAuctionValues!$B$2:$B$1000,MATCH(A100,DefaultAuctionValues!$A$2:$A$1000,0)),0),IF(LeagueInfo!$F$7="ESPN",IFERROR(INDEX(DefaultAuctionValues!$C$2:$C$1000,MATCH(A100,DefaultAuctionValues!$A$2:$A$1000,0)),0),IF(LeagueInfo!$F$7="Custom",IFERROR(INDEX(DefaultAuctionValues!$D$2:$D$1000,MATCH(A100,DefaultAuctionValues!$A$2:$A$1000,0)),0))))</f>
        <v>1</v>
      </c>
      <c r="L100" s="164">
        <f ca="1">I100-K100</f>
        <v>7.534932999200759</v>
      </c>
      <c r="M100" s="175"/>
      <c r="N100" s="170">
        <f ca="1">INDEX(INDIRECT(""&amp;$B100&amp;"!Z2:Z628"),MATCH($A100,INDIRECT(""&amp;$B100&amp;"!B2:B628"),0))</f>
        <v>23.500000000000014</v>
      </c>
      <c r="O100" s="158" t="str">
        <f ca="1">IF(INDEX(INDIRECT(""&amp;$B100&amp;"!W2:W628"),MATCH($A100,INDIRECT(""&amp;$B100&amp;"!B2:B628"),0))=0,"",INDEX(INDIRECT(""&amp;$B100&amp;"!W2:W628"),MATCH($A100,INDIRECT(""&amp;$B100&amp;"!B2:B628"),0)))</f>
        <v/>
      </c>
    </row>
    <row r="101" spans="1:15" x14ac:dyDescent="0.25">
      <c r="A101" s="158" t="s">
        <v>950</v>
      </c>
      <c r="B101" s="158" t="s">
        <v>35</v>
      </c>
      <c r="C101" s="162">
        <f ca="1">IFERROR(INDEX(BYEs!$B$2:$B$33,MATCH(D101,BYEs!$A$2:$A$33,0)),"N/A")</f>
        <v>10</v>
      </c>
      <c r="D101" s="219" t="str">
        <f ca="1">INDEX(INDIRECT(""&amp;B101&amp;"!F2:F628"),MATCH(A101,INDIRECT(""&amp;B101&amp;"!B2:B628"),0))</f>
        <v>NYJ</v>
      </c>
      <c r="E101" s="218" t="str">
        <f ca="1">INDEX(INDIRECT(""&amp;$B101&amp;"!AA2:AA628"),MATCH($A101,INDIRECT(""&amp;$B101&amp;"!B2:B628"),0))</f>
        <v>WR7</v>
      </c>
      <c r="F101" s="159">
        <f ca="1">IF(LeagueInfo!$H$7="Starter/Bench",INDEX(INDIRECT(""&amp;B101&amp;"!T2:T628"),MATCH(A101,INDIRECT(""&amp;B101&amp;"!B2:B628"),0)),INDEX(INDIRECT(""&amp;B101&amp;"!AB2:AB628"),MATCH(A101,INDIRECT(""&amp;B101&amp;"!B2:B628"),0)))</f>
        <v>8.3815638215703085</v>
      </c>
      <c r="G101" s="163">
        <f>IF(H101&gt;0,F101-H101,0)</f>
        <v>0</v>
      </c>
      <c r="H101" s="161"/>
      <c r="I101" s="163">
        <f ca="1">F101*$A$2</f>
        <v>8.3815638215703085</v>
      </c>
      <c r="J101" s="160" t="s">
        <v>76</v>
      </c>
      <c r="K101" s="160">
        <f>IF(LeagueInfo!$F$7="Yahoo",IFERROR(INDEX(DefaultAuctionValues!$B$2:$B$1000,MATCH(A101,DefaultAuctionValues!$A$2:$A$1000,0)),0),IF(LeagueInfo!$F$7="ESPN",IFERROR(INDEX(DefaultAuctionValues!$C$2:$C$1000,MATCH(A101,DefaultAuctionValues!$A$2:$A$1000,0)),0),IF(LeagueInfo!$F$7="Custom",IFERROR(INDEX(DefaultAuctionValues!$D$2:$D$1000,MATCH(A101,DefaultAuctionValues!$A$2:$A$1000,0)),0))))</f>
        <v>3</v>
      </c>
      <c r="L101" s="164">
        <f ca="1">I101-K101</f>
        <v>5.3815638215703085</v>
      </c>
      <c r="M101" s="175"/>
      <c r="N101" s="170">
        <f ca="1">INDEX(INDIRECT(""&amp;$B101&amp;"!Z2:Z628"),MATCH($A101,INDIRECT(""&amp;$B101&amp;"!B2:B628"),0))</f>
        <v>23.090000000000018</v>
      </c>
      <c r="O101" s="158" t="str">
        <f ca="1">IF(INDEX(INDIRECT(""&amp;$B101&amp;"!W2:W628"),MATCH($A101,INDIRECT(""&amp;$B101&amp;"!B2:B628"),0))=0,"",INDEX(INDIRECT(""&amp;$B101&amp;"!W2:W628"),MATCH($A101,INDIRECT(""&amp;$B101&amp;"!B2:B628"),0)))</f>
        <v/>
      </c>
    </row>
    <row r="102" spans="1:15" x14ac:dyDescent="0.25">
      <c r="A102" s="158" t="s">
        <v>709</v>
      </c>
      <c r="B102" s="158" t="s">
        <v>35</v>
      </c>
      <c r="C102" s="162">
        <f ca="1">IFERROR(INDEX(BYEs!$B$2:$B$33,MATCH(D102,BYEs!$A$2:$A$33,0)),"N/A")</f>
        <v>6</v>
      </c>
      <c r="D102" s="219" t="str">
        <f ca="1">INDEX(INDIRECT(""&amp;B102&amp;"!F2:F628"),MATCH(A102,INDIRECT(""&amp;B102&amp;"!B2:B628"),0))</f>
        <v>LV</v>
      </c>
      <c r="E102" s="218" t="str">
        <f ca="1">INDEX(INDIRECT(""&amp;$B102&amp;"!AA2:AA628"),MATCH($A102,INDIRECT(""&amp;$B102&amp;"!B2:B628"),0))</f>
        <v>WR7</v>
      </c>
      <c r="F102" s="159">
        <f ca="1">IF(LeagueInfo!$H$7="Starter/Bench",INDEX(INDIRECT(""&amp;B102&amp;"!T2:T628"),MATCH(A102,INDIRECT(""&amp;B102&amp;"!B2:B628"),0)),INDEX(INDIRECT(""&amp;B102&amp;"!AB2:AB628"),MATCH(A102,INDIRECT(""&amp;B102&amp;"!B2:B628"),0)))</f>
        <v>8.1084918711551079</v>
      </c>
      <c r="G102" s="163">
        <f>IF(H102&gt;0,F102-H102,0)</f>
        <v>0</v>
      </c>
      <c r="H102" s="161"/>
      <c r="I102" s="163">
        <f ca="1">F102*$A$2</f>
        <v>8.1084918711551079</v>
      </c>
      <c r="J102" s="160" t="s">
        <v>76</v>
      </c>
      <c r="K102" s="160">
        <f>IF(LeagueInfo!$F$7="Yahoo",IFERROR(INDEX(DefaultAuctionValues!$B$2:$B$1000,MATCH(A102,DefaultAuctionValues!$A$2:$A$1000,0)),0),IF(LeagueInfo!$F$7="ESPN",IFERROR(INDEX(DefaultAuctionValues!$C$2:$C$1000,MATCH(A102,DefaultAuctionValues!$A$2:$A$1000,0)),0),IF(LeagueInfo!$F$7="Custom",IFERROR(INDEX(DefaultAuctionValues!$D$2:$D$1000,MATCH(A102,DefaultAuctionValues!$A$2:$A$1000,0)),0))))</f>
        <v>2</v>
      </c>
      <c r="L102" s="164">
        <f ca="1">I102-K102</f>
        <v>6.1084918711551079</v>
      </c>
      <c r="M102" s="175"/>
      <c r="N102" s="170">
        <f ca="1">INDEX(INDIRECT(""&amp;$B102&amp;"!Z2:Z628"),MATCH($A102,INDIRECT(""&amp;$B102&amp;"!B2:B628"),0))</f>
        <v>22.36</v>
      </c>
      <c r="O102" s="158" t="str">
        <f ca="1">IF(INDEX(INDIRECT(""&amp;$B102&amp;"!W2:W628"),MATCH($A102,INDIRECT(""&amp;$B102&amp;"!B2:B628"),0))=0,"",INDEX(INDIRECT(""&amp;$B102&amp;"!W2:W628"),MATCH($A102,INDIRECT(""&amp;$B102&amp;"!B2:B628"),0)))</f>
        <v/>
      </c>
    </row>
    <row r="103" spans="1:15" x14ac:dyDescent="0.25">
      <c r="A103" s="158" t="s">
        <v>384</v>
      </c>
      <c r="B103" s="158" t="s">
        <v>35</v>
      </c>
      <c r="C103" s="162">
        <f ca="1">IFERROR(INDEX(BYEs!$B$2:$B$33,MATCH(D103,BYEs!$A$2:$A$33,0)),"N/A")</f>
        <v>8</v>
      </c>
      <c r="D103" s="219" t="str">
        <f ca="1">INDEX(INDIRECT(""&amp;B103&amp;"!F2:F628"),MATCH(A103,INDIRECT(""&amp;B103&amp;"!B2:B628"),0))</f>
        <v>KC</v>
      </c>
      <c r="E103" s="218" t="str">
        <f ca="1">INDEX(INDIRECT(""&amp;$B103&amp;"!AA2:AA628"),MATCH($A103,INDIRECT(""&amp;$B103&amp;"!B2:B628"),0))</f>
        <v>WR8</v>
      </c>
      <c r="F103" s="159">
        <f ca="1">IF(LeagueInfo!$H$7="Starter/Bench",INDEX(INDIRECT(""&amp;B103&amp;"!T2:T628"),MATCH(A103,INDIRECT(""&amp;B103&amp;"!B2:B628"),0)),INDEX(INDIRECT(""&amp;B103&amp;"!AB2:AB628"),MATCH(A103,INDIRECT(""&amp;B103&amp;"!B2:B628"),0)))</f>
        <v>7.8274506725797446</v>
      </c>
      <c r="G103" s="163">
        <f>IF(H103&gt;0,F103-H103,0)</f>
        <v>0</v>
      </c>
      <c r="H103" s="161"/>
      <c r="I103" s="163">
        <f ca="1">F103*$A$2</f>
        <v>7.8274506725797446</v>
      </c>
      <c r="J103" s="160" t="s">
        <v>76</v>
      </c>
      <c r="K103" s="160">
        <f>IF(LeagueInfo!$F$7="Yahoo",IFERROR(INDEX(DefaultAuctionValues!$B$2:$B$1000,MATCH(A103,DefaultAuctionValues!$A$2:$A$1000,0)),0),IF(LeagueInfo!$F$7="ESPN",IFERROR(INDEX(DefaultAuctionValues!$C$2:$C$1000,MATCH(A103,DefaultAuctionValues!$A$2:$A$1000,0)),0),IF(LeagueInfo!$F$7="Custom",IFERROR(INDEX(DefaultAuctionValues!$D$2:$D$1000,MATCH(A103,DefaultAuctionValues!$A$2:$A$1000,0)),0))))</f>
        <v>5</v>
      </c>
      <c r="L103" s="164">
        <f ca="1">I103-K103</f>
        <v>2.8274506725797446</v>
      </c>
      <c r="M103" s="175"/>
      <c r="N103" s="170">
        <f ca="1">INDEX(INDIRECT(""&amp;$B103&amp;"!Z2:Z628"),MATCH($A103,INDIRECT(""&amp;$B103&amp;"!B2:B628"),0))</f>
        <v>21.585000000000008</v>
      </c>
      <c r="O103" s="158" t="str">
        <f ca="1">IF(INDEX(INDIRECT(""&amp;$B103&amp;"!W2:W628"),MATCH($A103,INDIRECT(""&amp;$B103&amp;"!B2:B628"),0))=0,"",INDEX(INDIRECT(""&amp;$B103&amp;"!W2:W628"),MATCH($A103,INDIRECT(""&amp;$B103&amp;"!B2:B628"),0)))</f>
        <v/>
      </c>
    </row>
    <row r="104" spans="1:15" x14ac:dyDescent="0.25">
      <c r="A104" s="158" t="s">
        <v>944</v>
      </c>
      <c r="B104" s="158" t="s">
        <v>35</v>
      </c>
      <c r="C104" s="162">
        <f ca="1">IFERROR(INDEX(BYEs!$B$2:$B$33,MATCH(D104,BYEs!$A$2:$A$33,0)),"N/A")</f>
        <v>7</v>
      </c>
      <c r="D104" s="219" t="str">
        <f ca="1">INDEX(INDIRECT(""&amp;B104&amp;"!F2:F628"),MATCH(A104,INDIRECT(""&amp;B104&amp;"!B2:B628"),0))</f>
        <v>LAR</v>
      </c>
      <c r="E104" s="218" t="str">
        <f ca="1">INDEX(INDIRECT(""&amp;$B104&amp;"!AA2:AA628"),MATCH($A104,INDIRECT(""&amp;$B104&amp;"!B2:B628"),0))</f>
        <v>WR8</v>
      </c>
      <c r="F104" s="159">
        <f ca="1">IF(LeagueInfo!$H$7="Starter/Bench",INDEX(INDIRECT(""&amp;B104&amp;"!T2:T628"),MATCH(A104,INDIRECT(""&amp;B104&amp;"!B2:B628"),0)),INDEX(INDIRECT(""&amp;B104&amp;"!AB2:AB628"),MATCH(A104,INDIRECT(""&amp;B104&amp;"!B2:B628"),0)))</f>
        <v>7.6715181365959957</v>
      </c>
      <c r="G104" s="163">
        <f>IF(H104&gt;0,F104-H104,0)</f>
        <v>0</v>
      </c>
      <c r="H104" s="161"/>
      <c r="I104" s="163">
        <f ca="1">F104*$A$2</f>
        <v>7.6715181365959957</v>
      </c>
      <c r="J104" s="160" t="s">
        <v>76</v>
      </c>
      <c r="K104" s="160">
        <f>IF(LeagueInfo!$F$7="Yahoo",IFERROR(INDEX(DefaultAuctionValues!$B$2:$B$1000,MATCH(A104,DefaultAuctionValues!$A$2:$A$1000,0)),0),IF(LeagueInfo!$F$7="ESPN",IFERROR(INDEX(DefaultAuctionValues!$C$2:$C$1000,MATCH(A104,DefaultAuctionValues!$A$2:$A$1000,0)),0),IF(LeagueInfo!$F$7="Custom",IFERROR(INDEX(DefaultAuctionValues!$D$2:$D$1000,MATCH(A104,DefaultAuctionValues!$A$2:$A$1000,0)),0))))</f>
        <v>7</v>
      </c>
      <c r="L104" s="164">
        <f ca="1">I104-K104</f>
        <v>0.67151813659599568</v>
      </c>
      <c r="M104" s="175"/>
      <c r="N104" s="170">
        <f ca="1">INDEX(INDIRECT(""&amp;$B104&amp;"!Z2:Z628"),MATCH($A104,INDIRECT(""&amp;$B104&amp;"!B2:B628"),0))</f>
        <v>21.155000000000015</v>
      </c>
      <c r="O104" s="158" t="str">
        <f ca="1">IF(INDEX(INDIRECT(""&amp;$B104&amp;"!W2:W628"),MATCH($A104,INDIRECT(""&amp;$B104&amp;"!B2:B628"),0))=0,"",INDEX(INDIRECT(""&amp;$B104&amp;"!W2:W628"),MATCH($A104,INDIRECT(""&amp;$B104&amp;"!B2:B628"),0)))</f>
        <v/>
      </c>
    </row>
    <row r="105" spans="1:15" x14ac:dyDescent="0.25">
      <c r="A105" s="158" t="s">
        <v>210</v>
      </c>
      <c r="B105" s="158" t="s">
        <v>35</v>
      </c>
      <c r="C105" s="162">
        <f ca="1">IFERROR(INDEX(BYEs!$B$2:$B$33,MATCH(D105,BYEs!$A$2:$A$33,0)),"N/A")</f>
        <v>7</v>
      </c>
      <c r="D105" s="219" t="str">
        <f ca="1">INDEX(INDIRECT(""&amp;B105&amp;"!F2:F628"),MATCH(A105,INDIRECT(""&amp;B105&amp;"!B2:B628"),0))</f>
        <v>MIN</v>
      </c>
      <c r="E105" s="218" t="str">
        <f ca="1">INDEX(INDIRECT(""&amp;$B105&amp;"!AA2:AA628"),MATCH($A105,INDIRECT(""&amp;$B105&amp;"!B2:B628"),0))</f>
        <v>WR8</v>
      </c>
      <c r="F105" s="159">
        <f ca="1">IF(LeagueInfo!$H$7="Starter/Bench",INDEX(INDIRECT(""&amp;B105&amp;"!T2:T628"),MATCH(A105,INDIRECT(""&amp;B105&amp;"!B2:B628"),0)),INDEX(INDIRECT(""&amp;B105&amp;"!AB2:AB628"),MATCH(A105,INDIRECT(""&amp;B105&amp;"!B2:B628"),0)))</f>
        <v>7.6642654605037244</v>
      </c>
      <c r="G105" s="163">
        <f>IF(H105&gt;0,F105-H105,0)</f>
        <v>0</v>
      </c>
      <c r="H105" s="161"/>
      <c r="I105" s="163">
        <f ca="1">F105*$A$2</f>
        <v>7.6642654605037244</v>
      </c>
      <c r="J105" s="160" t="s">
        <v>76</v>
      </c>
      <c r="K105" s="160">
        <f>IF(LeagueInfo!$F$7="Yahoo",IFERROR(INDEX(DefaultAuctionValues!$B$2:$B$1000,MATCH(A105,DefaultAuctionValues!$A$2:$A$1000,0)),0),IF(LeagueInfo!$F$7="ESPN",IFERROR(INDEX(DefaultAuctionValues!$C$2:$C$1000,MATCH(A105,DefaultAuctionValues!$A$2:$A$1000,0)),0),IF(LeagueInfo!$F$7="Custom",IFERROR(INDEX(DefaultAuctionValues!$D$2:$D$1000,MATCH(A105,DefaultAuctionValues!$A$2:$A$1000,0)),0))))</f>
        <v>3</v>
      </c>
      <c r="L105" s="164">
        <f ca="1">I105-K105</f>
        <v>4.6642654605037244</v>
      </c>
      <c r="M105" s="175"/>
      <c r="N105" s="170">
        <f ca="1">INDEX(INDIRECT(""&amp;$B105&amp;"!Z2:Z628"),MATCH($A105,INDIRECT(""&amp;$B105&amp;"!B2:B628"),0))</f>
        <v>21.135000000000005</v>
      </c>
      <c r="O105" s="158" t="str">
        <f ca="1">IF(INDEX(INDIRECT(""&amp;$B105&amp;"!W2:W628"),MATCH($A105,INDIRECT(""&amp;$B105&amp;"!B2:B628"),0))=0,"",INDEX(INDIRECT(""&amp;$B105&amp;"!W2:W628"),MATCH($A105,INDIRECT(""&amp;$B105&amp;"!B2:B628"),0)))</f>
        <v/>
      </c>
    </row>
    <row r="106" spans="1:15" x14ac:dyDescent="0.25">
      <c r="A106" s="158" t="s">
        <v>105</v>
      </c>
      <c r="B106" s="158" t="s">
        <v>35</v>
      </c>
      <c r="C106" s="162">
        <f ca="1">IFERROR(INDEX(BYEs!$B$2:$B$33,MATCH(D106,BYEs!$A$2:$A$33,0)),"N/A")</f>
        <v>9</v>
      </c>
      <c r="D106" s="219" t="str">
        <f ca="1">INDEX(INDIRECT(""&amp;B106&amp;"!F2:F628"),MATCH(A106,INDIRECT(""&amp;B106&amp;"!B2:B628"),0))</f>
        <v>CLE</v>
      </c>
      <c r="E106" s="218" t="str">
        <f ca="1">INDEX(INDIRECT(""&amp;$B106&amp;"!AA2:AA628"),MATCH($A106,INDIRECT(""&amp;$B106&amp;"!B2:B628"),0))</f>
        <v>WR8</v>
      </c>
      <c r="F106" s="159">
        <f ca="1">IF(LeagueInfo!$H$7="Starter/Bench",INDEX(INDIRECT(""&amp;B106&amp;"!T2:T628"),MATCH(A106,INDIRECT(""&amp;B106&amp;"!B2:B628"),0)),INDEX(INDIRECT(""&amp;B106&amp;"!AB2:AB628"),MATCH(A106,INDIRECT(""&amp;B106&amp;"!B2:B628"),0)))</f>
        <v>7.5409699669351742</v>
      </c>
      <c r="G106" s="163">
        <f>IF(H106&gt;0,F106-H106,0)</f>
        <v>0</v>
      </c>
      <c r="H106" s="161"/>
      <c r="I106" s="163">
        <f ca="1">F106*$A$2</f>
        <v>7.5409699669351742</v>
      </c>
      <c r="J106" s="160" t="s">
        <v>76</v>
      </c>
      <c r="K106" s="160">
        <f>IF(LeagueInfo!$F$7="Yahoo",IFERROR(INDEX(DefaultAuctionValues!$B$2:$B$1000,MATCH(A106,DefaultAuctionValues!$A$2:$A$1000,0)),0),IF(LeagueInfo!$F$7="ESPN",IFERROR(INDEX(DefaultAuctionValues!$C$2:$C$1000,MATCH(A106,DefaultAuctionValues!$A$2:$A$1000,0)),0),IF(LeagueInfo!$F$7="Custom",IFERROR(INDEX(DefaultAuctionValues!$D$2:$D$1000,MATCH(A106,DefaultAuctionValues!$A$2:$A$1000,0)),0))))</f>
        <v>6</v>
      </c>
      <c r="L106" s="164">
        <f ca="1">I106-K106</f>
        <v>1.5409699669351742</v>
      </c>
      <c r="M106" s="175"/>
      <c r="N106" s="170">
        <f ca="1">INDEX(INDIRECT(""&amp;$B106&amp;"!Z2:Z628"),MATCH($A106,INDIRECT(""&amp;$B106&amp;"!B2:B628"),0))</f>
        <v>20.795000000000002</v>
      </c>
      <c r="O106" s="158" t="str">
        <f ca="1">IF(INDEX(INDIRECT(""&amp;$B106&amp;"!W2:W628"),MATCH($A106,INDIRECT(""&amp;$B106&amp;"!B2:B628"),0))=0,"",INDEX(INDIRECT(""&amp;$B106&amp;"!W2:W628"),MATCH($A106,INDIRECT(""&amp;$B106&amp;"!B2:B628"),0)))</f>
        <v/>
      </c>
    </row>
    <row r="107" spans="1:15" x14ac:dyDescent="0.25">
      <c r="A107" s="158" t="s">
        <v>364</v>
      </c>
      <c r="B107" s="158" t="s">
        <v>35</v>
      </c>
      <c r="C107" s="162">
        <f ca="1">IFERROR(INDEX(BYEs!$B$2:$B$33,MATCH(D107,BYEs!$A$2:$A$33,0)),"N/A")</f>
        <v>6</v>
      </c>
      <c r="D107" s="219" t="str">
        <f ca="1">INDEX(INDIRECT(""&amp;B107&amp;"!F2:F628"),MATCH(A107,INDIRECT(""&amp;B107&amp;"!B2:B628"),0))</f>
        <v>TEN</v>
      </c>
      <c r="E107" s="218" t="str">
        <f ca="1">INDEX(INDIRECT(""&amp;$B107&amp;"!AA2:AA628"),MATCH($A107,INDIRECT(""&amp;$B107&amp;"!B2:B628"),0))</f>
        <v>WR8</v>
      </c>
      <c r="F107" s="159">
        <f ca="1">IF(LeagueInfo!$H$7="Starter/Bench",INDEX(INDIRECT(""&amp;B107&amp;"!T2:T628"),MATCH(A107,INDIRECT(""&amp;B107&amp;"!B2:B628"),0)),INDEX(INDIRECT(""&amp;B107&amp;"!AB2:AB628"),MATCH(A107,INDIRECT(""&amp;B107&amp;"!B2:B628"),0)))</f>
        <v>7.2490497542214136</v>
      </c>
      <c r="G107" s="163">
        <f>IF(H107&gt;0,F107-H107,0)</f>
        <v>0</v>
      </c>
      <c r="H107" s="161"/>
      <c r="I107" s="163">
        <f ca="1">F107*$A$2</f>
        <v>7.2490497542214136</v>
      </c>
      <c r="J107" s="160" t="s">
        <v>76</v>
      </c>
      <c r="K107" s="160">
        <f>IF(LeagueInfo!$F$7="Yahoo",IFERROR(INDEX(DefaultAuctionValues!$B$2:$B$1000,MATCH(A107,DefaultAuctionValues!$A$2:$A$1000,0)),0),IF(LeagueInfo!$F$7="ESPN",IFERROR(INDEX(DefaultAuctionValues!$C$2:$C$1000,MATCH(A107,DefaultAuctionValues!$A$2:$A$1000,0)),0),IF(LeagueInfo!$F$7="Custom",IFERROR(INDEX(DefaultAuctionValues!$D$2:$D$1000,MATCH(A107,DefaultAuctionValues!$A$2:$A$1000,0)),0))))</f>
        <v>1</v>
      </c>
      <c r="L107" s="164">
        <f ca="1">I107-K107</f>
        <v>6.2490497542214136</v>
      </c>
      <c r="M107" s="175"/>
      <c r="N107" s="170">
        <f ca="1">INDEX(INDIRECT(""&amp;$B107&amp;"!Z2:Z628"),MATCH($A107,INDIRECT(""&amp;$B107&amp;"!B2:B628"),0))</f>
        <v>19.990000000000023</v>
      </c>
      <c r="O107" s="158" t="str">
        <f ca="1">IF(INDEX(INDIRECT(""&amp;$B107&amp;"!W2:W628"),MATCH($A107,INDIRECT(""&amp;$B107&amp;"!B2:B628"),0))=0,"",INDEX(INDIRECT(""&amp;$B107&amp;"!W2:W628"),MATCH($A107,INDIRECT(""&amp;$B107&amp;"!B2:B628"),0)))</f>
        <v/>
      </c>
    </row>
    <row r="108" spans="1:15" x14ac:dyDescent="0.25">
      <c r="A108" s="158" t="s">
        <v>893</v>
      </c>
      <c r="B108" s="158" t="s">
        <v>28</v>
      </c>
      <c r="C108" s="162">
        <f ca="1">IFERROR(INDEX(BYEs!$B$2:$B$33,MATCH(D108,BYEs!$A$2:$A$33,0)),"N/A")</f>
        <v>11</v>
      </c>
      <c r="D108" s="219" t="str">
        <f ca="1">INDEX(INDIRECT(""&amp;B108&amp;"!F2:F628"),MATCH(A108,INDIRECT(""&amp;B108&amp;"!B2:B628"),0))</f>
        <v>JAC</v>
      </c>
      <c r="E108" s="218" t="str">
        <f ca="1">INDEX(INDIRECT(""&amp;$B108&amp;"!AA2:AA628"),MATCH($A108,INDIRECT(""&amp;$B108&amp;"!B2:B628"),0))</f>
        <v>RB8</v>
      </c>
      <c r="F108" s="159">
        <f ca="1">IF(LeagueInfo!$H$7="Starter/Bench",INDEX(INDIRECT(""&amp;B108&amp;"!T2:T628"),MATCH(A108,INDIRECT(""&amp;B108&amp;"!B2:B628"),0)),INDEX(INDIRECT(""&amp;B108&amp;"!AB2:AB628"),MATCH(A108,INDIRECT(""&amp;B108&amp;"!B2:B628"),0)))</f>
        <v>7.1602044720911273</v>
      </c>
      <c r="G108" s="163">
        <f>IF(H108&gt;0,F108-H108,0)</f>
        <v>0</v>
      </c>
      <c r="H108" s="161"/>
      <c r="I108" s="163">
        <f ca="1">F108*$A$2</f>
        <v>7.1602044720911273</v>
      </c>
      <c r="J108" s="160" t="s">
        <v>76</v>
      </c>
      <c r="K108" s="160">
        <f>IF(LeagueInfo!$F$7="Yahoo",IFERROR(INDEX(DefaultAuctionValues!$B$2:$B$1000,MATCH(A108,DefaultAuctionValues!$A$2:$A$1000,0)),0),IF(LeagueInfo!$F$7="ESPN",IFERROR(INDEX(DefaultAuctionValues!$C$2:$C$1000,MATCH(A108,DefaultAuctionValues!$A$2:$A$1000,0)),0),IF(LeagueInfo!$F$7="Custom",IFERROR(INDEX(DefaultAuctionValues!$D$2:$D$1000,MATCH(A108,DefaultAuctionValues!$A$2:$A$1000,0)),0))))</f>
        <v>1</v>
      </c>
      <c r="L108" s="164">
        <f ca="1">I108-K108</f>
        <v>6.1602044720911273</v>
      </c>
      <c r="M108" s="175"/>
      <c r="N108" s="170">
        <f ca="1">INDEX(INDIRECT(""&amp;$B108&amp;"!Z2:Z628"),MATCH($A108,INDIRECT(""&amp;$B108&amp;"!B2:B628"),0))</f>
        <v>19.744999999999997</v>
      </c>
      <c r="O108" s="158" t="str">
        <f ca="1">IF(INDEX(INDIRECT(""&amp;$B108&amp;"!W2:W628"),MATCH($A108,INDIRECT(""&amp;$B108&amp;"!B2:B628"),0))=0,"",INDEX(INDIRECT(""&amp;$B108&amp;"!W2:W628"),MATCH($A108,INDIRECT(""&amp;$B108&amp;"!B2:B628"),0)))</f>
        <v/>
      </c>
    </row>
    <row r="109" spans="1:15" x14ac:dyDescent="0.25">
      <c r="A109" s="158" t="s">
        <v>168</v>
      </c>
      <c r="B109" s="158" t="s">
        <v>29</v>
      </c>
      <c r="C109" s="162">
        <f ca="1">IFERROR(INDEX(BYEs!$B$2:$B$33,MATCH(D109,BYEs!$A$2:$A$33,0)),"N/A")</f>
        <v>7</v>
      </c>
      <c r="D109" s="219" t="str">
        <f ca="1">INDEX(INDIRECT(""&amp;B109&amp;"!F2:F628"),MATCH(A109,INDIRECT(""&amp;B109&amp;"!B2:B628"),0))</f>
        <v>MIN</v>
      </c>
      <c r="E109" s="218" t="str">
        <f ca="1">INDEX(INDIRECT(""&amp;$B109&amp;"!AA2:AA628"),MATCH($A109,INDIRECT(""&amp;$B109&amp;"!B2:B628"),0))</f>
        <v>QB5</v>
      </c>
      <c r="F109" s="159">
        <f ca="1">IF(LeagueInfo!$H$7="Starter/Bench",INDEX(INDIRECT(""&amp;B109&amp;"!T2:T628"),MATCH(A109,INDIRECT(""&amp;B109&amp;"!B2:B628"),0)),INDEX(INDIRECT(""&amp;B109&amp;"!AB2:AB628"),MATCH(A109,INDIRECT(""&amp;B109&amp;"!B2:B628"),0)))</f>
        <v>7.1105236408591077</v>
      </c>
      <c r="G109" s="163">
        <f>IF(H109&gt;0,F109-H109,0)</f>
        <v>0</v>
      </c>
      <c r="H109" s="161"/>
      <c r="I109" s="163">
        <f ca="1">F109*$A$2</f>
        <v>7.1105236408591077</v>
      </c>
      <c r="J109" s="160" t="s">
        <v>76</v>
      </c>
      <c r="K109" s="160">
        <f>IF(LeagueInfo!$F$7="Yahoo",IFERROR(INDEX(DefaultAuctionValues!$B$2:$B$1000,MATCH(A109,DefaultAuctionValues!$A$2:$A$1000,0)),0),IF(LeagueInfo!$F$7="ESPN",IFERROR(INDEX(DefaultAuctionValues!$C$2:$C$1000,MATCH(A109,DefaultAuctionValues!$A$2:$A$1000,0)),0),IF(LeagueInfo!$F$7="Custom",IFERROR(INDEX(DefaultAuctionValues!$D$2:$D$1000,MATCH(A109,DefaultAuctionValues!$A$2:$A$1000,0)),0))))</f>
        <v>1</v>
      </c>
      <c r="L109" s="164">
        <f ca="1">I109-K109</f>
        <v>6.1105236408591077</v>
      </c>
      <c r="M109" s="175"/>
      <c r="N109" s="170">
        <f ca="1">INDEX(INDIRECT(""&amp;$B109&amp;"!Z2:Z628"),MATCH($A109,INDIRECT(""&amp;$B109&amp;"!B2:B628"),0))</f>
        <v>19.608000000000033</v>
      </c>
      <c r="O109" s="158" t="str">
        <f ca="1">IF(INDEX(INDIRECT(""&amp;$B109&amp;"!W2:W628"),MATCH($A109,INDIRECT(""&amp;$B109&amp;"!B2:B628"),0))=0,"",INDEX(INDIRECT(""&amp;$B109&amp;"!W2:W628"),MATCH($A109,INDIRECT(""&amp;$B109&amp;"!B2:B628"),0)))</f>
        <v/>
      </c>
    </row>
    <row r="110" spans="1:15" x14ac:dyDescent="0.25">
      <c r="A110" s="158" t="s">
        <v>949</v>
      </c>
      <c r="B110" s="158" t="s">
        <v>35</v>
      </c>
      <c r="C110" s="162">
        <f ca="1">IFERROR(INDEX(BYEs!$B$2:$B$33,MATCH(D110,BYEs!$A$2:$A$33,0)),"N/A")</f>
        <v>10</v>
      </c>
      <c r="D110" s="219" t="str">
        <f ca="1">INDEX(INDIRECT(""&amp;B110&amp;"!F2:F628"),MATCH(A110,INDIRECT(""&amp;B110&amp;"!B2:B628"),0))</f>
        <v>BAL</v>
      </c>
      <c r="E110" s="218" t="str">
        <f ca="1">INDEX(INDIRECT(""&amp;$B110&amp;"!AA2:AA628"),MATCH($A110,INDIRECT(""&amp;$B110&amp;"!B2:B628"),0))</f>
        <v>WR8</v>
      </c>
      <c r="F110" s="159">
        <f ca="1">IF(LeagueInfo!$H$7="Starter/Bench",INDEX(INDIRECT(""&amp;B110&amp;"!T2:T628"),MATCH(A110,INDIRECT(""&amp;B110&amp;"!B2:B628"),0)),INDEX(INDIRECT(""&amp;B110&amp;"!AB2:AB628"),MATCH(A110,INDIRECT(""&amp;B110&amp;"!B2:B628"),0)))</f>
        <v>6.886415949608037</v>
      </c>
      <c r="G110" s="163">
        <f>IF(H110&gt;0,F110-H110,0)</f>
        <v>0</v>
      </c>
      <c r="H110" s="161"/>
      <c r="I110" s="163">
        <f ca="1">F110*$A$2</f>
        <v>6.886415949608037</v>
      </c>
      <c r="J110" s="160" t="s">
        <v>76</v>
      </c>
      <c r="K110" s="160">
        <f>IF(LeagueInfo!$F$7="Yahoo",IFERROR(INDEX(DefaultAuctionValues!$B$2:$B$1000,MATCH(A110,DefaultAuctionValues!$A$2:$A$1000,0)),0),IF(LeagueInfo!$F$7="ESPN",IFERROR(INDEX(DefaultAuctionValues!$C$2:$C$1000,MATCH(A110,DefaultAuctionValues!$A$2:$A$1000,0)),0),IF(LeagueInfo!$F$7="Custom",IFERROR(INDEX(DefaultAuctionValues!$D$2:$D$1000,MATCH(A110,DefaultAuctionValues!$A$2:$A$1000,0)),0))))</f>
        <v>3</v>
      </c>
      <c r="L110" s="164">
        <f ca="1">I110-K110</f>
        <v>3.886415949608037</v>
      </c>
      <c r="M110" s="175"/>
      <c r="N110" s="170">
        <f ca="1">INDEX(INDIRECT(""&amp;$B110&amp;"!Z2:Z628"),MATCH($A110,INDIRECT(""&amp;$B110&amp;"!B2:B628"),0))</f>
        <v>18.990000000000023</v>
      </c>
      <c r="O110" s="158" t="str">
        <f ca="1">IF(INDEX(INDIRECT(""&amp;$B110&amp;"!W2:W628"),MATCH($A110,INDIRECT(""&amp;$B110&amp;"!B2:B628"),0))=0,"",INDEX(INDIRECT(""&amp;$B110&amp;"!W2:W628"),MATCH($A110,INDIRECT(""&amp;$B110&amp;"!B2:B628"),0)))</f>
        <v/>
      </c>
    </row>
    <row r="111" spans="1:15" x14ac:dyDescent="0.25">
      <c r="A111" s="158" t="s">
        <v>166</v>
      </c>
      <c r="B111" s="158" t="s">
        <v>29</v>
      </c>
      <c r="C111" s="162">
        <f ca="1">IFERROR(INDEX(BYEs!$B$2:$B$33,MATCH(D111,BYEs!$A$2:$A$33,0)),"N/A")</f>
        <v>6</v>
      </c>
      <c r="D111" s="219" t="str">
        <f ca="1">INDEX(INDIRECT(""&amp;B111&amp;"!F2:F628"),MATCH(A111,INDIRECT(""&amp;B111&amp;"!B2:B628"),0))</f>
        <v>LV</v>
      </c>
      <c r="E111" s="218" t="str">
        <f ca="1">INDEX(INDIRECT(""&amp;$B111&amp;"!AA2:AA628"),MATCH($A111,INDIRECT(""&amp;$B111&amp;"!B2:B628"),0))</f>
        <v>QB5</v>
      </c>
      <c r="F111" s="159">
        <f ca="1">IF(LeagueInfo!$H$7="Starter/Bench",INDEX(INDIRECT(""&amp;B111&amp;"!T2:T628"),MATCH(A111,INDIRECT(""&amp;B111&amp;"!B2:B628"),0)),INDEX(INDIRECT(""&amp;B111&amp;"!AB2:AB628"),MATCH(A111,INDIRECT(""&amp;B111&amp;"!B2:B628"),0)))</f>
        <v>6.7649336250625582</v>
      </c>
      <c r="G111" s="163">
        <f>IF(H111&gt;0,F111-H111,0)</f>
        <v>0</v>
      </c>
      <c r="H111" s="161"/>
      <c r="I111" s="163">
        <f ca="1">F111*$A$2</f>
        <v>6.7649336250625582</v>
      </c>
      <c r="J111" s="160" t="s">
        <v>76</v>
      </c>
      <c r="K111" s="160">
        <f>IF(LeagueInfo!$F$7="Yahoo",IFERROR(INDEX(DefaultAuctionValues!$B$2:$B$1000,MATCH(A111,DefaultAuctionValues!$A$2:$A$1000,0)),0),IF(LeagueInfo!$F$7="ESPN",IFERROR(INDEX(DefaultAuctionValues!$C$2:$C$1000,MATCH(A111,DefaultAuctionValues!$A$2:$A$1000,0)),0),IF(LeagueInfo!$F$7="Custom",IFERROR(INDEX(DefaultAuctionValues!$D$2:$D$1000,MATCH(A111,DefaultAuctionValues!$A$2:$A$1000,0)),0))))</f>
        <v>1</v>
      </c>
      <c r="L111" s="164">
        <f ca="1">I111-K111</f>
        <v>5.7649336250625582</v>
      </c>
      <c r="M111" s="175"/>
      <c r="N111" s="170">
        <f ca="1">INDEX(INDIRECT(""&amp;$B111&amp;"!Z2:Z628"),MATCH($A111,INDIRECT(""&amp;$B111&amp;"!B2:B628"),0))</f>
        <v>18.65500000000003</v>
      </c>
      <c r="O111" s="158" t="str">
        <f ca="1">IF(INDEX(INDIRECT(""&amp;$B111&amp;"!W2:W628"),MATCH($A111,INDIRECT(""&amp;$B111&amp;"!B2:B628"),0))=0,"",INDEX(INDIRECT(""&amp;$B111&amp;"!W2:W628"),MATCH($A111,INDIRECT(""&amp;$B111&amp;"!B2:B628"),0)))</f>
        <v/>
      </c>
    </row>
    <row r="112" spans="1:15" x14ac:dyDescent="0.25">
      <c r="A112" s="158" t="s">
        <v>570</v>
      </c>
      <c r="B112" s="158" t="s">
        <v>35</v>
      </c>
      <c r="C112" s="162">
        <f ca="1">IFERROR(INDEX(BYEs!$B$2:$B$33,MATCH(D112,BYEs!$A$2:$A$33,0)),"N/A")</f>
        <v>11</v>
      </c>
      <c r="D112" s="219" t="str">
        <f ca="1">INDEX(INDIRECT(""&amp;B112&amp;"!F2:F628"),MATCH(A112,INDIRECT(""&amp;B112&amp;"!B2:B628"),0))</f>
        <v>JAC</v>
      </c>
      <c r="E112" s="218" t="str">
        <f ca="1">INDEX(INDIRECT(""&amp;$B112&amp;"!AA2:AA628"),MATCH($A112,INDIRECT(""&amp;$B112&amp;"!B2:B628"),0))</f>
        <v>WR8</v>
      </c>
      <c r="F112" s="159">
        <f ca="1">IF(LeagueInfo!$H$7="Starter/Bench",INDEX(INDIRECT(""&amp;B112&amp;"!T2:T628"),MATCH(A112,INDIRECT(""&amp;B112&amp;"!B2:B628"),0)),INDEX(INDIRECT(""&amp;B112&amp;"!AB2:AB628"),MATCH(A112,INDIRECT(""&amp;B112&amp;"!B2:B628"),0)))</f>
        <v>6.0432923538819292</v>
      </c>
      <c r="G112" s="163">
        <f>IF(H112&gt;0,F112-H112,0)</f>
        <v>0</v>
      </c>
      <c r="H112" s="161"/>
      <c r="I112" s="163">
        <f ca="1">F112*$A$2</f>
        <v>6.0432923538819292</v>
      </c>
      <c r="J112" s="160" t="s">
        <v>76</v>
      </c>
      <c r="K112" s="160">
        <f>IF(LeagueInfo!$F$7="Yahoo",IFERROR(INDEX(DefaultAuctionValues!$B$2:$B$1000,MATCH(A112,DefaultAuctionValues!$A$2:$A$1000,0)),0),IF(LeagueInfo!$F$7="ESPN",IFERROR(INDEX(DefaultAuctionValues!$C$2:$C$1000,MATCH(A112,DefaultAuctionValues!$A$2:$A$1000,0)),0),IF(LeagueInfo!$F$7="Custom",IFERROR(INDEX(DefaultAuctionValues!$D$2:$D$1000,MATCH(A112,DefaultAuctionValues!$A$2:$A$1000,0)),0))))</f>
        <v>1</v>
      </c>
      <c r="L112" s="164">
        <f ca="1">I112-K112</f>
        <v>5.0432923538819292</v>
      </c>
      <c r="M112" s="175"/>
      <c r="N112" s="170">
        <f ca="1">INDEX(INDIRECT(""&amp;$B112&amp;"!Z2:Z628"),MATCH($A112,INDIRECT(""&amp;$B112&amp;"!B2:B628"),0))</f>
        <v>16.665000000000006</v>
      </c>
      <c r="O112" s="158" t="str">
        <f ca="1">IF(INDEX(INDIRECT(""&amp;$B112&amp;"!W2:W628"),MATCH($A112,INDIRECT(""&amp;$B112&amp;"!B2:B628"),0))=0,"",INDEX(INDIRECT(""&amp;$B112&amp;"!W2:W628"),MATCH($A112,INDIRECT(""&amp;$B112&amp;"!B2:B628"),0)))</f>
        <v/>
      </c>
    </row>
    <row r="113" spans="1:15" x14ac:dyDescent="0.25">
      <c r="A113" s="158" t="s">
        <v>2446</v>
      </c>
      <c r="B113" s="158" t="s">
        <v>28</v>
      </c>
      <c r="C113" s="162">
        <f ca="1">IFERROR(INDEX(BYEs!$B$2:$B$33,MATCH(D113,BYEs!$A$2:$A$33,0)),"N/A")</f>
        <v>7</v>
      </c>
      <c r="D113" s="219" t="str">
        <f ca="1">INDEX(INDIRECT(""&amp;B113&amp;"!F2:F628"),MATCH(A113,INDIRECT(""&amp;B113&amp;"!B2:B628"),0))</f>
        <v>BUF</v>
      </c>
      <c r="E113" s="218" t="str">
        <f ca="1">INDEX(INDIRECT(""&amp;$B113&amp;"!AA2:AA628"),MATCH($A113,INDIRECT(""&amp;$B113&amp;"!B2:B628"),0))</f>
        <v>RB8</v>
      </c>
      <c r="F113" s="159">
        <f ca="1">IF(LeagueInfo!$H$7="Starter/Bench",INDEX(INDIRECT(""&amp;B113&amp;"!T2:T628"),MATCH(A113,INDIRECT(""&amp;B113&amp;"!B2:B628"),0)),INDEX(INDIRECT(""&amp;B113&amp;"!AB2:AB628"),MATCH(A113,INDIRECT(""&amp;B113&amp;"!B2:B628"),0)))</f>
        <v>5.9018651700827069</v>
      </c>
      <c r="G113" s="163">
        <f>IF(H113&gt;0,F113-H113,0)</f>
        <v>0</v>
      </c>
      <c r="H113" s="161"/>
      <c r="I113" s="163">
        <f ca="1">F113*$A$2</f>
        <v>5.9018651700827069</v>
      </c>
      <c r="J113" s="160" t="s">
        <v>76</v>
      </c>
      <c r="K113" s="160">
        <f>IF(LeagueInfo!$F$7="Yahoo",IFERROR(INDEX(DefaultAuctionValues!$B$2:$B$1000,MATCH(A113,DefaultAuctionValues!$A$2:$A$1000,0)),0),IF(LeagueInfo!$F$7="ESPN",IFERROR(INDEX(DefaultAuctionValues!$C$2:$C$1000,MATCH(A113,DefaultAuctionValues!$A$2:$A$1000,0)),0),IF(LeagueInfo!$F$7="Custom",IFERROR(INDEX(DefaultAuctionValues!$D$2:$D$1000,MATCH(A113,DefaultAuctionValues!$A$2:$A$1000,0)),0))))</f>
        <v>2</v>
      </c>
      <c r="L113" s="164">
        <f ca="1">I113-K113</f>
        <v>3.9018651700827069</v>
      </c>
      <c r="M113" s="175"/>
      <c r="N113" s="170">
        <f ca="1">INDEX(INDIRECT(""&amp;$B113&amp;"!Z2:Z628"),MATCH($A113,INDIRECT(""&amp;$B113&amp;"!B2:B628"),0))</f>
        <v>16.274999999999991</v>
      </c>
      <c r="O113" s="158" t="str">
        <f ca="1">IF(INDEX(INDIRECT(""&amp;$B113&amp;"!W2:W628"),MATCH($A113,INDIRECT(""&amp;$B113&amp;"!B2:B628"),0))=0,"",INDEX(INDIRECT(""&amp;$B113&amp;"!W2:W628"),MATCH($A113,INDIRECT(""&amp;$B113&amp;"!B2:B628"),0)))</f>
        <v/>
      </c>
    </row>
    <row r="114" spans="1:15" x14ac:dyDescent="0.25">
      <c r="A114" s="158" t="s">
        <v>353</v>
      </c>
      <c r="B114" s="158" t="s">
        <v>28</v>
      </c>
      <c r="C114" s="162">
        <f ca="1">IFERROR(INDEX(BYEs!$B$2:$B$33,MATCH(D114,BYEs!$A$2:$A$33,0)),"N/A")</f>
        <v>11</v>
      </c>
      <c r="D114" s="219" t="str">
        <f ca="1">INDEX(INDIRECT(""&amp;B114&amp;"!F2:F628"),MATCH(A114,INDIRECT(""&amp;B114&amp;"!B2:B628"),0))</f>
        <v>MIA</v>
      </c>
      <c r="E114" s="218" t="str">
        <f ca="1">INDEX(INDIRECT(""&amp;$B114&amp;"!AA2:AA628"),MATCH($A114,INDIRECT(""&amp;$B114&amp;"!B2:B628"),0))</f>
        <v>RB8</v>
      </c>
      <c r="F114" s="159">
        <f ca="1">IF(LeagueInfo!$H$7="Starter/Bench",INDEX(INDIRECT(""&amp;B114&amp;"!T2:T628"),MATCH(A114,INDIRECT(""&amp;B114&amp;"!B2:B628"),0)),INDEX(INDIRECT(""&amp;B114&amp;"!AB2:AB628"),MATCH(A114,INDIRECT(""&amp;B114&amp;"!B2:B628"),0)))</f>
        <v>5.845656930367638</v>
      </c>
      <c r="G114" s="163">
        <f>IF(H114&gt;0,F114-H114,0)</f>
        <v>0</v>
      </c>
      <c r="H114" s="161"/>
      <c r="I114" s="163">
        <f ca="1">F114*$A$2</f>
        <v>5.845656930367638</v>
      </c>
      <c r="J114" s="160" t="s">
        <v>76</v>
      </c>
      <c r="K114" s="160">
        <f>IF(LeagueInfo!$F$7="Yahoo",IFERROR(INDEX(DefaultAuctionValues!$B$2:$B$1000,MATCH(A114,DefaultAuctionValues!$A$2:$A$1000,0)),0),IF(LeagueInfo!$F$7="ESPN",IFERROR(INDEX(DefaultAuctionValues!$C$2:$C$1000,MATCH(A114,DefaultAuctionValues!$A$2:$A$1000,0)),0),IF(LeagueInfo!$F$7="Custom",IFERROR(INDEX(DefaultAuctionValues!$D$2:$D$1000,MATCH(A114,DefaultAuctionValues!$A$2:$A$1000,0)),0))))</f>
        <v>1</v>
      </c>
      <c r="L114" s="164">
        <f ca="1">I114-K114</f>
        <v>4.845656930367638</v>
      </c>
      <c r="M114" s="175"/>
      <c r="N114" s="170">
        <f ca="1">INDEX(INDIRECT(""&amp;$B114&amp;"!Z2:Z628"),MATCH($A114,INDIRECT(""&amp;$B114&amp;"!B2:B628"),0))</f>
        <v>16.120000000000005</v>
      </c>
      <c r="O114" s="158" t="str">
        <f ca="1">IF(INDEX(INDIRECT(""&amp;$B114&amp;"!W2:W628"),MATCH($A114,INDIRECT(""&amp;$B114&amp;"!B2:B628"),0))=0,"",INDEX(INDIRECT(""&amp;$B114&amp;"!W2:W628"),MATCH($A114,INDIRECT(""&amp;$B114&amp;"!B2:B628"),0)))</f>
        <v/>
      </c>
    </row>
    <row r="115" spans="1:15" x14ac:dyDescent="0.25">
      <c r="A115" s="158" t="s">
        <v>186</v>
      </c>
      <c r="B115" s="158" t="s">
        <v>43</v>
      </c>
      <c r="C115" s="162">
        <f ca="1">IFERROR(INDEX(BYEs!$B$2:$B$33,MATCH(D115,BYEs!$A$2:$A$33,0)),"N/A")</f>
        <v>13</v>
      </c>
      <c r="D115" s="219" t="str">
        <f ca="1">INDEX(INDIRECT(""&amp;B115&amp;"!F2:F628"),MATCH(A115,INDIRECT(""&amp;B115&amp;"!B2:B628"),0))</f>
        <v>ARI</v>
      </c>
      <c r="E115" s="218" t="str">
        <f ca="1">INDEX(INDIRECT(""&amp;$B115&amp;"!AA2:AA628"),MATCH($A115,INDIRECT(""&amp;$B115&amp;"!B2:B628"),0))</f>
        <v>TE8</v>
      </c>
      <c r="F115" s="159">
        <f ca="1">IF(LeagueInfo!$H$7="Starter/Bench",INDEX(INDIRECT(""&amp;B115&amp;"!T2:T628"),MATCH(A115,INDIRECT(""&amp;B115&amp;"!B2:B628"),0)),INDEX(INDIRECT(""&amp;B115&amp;"!AB2:AB628"),MATCH(A115,INDIRECT(""&amp;B115&amp;"!B2:B628"),0)))</f>
        <v>5.7234777546428059</v>
      </c>
      <c r="G115" s="163">
        <f>IF(H115&gt;0,F115-H115,0)</f>
        <v>0</v>
      </c>
      <c r="H115" s="161"/>
      <c r="I115" s="163">
        <f ca="1">F115*$A$2</f>
        <v>5.7234777546428059</v>
      </c>
      <c r="J115" s="160" t="s">
        <v>76</v>
      </c>
      <c r="K115" s="160">
        <f>IF(LeagueInfo!$F$7="Yahoo",IFERROR(INDEX(DefaultAuctionValues!$B$2:$B$1000,MATCH(A115,DefaultAuctionValues!$A$2:$A$1000,0)),0),IF(LeagueInfo!$F$7="ESPN",IFERROR(INDEX(DefaultAuctionValues!$C$2:$C$1000,MATCH(A115,DefaultAuctionValues!$A$2:$A$1000,0)),0),IF(LeagueInfo!$F$7="Custom",IFERROR(INDEX(DefaultAuctionValues!$D$2:$D$1000,MATCH(A115,DefaultAuctionValues!$A$2:$A$1000,0)),0))))</f>
        <v>2</v>
      </c>
      <c r="L115" s="164">
        <f ca="1">I115-K115</f>
        <v>3.7234777546428059</v>
      </c>
      <c r="M115" s="175"/>
      <c r="N115" s="170">
        <f ca="1">INDEX(INDIRECT(""&amp;$B115&amp;"!Z2:Z628"),MATCH($A115,INDIRECT(""&amp;$B115&amp;"!B2:B628"),0))</f>
        <v>15.549999999999997</v>
      </c>
      <c r="O115" s="158" t="str">
        <f ca="1">IF(INDEX(INDIRECT(""&amp;$B115&amp;"!W2:W628"),MATCH($A115,INDIRECT(""&amp;$B115&amp;"!B2:B628"),0))=0,"",INDEX(INDIRECT(""&amp;$B115&amp;"!W2:W628"),MATCH($A115,INDIRECT(""&amp;$B115&amp;"!B2:B628"),0)))</f>
        <v/>
      </c>
    </row>
    <row r="116" spans="1:15" x14ac:dyDescent="0.25">
      <c r="A116" s="158" t="s">
        <v>798</v>
      </c>
      <c r="B116" s="158" t="s">
        <v>28</v>
      </c>
      <c r="C116" s="162">
        <f ca="1">IFERROR(INDEX(BYEs!$B$2:$B$33,MATCH(D116,BYEs!$A$2:$A$33,0)),"N/A")</f>
        <v>7</v>
      </c>
      <c r="D116" s="219" t="str">
        <f ca="1">INDEX(INDIRECT(""&amp;B116&amp;"!F2:F628"),MATCH(A116,INDIRECT(""&amp;B116&amp;"!B2:B628"),0))</f>
        <v>LAR</v>
      </c>
      <c r="E116" s="218" t="str">
        <f ca="1">INDEX(INDIRECT(""&amp;$B116&amp;"!AA2:AA628"),MATCH($A116,INDIRECT(""&amp;$B116&amp;"!B2:B628"),0))</f>
        <v>RB8</v>
      </c>
      <c r="F116" s="159">
        <f ca="1">IF(LeagueInfo!$H$7="Starter/Bench",INDEX(INDIRECT(""&amp;B116&amp;"!T2:T628"),MATCH(A116,INDIRECT(""&amp;B116&amp;"!B2:B628"),0)),INDEX(INDIRECT(""&amp;B116&amp;"!AB2:AB628"),MATCH(A116,INDIRECT(""&amp;B116&amp;"!B2:B628"),0)))</f>
        <v>5.6788453802454795</v>
      </c>
      <c r="G116" s="163">
        <f>IF(H116&gt;0,F116-H116,0)</f>
        <v>0</v>
      </c>
      <c r="H116" s="161"/>
      <c r="I116" s="163">
        <f ca="1">F116*$A$2</f>
        <v>5.6788453802454795</v>
      </c>
      <c r="J116" s="160" t="s">
        <v>76</v>
      </c>
      <c r="K116" s="160">
        <f>IF(LeagueInfo!$F$7="Yahoo",IFERROR(INDEX(DefaultAuctionValues!$B$2:$B$1000,MATCH(A116,DefaultAuctionValues!$A$2:$A$1000,0)),0),IF(LeagueInfo!$F$7="ESPN",IFERROR(INDEX(DefaultAuctionValues!$C$2:$C$1000,MATCH(A116,DefaultAuctionValues!$A$2:$A$1000,0)),0),IF(LeagueInfo!$F$7="Custom",IFERROR(INDEX(DefaultAuctionValues!$D$2:$D$1000,MATCH(A116,DefaultAuctionValues!$A$2:$A$1000,0)),0))))</f>
        <v>1</v>
      </c>
      <c r="L116" s="164">
        <f ca="1">I116-K116</f>
        <v>4.6788453802454795</v>
      </c>
      <c r="M116" s="175"/>
      <c r="N116" s="170">
        <f ca="1">INDEX(INDIRECT(""&amp;$B116&amp;"!Z2:Z628"),MATCH($A116,INDIRECT(""&amp;$B116&amp;"!B2:B628"),0))</f>
        <v>15.659999999999989</v>
      </c>
      <c r="O116" s="158" t="str">
        <f ca="1">IF(INDEX(INDIRECT(""&amp;$B116&amp;"!W2:W628"),MATCH($A116,INDIRECT(""&amp;$B116&amp;"!B2:B628"),0))=0,"",INDEX(INDIRECT(""&amp;$B116&amp;"!W2:W628"),MATCH($A116,INDIRECT(""&amp;$B116&amp;"!B2:B628"),0)))</f>
        <v/>
      </c>
    </row>
    <row r="117" spans="1:15" x14ac:dyDescent="0.25">
      <c r="A117" s="158" t="s">
        <v>2445</v>
      </c>
      <c r="B117" s="158" t="s">
        <v>28</v>
      </c>
      <c r="C117" s="162">
        <f ca="1">IFERROR(INDEX(BYEs!$B$2:$B$33,MATCH(D117,BYEs!$A$2:$A$33,0)),"N/A")</f>
        <v>11</v>
      </c>
      <c r="D117" s="219" t="str">
        <f ca="1">INDEX(INDIRECT(""&amp;B117&amp;"!F2:F628"),MATCH(A117,INDIRECT(""&amp;B117&amp;"!B2:B628"),0))</f>
        <v>SEA</v>
      </c>
      <c r="E117" s="218" t="str">
        <f ca="1">INDEX(INDIRECT(""&amp;$B117&amp;"!AA2:AA628"),MATCH($A117,INDIRECT(""&amp;$B117&amp;"!B2:B628"),0))</f>
        <v>RB8</v>
      </c>
      <c r="F117" s="159">
        <f ca="1">IF(LeagueInfo!$H$7="Starter/Bench",INDEX(INDIRECT(""&amp;B117&amp;"!T2:T628"),MATCH(A117,INDIRECT(""&amp;B117&amp;"!B2:B628"),0)),INDEX(INDIRECT(""&amp;B117&amp;"!AB2:AB628"),MATCH(A117,INDIRECT(""&amp;B117&amp;"!B2:B628"),0)))</f>
        <v>5.189289744017425</v>
      </c>
      <c r="G117" s="163">
        <f>IF(H117&gt;0,F117-H117,0)</f>
        <v>0</v>
      </c>
      <c r="H117" s="161"/>
      <c r="I117" s="163">
        <f ca="1">F117*$A$2</f>
        <v>5.189289744017425</v>
      </c>
      <c r="J117" s="160" t="s">
        <v>76</v>
      </c>
      <c r="K117" s="160">
        <f>IF(LeagueInfo!$F$7="Yahoo",IFERROR(INDEX(DefaultAuctionValues!$B$2:$B$1000,MATCH(A117,DefaultAuctionValues!$A$2:$A$1000,0)),0),IF(LeagueInfo!$F$7="ESPN",IFERROR(INDEX(DefaultAuctionValues!$C$2:$C$1000,MATCH(A117,DefaultAuctionValues!$A$2:$A$1000,0)),0),IF(LeagueInfo!$F$7="Custom",IFERROR(INDEX(DefaultAuctionValues!$D$2:$D$1000,MATCH(A117,DefaultAuctionValues!$A$2:$A$1000,0)),0))))</f>
        <v>2</v>
      </c>
      <c r="L117" s="164">
        <f ca="1">I117-K117</f>
        <v>3.189289744017425</v>
      </c>
      <c r="M117" s="175"/>
      <c r="N117" s="170">
        <f ca="1">INDEX(INDIRECT(""&amp;$B117&amp;"!Z2:Z628"),MATCH($A117,INDIRECT(""&amp;$B117&amp;"!B2:B628"),0))</f>
        <v>14.310000000000002</v>
      </c>
      <c r="O117" s="158" t="str">
        <f ca="1">IF(INDEX(INDIRECT(""&amp;$B117&amp;"!W2:W628"),MATCH($A117,INDIRECT(""&amp;$B117&amp;"!B2:B628"),0))=0,"",INDEX(INDIRECT(""&amp;$B117&amp;"!W2:W628"),MATCH($A117,INDIRECT(""&amp;$B117&amp;"!B2:B628"),0)))</f>
        <v/>
      </c>
    </row>
    <row r="118" spans="1:15" x14ac:dyDescent="0.25">
      <c r="A118" s="158" t="s">
        <v>946</v>
      </c>
      <c r="B118" s="158" t="s">
        <v>35</v>
      </c>
      <c r="C118" s="162">
        <f ca="1">IFERROR(INDEX(BYEs!$B$2:$B$33,MATCH(D118,BYEs!$A$2:$A$33,0)),"N/A")</f>
        <v>7</v>
      </c>
      <c r="D118" s="219" t="str">
        <f ca="1">INDEX(INDIRECT(""&amp;B118&amp;"!F2:F628"),MATCH(A118,INDIRECT(""&amp;B118&amp;"!B2:B628"),0))</f>
        <v>PHI</v>
      </c>
      <c r="E118" s="218" t="str">
        <f ca="1">INDEX(INDIRECT(""&amp;$B118&amp;"!AA2:AA628"),MATCH($A118,INDIRECT(""&amp;$B118&amp;"!B2:B628"),0))</f>
        <v>WR8</v>
      </c>
      <c r="F118" s="159">
        <f ca="1">IF(LeagueInfo!$H$7="Starter/Bench",INDEX(INDIRECT(""&amp;B118&amp;"!T2:T628"),MATCH(A118,INDIRECT(""&amp;B118&amp;"!B2:B628"),0)),INDEX(INDIRECT(""&amp;B118&amp;"!AB2:AB628"),MATCH(A118,INDIRECT(""&amp;B118&amp;"!B2:B628"),0)))</f>
        <v>5.1530263635560898</v>
      </c>
      <c r="G118" s="163">
        <f>IF(H118&gt;0,F118-H118,0)</f>
        <v>0</v>
      </c>
      <c r="H118" s="161"/>
      <c r="I118" s="163">
        <f ca="1">F118*$A$2</f>
        <v>5.1530263635560898</v>
      </c>
      <c r="J118" s="160" t="s">
        <v>76</v>
      </c>
      <c r="K118" s="160">
        <f>IF(LeagueInfo!$F$7="Yahoo",IFERROR(INDEX(DefaultAuctionValues!$B$2:$B$1000,MATCH(A118,DefaultAuctionValues!$A$2:$A$1000,0)),0),IF(LeagueInfo!$F$7="ESPN",IFERROR(INDEX(DefaultAuctionValues!$C$2:$C$1000,MATCH(A118,DefaultAuctionValues!$A$2:$A$1000,0)),0),IF(LeagueInfo!$F$7="Custom",IFERROR(INDEX(DefaultAuctionValues!$D$2:$D$1000,MATCH(A118,DefaultAuctionValues!$A$2:$A$1000,0)),0))))</f>
        <v>1</v>
      </c>
      <c r="L118" s="164">
        <f ca="1">I118-K118</f>
        <v>4.1530263635560898</v>
      </c>
      <c r="M118" s="175"/>
      <c r="N118" s="170">
        <f ca="1">INDEX(INDIRECT(""&amp;$B118&amp;"!Z2:Z628"),MATCH($A118,INDIRECT(""&amp;$B118&amp;"!B2:B628"),0))</f>
        <v>14.210000000000008</v>
      </c>
      <c r="O118" s="158" t="str">
        <f ca="1">IF(INDEX(INDIRECT(""&amp;$B118&amp;"!W2:W628"),MATCH($A118,INDIRECT(""&amp;$B118&amp;"!B2:B628"),0))=0,"",INDEX(INDIRECT(""&amp;$B118&amp;"!W2:W628"),MATCH($A118,INDIRECT(""&amp;$B118&amp;"!B2:B628"),0)))</f>
        <v/>
      </c>
    </row>
    <row r="119" spans="1:15" x14ac:dyDescent="0.25">
      <c r="A119" s="158" t="s">
        <v>739</v>
      </c>
      <c r="B119" s="158" t="s">
        <v>43</v>
      </c>
      <c r="C119" s="162">
        <f ca="1">IFERROR(INDEX(BYEs!$B$2:$B$33,MATCH(D119,BYEs!$A$2:$A$33,0)),"N/A")</f>
        <v>10</v>
      </c>
      <c r="D119" s="219" t="str">
        <f ca="1">INDEX(INDIRECT(""&amp;B119&amp;"!F2:F628"),MATCH(A119,INDIRECT(""&amp;B119&amp;"!B2:B628"),0))</f>
        <v>NE</v>
      </c>
      <c r="E119" s="218" t="str">
        <f ca="1">INDEX(INDIRECT(""&amp;$B119&amp;"!AA2:AA628"),MATCH($A119,INDIRECT(""&amp;$B119&amp;"!B2:B628"),0))</f>
        <v>TE8</v>
      </c>
      <c r="F119" s="159">
        <f ca="1">IF(LeagueInfo!$H$7="Starter/Bench",INDEX(INDIRECT(""&amp;B119&amp;"!T2:T628"),MATCH(A119,INDIRECT(""&amp;B119&amp;"!B2:B628"),0)),INDEX(INDIRECT(""&amp;B119&amp;"!AB2:AB628"),MATCH(A119,INDIRECT(""&amp;B119&amp;"!B2:B628"),0)))</f>
        <v>5.0651125043267191</v>
      </c>
      <c r="G119" s="163">
        <f>IF(H119&gt;0,F119-H119,0)</f>
        <v>0</v>
      </c>
      <c r="H119" s="161"/>
      <c r="I119" s="163">
        <f ca="1">F119*$A$2</f>
        <v>5.0651125043267191</v>
      </c>
      <c r="J119" s="160" t="s">
        <v>76</v>
      </c>
      <c r="K119" s="160">
        <f>IF(LeagueInfo!$F$7="Yahoo",IFERROR(INDEX(DefaultAuctionValues!$B$2:$B$1000,MATCH(A119,DefaultAuctionValues!$A$2:$A$1000,0)),0),IF(LeagueInfo!$F$7="ESPN",IFERROR(INDEX(DefaultAuctionValues!$C$2:$C$1000,MATCH(A119,DefaultAuctionValues!$A$2:$A$1000,0)),0),IF(LeagueInfo!$F$7="Custom",IFERROR(INDEX(DefaultAuctionValues!$D$2:$D$1000,MATCH(A119,DefaultAuctionValues!$A$2:$A$1000,0)),0))))</f>
        <v>1</v>
      </c>
      <c r="L119" s="164">
        <f ca="1">I119-K119</f>
        <v>4.0651125043267191</v>
      </c>
      <c r="M119" s="175"/>
      <c r="N119" s="170">
        <f ca="1">INDEX(INDIRECT(""&amp;$B119&amp;"!Z2:Z628"),MATCH($A119,INDIRECT(""&amp;$B119&amp;"!B2:B628"),0))</f>
        <v>13.789999999999992</v>
      </c>
      <c r="O119" s="158" t="str">
        <f ca="1">IF(INDEX(INDIRECT(""&amp;$B119&amp;"!W2:W628"),MATCH($A119,INDIRECT(""&amp;$B119&amp;"!B2:B628"),0))=0,"",INDEX(INDIRECT(""&amp;$B119&amp;"!W2:W628"),MATCH($A119,INDIRECT(""&amp;$B119&amp;"!B2:B628"),0)))</f>
        <v/>
      </c>
    </row>
    <row r="120" spans="1:15" x14ac:dyDescent="0.25">
      <c r="A120" s="158" t="s">
        <v>550</v>
      </c>
      <c r="B120" s="158" t="s">
        <v>28</v>
      </c>
      <c r="C120" s="162">
        <f ca="1">IFERROR(INDEX(BYEs!$B$2:$B$33,MATCH(D120,BYEs!$A$2:$A$33,0)),"N/A")</f>
        <v>14</v>
      </c>
      <c r="D120" s="219" t="str">
        <f ca="1">INDEX(INDIRECT(""&amp;B120&amp;"!F2:F628"),MATCH(A120,INDIRECT(""&amp;B120&amp;"!B2:B628"),0))</f>
        <v>IND</v>
      </c>
      <c r="E120" s="218" t="str">
        <f ca="1">INDEX(INDIRECT(""&amp;$B120&amp;"!AA2:AA628"),MATCH($A120,INDIRECT(""&amp;$B120&amp;"!B2:B628"),0))</f>
        <v>RB8</v>
      </c>
      <c r="F120" s="159">
        <f ca="1">IF(LeagueInfo!$H$7="Starter/Bench",INDEX(INDIRECT(""&amp;B120&amp;"!T2:T628"),MATCH(A120,INDIRECT(""&amp;B120&amp;"!B2:B628"),0)),INDEX(INDIRECT(""&amp;B120&amp;"!AB2:AB628"),MATCH(A120,INDIRECT(""&amp;B120&amp;"!B2:B628"),0)))</f>
        <v>4.9300065737188596</v>
      </c>
      <c r="G120" s="163">
        <f>IF(H120&gt;0,F120-H120,0)</f>
        <v>0</v>
      </c>
      <c r="H120" s="161"/>
      <c r="I120" s="163">
        <f ca="1">F120*$A$2</f>
        <v>4.9300065737188596</v>
      </c>
      <c r="J120" s="160" t="s">
        <v>76</v>
      </c>
      <c r="K120" s="160">
        <f>IF(LeagueInfo!$F$7="Yahoo",IFERROR(INDEX(DefaultAuctionValues!$B$2:$B$1000,MATCH(A120,DefaultAuctionValues!$A$2:$A$1000,0)),0),IF(LeagueInfo!$F$7="ESPN",IFERROR(INDEX(DefaultAuctionValues!$C$2:$C$1000,MATCH(A120,DefaultAuctionValues!$A$2:$A$1000,0)),0),IF(LeagueInfo!$F$7="Custom",IFERROR(INDEX(DefaultAuctionValues!$D$2:$D$1000,MATCH(A120,DefaultAuctionValues!$A$2:$A$1000,0)),0))))</f>
        <v>1</v>
      </c>
      <c r="L120" s="164">
        <f ca="1">I120-K120</f>
        <v>3.9300065737188596</v>
      </c>
      <c r="M120" s="175"/>
      <c r="N120" s="170">
        <f ca="1">INDEX(INDIRECT(""&amp;$B120&amp;"!Z2:Z628"),MATCH($A120,INDIRECT(""&amp;$B120&amp;"!B2:B628"),0))</f>
        <v>13.594999999999999</v>
      </c>
      <c r="O120" s="158" t="str">
        <f ca="1">IF(INDEX(INDIRECT(""&amp;$B120&amp;"!W2:W628"),MATCH($A120,INDIRECT(""&amp;$B120&amp;"!B2:B628"),0))=0,"",INDEX(INDIRECT(""&amp;$B120&amp;"!W2:W628"),MATCH($A120,INDIRECT(""&amp;$B120&amp;"!B2:B628"),0)))</f>
        <v/>
      </c>
    </row>
    <row r="121" spans="1:15" x14ac:dyDescent="0.25">
      <c r="A121" s="158" t="s">
        <v>840</v>
      </c>
      <c r="B121" s="158" t="s">
        <v>35</v>
      </c>
      <c r="C121" s="162">
        <f ca="1">IFERROR(INDEX(BYEs!$B$2:$B$33,MATCH(D121,BYEs!$A$2:$A$33,0)),"N/A")</f>
        <v>9</v>
      </c>
      <c r="D121" s="219" t="str">
        <f ca="1">INDEX(INDIRECT(""&amp;B121&amp;"!F2:F628"),MATCH(A121,INDIRECT(""&amp;B121&amp;"!B2:B628"),0))</f>
        <v>PIT</v>
      </c>
      <c r="E121" s="218" t="str">
        <f ca="1">INDEX(INDIRECT(""&amp;$B121&amp;"!AA2:AA628"),MATCH($A121,INDIRECT(""&amp;$B121&amp;"!B2:B628"),0))</f>
        <v>WR8</v>
      </c>
      <c r="F121" s="159">
        <f ca="1">IF(LeagueInfo!$H$7="Starter/Bench",INDEX(INDIRECT(""&amp;B121&amp;"!T2:T628"),MATCH(A121,INDIRECT(""&amp;B121&amp;"!B2:B628"),0)),INDEX(INDIRECT(""&amp;B121&amp;"!AB2:AB628"),MATCH(A121,INDIRECT(""&amp;B121&amp;"!B2:B628"),0)))</f>
        <v>4.8574798127961882</v>
      </c>
      <c r="G121" s="163">
        <f>IF(H121&gt;0,F121-H121,0)</f>
        <v>0</v>
      </c>
      <c r="H121" s="161"/>
      <c r="I121" s="163">
        <f ca="1">F121*$A$2</f>
        <v>4.8574798127961882</v>
      </c>
      <c r="J121" s="160" t="s">
        <v>76</v>
      </c>
      <c r="K121" s="160">
        <f>IF(LeagueInfo!$F$7="Yahoo",IFERROR(INDEX(DefaultAuctionValues!$B$2:$B$1000,MATCH(A121,DefaultAuctionValues!$A$2:$A$1000,0)),0),IF(LeagueInfo!$F$7="ESPN",IFERROR(INDEX(DefaultAuctionValues!$C$2:$C$1000,MATCH(A121,DefaultAuctionValues!$A$2:$A$1000,0)),0),IF(LeagueInfo!$F$7="Custom",IFERROR(INDEX(DefaultAuctionValues!$D$2:$D$1000,MATCH(A121,DefaultAuctionValues!$A$2:$A$1000,0)),0))))</f>
        <v>1</v>
      </c>
      <c r="L121" s="164">
        <f ca="1">I121-K121</f>
        <v>3.8574798127961882</v>
      </c>
      <c r="M121" s="175"/>
      <c r="N121" s="170">
        <f ca="1">INDEX(INDIRECT(""&amp;$B121&amp;"!Z2:Z628"),MATCH($A121,INDIRECT(""&amp;$B121&amp;"!B2:B628"),0))</f>
        <v>13.39500000000001</v>
      </c>
      <c r="O121" s="158" t="str">
        <f ca="1">IF(INDEX(INDIRECT(""&amp;$B121&amp;"!W2:W628"),MATCH($A121,INDIRECT(""&amp;$B121&amp;"!B2:B628"),0))=0,"",INDEX(INDIRECT(""&amp;$B121&amp;"!W2:W628"),MATCH($A121,INDIRECT(""&amp;$B121&amp;"!B2:B628"),0)))</f>
        <v/>
      </c>
    </row>
    <row r="122" spans="1:15" x14ac:dyDescent="0.25">
      <c r="A122" s="158" t="s">
        <v>184</v>
      </c>
      <c r="B122" s="158" t="s">
        <v>28</v>
      </c>
      <c r="C122" s="162">
        <f ca="1">IFERROR(INDEX(BYEs!$B$2:$B$33,MATCH(D122,BYEs!$A$2:$A$33,0)),"N/A")</f>
        <v>6</v>
      </c>
      <c r="D122" s="219" t="str">
        <f ca="1">INDEX(INDIRECT(""&amp;B122&amp;"!F2:F628"),MATCH(A122,INDIRECT(""&amp;B122&amp;"!B2:B628"),0))</f>
        <v>DET</v>
      </c>
      <c r="E122" s="218" t="str">
        <f ca="1">INDEX(INDIRECT(""&amp;$B122&amp;"!AA2:AA628"),MATCH($A122,INDIRECT(""&amp;$B122&amp;"!B2:B628"),0))</f>
        <v>RB8</v>
      </c>
      <c r="F122" s="159">
        <f ca="1">IF(LeagueInfo!$H$7="Starter/Bench",INDEX(INDIRECT(""&amp;B122&amp;"!T2:T628"),MATCH(A122,INDIRECT(""&amp;B122&amp;"!B2:B628"),0)),INDEX(INDIRECT(""&amp;B122&amp;"!AB2:AB628"),MATCH(A122,INDIRECT(""&amp;B122&amp;"!B2:B628"),0)))</f>
        <v>4.7795135448043053</v>
      </c>
      <c r="G122" s="163">
        <f>IF(H122&gt;0,F122-H122,0)</f>
        <v>0</v>
      </c>
      <c r="H122" s="161"/>
      <c r="I122" s="163">
        <f ca="1">F122*$A$2</f>
        <v>4.7795135448043053</v>
      </c>
      <c r="J122" s="160" t="s">
        <v>76</v>
      </c>
      <c r="K122" s="160">
        <f>IF(LeagueInfo!$F$7="Yahoo",IFERROR(INDEX(DefaultAuctionValues!$B$2:$B$1000,MATCH(A122,DefaultAuctionValues!$A$2:$A$1000,0)),0),IF(LeagueInfo!$F$7="ESPN",IFERROR(INDEX(DefaultAuctionValues!$C$2:$C$1000,MATCH(A122,DefaultAuctionValues!$A$2:$A$1000,0)),0),IF(LeagueInfo!$F$7="Custom",IFERROR(INDEX(DefaultAuctionValues!$D$2:$D$1000,MATCH(A122,DefaultAuctionValues!$A$2:$A$1000,0)),0))))</f>
        <v>1</v>
      </c>
      <c r="L122" s="164">
        <f ca="1">I122-K122</f>
        <v>3.7795135448043053</v>
      </c>
      <c r="M122" s="175"/>
      <c r="N122" s="170">
        <f ca="1">INDEX(INDIRECT(""&amp;$B122&amp;"!Z2:Z628"),MATCH($A122,INDIRECT(""&amp;$B122&amp;"!B2:B628"),0))</f>
        <v>13.179999999999993</v>
      </c>
      <c r="O122" s="158" t="str">
        <f ca="1">IF(INDEX(INDIRECT(""&amp;$B122&amp;"!W2:W628"),MATCH($A122,INDIRECT(""&amp;$B122&amp;"!B2:B628"),0))=0,"",INDEX(INDIRECT(""&amp;$B122&amp;"!W2:W628"),MATCH($A122,INDIRECT(""&amp;$B122&amp;"!B2:B628"),0)))</f>
        <v/>
      </c>
    </row>
    <row r="123" spans="1:15" x14ac:dyDescent="0.25">
      <c r="A123" s="158" t="s">
        <v>930</v>
      </c>
      <c r="B123" s="158" t="s">
        <v>28</v>
      </c>
      <c r="C123" s="162">
        <f ca="1">IFERROR(INDEX(BYEs!$B$2:$B$33,MATCH(D123,BYEs!$A$2:$A$33,0)),"N/A")</f>
        <v>7</v>
      </c>
      <c r="D123" s="219" t="str">
        <f ca="1">INDEX(INDIRECT(""&amp;B123&amp;"!F2:F628"),MATCH(A123,INDIRECT(""&amp;B123&amp;"!B2:B628"),0))</f>
        <v>PHI</v>
      </c>
      <c r="E123" s="218" t="str">
        <f ca="1">INDEX(INDIRECT(""&amp;$B123&amp;"!AA2:AA628"),MATCH($A123,INDIRECT(""&amp;$B123&amp;"!B2:B628"),0))</f>
        <v>RB8</v>
      </c>
      <c r="F123" s="159">
        <f ca="1">IF(LeagueInfo!$H$7="Starter/Bench",INDEX(INDIRECT(""&amp;B123&amp;"!T2:T628"),MATCH(A123,INDIRECT(""&amp;B123&amp;"!B2:B628"),0)),INDEX(INDIRECT(""&amp;B123&amp;"!AB2:AB628"),MATCH(A123,INDIRECT(""&amp;B123&amp;"!B2:B628"),0)))</f>
        <v>4.6779760795125593</v>
      </c>
      <c r="G123" s="163">
        <f>IF(H123&gt;0,F123-H123,0)</f>
        <v>0</v>
      </c>
      <c r="H123" s="161"/>
      <c r="I123" s="163">
        <f ca="1">F123*$A$2</f>
        <v>4.6779760795125593</v>
      </c>
      <c r="J123" s="160" t="s">
        <v>76</v>
      </c>
      <c r="K123" s="160">
        <f>IF(LeagueInfo!$F$7="Yahoo",IFERROR(INDEX(DefaultAuctionValues!$B$2:$B$1000,MATCH(A123,DefaultAuctionValues!$A$2:$A$1000,0)),0),IF(LeagueInfo!$F$7="ESPN",IFERROR(INDEX(DefaultAuctionValues!$C$2:$C$1000,MATCH(A123,DefaultAuctionValues!$A$2:$A$1000,0)),0),IF(LeagueInfo!$F$7="Custom",IFERROR(INDEX(DefaultAuctionValues!$D$2:$D$1000,MATCH(A123,DefaultAuctionValues!$A$2:$A$1000,0)),0))))</f>
        <v>1</v>
      </c>
      <c r="L123" s="164">
        <f ca="1">I123-K123</f>
        <v>3.6779760795125593</v>
      </c>
      <c r="M123" s="175"/>
      <c r="N123" s="170">
        <f ca="1">INDEX(INDIRECT(""&amp;$B123&amp;"!Z2:Z628"),MATCH($A123,INDIRECT(""&amp;$B123&amp;"!B2:B628"),0))</f>
        <v>12.899999999999991</v>
      </c>
      <c r="O123" s="158" t="str">
        <f ca="1">IF(INDEX(INDIRECT(""&amp;$B123&amp;"!W2:W628"),MATCH($A123,INDIRECT(""&amp;$B123&amp;"!B2:B628"),0))=0,"",INDEX(INDIRECT(""&amp;$B123&amp;"!W2:W628"),MATCH($A123,INDIRECT(""&amp;$B123&amp;"!B2:B628"),0)))</f>
        <v/>
      </c>
    </row>
    <row r="124" spans="1:15" x14ac:dyDescent="0.25">
      <c r="A124" s="158" t="s">
        <v>749</v>
      </c>
      <c r="B124" s="158" t="s">
        <v>43</v>
      </c>
      <c r="C124" s="162">
        <f ca="1">IFERROR(INDEX(BYEs!$B$2:$B$33,MATCH(D124,BYEs!$A$2:$A$33,0)),"N/A")</f>
        <v>7</v>
      </c>
      <c r="D124" s="219" t="str">
        <f ca="1">INDEX(INDIRECT(""&amp;B124&amp;"!F2:F628"),MATCH(A124,INDIRECT(""&amp;B124&amp;"!B2:B628"),0))</f>
        <v>BUF</v>
      </c>
      <c r="E124" s="218" t="str">
        <f ca="1">INDEX(INDIRECT(""&amp;$B124&amp;"!AA2:AA628"),MATCH($A124,INDIRECT(""&amp;$B124&amp;"!B2:B628"),0))</f>
        <v>TE8</v>
      </c>
      <c r="F124" s="159">
        <f ca="1">IF(LeagueInfo!$H$7="Starter/Bench",INDEX(INDIRECT(""&amp;B124&amp;"!T2:T628"),MATCH(A124,INDIRECT(""&amp;B124&amp;"!B2:B628"),0)),INDEX(INDIRECT(""&amp;B124&amp;"!AB2:AB628"),MATCH(A124,INDIRECT(""&amp;B124&amp;"!B2:B628"),0)))</f>
        <v>4.6760784927763028</v>
      </c>
      <c r="G124" s="163">
        <f>IF(H124&gt;0,F124-H124,0)</f>
        <v>0</v>
      </c>
      <c r="H124" s="161"/>
      <c r="I124" s="163">
        <f ca="1">F124*$A$2</f>
        <v>4.6760784927763028</v>
      </c>
      <c r="J124" s="160" t="s">
        <v>76</v>
      </c>
      <c r="K124" s="160">
        <f>IF(LeagueInfo!$F$7="Yahoo",IFERROR(INDEX(DefaultAuctionValues!$B$2:$B$1000,MATCH(A124,DefaultAuctionValues!$A$2:$A$1000,0)),0),IF(LeagueInfo!$F$7="ESPN",IFERROR(INDEX(DefaultAuctionValues!$C$2:$C$1000,MATCH(A124,DefaultAuctionValues!$A$2:$A$1000,0)),0),IF(LeagueInfo!$F$7="Custom",IFERROR(INDEX(DefaultAuctionValues!$D$2:$D$1000,MATCH(A124,DefaultAuctionValues!$A$2:$A$1000,0)),0))))</f>
        <v>2</v>
      </c>
      <c r="L124" s="164">
        <f ca="1">I124-K124</f>
        <v>2.6760784927763028</v>
      </c>
      <c r="M124" s="175"/>
      <c r="N124" s="170">
        <f ca="1">INDEX(INDIRECT(""&amp;$B124&amp;"!Z2:Z628"),MATCH($A124,INDIRECT(""&amp;$B124&amp;"!B2:B628"),0))</f>
        <v>12.749999999999986</v>
      </c>
      <c r="O124" s="158" t="str">
        <f ca="1">IF(INDEX(INDIRECT(""&amp;$B124&amp;"!W2:W628"),MATCH($A124,INDIRECT(""&amp;$B124&amp;"!B2:B628"),0))=0,"",INDEX(INDIRECT(""&amp;$B124&amp;"!W2:W628"),MATCH($A124,INDIRECT(""&amp;$B124&amp;"!B2:B628"),0)))</f>
        <v/>
      </c>
    </row>
    <row r="125" spans="1:15" x14ac:dyDescent="0.25">
      <c r="A125" s="158" t="s">
        <v>872</v>
      </c>
      <c r="B125" s="158" t="s">
        <v>29</v>
      </c>
      <c r="C125" s="162">
        <f ca="1">IFERROR(INDEX(BYEs!$B$2:$B$33,MATCH(D125,BYEs!$A$2:$A$33,0)),"N/A")</f>
        <v>11</v>
      </c>
      <c r="D125" s="219" t="str">
        <f ca="1">INDEX(INDIRECT(""&amp;B125&amp;"!F2:F628"),MATCH(A125,INDIRECT(""&amp;B125&amp;"!B2:B628"),0))</f>
        <v>MIA</v>
      </c>
      <c r="E125" s="218" t="str">
        <f ca="1">INDEX(INDIRECT(""&amp;$B125&amp;"!AA2:AA628"),MATCH($A125,INDIRECT(""&amp;$B125&amp;"!B2:B628"),0))</f>
        <v>QB5</v>
      </c>
      <c r="F125" s="159">
        <f ca="1">IF(LeagueInfo!$H$7="Starter/Bench",INDEX(INDIRECT(""&amp;B125&amp;"!T2:T628"),MATCH(A125,INDIRECT(""&amp;B125&amp;"!B2:B628"),0)),INDEX(INDIRECT(""&amp;B125&amp;"!AB2:AB628"),MATCH(A125,INDIRECT(""&amp;B125&amp;"!B2:B628"),0)))</f>
        <v>4.6388116286143291</v>
      </c>
      <c r="G125" s="163">
        <f>IF(H125&gt;0,F125-H125,0)</f>
        <v>0</v>
      </c>
      <c r="H125" s="161"/>
      <c r="I125" s="163">
        <f ca="1">F125*$A$2</f>
        <v>4.6388116286143291</v>
      </c>
      <c r="J125" s="160" t="s">
        <v>76</v>
      </c>
      <c r="K125" s="160">
        <f>IF(LeagueInfo!$F$7="Yahoo",IFERROR(INDEX(DefaultAuctionValues!$B$2:$B$1000,MATCH(A125,DefaultAuctionValues!$A$2:$A$1000,0)),0),IF(LeagueInfo!$F$7="ESPN",IFERROR(INDEX(DefaultAuctionValues!$C$2:$C$1000,MATCH(A125,DefaultAuctionValues!$A$2:$A$1000,0)),0),IF(LeagueInfo!$F$7="Custom",IFERROR(INDEX(DefaultAuctionValues!$D$2:$D$1000,MATCH(A125,DefaultAuctionValues!$A$2:$A$1000,0)),0))))</f>
        <v>1</v>
      </c>
      <c r="L125" s="164">
        <f ca="1">I125-K125</f>
        <v>3.6388116286143291</v>
      </c>
      <c r="M125" s="175"/>
      <c r="N125" s="170">
        <f ca="1">INDEX(INDIRECT(""&amp;$B125&amp;"!Z2:Z628"),MATCH($A125,INDIRECT(""&amp;$B125&amp;"!B2:B628"),0))</f>
        <v>12.79200000000003</v>
      </c>
      <c r="O125" s="158" t="str">
        <f ca="1">IF(INDEX(INDIRECT(""&amp;$B125&amp;"!W2:W628"),MATCH($A125,INDIRECT(""&amp;$B125&amp;"!B2:B628"),0))=0,"",INDEX(INDIRECT(""&amp;$B125&amp;"!W2:W628"),MATCH($A125,INDIRECT(""&amp;$B125&amp;"!B2:B628"),0)))</f>
        <v/>
      </c>
    </row>
    <row r="126" spans="1:15" x14ac:dyDescent="0.25">
      <c r="A126" s="158" t="s">
        <v>837</v>
      </c>
      <c r="B126" s="158" t="s">
        <v>35</v>
      </c>
      <c r="C126" s="162">
        <f ca="1">IFERROR(INDEX(BYEs!$B$2:$B$33,MATCH(D126,BYEs!$A$2:$A$33,0)),"N/A")</f>
        <v>9</v>
      </c>
      <c r="D126" s="219" t="str">
        <f ca="1">INDEX(INDIRECT(""&amp;B126&amp;"!F2:F628"),MATCH(A126,INDIRECT(""&amp;B126&amp;"!B2:B628"),0))</f>
        <v>SF</v>
      </c>
      <c r="E126" s="218" t="str">
        <f ca="1">INDEX(INDIRECT(""&amp;$B126&amp;"!AA2:AA628"),MATCH($A126,INDIRECT(""&amp;$B126&amp;"!B2:B628"),0))</f>
        <v>WR8</v>
      </c>
      <c r="F126" s="159">
        <f ca="1">IF(LeagueInfo!$H$7="Starter/Bench",INDEX(INDIRECT(""&amp;B126&amp;"!T2:T628"),MATCH(A126,INDIRECT(""&amp;B126&amp;"!B2:B628"),0)),INDEX(INDIRECT(""&amp;B126&amp;"!AB2:AB628"),MATCH(A126,INDIRECT(""&amp;B126&amp;"!B2:B628"),0)))</f>
        <v>4.590943966405356</v>
      </c>
      <c r="G126" s="163">
        <f>IF(H126&gt;0,F126-H126,0)</f>
        <v>0</v>
      </c>
      <c r="H126" s="161"/>
      <c r="I126" s="163">
        <f ca="1">F126*$A$2</f>
        <v>4.590943966405356</v>
      </c>
      <c r="J126" s="160" t="s">
        <v>76</v>
      </c>
      <c r="K126" s="160">
        <f>IF(LeagueInfo!$F$7="Yahoo",IFERROR(INDEX(DefaultAuctionValues!$B$2:$B$1000,MATCH(A126,DefaultAuctionValues!$A$2:$A$1000,0)),0),IF(LeagueInfo!$F$7="ESPN",IFERROR(INDEX(DefaultAuctionValues!$C$2:$C$1000,MATCH(A126,DefaultAuctionValues!$A$2:$A$1000,0)),0),IF(LeagueInfo!$F$7="Custom",IFERROR(INDEX(DefaultAuctionValues!$D$2:$D$1000,MATCH(A126,DefaultAuctionValues!$A$2:$A$1000,0)),0))))</f>
        <v>2</v>
      </c>
      <c r="L126" s="164">
        <f ca="1">I126-K126</f>
        <v>2.590943966405356</v>
      </c>
      <c r="M126" s="175"/>
      <c r="N126" s="170">
        <f ca="1">INDEX(INDIRECT(""&amp;$B126&amp;"!Z2:Z628"),MATCH($A126,INDIRECT(""&amp;$B126&amp;"!B2:B628"),0))</f>
        <v>12.660000000000011</v>
      </c>
      <c r="O126" s="158" t="str">
        <f ca="1">IF(INDEX(INDIRECT(""&amp;$B126&amp;"!W2:W628"),MATCH($A126,INDIRECT(""&amp;$B126&amp;"!B2:B628"),0))=0,"",INDEX(INDIRECT(""&amp;$B126&amp;"!W2:W628"),MATCH($A126,INDIRECT(""&amp;$B126&amp;"!B2:B628"),0)))</f>
        <v/>
      </c>
    </row>
    <row r="127" spans="1:15" x14ac:dyDescent="0.25">
      <c r="A127" s="158" t="s">
        <v>2412</v>
      </c>
      <c r="B127" s="158" t="s">
        <v>35</v>
      </c>
      <c r="C127" s="162">
        <f ca="1">IFERROR(INDEX(BYEs!$B$2:$B$33,MATCH(D127,BYEs!$A$2:$A$33,0)),"N/A")</f>
        <v>14</v>
      </c>
      <c r="D127" s="219" t="str">
        <f ca="1">INDEX(INDIRECT(""&amp;B127&amp;"!F2:F628"),MATCH(A127,INDIRECT(""&amp;B127&amp;"!B2:B628"),0))</f>
        <v>ATL</v>
      </c>
      <c r="E127" s="218" t="str">
        <f ca="1">INDEX(INDIRECT(""&amp;$B127&amp;"!AA2:AA628"),MATCH($A127,INDIRECT(""&amp;$B127&amp;"!B2:B628"),0))</f>
        <v>WR8</v>
      </c>
      <c r="F127" s="159">
        <f ca="1">IF(LeagueInfo!$H$7="Starter/Bench",INDEX(INDIRECT(""&amp;B127&amp;"!T2:T628"),MATCH(A127,INDIRECT(""&amp;B127&amp;"!B2:B628"),0)),INDEX(INDIRECT(""&amp;B127&amp;"!AB2:AB628"),MATCH(A127,INDIRECT(""&amp;B127&amp;"!B2:B628"),0)))</f>
        <v>4.3516056553605287</v>
      </c>
      <c r="G127" s="163">
        <f>IF(H127&gt;0,F127-H127,0)</f>
        <v>0</v>
      </c>
      <c r="H127" s="161"/>
      <c r="I127" s="163">
        <f ca="1">F127*$A$2</f>
        <v>4.3516056553605287</v>
      </c>
      <c r="J127" s="160" t="s">
        <v>76</v>
      </c>
      <c r="K127" s="160">
        <f>IF(LeagueInfo!$F$7="Yahoo",IFERROR(INDEX(DefaultAuctionValues!$B$2:$B$1000,MATCH(A127,DefaultAuctionValues!$A$2:$A$1000,0)),0),IF(LeagueInfo!$F$7="ESPN",IFERROR(INDEX(DefaultAuctionValues!$C$2:$C$1000,MATCH(A127,DefaultAuctionValues!$A$2:$A$1000,0)),0),IF(LeagueInfo!$F$7="Custom",IFERROR(INDEX(DefaultAuctionValues!$D$2:$D$1000,MATCH(A127,DefaultAuctionValues!$A$2:$A$1000,0)),0))))</f>
        <v>1</v>
      </c>
      <c r="L127" s="164">
        <f ca="1">I127-K127</f>
        <v>3.3516056553605287</v>
      </c>
      <c r="M127" s="175"/>
      <c r="N127" s="170">
        <f ca="1">INDEX(INDIRECT(""&amp;$B127&amp;"!Z2:Z628"),MATCH($A127,INDIRECT(""&amp;$B127&amp;"!B2:B628"),0))</f>
        <v>12.000000000000014</v>
      </c>
      <c r="O127" s="158" t="str">
        <f ca="1">IF(INDEX(INDIRECT(""&amp;$B127&amp;"!W2:W628"),MATCH($A127,INDIRECT(""&amp;$B127&amp;"!B2:B628"),0))=0,"",INDEX(INDIRECT(""&amp;$B127&amp;"!W2:W628"),MATCH($A127,INDIRECT(""&amp;$B127&amp;"!B2:B628"),0)))</f>
        <v/>
      </c>
    </row>
    <row r="128" spans="1:15" x14ac:dyDescent="0.25">
      <c r="A128" s="158" t="s">
        <v>730</v>
      </c>
      <c r="B128" s="158" t="s">
        <v>35</v>
      </c>
      <c r="C128" s="162">
        <f ca="1">IFERROR(INDEX(BYEs!$B$2:$B$33,MATCH(D128,BYEs!$A$2:$A$33,0)),"N/A")</f>
        <v>14</v>
      </c>
      <c r="D128" s="219" t="str">
        <f ca="1">INDEX(INDIRECT(""&amp;B128&amp;"!F2:F628"),MATCH(A128,INDIRECT(""&amp;B128&amp;"!B2:B628"),0))</f>
        <v>GB</v>
      </c>
      <c r="E128" s="218" t="str">
        <f ca="1">INDEX(INDIRECT(""&amp;$B128&amp;"!AA2:AA628"),MATCH($A128,INDIRECT(""&amp;$B128&amp;"!B2:B628"),0))</f>
        <v>WR8</v>
      </c>
      <c r="F128" s="159">
        <f ca="1">IF(LeagueInfo!$H$7="Starter/Bench",INDEX(INDIRECT(""&amp;B128&amp;"!T2:T628"),MATCH(A128,INDIRECT(""&amp;B128&amp;"!B2:B628"),0)),INDEX(INDIRECT(""&amp;B128&amp;"!AB2:AB628"),MATCH(A128,INDIRECT(""&amp;B128&amp;"!B2:B628"),0)))</f>
        <v>4.2645735422533146</v>
      </c>
      <c r="G128" s="163">
        <f>IF(H128&gt;0,F128-H128,0)</f>
        <v>0</v>
      </c>
      <c r="H128" s="161"/>
      <c r="I128" s="163">
        <f ca="1">F128*$A$2</f>
        <v>4.2645735422533146</v>
      </c>
      <c r="J128" s="160" t="s">
        <v>76</v>
      </c>
      <c r="K128" s="160">
        <f>IF(LeagueInfo!$F$7="Yahoo",IFERROR(INDEX(DefaultAuctionValues!$B$2:$B$1000,MATCH(A128,DefaultAuctionValues!$A$2:$A$1000,0)),0),IF(LeagueInfo!$F$7="ESPN",IFERROR(INDEX(DefaultAuctionValues!$C$2:$C$1000,MATCH(A128,DefaultAuctionValues!$A$2:$A$1000,0)),0),IF(LeagueInfo!$F$7="Custom",IFERROR(INDEX(DefaultAuctionValues!$D$2:$D$1000,MATCH(A128,DefaultAuctionValues!$A$2:$A$1000,0)),0))))</f>
        <v>2</v>
      </c>
      <c r="L128" s="164">
        <f ca="1">I128-K128</f>
        <v>2.2645735422533146</v>
      </c>
      <c r="M128" s="175"/>
      <c r="N128" s="170">
        <f ca="1">INDEX(INDIRECT(""&amp;$B128&amp;"!Z2:Z628"),MATCH($A128,INDIRECT(""&amp;$B128&amp;"!B2:B628"),0))</f>
        <v>11.760000000000005</v>
      </c>
      <c r="O128" s="158" t="str">
        <f ca="1">IF(INDEX(INDIRECT(""&amp;$B128&amp;"!W2:W628"),MATCH($A128,INDIRECT(""&amp;$B128&amp;"!B2:B628"),0))=0,"",INDEX(INDIRECT(""&amp;$B128&amp;"!W2:W628"),MATCH($A128,INDIRECT(""&amp;$B128&amp;"!B2:B628"),0)))</f>
        <v/>
      </c>
    </row>
    <row r="129" spans="1:15" x14ac:dyDescent="0.25">
      <c r="A129" s="158" t="s">
        <v>2451</v>
      </c>
      <c r="B129" s="158" t="s">
        <v>28</v>
      </c>
      <c r="C129" s="162">
        <f ca="1">IFERROR(INDEX(BYEs!$B$2:$B$33,MATCH(D129,BYEs!$A$2:$A$33,0)),"N/A")</f>
        <v>14</v>
      </c>
      <c r="D129" s="219" t="str">
        <f ca="1">INDEX(INDIRECT(""&amp;B129&amp;"!F2:F628"),MATCH(A129,INDIRECT(""&amp;B129&amp;"!B2:B628"),0))</f>
        <v>WAS</v>
      </c>
      <c r="E129" s="218" t="str">
        <f ca="1">INDEX(INDIRECT(""&amp;$B129&amp;"!AA2:AA628"),MATCH($A129,INDIRECT(""&amp;$B129&amp;"!B2:B628"),0))</f>
        <v>RB8</v>
      </c>
      <c r="F129" s="159">
        <f ca="1">IF(LeagueInfo!$H$7="Starter/Bench",INDEX(INDIRECT(""&amp;B129&amp;"!T2:T628"),MATCH(A129,INDIRECT(""&amp;B129&amp;"!B2:B628"),0)),INDEX(INDIRECT(""&amp;B129&amp;"!AB2:AB628"),MATCH(A129,INDIRECT(""&amp;B129&amp;"!B2:B628"),0)))</f>
        <v>4.1412780486847627</v>
      </c>
      <c r="G129" s="163">
        <f>IF(H129&gt;0,F129-H129,0)</f>
        <v>0</v>
      </c>
      <c r="H129" s="161"/>
      <c r="I129" s="163">
        <f ca="1">F129*$A$2</f>
        <v>4.1412780486847627</v>
      </c>
      <c r="J129" s="160" t="s">
        <v>76</v>
      </c>
      <c r="K129" s="160">
        <f>IF(LeagueInfo!$F$7="Yahoo",IFERROR(INDEX(DefaultAuctionValues!$B$2:$B$1000,MATCH(A129,DefaultAuctionValues!$A$2:$A$1000,0)),0),IF(LeagueInfo!$F$7="ESPN",IFERROR(INDEX(DefaultAuctionValues!$C$2:$C$1000,MATCH(A129,DefaultAuctionValues!$A$2:$A$1000,0)),0),IF(LeagueInfo!$F$7="Custom",IFERROR(INDEX(DefaultAuctionValues!$D$2:$D$1000,MATCH(A129,DefaultAuctionValues!$A$2:$A$1000,0)),0))))</f>
        <v>3</v>
      </c>
      <c r="L129" s="164">
        <f ca="1">I129-K129</f>
        <v>1.1412780486847627</v>
      </c>
      <c r="M129" s="175"/>
      <c r="N129" s="170">
        <f ca="1">INDEX(INDIRECT(""&amp;$B129&amp;"!Z2:Z628"),MATCH($A129,INDIRECT(""&amp;$B129&amp;"!B2:B628"),0))</f>
        <v>11.419999999999995</v>
      </c>
      <c r="O129" s="158" t="str">
        <f ca="1">IF(INDEX(INDIRECT(""&amp;$B129&amp;"!W2:W628"),MATCH($A129,INDIRECT(""&amp;$B129&amp;"!B2:B628"),0))=0,"",INDEX(INDIRECT(""&amp;$B129&amp;"!W2:W628"),MATCH($A129,INDIRECT(""&amp;$B129&amp;"!B2:B628"),0)))</f>
        <v/>
      </c>
    </row>
    <row r="130" spans="1:15" x14ac:dyDescent="0.25">
      <c r="A130" s="158" t="s">
        <v>558</v>
      </c>
      <c r="B130" s="158" t="s">
        <v>28</v>
      </c>
      <c r="C130" s="162">
        <f ca="1">IFERROR(INDEX(BYEs!$B$2:$B$33,MATCH(D130,BYEs!$A$2:$A$33,0)),"N/A")</f>
        <v>14</v>
      </c>
      <c r="D130" s="219" t="str">
        <f ca="1">INDEX(INDIRECT(""&amp;B130&amp;"!F2:F628"),MATCH(A130,INDIRECT(""&amp;B130&amp;"!B2:B628"),0))</f>
        <v>WAS</v>
      </c>
      <c r="E130" s="218" t="str">
        <f ca="1">INDEX(INDIRECT(""&amp;$B130&amp;"!AA2:AA628"),MATCH($A130,INDIRECT(""&amp;$B130&amp;"!B2:B628"),0))</f>
        <v>RB8</v>
      </c>
      <c r="F130" s="159">
        <f ca="1">IF(LeagueInfo!$H$7="Starter/Bench",INDEX(INDIRECT(""&amp;B130&amp;"!T2:T628"),MATCH(A130,INDIRECT(""&amp;B130&amp;"!B2:B628"),0)),INDEX(INDIRECT(""&amp;B130&amp;"!AB2:AB628"),MATCH(A130,INDIRECT(""&amp;B130&amp;"!B2:B628"),0)))</f>
        <v>3.9799060056318125</v>
      </c>
      <c r="G130" s="163">
        <f>IF(H130&gt;0,F130-H130,0)</f>
        <v>0</v>
      </c>
      <c r="H130" s="161"/>
      <c r="I130" s="163">
        <f ca="1">F130*$A$2</f>
        <v>3.9799060056318125</v>
      </c>
      <c r="J130" s="160" t="s">
        <v>76</v>
      </c>
      <c r="K130" s="160">
        <f>IF(LeagueInfo!$F$7="Yahoo",IFERROR(INDEX(DefaultAuctionValues!$B$2:$B$1000,MATCH(A130,DefaultAuctionValues!$A$2:$A$1000,0)),0),IF(LeagueInfo!$F$7="ESPN",IFERROR(INDEX(DefaultAuctionValues!$C$2:$C$1000,MATCH(A130,DefaultAuctionValues!$A$2:$A$1000,0)),0),IF(LeagueInfo!$F$7="Custom",IFERROR(INDEX(DefaultAuctionValues!$D$2:$D$1000,MATCH(A130,DefaultAuctionValues!$A$2:$A$1000,0)),0))))</f>
        <v>1</v>
      </c>
      <c r="L130" s="164">
        <f ca="1">I130-K130</f>
        <v>2.9799060056318125</v>
      </c>
      <c r="M130" s="175"/>
      <c r="N130" s="170">
        <f ca="1">INDEX(INDIRECT(""&amp;$B130&amp;"!Z2:Z628"),MATCH($A130,INDIRECT(""&amp;$B130&amp;"!B2:B628"),0))</f>
        <v>10.975000000000001</v>
      </c>
      <c r="O130" s="158" t="str">
        <f ca="1">IF(INDEX(INDIRECT(""&amp;$B130&amp;"!W2:W628"),MATCH($A130,INDIRECT(""&amp;$B130&amp;"!B2:B628"),0))=0,"",INDEX(INDIRECT(""&amp;$B130&amp;"!W2:W628"),MATCH($A130,INDIRECT(""&amp;$B130&amp;"!B2:B628"),0)))</f>
        <v/>
      </c>
    </row>
    <row r="131" spans="1:15" x14ac:dyDescent="0.25">
      <c r="A131" s="158" t="s">
        <v>796</v>
      </c>
      <c r="B131" s="158" t="s">
        <v>35</v>
      </c>
      <c r="C131" s="162">
        <f ca="1">IFERROR(INDEX(BYEs!$B$2:$B$33,MATCH(D131,BYEs!$A$2:$A$33,0)),"N/A")</f>
        <v>10</v>
      </c>
      <c r="D131" s="219" t="str">
        <f ca="1">INDEX(INDIRECT(""&amp;B131&amp;"!F2:F628"),MATCH(A131,INDIRECT(""&amp;B131&amp;"!B2:B628"),0))</f>
        <v>NE</v>
      </c>
      <c r="E131" s="218" t="str">
        <f ca="1">INDEX(INDIRECT(""&amp;$B131&amp;"!AA2:AA628"),MATCH($A131,INDIRECT(""&amp;$B131&amp;"!B2:B628"),0))</f>
        <v>WR8</v>
      </c>
      <c r="F131" s="159">
        <f ca="1">IF(LeagueInfo!$H$7="Starter/Bench",INDEX(INDIRECT(""&amp;B131&amp;"!T2:T628"),MATCH(A131,INDIRECT(""&amp;B131&amp;"!B2:B628"),0)),INDEX(INDIRECT(""&amp;B131&amp;"!AB2:AB628"),MATCH(A131,INDIRECT(""&amp;B131&amp;"!B2:B628"),0)))</f>
        <v>3.3289783263508084</v>
      </c>
      <c r="G131" s="163">
        <f>IF(H131&gt;0,F131-H131,0)</f>
        <v>0</v>
      </c>
      <c r="H131" s="161"/>
      <c r="I131" s="163">
        <f ca="1">F131*$A$2</f>
        <v>3.3289783263508084</v>
      </c>
      <c r="J131" s="160" t="s">
        <v>76</v>
      </c>
      <c r="K131" s="160">
        <f>IF(LeagueInfo!$F$7="Yahoo",IFERROR(INDEX(DefaultAuctionValues!$B$2:$B$1000,MATCH(A131,DefaultAuctionValues!$A$2:$A$1000,0)),0),IF(LeagueInfo!$F$7="ESPN",IFERROR(INDEX(DefaultAuctionValues!$C$2:$C$1000,MATCH(A131,DefaultAuctionValues!$A$2:$A$1000,0)),0),IF(LeagueInfo!$F$7="Custom",IFERROR(INDEX(DefaultAuctionValues!$D$2:$D$1000,MATCH(A131,DefaultAuctionValues!$A$2:$A$1000,0)),0))))</f>
        <v>1</v>
      </c>
      <c r="L131" s="164">
        <f ca="1">I131-K131</f>
        <v>2.3289783263508084</v>
      </c>
      <c r="M131" s="175"/>
      <c r="N131" s="170">
        <f ca="1">INDEX(INDIRECT(""&amp;$B131&amp;"!Z2:Z628"),MATCH($A131,INDIRECT(""&amp;$B131&amp;"!B2:B628"),0))</f>
        <v>9.180000000000021</v>
      </c>
      <c r="O131" s="158" t="str">
        <f ca="1">IF(INDEX(INDIRECT(""&amp;$B131&amp;"!W2:W628"),MATCH($A131,INDIRECT(""&amp;$B131&amp;"!B2:B628"),0))=0,"",INDEX(INDIRECT(""&amp;$B131&amp;"!W2:W628"),MATCH($A131,INDIRECT(""&amp;$B131&amp;"!B2:B628"),0)))</f>
        <v/>
      </c>
    </row>
    <row r="132" spans="1:15" x14ac:dyDescent="0.25">
      <c r="A132" s="158" t="s">
        <v>214</v>
      </c>
      <c r="B132" s="158" t="s">
        <v>29</v>
      </c>
      <c r="C132" s="162">
        <f ca="1">IFERROR(INDEX(BYEs!$B$2:$B$33,MATCH(D132,BYEs!$A$2:$A$33,0)),"N/A")</f>
        <v>6</v>
      </c>
      <c r="D132" s="219" t="str">
        <f ca="1">INDEX(INDIRECT(""&amp;B132&amp;"!F2:F628"),MATCH(A132,INDIRECT(""&amp;B132&amp;"!B2:B628"),0))</f>
        <v>TEN</v>
      </c>
      <c r="E132" s="218" t="str">
        <f ca="1">INDEX(INDIRECT(""&amp;$B132&amp;"!AA2:AA628"),MATCH($A132,INDIRECT(""&amp;$B132&amp;"!B2:B628"),0))</f>
        <v>QB5</v>
      </c>
      <c r="F132" s="159">
        <f ca="1">IF(LeagueInfo!$H$7="Starter/Bench",INDEX(INDIRECT(""&amp;B132&amp;"!T2:T628"),MATCH(A132,INDIRECT(""&amp;B132&amp;"!B2:B628"),0)),INDEX(INDIRECT(""&amp;B132&amp;"!AB2:AB628"),MATCH(A132,INDIRECT(""&amp;B132&amp;"!B2:B628"),0)))</f>
        <v>3.3268025235231331</v>
      </c>
      <c r="G132" s="163">
        <f>IF(H132&gt;0,F132-H132,0)</f>
        <v>0</v>
      </c>
      <c r="H132" s="161"/>
      <c r="I132" s="163">
        <f ca="1">F132*$A$2</f>
        <v>3.3268025235231331</v>
      </c>
      <c r="J132" s="160" t="s">
        <v>76</v>
      </c>
      <c r="K132" s="160">
        <f>IF(LeagueInfo!$F$7="Yahoo",IFERROR(INDEX(DefaultAuctionValues!$B$2:$B$1000,MATCH(A132,DefaultAuctionValues!$A$2:$A$1000,0)),0),IF(LeagueInfo!$F$7="ESPN",IFERROR(INDEX(DefaultAuctionValues!$C$2:$C$1000,MATCH(A132,DefaultAuctionValues!$A$2:$A$1000,0)),0),IF(LeagueInfo!$F$7="Custom",IFERROR(INDEX(DefaultAuctionValues!$D$2:$D$1000,MATCH(A132,DefaultAuctionValues!$A$2:$A$1000,0)),0))))</f>
        <v>1</v>
      </c>
      <c r="L132" s="164">
        <f ca="1">I132-K132</f>
        <v>2.3268025235231331</v>
      </c>
      <c r="M132" s="175"/>
      <c r="N132" s="170">
        <f ca="1">INDEX(INDIRECT(""&amp;$B132&amp;"!Z2:Z628"),MATCH($A132,INDIRECT(""&amp;$B132&amp;"!B2:B628"),0))</f>
        <v>9.174000000000035</v>
      </c>
      <c r="O132" s="158" t="str">
        <f ca="1">IF(INDEX(INDIRECT(""&amp;$B132&amp;"!W2:W628"),MATCH($A132,INDIRECT(""&amp;$B132&amp;"!B2:B628"),0))=0,"",INDEX(INDIRECT(""&amp;$B132&amp;"!W2:W628"),MATCH($A132,INDIRECT(""&amp;$B132&amp;"!B2:B628"),0)))</f>
        <v/>
      </c>
    </row>
    <row r="133" spans="1:15" x14ac:dyDescent="0.25">
      <c r="A133" s="158" t="s">
        <v>2411</v>
      </c>
      <c r="B133" s="158" t="s">
        <v>35</v>
      </c>
      <c r="C133" s="162">
        <f ca="1">IFERROR(INDEX(BYEs!$B$2:$B$33,MATCH(D133,BYEs!$A$2:$A$33,0)),"N/A")</f>
        <v>6</v>
      </c>
      <c r="D133" s="219" t="str">
        <f ca="1">INDEX(INDIRECT(""&amp;B133&amp;"!F2:F628"),MATCH(A133,INDIRECT(""&amp;B133&amp;"!B2:B628"),0))</f>
        <v>TEN</v>
      </c>
      <c r="E133" s="218" t="str">
        <f ca="1">INDEX(INDIRECT(""&amp;$B133&amp;"!AA2:AA628"),MATCH($A133,INDIRECT(""&amp;$B133&amp;"!B2:B628"),0))</f>
        <v>WR8</v>
      </c>
      <c r="F133" s="159">
        <f ca="1">IF(LeagueInfo!$H$7="Starter/Bench",INDEX(INDIRECT(""&amp;B133&amp;"!T2:T628"),MATCH(A133,INDIRECT(""&amp;B133&amp;"!B2:B628"),0)),INDEX(INDIRECT(""&amp;B133&amp;"!AB2:AB628"),MATCH(A133,INDIRECT(""&amp;B133&amp;"!B2:B628"),0)))</f>
        <v>3.2292540300821275</v>
      </c>
      <c r="G133" s="163">
        <f>IF(H133&gt;0,F133-H133,0)</f>
        <v>0</v>
      </c>
      <c r="H133" s="161"/>
      <c r="I133" s="163">
        <f ca="1">F133*$A$2</f>
        <v>3.2292540300821275</v>
      </c>
      <c r="J133" s="160" t="s">
        <v>76</v>
      </c>
      <c r="K133" s="160">
        <f>IF(LeagueInfo!$F$7="Yahoo",IFERROR(INDEX(DefaultAuctionValues!$B$2:$B$1000,MATCH(A133,DefaultAuctionValues!$A$2:$A$1000,0)),0),IF(LeagueInfo!$F$7="ESPN",IFERROR(INDEX(DefaultAuctionValues!$C$2:$C$1000,MATCH(A133,DefaultAuctionValues!$A$2:$A$1000,0)),0),IF(LeagueInfo!$F$7="Custom",IFERROR(INDEX(DefaultAuctionValues!$D$2:$D$1000,MATCH(A133,DefaultAuctionValues!$A$2:$A$1000,0)),0))))</f>
        <v>1</v>
      </c>
      <c r="L133" s="164">
        <f ca="1">I133-K133</f>
        <v>2.2292540300821275</v>
      </c>
      <c r="M133" s="175"/>
      <c r="N133" s="170">
        <f ca="1">INDEX(INDIRECT(""&amp;$B133&amp;"!Z2:Z628"),MATCH($A133,INDIRECT(""&amp;$B133&amp;"!B2:B628"),0))</f>
        <v>8.9050000000000153</v>
      </c>
      <c r="O133" s="158" t="str">
        <f ca="1">IF(INDEX(INDIRECT(""&amp;$B133&amp;"!W2:W628"),MATCH($A133,INDIRECT(""&amp;$B133&amp;"!B2:B628"),0))=0,"",INDEX(INDIRECT(""&amp;$B133&amp;"!W2:W628"),MATCH($A133,INDIRECT(""&amp;$B133&amp;"!B2:B628"),0)))</f>
        <v/>
      </c>
    </row>
    <row r="134" spans="1:15" x14ac:dyDescent="0.25">
      <c r="A134" s="158" t="s">
        <v>109</v>
      </c>
      <c r="B134" s="158" t="s">
        <v>35</v>
      </c>
      <c r="C134" s="162">
        <f ca="1">IFERROR(INDEX(BYEs!$B$2:$B$33,MATCH(D134,BYEs!$A$2:$A$33,0)),"N/A")</f>
        <v>13</v>
      </c>
      <c r="D134" s="219" t="str">
        <f ca="1">INDEX(INDIRECT(""&amp;B134&amp;"!F2:F628"),MATCH(A134,INDIRECT(""&amp;B134&amp;"!B2:B628"),0))</f>
        <v>ARI</v>
      </c>
      <c r="E134" s="218" t="str">
        <f ca="1">INDEX(INDIRECT(""&amp;$B134&amp;"!AA2:AA628"),MATCH($A134,INDIRECT(""&amp;$B134&amp;"!B2:B628"),0))</f>
        <v>WR8</v>
      </c>
      <c r="F134" s="159">
        <f ca="1">IF(LeagueInfo!$H$7="Starter/Bench",INDEX(INDIRECT(""&amp;B134&amp;"!T2:T628"),MATCH(A134,INDIRECT(""&amp;B134&amp;"!B2:B628"),0)),INDEX(INDIRECT(""&amp;B134&amp;"!AB2:AB628"),MATCH(A134,INDIRECT(""&amp;B134&amp;"!B2:B628"),0)))</f>
        <v>3.1911774805977213</v>
      </c>
      <c r="G134" s="163">
        <f>IF(H134&gt;0,F134-H134,0)</f>
        <v>0</v>
      </c>
      <c r="H134" s="161"/>
      <c r="I134" s="163">
        <f ca="1">F134*$A$2</f>
        <v>3.1911774805977213</v>
      </c>
      <c r="J134" s="160" t="s">
        <v>76</v>
      </c>
      <c r="K134" s="160">
        <f>IF(LeagueInfo!$F$7="Yahoo",IFERROR(INDEX(DefaultAuctionValues!$B$2:$B$1000,MATCH(A134,DefaultAuctionValues!$A$2:$A$1000,0)),0),IF(LeagueInfo!$F$7="ESPN",IFERROR(INDEX(DefaultAuctionValues!$C$2:$C$1000,MATCH(A134,DefaultAuctionValues!$A$2:$A$1000,0)),0),IF(LeagueInfo!$F$7="Custom",IFERROR(INDEX(DefaultAuctionValues!$D$2:$D$1000,MATCH(A134,DefaultAuctionValues!$A$2:$A$1000,0)),0))))</f>
        <v>5</v>
      </c>
      <c r="L134" s="164">
        <f ca="1">I134-K134</f>
        <v>-1.8088225194022787</v>
      </c>
      <c r="M134" s="175"/>
      <c r="N134" s="170">
        <f ca="1">INDEX(INDIRECT(""&amp;$B134&amp;"!Z2:Z628"),MATCH($A134,INDIRECT(""&amp;$B134&amp;"!B2:B628"),0))</f>
        <v>8.8000000000000114</v>
      </c>
      <c r="O134" s="158" t="str">
        <f ca="1">IF(INDEX(INDIRECT(""&amp;$B134&amp;"!W2:W628"),MATCH($A134,INDIRECT(""&amp;$B134&amp;"!B2:B628"),0))=0,"",INDEX(INDIRECT(""&amp;$B134&amp;"!W2:W628"),MATCH($A134,INDIRECT(""&amp;$B134&amp;"!B2:B628"),0)))</f>
        <v/>
      </c>
    </row>
    <row r="135" spans="1:15" x14ac:dyDescent="0.25">
      <c r="A135" s="158" t="s">
        <v>587</v>
      </c>
      <c r="B135" s="158" t="s">
        <v>43</v>
      </c>
      <c r="C135" s="162">
        <f ca="1">IFERROR(INDEX(BYEs!$B$2:$B$33,MATCH(D135,BYEs!$A$2:$A$33,0)),"N/A")</f>
        <v>11</v>
      </c>
      <c r="D135" s="219" t="str">
        <f ca="1">INDEX(INDIRECT(""&amp;B135&amp;"!F2:F628"),MATCH(A135,INDIRECT(""&amp;B135&amp;"!B2:B628"),0))</f>
        <v>MIA</v>
      </c>
      <c r="E135" s="218" t="str">
        <f ca="1">INDEX(INDIRECT(""&amp;$B135&amp;"!AA2:AA628"),MATCH($A135,INDIRECT(""&amp;$B135&amp;"!B2:B628"),0))</f>
        <v>TE8</v>
      </c>
      <c r="F135" s="159">
        <f ca="1">IF(LeagueInfo!$H$7="Starter/Bench",INDEX(INDIRECT(""&amp;B135&amp;"!T2:T628"),MATCH(A135,INDIRECT(""&amp;B135&amp;"!B2:B628"),0)),INDEX(INDIRECT(""&amp;B135&amp;"!AB2:AB628"),MATCH(A135,INDIRECT(""&amp;B135&amp;"!B2:B628"),0)))</f>
        <v>2.9590918456451547</v>
      </c>
      <c r="G135" s="163">
        <f>IF(H135&gt;0,F135-H135,0)</f>
        <v>0</v>
      </c>
      <c r="H135" s="161"/>
      <c r="I135" s="163">
        <f ca="1">F135*$A$2</f>
        <v>2.9590918456451547</v>
      </c>
      <c r="J135" s="160" t="s">
        <v>76</v>
      </c>
      <c r="K135" s="160">
        <f>IF(LeagueInfo!$F$7="Yahoo",IFERROR(INDEX(DefaultAuctionValues!$B$2:$B$1000,MATCH(A135,DefaultAuctionValues!$A$2:$A$1000,0)),0),IF(LeagueInfo!$F$7="ESPN",IFERROR(INDEX(DefaultAuctionValues!$C$2:$C$1000,MATCH(A135,DefaultAuctionValues!$A$2:$A$1000,0)),0),IF(LeagueInfo!$F$7="Custom",IFERROR(INDEX(DefaultAuctionValues!$D$2:$D$1000,MATCH(A135,DefaultAuctionValues!$A$2:$A$1000,0)),0))))</f>
        <v>1</v>
      </c>
      <c r="L135" s="164">
        <f ca="1">I135-K135</f>
        <v>1.9590918456451547</v>
      </c>
      <c r="M135" s="175"/>
      <c r="N135" s="170">
        <f ca="1">INDEX(INDIRECT(""&amp;$B135&amp;"!Z2:Z628"),MATCH($A135,INDIRECT(""&amp;$B135&amp;"!B2:B628"),0))</f>
        <v>8.1599999999999966</v>
      </c>
      <c r="O135" s="158" t="str">
        <f ca="1">IF(INDEX(INDIRECT(""&amp;$B135&amp;"!W2:W628"),MATCH($A135,INDIRECT(""&amp;$B135&amp;"!B2:B628"),0))=0,"",INDEX(INDIRECT(""&amp;$B135&amp;"!W2:W628"),MATCH($A135,INDIRECT(""&amp;$B135&amp;"!B2:B628"),0)))</f>
        <v/>
      </c>
    </row>
    <row r="136" spans="1:15" x14ac:dyDescent="0.25">
      <c r="A136" s="158" t="s">
        <v>915</v>
      </c>
      <c r="B136" s="158" t="s">
        <v>29</v>
      </c>
      <c r="C136" s="162">
        <f ca="1">IFERROR(INDEX(BYEs!$B$2:$B$33,MATCH(D136,BYEs!$A$2:$A$33,0)),"N/A")</f>
        <v>11</v>
      </c>
      <c r="D136" s="219" t="str">
        <f ca="1">INDEX(INDIRECT(""&amp;B136&amp;"!F2:F628"),MATCH(A136,INDIRECT(""&amp;B136&amp;"!B2:B628"),0))</f>
        <v>JAC</v>
      </c>
      <c r="E136" s="218" t="str">
        <f ca="1">INDEX(INDIRECT(""&amp;$B136&amp;"!AA2:AA628"),MATCH($A136,INDIRECT(""&amp;$B136&amp;"!B2:B628"),0))</f>
        <v>QB5</v>
      </c>
      <c r="F136" s="159">
        <f ca="1">IF(LeagueInfo!$H$7="Starter/Bench",INDEX(INDIRECT(""&amp;B136&amp;"!T2:T628"),MATCH(A136,INDIRECT(""&amp;B136&amp;"!B2:B628"),0)),INDEX(INDIRECT(""&amp;B136&amp;"!AB2:AB628"),MATCH(A136,INDIRECT(""&amp;B136&amp;"!B2:B628"),0)))</f>
        <v>2.9250042680114996</v>
      </c>
      <c r="G136" s="163">
        <f>IF(H136&gt;0,F136-H136,0)</f>
        <v>0</v>
      </c>
      <c r="H136" s="161"/>
      <c r="I136" s="163">
        <f ca="1">F136*$A$2</f>
        <v>2.9250042680114996</v>
      </c>
      <c r="J136" s="160" t="s">
        <v>76</v>
      </c>
      <c r="K136" s="160">
        <f>IF(LeagueInfo!$F$7="Yahoo",IFERROR(INDEX(DefaultAuctionValues!$B$2:$B$1000,MATCH(A136,DefaultAuctionValues!$A$2:$A$1000,0)),0),IF(LeagueInfo!$F$7="ESPN",IFERROR(INDEX(DefaultAuctionValues!$C$2:$C$1000,MATCH(A136,DefaultAuctionValues!$A$2:$A$1000,0)),0),IF(LeagueInfo!$F$7="Custom",IFERROR(INDEX(DefaultAuctionValues!$D$2:$D$1000,MATCH(A136,DefaultAuctionValues!$A$2:$A$1000,0)),0))))</f>
        <v>1</v>
      </c>
      <c r="L136" s="164">
        <f ca="1">I136-K136</f>
        <v>1.9250042680114996</v>
      </c>
      <c r="M136" s="175"/>
      <c r="N136" s="170">
        <f ca="1">INDEX(INDIRECT(""&amp;$B136&amp;"!Z2:Z628"),MATCH($A136,INDIRECT(""&amp;$B136&amp;"!B2:B628"),0))</f>
        <v>8.0660000000000025</v>
      </c>
      <c r="O136" s="158" t="str">
        <f ca="1">IF(INDEX(INDIRECT(""&amp;$B136&amp;"!W2:W628"),MATCH($A136,INDIRECT(""&amp;$B136&amp;"!B2:B628"),0))=0,"",INDEX(INDIRECT(""&amp;$B136&amp;"!W2:W628"),MATCH($A136,INDIRECT(""&amp;$B136&amp;"!B2:B628"),0)))</f>
        <v/>
      </c>
    </row>
    <row r="137" spans="1:15" x14ac:dyDescent="0.25">
      <c r="A137" s="158" t="s">
        <v>954</v>
      </c>
      <c r="B137" s="158" t="s">
        <v>35</v>
      </c>
      <c r="C137" s="162">
        <f ca="1">IFERROR(INDEX(BYEs!$B$2:$B$33,MATCH(D137,BYEs!$A$2:$A$33,0)),"N/A")</f>
        <v>9</v>
      </c>
      <c r="D137" s="219" t="str">
        <f ca="1">INDEX(INDIRECT(""&amp;B137&amp;"!F2:F628"),MATCH(A137,INDIRECT(""&amp;B137&amp;"!B2:B628"),0))</f>
        <v>NYG</v>
      </c>
      <c r="E137" s="218" t="str">
        <f ca="1">INDEX(INDIRECT(""&amp;$B137&amp;"!AA2:AA628"),MATCH($A137,INDIRECT(""&amp;$B137&amp;"!B2:B628"),0))</f>
        <v>WR8</v>
      </c>
      <c r="F137" s="159">
        <f ca="1">IF(LeagueInfo!$H$7="Starter/Bench",INDEX(INDIRECT(""&amp;B137&amp;"!T2:T628"),MATCH(A137,INDIRECT(""&amp;B137&amp;"!B2:B628"),0)),INDEX(INDIRECT(""&amp;B137&amp;"!AB2:AB628"),MATCH(A137,INDIRECT(""&amp;B137&amp;"!B2:B628"),0)))</f>
        <v>2.9101362820223522</v>
      </c>
      <c r="G137" s="163">
        <f>IF(H137&gt;0,F137-H137,0)</f>
        <v>0</v>
      </c>
      <c r="H137" s="161"/>
      <c r="I137" s="163">
        <f ca="1">F137*$A$2</f>
        <v>2.9101362820223522</v>
      </c>
      <c r="J137" s="160" t="s">
        <v>76</v>
      </c>
      <c r="K137" s="160">
        <f>IF(LeagueInfo!$F$7="Yahoo",IFERROR(INDEX(DefaultAuctionValues!$B$2:$B$1000,MATCH(A137,DefaultAuctionValues!$A$2:$A$1000,0)),0),IF(LeagueInfo!$F$7="ESPN",IFERROR(INDEX(DefaultAuctionValues!$C$2:$C$1000,MATCH(A137,DefaultAuctionValues!$A$2:$A$1000,0)),0),IF(LeagueInfo!$F$7="Custom",IFERROR(INDEX(DefaultAuctionValues!$D$2:$D$1000,MATCH(A137,DefaultAuctionValues!$A$2:$A$1000,0)),0))))</f>
        <v>1</v>
      </c>
      <c r="L137" s="164">
        <f ca="1">I137-K137</f>
        <v>1.9101362820223522</v>
      </c>
      <c r="M137" s="175"/>
      <c r="N137" s="170">
        <f ca="1">INDEX(INDIRECT(""&amp;$B137&amp;"!Z2:Z628"),MATCH($A137,INDIRECT(""&amp;$B137&amp;"!B2:B628"),0))</f>
        <v>8.0250000000000057</v>
      </c>
      <c r="O137" s="158" t="str">
        <f ca="1">IF(INDEX(INDIRECT(""&amp;$B137&amp;"!W2:W628"),MATCH($A137,INDIRECT(""&amp;$B137&amp;"!B2:B628"),0))=0,"",INDEX(INDIRECT(""&amp;$B137&amp;"!W2:W628"),MATCH($A137,INDIRECT(""&amp;$B137&amp;"!B2:B628"),0)))</f>
        <v/>
      </c>
    </row>
    <row r="138" spans="1:15" x14ac:dyDescent="0.25">
      <c r="A138" s="158" t="s">
        <v>666</v>
      </c>
      <c r="B138" s="158" t="s">
        <v>28</v>
      </c>
      <c r="C138" s="162">
        <f ca="1">IFERROR(INDEX(BYEs!$B$2:$B$33,MATCH(D138,BYEs!$A$2:$A$33,0)),"N/A")</f>
        <v>7</v>
      </c>
      <c r="D138" s="219" t="str">
        <f ca="1">INDEX(INDIRECT(""&amp;B138&amp;"!F2:F628"),MATCH(A138,INDIRECT(""&amp;B138&amp;"!B2:B628"),0))</f>
        <v>MIN</v>
      </c>
      <c r="E138" s="218" t="str">
        <f ca="1">INDEX(INDIRECT(""&amp;$B138&amp;"!AA2:AA628"),MATCH($A138,INDIRECT(""&amp;$B138&amp;"!B2:B628"),0))</f>
        <v>RB8</v>
      </c>
      <c r="F138" s="159">
        <f ca="1">IF(LeagueInfo!$H$7="Starter/Bench",INDEX(INDIRECT(""&amp;B138&amp;"!T2:T628"),MATCH(A138,INDIRECT(""&amp;B138&amp;"!B2:B628"),0)),INDEX(INDIRECT(""&amp;B138&amp;"!AB2:AB628"),MATCH(A138,INDIRECT(""&amp;B138&amp;"!B2:B628"),0)))</f>
        <v>2.8412358591458062</v>
      </c>
      <c r="G138" s="163">
        <f>IF(H138&gt;0,F138-H138,0)</f>
        <v>0</v>
      </c>
      <c r="H138" s="161"/>
      <c r="I138" s="163">
        <f ca="1">F138*$A$2</f>
        <v>2.8412358591458062</v>
      </c>
      <c r="J138" s="160" t="s">
        <v>76</v>
      </c>
      <c r="K138" s="160">
        <f>IF(LeagueInfo!$F$7="Yahoo",IFERROR(INDEX(DefaultAuctionValues!$B$2:$B$1000,MATCH(A138,DefaultAuctionValues!$A$2:$A$1000,0)),0),IF(LeagueInfo!$F$7="ESPN",IFERROR(INDEX(DefaultAuctionValues!$C$2:$C$1000,MATCH(A138,DefaultAuctionValues!$A$2:$A$1000,0)),0),IF(LeagueInfo!$F$7="Custom",IFERROR(INDEX(DefaultAuctionValues!$D$2:$D$1000,MATCH(A138,DefaultAuctionValues!$A$2:$A$1000,0)),0))))</f>
        <v>1</v>
      </c>
      <c r="L138" s="164">
        <f ca="1">I138-K138</f>
        <v>1.8412358591458062</v>
      </c>
      <c r="M138" s="175"/>
      <c r="N138" s="170">
        <f ca="1">INDEX(INDIRECT(""&amp;$B138&amp;"!Z2:Z628"),MATCH($A138,INDIRECT(""&amp;$B138&amp;"!B2:B628"),0))</f>
        <v>7.8349999999999937</v>
      </c>
      <c r="O138" s="158" t="str">
        <f ca="1">IF(INDEX(INDIRECT(""&amp;$B138&amp;"!W2:W628"),MATCH($A138,INDIRECT(""&amp;$B138&amp;"!B2:B628"),0))=0,"",INDEX(INDIRECT(""&amp;$B138&amp;"!W2:W628"),MATCH($A138,INDIRECT(""&amp;$B138&amp;"!B2:B628"),0)))</f>
        <v/>
      </c>
    </row>
    <row r="139" spans="1:15" x14ac:dyDescent="0.25">
      <c r="A139" s="158" t="s">
        <v>416</v>
      </c>
      <c r="B139" s="158" t="s">
        <v>43</v>
      </c>
      <c r="C139" s="162">
        <f ca="1">IFERROR(INDEX(BYEs!$B$2:$B$33,MATCH(D139,BYEs!$A$2:$A$33,0)),"N/A")</f>
        <v>7</v>
      </c>
      <c r="D139" s="219" t="str">
        <f ca="1">INDEX(INDIRECT(""&amp;B139&amp;"!F2:F628"),MATCH(A139,INDIRECT(""&amp;B139&amp;"!B2:B628"),0))</f>
        <v>LAR</v>
      </c>
      <c r="E139" s="218" t="str">
        <f ca="1">INDEX(INDIRECT(""&amp;$B139&amp;"!AA2:AA628"),MATCH($A139,INDIRECT(""&amp;$B139&amp;"!B2:B628"),0))</f>
        <v>TE8</v>
      </c>
      <c r="F139" s="159">
        <f ca="1">IF(LeagueInfo!$H$7="Starter/Bench",INDEX(INDIRECT(""&amp;B139&amp;"!T2:T628"),MATCH(A139,INDIRECT(""&amp;B139&amp;"!B2:B628"),0)),INDEX(INDIRECT(""&amp;B139&amp;"!AB2:AB628"),MATCH(A139,INDIRECT(""&amp;B139&amp;"!B2:B628"),0)))</f>
        <v>2.5112390969476368</v>
      </c>
      <c r="G139" s="163">
        <f>IF(H139&gt;0,F139-H139,0)</f>
        <v>0</v>
      </c>
      <c r="H139" s="161"/>
      <c r="I139" s="163">
        <f ca="1">F139*$A$2</f>
        <v>2.5112390969476368</v>
      </c>
      <c r="J139" s="160" t="s">
        <v>76</v>
      </c>
      <c r="K139" s="160">
        <f>IF(LeagueInfo!$F$7="Yahoo",IFERROR(INDEX(DefaultAuctionValues!$B$2:$B$1000,MATCH(A139,DefaultAuctionValues!$A$2:$A$1000,0)),0),IF(LeagueInfo!$F$7="ESPN",IFERROR(INDEX(DefaultAuctionValues!$C$2:$C$1000,MATCH(A139,DefaultAuctionValues!$A$2:$A$1000,0)),0),IF(LeagueInfo!$F$7="Custom",IFERROR(INDEX(DefaultAuctionValues!$D$2:$D$1000,MATCH(A139,DefaultAuctionValues!$A$2:$A$1000,0)),0))))</f>
        <v>1</v>
      </c>
      <c r="L139" s="164">
        <f ca="1">I139-K139</f>
        <v>1.5112390969476368</v>
      </c>
      <c r="M139" s="175"/>
      <c r="N139" s="170">
        <f ca="1">INDEX(INDIRECT(""&amp;$B139&amp;"!Z2:Z628"),MATCH($A139,INDIRECT(""&amp;$B139&amp;"!B2:B628"),0))</f>
        <v>6.9250000000000043</v>
      </c>
      <c r="O139" s="158" t="str">
        <f ca="1">IF(INDEX(INDIRECT(""&amp;$B139&amp;"!W2:W628"),MATCH($A139,INDIRECT(""&amp;$B139&amp;"!B2:B628"),0))=0,"",INDEX(INDIRECT(""&amp;$B139&amp;"!W2:W628"),MATCH($A139,INDIRECT(""&amp;$B139&amp;"!B2:B628"),0)))</f>
        <v/>
      </c>
    </row>
    <row r="140" spans="1:15" x14ac:dyDescent="0.25">
      <c r="A140" s="158" t="s">
        <v>975</v>
      </c>
      <c r="B140" s="158" t="s">
        <v>43</v>
      </c>
      <c r="C140" s="162">
        <f ca="1">IFERROR(INDEX(BYEs!$B$2:$B$33,MATCH(D140,BYEs!$A$2:$A$33,0)),"N/A")</f>
        <v>9</v>
      </c>
      <c r="D140" s="219" t="str">
        <f ca="1">INDEX(INDIRECT(""&amp;B140&amp;"!F2:F628"),MATCH(A140,INDIRECT(""&amp;B140&amp;"!B2:B628"),0))</f>
        <v>PIT</v>
      </c>
      <c r="E140" s="218" t="str">
        <f ca="1">INDEX(INDIRECT(""&amp;$B140&amp;"!AA2:AA628"),MATCH($A140,INDIRECT(""&amp;$B140&amp;"!B2:B628"),0))</f>
        <v>TE8</v>
      </c>
      <c r="F140" s="159">
        <f ca="1">IF(LeagueInfo!$H$7="Starter/Bench",INDEX(INDIRECT(""&amp;B140&amp;"!T2:T628"),MATCH(A140,INDIRECT(""&amp;B140&amp;"!B2:B628"),0)),INDEX(INDIRECT(""&amp;B140&amp;"!AB2:AB628"),MATCH(A140,INDIRECT(""&amp;B140&amp;"!B2:B628"),0)))</f>
        <v>2.5112390969476346</v>
      </c>
      <c r="G140" s="163">
        <f>IF(H140&gt;0,F140-H140,0)</f>
        <v>0</v>
      </c>
      <c r="H140" s="161"/>
      <c r="I140" s="163">
        <f ca="1">F140*$A$2</f>
        <v>2.5112390969476346</v>
      </c>
      <c r="J140" s="160" t="s">
        <v>76</v>
      </c>
      <c r="K140" s="160">
        <f>IF(LeagueInfo!$F$7="Yahoo",IFERROR(INDEX(DefaultAuctionValues!$B$2:$B$1000,MATCH(A140,DefaultAuctionValues!$A$2:$A$1000,0)),0),IF(LeagueInfo!$F$7="ESPN",IFERROR(INDEX(DefaultAuctionValues!$C$2:$C$1000,MATCH(A140,DefaultAuctionValues!$A$2:$A$1000,0)),0),IF(LeagueInfo!$F$7="Custom",IFERROR(INDEX(DefaultAuctionValues!$D$2:$D$1000,MATCH(A140,DefaultAuctionValues!$A$2:$A$1000,0)),0))))</f>
        <v>1</v>
      </c>
      <c r="L140" s="164">
        <f ca="1">I140-K140</f>
        <v>1.5112390969476346</v>
      </c>
      <c r="M140" s="175"/>
      <c r="N140" s="170">
        <f ca="1">INDEX(INDIRECT(""&amp;$B140&amp;"!Z2:Z628"),MATCH($A140,INDIRECT(""&amp;$B140&amp;"!B2:B628"),0))</f>
        <v>6.9249999999999972</v>
      </c>
      <c r="O140" s="158" t="str">
        <f ca="1">IF(INDEX(INDIRECT(""&amp;$B140&amp;"!W2:W628"),MATCH($A140,INDIRECT(""&amp;$B140&amp;"!B2:B628"),0))=0,"",INDEX(INDIRECT(""&amp;$B140&amp;"!W2:W628"),MATCH($A140,INDIRECT(""&amp;$B140&amp;"!B2:B628"),0)))</f>
        <v/>
      </c>
    </row>
    <row r="141" spans="1:15" x14ac:dyDescent="0.25">
      <c r="A141" s="158" t="s">
        <v>583</v>
      </c>
      <c r="B141" s="158" t="s">
        <v>35</v>
      </c>
      <c r="C141" s="162">
        <f ca="1">IFERROR(INDEX(BYEs!$B$2:$B$33,MATCH(D141,BYEs!$A$2:$A$33,0)),"N/A")</f>
        <v>11</v>
      </c>
      <c r="D141" s="219" t="str">
        <f ca="1">INDEX(INDIRECT(""&amp;B141&amp;"!F2:F628"),MATCH(A141,INDIRECT(""&amp;B141&amp;"!B2:B628"),0))</f>
        <v>TB</v>
      </c>
      <c r="E141" s="218" t="str">
        <f ca="1">INDEX(INDIRECT(""&amp;$B141&amp;"!AA2:AA628"),MATCH($A141,INDIRECT(""&amp;$B141&amp;"!B2:B628"),0))</f>
        <v>WR8</v>
      </c>
      <c r="F141" s="159">
        <f ca="1">IF(LeagueInfo!$H$7="Starter/Bench",INDEX(INDIRECT(""&amp;B141&amp;"!T2:T628"),MATCH(A141,INDIRECT(""&amp;B141&amp;"!B2:B628"),0)),INDEX(INDIRECT(""&amp;B141&amp;"!AB2:AB628"),MATCH(A141,INDIRECT(""&amp;B141&amp;"!B2:B628"),0)))</f>
        <v>2.4042621245866878</v>
      </c>
      <c r="G141" s="163">
        <f>IF(H141&gt;0,F141-H141,0)</f>
        <v>0</v>
      </c>
      <c r="H141" s="161"/>
      <c r="I141" s="163">
        <f ca="1">F141*$A$2</f>
        <v>2.4042621245866878</v>
      </c>
      <c r="J141" s="160" t="s">
        <v>76</v>
      </c>
      <c r="K141" s="160">
        <f>IF(LeagueInfo!$F$7="Yahoo",IFERROR(INDEX(DefaultAuctionValues!$B$2:$B$1000,MATCH(A141,DefaultAuctionValues!$A$2:$A$1000,0)),0),IF(LeagueInfo!$F$7="ESPN",IFERROR(INDEX(DefaultAuctionValues!$C$2:$C$1000,MATCH(A141,DefaultAuctionValues!$A$2:$A$1000,0)),0),IF(LeagueInfo!$F$7="Custom",IFERROR(INDEX(DefaultAuctionValues!$D$2:$D$1000,MATCH(A141,DefaultAuctionValues!$A$2:$A$1000,0)),0))))</f>
        <v>1</v>
      </c>
      <c r="L141" s="164">
        <f ca="1">I141-K141</f>
        <v>1.4042621245866878</v>
      </c>
      <c r="M141" s="175"/>
      <c r="N141" s="170">
        <f ca="1">INDEX(INDIRECT(""&amp;$B141&amp;"!Z2:Z628"),MATCH($A141,INDIRECT(""&amp;$B141&amp;"!B2:B628"),0))</f>
        <v>6.6299999999999955</v>
      </c>
      <c r="O141" s="158" t="str">
        <f ca="1">IF(INDEX(INDIRECT(""&amp;$B141&amp;"!W2:W628"),MATCH($A141,INDIRECT(""&amp;$B141&amp;"!B2:B628"),0))=0,"",INDEX(INDIRECT(""&amp;$B141&amp;"!W2:W628"),MATCH($A141,INDIRECT(""&amp;$B141&amp;"!B2:B628"),0)))</f>
        <v/>
      </c>
    </row>
    <row r="142" spans="1:15" x14ac:dyDescent="0.25">
      <c r="A142" s="158" t="s">
        <v>817</v>
      </c>
      <c r="B142" s="158" t="s">
        <v>43</v>
      </c>
      <c r="C142" s="162">
        <f ca="1">IFERROR(INDEX(BYEs!$B$2:$B$33,MATCH(D142,BYEs!$A$2:$A$33,0)),"N/A")</f>
        <v>14</v>
      </c>
      <c r="D142" s="219" t="str">
        <f ca="1">INDEX(INDIRECT(""&amp;B142&amp;"!F2:F628"),MATCH(A142,INDIRECT(""&amp;B142&amp;"!B2:B628"),0))</f>
        <v>CHI</v>
      </c>
      <c r="E142" s="218" t="str">
        <f ca="1">INDEX(INDIRECT(""&amp;$B142&amp;"!AA2:AA628"),MATCH($A142,INDIRECT(""&amp;$B142&amp;"!B2:B628"),0))</f>
        <v>TE8</v>
      </c>
      <c r="F142" s="159">
        <f ca="1">IF(LeagueInfo!$H$7="Starter/Bench",INDEX(INDIRECT(""&amp;B142&amp;"!T2:T628"),MATCH(A142,INDIRECT(""&amp;B142&amp;"!B2:B628"),0)),INDEX(INDIRECT(""&amp;B142&amp;"!AB2:AB628"),MATCH(A142,INDIRECT(""&amp;B142&amp;"!B2:B628"),0)))</f>
        <v>2.3734382511945502</v>
      </c>
      <c r="G142" s="163">
        <f>IF(H142&gt;0,F142-H142,0)</f>
        <v>0</v>
      </c>
      <c r="H142" s="161"/>
      <c r="I142" s="163">
        <f ca="1">F142*$A$2</f>
        <v>2.3734382511945502</v>
      </c>
      <c r="J142" s="160" t="s">
        <v>76</v>
      </c>
      <c r="K142" s="160">
        <f>IF(LeagueInfo!$F$7="Yahoo",IFERROR(INDEX(DefaultAuctionValues!$B$2:$B$1000,MATCH(A142,DefaultAuctionValues!$A$2:$A$1000,0)),0),IF(LeagueInfo!$F$7="ESPN",IFERROR(INDEX(DefaultAuctionValues!$C$2:$C$1000,MATCH(A142,DefaultAuctionValues!$A$2:$A$1000,0)),0),IF(LeagueInfo!$F$7="Custom",IFERROR(INDEX(DefaultAuctionValues!$D$2:$D$1000,MATCH(A142,DefaultAuctionValues!$A$2:$A$1000,0)),0))))</f>
        <v>1</v>
      </c>
      <c r="L142" s="164">
        <f ca="1">I142-K142</f>
        <v>1.3734382511945502</v>
      </c>
      <c r="M142" s="175"/>
      <c r="N142" s="170">
        <f ca="1">INDEX(INDIRECT(""&amp;$B142&amp;"!Z2:Z628"),MATCH($A142,INDIRECT(""&amp;$B142&amp;"!B2:B628"),0))</f>
        <v>6.5449999999999946</v>
      </c>
      <c r="O142" s="158" t="str">
        <f ca="1">IF(INDEX(INDIRECT(""&amp;$B142&amp;"!W2:W628"),MATCH($A142,INDIRECT(""&amp;$B142&amp;"!B2:B628"),0))=0,"",INDEX(INDIRECT(""&amp;$B142&amp;"!W2:W628"),MATCH($A142,INDIRECT(""&amp;$B142&amp;"!B2:B628"),0)))</f>
        <v/>
      </c>
    </row>
    <row r="143" spans="1:15" x14ac:dyDescent="0.25">
      <c r="A143" s="158" t="s">
        <v>797</v>
      </c>
      <c r="B143" s="158" t="s">
        <v>28</v>
      </c>
      <c r="C143" s="158">
        <f ca="1">IFERROR(INDEX(BYEs!$B$2:$B$33,MATCH(D143,BYEs!$A$2:$A$33,0)),"N/A")</f>
        <v>14</v>
      </c>
      <c r="D143" s="219" t="str">
        <f ca="1">INDEX(INDIRECT(""&amp;B143&amp;"!F2:F628"),MATCH(A143,INDIRECT(""&amp;B143&amp;"!B2:B628"),0))</f>
        <v>NO</v>
      </c>
      <c r="E143" s="218" t="str">
        <f ca="1">INDEX(INDIRECT(""&amp;$B143&amp;"!AA2:AA628"),MATCH($A143,INDIRECT(""&amp;$B143&amp;"!B2:B628"),0))</f>
        <v>RB8</v>
      </c>
      <c r="F143" s="159">
        <f ca="1">IF(LeagueInfo!$H$7="Starter/Bench",INDEX(INDIRECT(""&amp;B143&amp;"!T2:T628"),MATCH(A143,INDIRECT(""&amp;B143&amp;"!B2:B628"),0)),INDEX(INDIRECT(""&amp;B143&amp;"!AB2:AB628"),MATCH(A143,INDIRECT(""&amp;B143&amp;"!B2:B628"),0)))</f>
        <v>2.2646481098105382</v>
      </c>
      <c r="G143" s="160">
        <f>IF(H143&gt;0,F143-H143,0)</f>
        <v>0</v>
      </c>
      <c r="H143" s="161"/>
      <c r="I143" s="160">
        <f ca="1">F143*$A$2</f>
        <v>2.2646481098105382</v>
      </c>
      <c r="J143" s="160" t="s">
        <v>76</v>
      </c>
      <c r="K143" s="160">
        <f>IF(LeagueInfo!$F$7="Yahoo",IFERROR(INDEX(DefaultAuctionValues!$B$2:$B$1000,MATCH(A143,DefaultAuctionValues!$A$2:$A$1000,0)),0),IF(LeagueInfo!$F$7="ESPN",IFERROR(INDEX(DefaultAuctionValues!$C$2:$C$1000,MATCH(A143,DefaultAuctionValues!$A$2:$A$1000,0)),0),IF(LeagueInfo!$F$7="Custom",IFERROR(INDEX(DefaultAuctionValues!$D$2:$D$1000,MATCH(A143,DefaultAuctionValues!$A$2:$A$1000,0)),0))))</f>
        <v>1</v>
      </c>
      <c r="L143" s="160">
        <f ca="1">I143-K143</f>
        <v>1.2646481098105382</v>
      </c>
      <c r="M143" s="175"/>
      <c r="N143" s="170">
        <f ca="1">INDEX(INDIRECT(""&amp;$B143&amp;"!Z2:Z628"),MATCH($A143,INDIRECT(""&amp;$B143&amp;"!B2:B628"),0))</f>
        <v>6.2449999999999974</v>
      </c>
      <c r="O143" s="158" t="str">
        <f ca="1">IF(INDEX(INDIRECT(""&amp;$B143&amp;"!W2:W628"),MATCH($A143,INDIRECT(""&amp;$B143&amp;"!B2:B628"),0))=0,"",INDEX(INDIRECT(""&amp;$B143&amp;"!W2:W628"),MATCH($A143,INDIRECT(""&amp;$B143&amp;"!B2:B628"),0)))</f>
        <v/>
      </c>
    </row>
    <row r="144" spans="1:15" x14ac:dyDescent="0.25">
      <c r="A144" s="158" t="s">
        <v>740</v>
      </c>
      <c r="B144" s="158" t="s">
        <v>43</v>
      </c>
      <c r="C144" s="158">
        <f ca="1">IFERROR(INDEX(BYEs!$B$2:$B$33,MATCH(D144,BYEs!$A$2:$A$33,0)),"N/A")</f>
        <v>11</v>
      </c>
      <c r="D144" s="219" t="str">
        <f ca="1">INDEX(INDIRECT(""&amp;B144&amp;"!F2:F628"),MATCH(A144,INDIRECT(""&amp;B144&amp;"!B2:B628"),0))</f>
        <v>SEA</v>
      </c>
      <c r="E144" s="218" t="str">
        <f ca="1">INDEX(INDIRECT(""&amp;$B144&amp;"!AA2:AA628"),MATCH($A144,INDIRECT(""&amp;$B144&amp;"!B2:B628"),0))</f>
        <v>TE8</v>
      </c>
      <c r="F144" s="159">
        <f ca="1">IF(LeagueInfo!$H$7="Starter/Bench",INDEX(INDIRECT(""&amp;B144&amp;"!T2:T628"),MATCH(A144,INDIRECT(""&amp;B144&amp;"!B2:B628"),0)),INDEX(INDIRECT(""&amp;B144&amp;"!AB2:AB628"),MATCH(A144,INDIRECT(""&amp;B144&amp;"!B2:B628"),0)))</f>
        <v>2.2447032505568028</v>
      </c>
      <c r="G144" s="160">
        <f>IF(H144&gt;0,F144-H144,0)</f>
        <v>0</v>
      </c>
      <c r="H144" s="161"/>
      <c r="I144" s="160">
        <f ca="1">F144*$A$2</f>
        <v>2.2447032505568028</v>
      </c>
      <c r="J144" s="160" t="s">
        <v>76</v>
      </c>
      <c r="K144" s="160">
        <f>IF(LeagueInfo!$F$7="Yahoo",IFERROR(INDEX(DefaultAuctionValues!$B$2:$B$1000,MATCH(A144,DefaultAuctionValues!$A$2:$A$1000,0)),0),IF(LeagueInfo!$F$7="ESPN",IFERROR(INDEX(DefaultAuctionValues!$C$2:$C$1000,MATCH(A144,DefaultAuctionValues!$A$2:$A$1000,0)),0),IF(LeagueInfo!$F$7="Custom",IFERROR(INDEX(DefaultAuctionValues!$D$2:$D$1000,MATCH(A144,DefaultAuctionValues!$A$2:$A$1000,0)),0))))</f>
        <v>1</v>
      </c>
      <c r="L144" s="160">
        <f ca="1">I144-K144</f>
        <v>1.2447032505568028</v>
      </c>
      <c r="M144" s="175"/>
      <c r="N144" s="170">
        <f ca="1">INDEX(INDIRECT(""&amp;$B144&amp;"!Z2:Z628"),MATCH($A144,INDIRECT(""&amp;$B144&amp;"!B2:B628"),0))</f>
        <v>6.1899999999999977</v>
      </c>
      <c r="O144" s="158" t="str">
        <f ca="1">IF(INDEX(INDIRECT(""&amp;$B144&amp;"!W2:W628"),MATCH($A144,INDIRECT(""&amp;$B144&amp;"!B2:B628"),0))=0,"",INDEX(INDIRECT(""&amp;$B144&amp;"!W2:W628"),MATCH($A144,INDIRECT(""&amp;$B144&amp;"!B2:B628"),0)))</f>
        <v/>
      </c>
    </row>
    <row r="145" spans="1:15" x14ac:dyDescent="0.25">
      <c r="A145" s="158" t="s">
        <v>705</v>
      </c>
      <c r="B145" s="158" t="s">
        <v>35</v>
      </c>
      <c r="C145" s="158">
        <f ca="1">IFERROR(INDEX(BYEs!$B$2:$B$33,MATCH(D145,BYEs!$A$2:$A$33,0)),"N/A")</f>
        <v>8</v>
      </c>
      <c r="D145" s="219" t="str">
        <f ca="1">INDEX(INDIRECT(""&amp;B145&amp;"!F2:F628"),MATCH(A145,INDIRECT(""&amp;B145&amp;"!B2:B628"),0))</f>
        <v>KC</v>
      </c>
      <c r="E145" s="218" t="str">
        <f ca="1">INDEX(INDIRECT(""&amp;$B145&amp;"!AA2:AA628"),MATCH($A145,INDIRECT(""&amp;$B145&amp;"!B2:B628"),0))</f>
        <v>WR8</v>
      </c>
      <c r="F145" s="159">
        <f ca="1">IF(LeagueInfo!$H$7="Starter/Bench",INDEX(INDIRECT(""&amp;B145&amp;"!T2:T628"),MATCH(A145,INDIRECT(""&amp;B145&amp;"!B2:B628"),0)),INDEX(INDIRECT(""&amp;B145&amp;"!AB2:AB628"),MATCH(A145,INDIRECT(""&amp;B145&amp;"!B2:B628"),0)))</f>
        <v>2.1268472640574592</v>
      </c>
      <c r="G145" s="160">
        <f>IF(H145&gt;0,F145-H145,0)</f>
        <v>0</v>
      </c>
      <c r="H145" s="161"/>
      <c r="I145" s="160">
        <f ca="1">F145*$A$2</f>
        <v>2.1268472640574592</v>
      </c>
      <c r="J145" s="160" t="s">
        <v>76</v>
      </c>
      <c r="K145" s="160">
        <f>IF(LeagueInfo!$F$7="Yahoo",IFERROR(INDEX(DefaultAuctionValues!$B$2:$B$1000,MATCH(A145,DefaultAuctionValues!$A$2:$A$1000,0)),0),IF(LeagueInfo!$F$7="ESPN",IFERROR(INDEX(DefaultAuctionValues!$C$2:$C$1000,MATCH(A145,DefaultAuctionValues!$A$2:$A$1000,0)),0),IF(LeagueInfo!$F$7="Custom",IFERROR(INDEX(DefaultAuctionValues!$D$2:$D$1000,MATCH(A145,DefaultAuctionValues!$A$2:$A$1000,0)),0))))</f>
        <v>1</v>
      </c>
      <c r="L145" s="160">
        <f ca="1">I145-K145</f>
        <v>1.1268472640574592</v>
      </c>
      <c r="M145" s="175"/>
      <c r="N145" s="170">
        <f ca="1">INDEX(INDIRECT(""&amp;$B145&amp;"!Z2:Z628"),MATCH($A145,INDIRECT(""&amp;$B145&amp;"!B2:B628"),0))</f>
        <v>5.8650000000000091</v>
      </c>
      <c r="O145" s="158" t="str">
        <f ca="1">IF(INDEX(INDIRECT(""&amp;$B145&amp;"!W2:W628"),MATCH($A145,INDIRECT(""&amp;$B145&amp;"!B2:B628"),0))=0,"",INDEX(INDIRECT(""&amp;$B145&amp;"!W2:W628"),MATCH($A145,INDIRECT(""&amp;$B145&amp;"!B2:B628"),0)))</f>
        <v/>
      </c>
    </row>
    <row r="146" spans="1:15" x14ac:dyDescent="0.25">
      <c r="A146" s="158" t="s">
        <v>917</v>
      </c>
      <c r="B146" s="158" t="s">
        <v>29</v>
      </c>
      <c r="C146" s="158">
        <f ca="1">IFERROR(INDEX(BYEs!$B$2:$B$33,MATCH(D146,BYEs!$A$2:$A$33,0)),"N/A")</f>
        <v>14</v>
      </c>
      <c r="D146" s="219" t="str">
        <f ca="1">INDEX(INDIRECT(""&amp;B146&amp;"!F2:F628"),MATCH(A146,INDIRECT(""&amp;B146&amp;"!B2:B628"),0))</f>
        <v>CHI</v>
      </c>
      <c r="E146" s="218" t="str">
        <f ca="1">INDEX(INDIRECT(""&amp;$B146&amp;"!AA2:AA628"),MATCH($A146,INDIRECT(""&amp;$B146&amp;"!B2:B628"),0))</f>
        <v>QB5</v>
      </c>
      <c r="F146" s="159">
        <f ca="1">IF(LeagueInfo!$H$7="Starter/Bench",INDEX(INDIRECT(""&amp;B146&amp;"!T2:T628"),MATCH(A146,INDIRECT(""&amp;B146&amp;"!B2:B628"),0)),INDEX(INDIRECT(""&amp;B146&amp;"!AB2:AB628"),MATCH(A146,INDIRECT(""&amp;B146&amp;"!B2:B628"),0)))</f>
        <v>2.0390898833410254</v>
      </c>
      <c r="G146" s="160">
        <f>IF(H146&gt;0,F146-H146,0)</f>
        <v>0</v>
      </c>
      <c r="H146" s="161"/>
      <c r="I146" s="160">
        <f ca="1">F146*$A$2</f>
        <v>2.0390898833410254</v>
      </c>
      <c r="J146" s="160" t="s">
        <v>76</v>
      </c>
      <c r="K146" s="160">
        <f>IF(LeagueInfo!$F$7="Yahoo",IFERROR(INDEX(DefaultAuctionValues!$B$2:$B$1000,MATCH(A146,DefaultAuctionValues!$A$2:$A$1000,0)),0),IF(LeagueInfo!$F$7="ESPN",IFERROR(INDEX(DefaultAuctionValues!$C$2:$C$1000,MATCH(A146,DefaultAuctionValues!$A$2:$A$1000,0)),0),IF(LeagueInfo!$F$7="Custom",IFERROR(INDEX(DefaultAuctionValues!$D$2:$D$1000,MATCH(A146,DefaultAuctionValues!$A$2:$A$1000,0)),0))))</f>
        <v>1</v>
      </c>
      <c r="L146" s="160">
        <f ca="1">I146-K146</f>
        <v>1.0390898833410254</v>
      </c>
      <c r="M146" s="175"/>
      <c r="N146" s="170">
        <f ca="1">INDEX(INDIRECT(""&amp;$B146&amp;"!Z2:Z628"),MATCH($A146,INDIRECT(""&amp;$B146&amp;"!B2:B628"),0))</f>
        <v>5.6230000000000189</v>
      </c>
      <c r="O146" s="158" t="str">
        <f ca="1">IF(INDEX(INDIRECT(""&amp;$B146&amp;"!W2:W628"),MATCH($A146,INDIRECT(""&amp;$B146&amp;"!B2:B628"),0))=0,"",INDEX(INDIRECT(""&amp;$B146&amp;"!W2:W628"),MATCH($A146,INDIRECT(""&amp;$B146&amp;"!B2:B628"),0)))</f>
        <v/>
      </c>
    </row>
    <row r="147" spans="1:15" x14ac:dyDescent="0.25">
      <c r="A147" s="158" t="s">
        <v>2450</v>
      </c>
      <c r="B147" s="158" t="s">
        <v>28</v>
      </c>
      <c r="C147" s="158">
        <f ca="1">IFERROR(INDEX(BYEs!$B$2:$B$33,MATCH(D147,BYEs!$A$2:$A$33,0)),"N/A")</f>
        <v>14</v>
      </c>
      <c r="D147" s="219" t="str">
        <f ca="1">INDEX(INDIRECT(""&amp;B147&amp;"!F2:F628"),MATCH(A147,INDIRECT(""&amp;B147&amp;"!B2:B628"),0))</f>
        <v>ATL</v>
      </c>
      <c r="E147" s="218" t="str">
        <f ca="1">INDEX(INDIRECT(""&amp;$B147&amp;"!AA2:AA628"),MATCH($A147,INDIRECT(""&amp;$B147&amp;"!B2:B628"),0))</f>
        <v>RB8</v>
      </c>
      <c r="F147" s="159">
        <f ca="1">IF(LeagueInfo!$H$7="Starter/Bench",INDEX(INDIRECT(""&amp;B147&amp;"!T2:T628"),MATCH(A147,INDIRECT(""&amp;B147&amp;"!B2:B628"),0)),INDEX(INDIRECT(""&amp;B147&amp;"!AB2:AB628"),MATCH(A147,INDIRECT(""&amp;B147&amp;"!B2:B628"),0)))</f>
        <v>1.7823451496747449</v>
      </c>
      <c r="G147" s="160">
        <f>IF(H147&gt;0,F147-H147,0)</f>
        <v>0</v>
      </c>
      <c r="H147" s="161"/>
      <c r="I147" s="160">
        <f ca="1">F147*$A$2</f>
        <v>1.7823451496747449</v>
      </c>
      <c r="J147" s="160" t="s">
        <v>76</v>
      </c>
      <c r="K147" s="160">
        <f>IF(LeagueInfo!$F$7="Yahoo",IFERROR(INDEX(DefaultAuctionValues!$B$2:$B$1000,MATCH(A147,DefaultAuctionValues!$A$2:$A$1000,0)),0),IF(LeagueInfo!$F$7="ESPN",IFERROR(INDEX(DefaultAuctionValues!$C$2:$C$1000,MATCH(A147,DefaultAuctionValues!$A$2:$A$1000,0)),0),IF(LeagueInfo!$F$7="Custom",IFERROR(INDEX(DefaultAuctionValues!$D$2:$D$1000,MATCH(A147,DefaultAuctionValues!$A$2:$A$1000,0)),0))))</f>
        <v>1</v>
      </c>
      <c r="L147" s="160">
        <f ca="1">I147-K147</f>
        <v>0.78234514967474489</v>
      </c>
      <c r="M147" s="175"/>
      <c r="N147" s="170">
        <f ca="1">INDEX(INDIRECT(""&amp;$B147&amp;"!Z2:Z628"),MATCH($A147,INDIRECT(""&amp;$B147&amp;"!B2:B628"),0))</f>
        <v>4.914999999999992</v>
      </c>
      <c r="O147" s="158" t="str">
        <f ca="1">IF(INDEX(INDIRECT(""&amp;$B147&amp;"!W2:W628"),MATCH($A147,INDIRECT(""&amp;$B147&amp;"!B2:B628"),0))=0,"",INDEX(INDIRECT(""&amp;$B147&amp;"!W2:W628"),MATCH($A147,INDIRECT(""&amp;$B147&amp;"!B2:B628"),0)))</f>
        <v/>
      </c>
    </row>
    <row r="148" spans="1:15" x14ac:dyDescent="0.25">
      <c r="A148" s="158" t="s">
        <v>770</v>
      </c>
      <c r="B148" s="158" t="s">
        <v>35</v>
      </c>
      <c r="C148" s="158">
        <f ca="1">IFERROR(INDEX(BYEs!$B$2:$B$33,MATCH(D148,BYEs!$A$2:$A$33,0)),"N/A")</f>
        <v>10</v>
      </c>
      <c r="D148" s="219" t="str">
        <f ca="1">INDEX(INDIRECT(""&amp;B148&amp;"!F2:F628"),MATCH(A148,INDIRECT(""&amp;B148&amp;"!B2:B628"),0))</f>
        <v>NE</v>
      </c>
      <c r="E148" s="218" t="str">
        <f ca="1">INDEX(INDIRECT(""&amp;$B148&amp;"!AA2:AA628"),MATCH($A148,INDIRECT(""&amp;$B148&amp;"!B2:B628"),0))</f>
        <v>WR8</v>
      </c>
      <c r="F148" s="159">
        <f ca="1">IF(LeagueInfo!$H$7="Starter/Bench",INDEX(INDIRECT(""&amp;B148&amp;"!T2:T628"),MATCH(A148,INDIRECT(""&amp;B148&amp;"!B2:B628"),0)),INDEX(INDIRECT(""&amp;B148&amp;"!AB2:AB628"),MATCH(A148,INDIRECT(""&amp;B148&amp;"!B2:B628"),0)))</f>
        <v>1.7533344453056754</v>
      </c>
      <c r="G148" s="160">
        <f>IF(H148&gt;0,F148-H148,0)</f>
        <v>0</v>
      </c>
      <c r="H148" s="161"/>
      <c r="I148" s="160">
        <f ca="1">F148*$A$2</f>
        <v>1.7533344453056754</v>
      </c>
      <c r="J148" s="160" t="s">
        <v>76</v>
      </c>
      <c r="K148" s="160">
        <f>IF(LeagueInfo!$F$7="Yahoo",IFERROR(INDEX(DefaultAuctionValues!$B$2:$B$1000,MATCH(A148,DefaultAuctionValues!$A$2:$A$1000,0)),0),IF(LeagueInfo!$F$7="ESPN",IFERROR(INDEX(DefaultAuctionValues!$C$2:$C$1000,MATCH(A148,DefaultAuctionValues!$A$2:$A$1000,0)),0),IF(LeagueInfo!$F$7="Custom",IFERROR(INDEX(DefaultAuctionValues!$D$2:$D$1000,MATCH(A148,DefaultAuctionValues!$A$2:$A$1000,0)),0))))</f>
        <v>1</v>
      </c>
      <c r="L148" s="160">
        <f ca="1">I148-K148</f>
        <v>0.75333444530567539</v>
      </c>
      <c r="M148" s="175"/>
      <c r="N148" s="170">
        <f ca="1">INDEX(INDIRECT(""&amp;$B148&amp;"!Z2:Z628"),MATCH($A148,INDIRECT(""&amp;$B148&amp;"!B2:B628"),0))</f>
        <v>4.8349999999999937</v>
      </c>
      <c r="O148" s="158" t="str">
        <f ca="1">IF(INDEX(INDIRECT(""&amp;$B148&amp;"!W2:W628"),MATCH($A148,INDIRECT(""&amp;$B148&amp;"!B2:B628"),0))=0,"",INDEX(INDIRECT(""&amp;$B148&amp;"!W2:W628"),MATCH($A148,INDIRECT(""&amp;$B148&amp;"!B2:B628"),0)))</f>
        <v/>
      </c>
    </row>
    <row r="149" spans="1:15" x14ac:dyDescent="0.25">
      <c r="A149" s="158" t="s">
        <v>329</v>
      </c>
      <c r="B149" s="158" t="s">
        <v>28</v>
      </c>
      <c r="C149" s="158">
        <f ca="1">IFERROR(INDEX(BYEs!$B$2:$B$33,MATCH(D149,BYEs!$A$2:$A$33,0)),"N/A")</f>
        <v>6</v>
      </c>
      <c r="D149" s="219" t="str">
        <f ca="1">INDEX(INDIRECT(""&amp;B149&amp;"!F2:F628"),MATCH(A149,INDIRECT(""&amp;B149&amp;"!B2:B628"),0))</f>
        <v>HOU</v>
      </c>
      <c r="E149" s="218" t="str">
        <f ca="1">INDEX(INDIRECT(""&amp;$B149&amp;"!AA2:AA628"),MATCH($A149,INDIRECT(""&amp;$B149&amp;"!B2:B628"),0))</f>
        <v>RB8</v>
      </c>
      <c r="F149" s="159">
        <f ca="1">IF(LeagueInfo!$H$7="Starter/Bench",INDEX(INDIRECT(""&amp;B149&amp;"!T2:T628"),MATCH(A149,INDIRECT(""&amp;B149&amp;"!B2:B628"),0)),INDEX(INDIRECT(""&amp;B149&amp;"!AB2:AB628"),MATCH(A149,INDIRECT(""&amp;B149&amp;"!B2:B628"),0)))</f>
        <v>1.5774570500681877</v>
      </c>
      <c r="G149" s="160">
        <f>IF(H149&gt;0,F149-H149,0)</f>
        <v>0</v>
      </c>
      <c r="H149" s="161"/>
      <c r="I149" s="160">
        <f ca="1">F149*$A$2</f>
        <v>1.5774570500681877</v>
      </c>
      <c r="J149" s="160" t="s">
        <v>76</v>
      </c>
      <c r="K149" s="160">
        <f>IF(LeagueInfo!$F$7="Yahoo",IFERROR(INDEX(DefaultAuctionValues!$B$2:$B$1000,MATCH(A149,DefaultAuctionValues!$A$2:$A$1000,0)),0),IF(LeagueInfo!$F$7="ESPN",IFERROR(INDEX(DefaultAuctionValues!$C$2:$C$1000,MATCH(A149,DefaultAuctionValues!$A$2:$A$1000,0)),0),IF(LeagueInfo!$F$7="Custom",IFERROR(INDEX(DefaultAuctionValues!$D$2:$D$1000,MATCH(A149,DefaultAuctionValues!$A$2:$A$1000,0)),0))))</f>
        <v>0</v>
      </c>
      <c r="L149" s="160">
        <f ca="1">I149-K149</f>
        <v>1.5774570500681877</v>
      </c>
      <c r="M149" s="175"/>
      <c r="N149" s="170">
        <f ca="1">INDEX(INDIRECT(""&amp;$B149&amp;"!Z2:Z628"),MATCH($A149,INDIRECT(""&amp;$B149&amp;"!B2:B628"),0))</f>
        <v>4.3499999999999943</v>
      </c>
      <c r="O149" s="158" t="str">
        <f ca="1">IF(INDEX(INDIRECT(""&amp;$B149&amp;"!W2:W628"),MATCH($A149,INDIRECT(""&amp;$B149&amp;"!B2:B628"),0))=0,"",INDEX(INDIRECT(""&amp;$B149&amp;"!W2:W628"),MATCH($A149,INDIRECT(""&amp;$B149&amp;"!B2:B628"),0)))</f>
        <v/>
      </c>
    </row>
    <row r="150" spans="1:15" x14ac:dyDescent="0.25">
      <c r="A150" s="158" t="s">
        <v>579</v>
      </c>
      <c r="B150" s="158" t="s">
        <v>35</v>
      </c>
      <c r="C150" s="158">
        <f ca="1">IFERROR(INDEX(BYEs!$B$2:$B$33,MATCH(D150,BYEs!$A$2:$A$33,0)),"N/A")</f>
        <v>8</v>
      </c>
      <c r="D150" s="219" t="str">
        <f ca="1">INDEX(INDIRECT(""&amp;B150&amp;"!F2:F628"),MATCH(A150,INDIRECT(""&amp;B150&amp;"!B2:B628"),0))</f>
        <v>KC</v>
      </c>
      <c r="E150" s="218" t="str">
        <f ca="1">INDEX(INDIRECT(""&amp;$B150&amp;"!AA2:AA628"),MATCH($A150,INDIRECT(""&amp;$B150&amp;"!B2:B628"),0))</f>
        <v>WR8</v>
      </c>
      <c r="F150" s="159">
        <f ca="1">IF(LeagueInfo!$H$7="Starter/Bench",INDEX(INDIRECT(""&amp;B150&amp;"!T2:T628"),MATCH(A150,INDIRECT(""&amp;B150&amp;"!B2:B628"),0)),INDEX(INDIRECT(""&amp;B150&amp;"!AB2:AB628"),MATCH(A150,INDIRECT(""&amp;B150&amp;"!B2:B628"),0)))</f>
        <v>1.513996134260853</v>
      </c>
      <c r="G150" s="160">
        <f>IF(H150&gt;0,F150-H150,0)</f>
        <v>0</v>
      </c>
      <c r="H150" s="161"/>
      <c r="I150" s="160">
        <f ca="1">F150*$A$2</f>
        <v>1.513996134260853</v>
      </c>
      <c r="J150" s="160" t="s">
        <v>76</v>
      </c>
      <c r="K150" s="160">
        <f>IF(LeagueInfo!$F$7="Yahoo",IFERROR(INDEX(DefaultAuctionValues!$B$2:$B$1000,MATCH(A150,DefaultAuctionValues!$A$2:$A$1000,0)),0),IF(LeagueInfo!$F$7="ESPN",IFERROR(INDEX(DefaultAuctionValues!$C$2:$C$1000,MATCH(A150,DefaultAuctionValues!$A$2:$A$1000,0)),0),IF(LeagueInfo!$F$7="Custom",IFERROR(INDEX(DefaultAuctionValues!$D$2:$D$1000,MATCH(A150,DefaultAuctionValues!$A$2:$A$1000,0)),0))))</f>
        <v>1</v>
      </c>
      <c r="L150" s="160">
        <f ca="1">I150-K150</f>
        <v>0.513996134260853</v>
      </c>
      <c r="M150" s="175"/>
      <c r="N150" s="170">
        <f ca="1">INDEX(INDIRECT(""&amp;$B150&amp;"!Z2:Z628"),MATCH($A150,INDIRECT(""&amp;$B150&amp;"!B2:B628"),0))</f>
        <v>4.1750000000000114</v>
      </c>
      <c r="O150" s="158" t="str">
        <f ca="1">IF(INDEX(INDIRECT(""&amp;$B150&amp;"!W2:W628"),MATCH($A150,INDIRECT(""&amp;$B150&amp;"!B2:B628"),0))=0,"",INDEX(INDIRECT(""&amp;$B150&amp;"!W2:W628"),MATCH($A150,INDIRECT(""&amp;$B150&amp;"!B2:B628"),0)))</f>
        <v/>
      </c>
    </row>
    <row r="151" spans="1:15" x14ac:dyDescent="0.25">
      <c r="A151" s="158" t="s">
        <v>217</v>
      </c>
      <c r="B151" s="158" t="s">
        <v>43</v>
      </c>
      <c r="C151" s="158">
        <f ca="1">IFERROR(INDEX(BYEs!$B$2:$B$33,MATCH(D151,BYEs!$A$2:$A$33,0)),"N/A")</f>
        <v>9</v>
      </c>
      <c r="D151" s="219" t="str">
        <f ca="1">INDEX(INDIRECT(""&amp;B151&amp;"!F2:F628"),MATCH(A151,INDIRECT(""&amp;B151&amp;"!B2:B628"),0))</f>
        <v>CLE</v>
      </c>
      <c r="E151" s="218" t="str">
        <f ca="1">INDEX(INDIRECT(""&amp;$B151&amp;"!AA2:AA628"),MATCH($A151,INDIRECT(""&amp;$B151&amp;"!B2:B628"),0))</f>
        <v>TE8</v>
      </c>
      <c r="F151" s="159">
        <f ca="1">IF(LeagueInfo!$H$7="Starter/Bench",INDEX(INDIRECT(""&amp;B151&amp;"!T2:T628"),MATCH(A151,INDIRECT(""&amp;B151&amp;"!B2:B628"),0)),INDEX(INDIRECT(""&amp;B151&amp;"!AB2:AB628"),MATCH(A151,INDIRECT(""&amp;B151&amp;"!B2:B628"),0)))</f>
        <v>1.4251508521305714</v>
      </c>
      <c r="G151" s="160">
        <f>IF(H151&gt;0,F151-H151,0)</f>
        <v>0</v>
      </c>
      <c r="H151" s="161"/>
      <c r="I151" s="160">
        <f ca="1">F151*$A$2</f>
        <v>1.4251508521305714</v>
      </c>
      <c r="J151" s="160" t="s">
        <v>76</v>
      </c>
      <c r="K151" s="160">
        <f>IF(LeagueInfo!$F$7="Yahoo",IFERROR(INDEX(DefaultAuctionValues!$B$2:$B$1000,MATCH(A151,DefaultAuctionValues!$A$2:$A$1000,0)),0),IF(LeagueInfo!$F$7="ESPN",IFERROR(INDEX(DefaultAuctionValues!$C$2:$C$1000,MATCH(A151,DefaultAuctionValues!$A$2:$A$1000,0)),0),IF(LeagueInfo!$F$7="Custom",IFERROR(INDEX(DefaultAuctionValues!$D$2:$D$1000,MATCH(A151,DefaultAuctionValues!$A$2:$A$1000,0)),0))))</f>
        <v>1</v>
      </c>
      <c r="L151" s="160">
        <f ca="1">I151-K151</f>
        <v>0.42515085213057136</v>
      </c>
      <c r="M151" s="175"/>
      <c r="N151" s="170">
        <f ca="1">INDEX(INDIRECT(""&amp;$B151&amp;"!Z2:Z628"),MATCH($A151,INDIRECT(""&amp;$B151&amp;"!B2:B628"),0))</f>
        <v>3.9299999999999997</v>
      </c>
      <c r="O151" s="158" t="str">
        <f ca="1">IF(INDEX(INDIRECT(""&amp;$B151&amp;"!W2:W628"),MATCH($A151,INDIRECT(""&amp;$B151&amp;"!B2:B628"),0))=0,"",INDEX(INDIRECT(""&amp;$B151&amp;"!W2:W628"),MATCH($A151,INDIRECT(""&amp;$B151&amp;"!B2:B628"),0)))</f>
        <v/>
      </c>
    </row>
    <row r="152" spans="1:15" x14ac:dyDescent="0.25">
      <c r="A152" s="158" t="s">
        <v>372</v>
      </c>
      <c r="B152" s="158" t="s">
        <v>35</v>
      </c>
      <c r="C152" s="158">
        <f ca="1">IFERROR(INDEX(BYEs!$B$2:$B$33,MATCH(D152,BYEs!$A$2:$A$33,0)),"N/A")</f>
        <v>10</v>
      </c>
      <c r="D152" s="219" t="str">
        <f ca="1">INDEX(INDIRECT(""&amp;B152&amp;"!F2:F628"),MATCH(A152,INDIRECT(""&amp;B152&amp;"!B2:B628"),0))</f>
        <v>CIN</v>
      </c>
      <c r="E152" s="218" t="str">
        <f ca="1">INDEX(INDIRECT(""&amp;$B152&amp;"!AA2:AA628"),MATCH($A152,INDIRECT(""&amp;$B152&amp;"!B2:B628"),0))</f>
        <v>WR8</v>
      </c>
      <c r="F152" s="159">
        <f ca="1">IF(LeagueInfo!$H$7="Starter/Bench",INDEX(INDIRECT(""&amp;B152&amp;"!T2:T628"),MATCH(A152,INDIRECT(""&amp;B152&amp;"!B2:B628"),0)),INDEX(INDIRECT(""&amp;B152&amp;"!AB2:AB628"),MATCH(A152,INDIRECT(""&amp;B152&amp;"!B2:B628"),0)))</f>
        <v>1.3471845841387018</v>
      </c>
      <c r="G152" s="160">
        <f>IF(H152&gt;0,F152-H152,0)</f>
        <v>0</v>
      </c>
      <c r="H152" s="161"/>
      <c r="I152" s="160">
        <f ca="1">F152*$A$2</f>
        <v>1.3471845841387018</v>
      </c>
      <c r="J152" s="160" t="s">
        <v>76</v>
      </c>
      <c r="K152" s="160">
        <f>IF(LeagueInfo!$F$7="Yahoo",IFERROR(INDEX(DefaultAuctionValues!$B$2:$B$1000,MATCH(A152,DefaultAuctionValues!$A$2:$A$1000,0)),0),IF(LeagueInfo!$F$7="ESPN",IFERROR(INDEX(DefaultAuctionValues!$C$2:$C$1000,MATCH(A152,DefaultAuctionValues!$A$2:$A$1000,0)),0),IF(LeagueInfo!$F$7="Custom",IFERROR(INDEX(DefaultAuctionValues!$D$2:$D$1000,MATCH(A152,DefaultAuctionValues!$A$2:$A$1000,0)),0))))</f>
        <v>1</v>
      </c>
      <c r="L152" s="160">
        <f ca="1">I152-K152</f>
        <v>0.34718458413870179</v>
      </c>
      <c r="M152" s="175"/>
      <c r="N152" s="170">
        <f ca="1">INDEX(INDIRECT(""&amp;$B152&amp;"!Z2:Z628"),MATCH($A152,INDIRECT(""&amp;$B152&amp;"!B2:B628"),0))</f>
        <v>3.7150000000000176</v>
      </c>
      <c r="O152" s="158" t="str">
        <f ca="1">IF(INDEX(INDIRECT(""&amp;$B152&amp;"!W2:W628"),MATCH($A152,INDIRECT(""&amp;$B152&amp;"!B2:B628"),0))=0,"",INDEX(INDIRECT(""&amp;$B152&amp;"!W2:W628"),MATCH($A152,INDIRECT(""&amp;$B152&amp;"!B2:B628"),0)))</f>
        <v/>
      </c>
    </row>
    <row r="153" spans="1:15" x14ac:dyDescent="0.25">
      <c r="A153" s="158" t="s">
        <v>2448</v>
      </c>
      <c r="B153" s="158" t="s">
        <v>28</v>
      </c>
      <c r="C153" s="158">
        <f ca="1">IFERROR(INDEX(BYEs!$B$2:$B$33,MATCH(D153,BYEs!$A$2:$A$33,0)),"N/A")</f>
        <v>11</v>
      </c>
      <c r="D153" s="219" t="str">
        <f ca="1">INDEX(INDIRECT(""&amp;B153&amp;"!F2:F628"),MATCH(A153,INDIRECT(""&amp;B153&amp;"!B2:B628"),0))</f>
        <v>TB</v>
      </c>
      <c r="E153" s="218" t="str">
        <f ca="1">INDEX(INDIRECT(""&amp;$B153&amp;"!AA2:AA628"),MATCH($A153,INDIRECT(""&amp;$B153&amp;"!B2:B628"),0))</f>
        <v>RB9</v>
      </c>
      <c r="F153" s="159">
        <f ca="1">IF(LeagueInfo!$H$7="Starter/Bench",INDEX(INDIRECT(""&amp;B153&amp;"!T2:T628"),MATCH(A153,INDIRECT(""&amp;B153&amp;"!B2:B628"),0)),INDEX(INDIRECT(""&amp;B153&amp;"!AB2:AB628"),MATCH(A153,INDIRECT(""&amp;B153&amp;"!B2:B628"),0)))</f>
        <v>1.2474602878700158</v>
      </c>
      <c r="G153" s="160">
        <f>IF(H153&gt;0,F153-H153,0)</f>
        <v>0</v>
      </c>
      <c r="H153" s="161"/>
      <c r="I153" s="160">
        <f ca="1">F153*$A$2</f>
        <v>1.2474602878700158</v>
      </c>
      <c r="J153" s="160" t="s">
        <v>76</v>
      </c>
      <c r="K153" s="160">
        <f>IF(LeagueInfo!$F$7="Yahoo",IFERROR(INDEX(DefaultAuctionValues!$B$2:$B$1000,MATCH(A153,DefaultAuctionValues!$A$2:$A$1000,0)),0),IF(LeagueInfo!$F$7="ESPN",IFERROR(INDEX(DefaultAuctionValues!$C$2:$C$1000,MATCH(A153,DefaultAuctionValues!$A$2:$A$1000,0)),0),IF(LeagueInfo!$F$7="Custom",IFERROR(INDEX(DefaultAuctionValues!$D$2:$D$1000,MATCH(A153,DefaultAuctionValues!$A$2:$A$1000,0)),0))))</f>
        <v>1</v>
      </c>
      <c r="L153" s="160">
        <f ca="1">I153-K153</f>
        <v>0.24746028787001584</v>
      </c>
      <c r="M153" s="175"/>
      <c r="N153" s="170">
        <f ca="1">INDEX(INDIRECT(""&amp;$B153&amp;"!Z2:Z628"),MATCH($A153,INDIRECT(""&amp;$B153&amp;"!B2:B628"),0))</f>
        <v>3.4399999999999977</v>
      </c>
      <c r="O153" s="158" t="str">
        <f ca="1">IF(INDEX(INDIRECT(""&amp;$B153&amp;"!W2:W628"),MATCH($A153,INDIRECT(""&amp;$B153&amp;"!B2:B628"),0))=0,"",INDEX(INDIRECT(""&amp;$B153&amp;"!W2:W628"),MATCH($A153,INDIRECT(""&amp;$B153&amp;"!B2:B628"),0)))</f>
        <v/>
      </c>
    </row>
    <row r="154" spans="1:15" x14ac:dyDescent="0.25">
      <c r="A154" s="158" t="s">
        <v>419</v>
      </c>
      <c r="B154" s="158" t="s">
        <v>43</v>
      </c>
      <c r="C154" s="158">
        <f ca="1">IFERROR(INDEX(BYEs!$B$2:$B$33,MATCH(D154,BYEs!$A$2:$A$33,0)),"N/A")</f>
        <v>8</v>
      </c>
      <c r="D154" s="219" t="str">
        <f ca="1">INDEX(INDIRECT(""&amp;B154&amp;"!F2:F628"),MATCH(A154,INDIRECT(""&amp;B154&amp;"!B2:B628"),0))</f>
        <v>LAC</v>
      </c>
      <c r="E154" s="218" t="str">
        <f ca="1">INDEX(INDIRECT(""&amp;$B154&amp;"!AA2:AA628"),MATCH($A154,INDIRECT(""&amp;$B154&amp;"!B2:B628"),0))</f>
        <v>TE8</v>
      </c>
      <c r="F154" s="159">
        <f ca="1">IF(LeagueInfo!$H$7="Starter/Bench",INDEX(INDIRECT(""&amp;B154&amp;"!T2:T628"),MATCH(A154,INDIRECT(""&amp;B154&amp;"!B2:B628"),0)),INDEX(INDIRECT(""&amp;B154&amp;"!AB2:AB628"),MATCH(A154,INDIRECT(""&amp;B154&amp;"!B2:B628"),0)))</f>
        <v>1.1314174703937352</v>
      </c>
      <c r="G154" s="160">
        <f>IF(H154&gt;0,F154-H154,0)</f>
        <v>0</v>
      </c>
      <c r="H154" s="161"/>
      <c r="I154" s="160">
        <f ca="1">F154*$A$2</f>
        <v>1.1314174703937352</v>
      </c>
      <c r="J154" s="160" t="s">
        <v>76</v>
      </c>
      <c r="K154" s="160">
        <f>IF(LeagueInfo!$F$7="Yahoo",IFERROR(INDEX(DefaultAuctionValues!$B$2:$B$1000,MATCH(A154,DefaultAuctionValues!$A$2:$A$1000,0)),0),IF(LeagueInfo!$F$7="ESPN",IFERROR(INDEX(DefaultAuctionValues!$C$2:$C$1000,MATCH(A154,DefaultAuctionValues!$A$2:$A$1000,0)),0),IF(LeagueInfo!$F$7="Custom",IFERROR(INDEX(DefaultAuctionValues!$D$2:$D$1000,MATCH(A154,DefaultAuctionValues!$A$2:$A$1000,0)),0))))</f>
        <v>1</v>
      </c>
      <c r="L154" s="160">
        <f ca="1">I154-K154</f>
        <v>0.13141747039373519</v>
      </c>
      <c r="M154" s="175"/>
      <c r="N154" s="170">
        <f ca="1">INDEX(INDIRECT(""&amp;$B154&amp;"!Z2:Z628"),MATCH($A154,INDIRECT(""&amp;$B154&amp;"!B2:B628"),0))</f>
        <v>3.1199999999999974</v>
      </c>
      <c r="O154" s="158" t="str">
        <f ca="1">IF(INDEX(INDIRECT(""&amp;$B154&amp;"!W2:W628"),MATCH($A154,INDIRECT(""&amp;$B154&amp;"!B2:B628"),0))=0,"",INDEX(INDIRECT(""&amp;$B154&amp;"!W2:W628"),MATCH($A154,INDIRECT(""&amp;$B154&amp;"!B2:B628"),0)))</f>
        <v/>
      </c>
    </row>
    <row r="155" spans="1:15" x14ac:dyDescent="0.25">
      <c r="A155" s="158" t="s">
        <v>156</v>
      </c>
      <c r="B155" s="158" t="s">
        <v>48</v>
      </c>
      <c r="C155" s="158">
        <f ca="1">IFERROR(INDEX(BYEs!$B$2:$B$33,MATCH(D155,BYEs!$A$2:$A$33,0)),"N/A")</f>
        <v>10</v>
      </c>
      <c r="D155" s="219" t="str">
        <f ca="1">INDEX(INDIRECT(""&amp;B155&amp;"!F2:F628"),MATCH(A155,INDIRECT(""&amp;B155&amp;"!B2:B628"),0))</f>
        <v>BAL</v>
      </c>
      <c r="E155" s="218" t="str">
        <f ca="1">INDEX(INDIRECT(""&amp;$B155&amp;"!AA2:AA628"),MATCH($A155,INDIRECT(""&amp;$B155&amp;"!B2:B628"),0))</f>
        <v>K1</v>
      </c>
      <c r="F155" s="159">
        <f ca="1">IF(LeagueInfo!$H$7="Starter/Bench",INDEX(INDIRECT(""&amp;B155&amp;"!T2:T628"),MATCH(A155,INDIRECT(""&amp;B155&amp;"!B2:B628"),0)),INDEX(INDIRECT(""&amp;B155&amp;"!AB2:AB628"),MATCH(A155,INDIRECT(""&amp;B155&amp;"!B2:B628"),0)))</f>
        <v>1</v>
      </c>
      <c r="G155" s="160">
        <f>IF(H155&gt;0,F155-H155,0)</f>
        <v>0</v>
      </c>
      <c r="H155" s="161"/>
      <c r="I155" s="160">
        <f ca="1">F155*$A$2</f>
        <v>1</v>
      </c>
      <c r="J155" s="160" t="s">
        <v>76</v>
      </c>
      <c r="K155" s="160">
        <f>IF(LeagueInfo!$F$7="Yahoo",IFERROR(INDEX(DefaultAuctionValues!$B$2:$B$1000,MATCH(A155,DefaultAuctionValues!$A$2:$A$1000,0)),0),IF(LeagueInfo!$F$7="ESPN",IFERROR(INDEX(DefaultAuctionValues!$C$2:$C$1000,MATCH(A155,DefaultAuctionValues!$A$2:$A$1000,0)),0),IF(LeagueInfo!$F$7="Custom",IFERROR(INDEX(DefaultAuctionValues!$D$2:$D$1000,MATCH(A155,DefaultAuctionValues!$A$2:$A$1000,0)),0))))</f>
        <v>3</v>
      </c>
      <c r="L155" s="160">
        <f ca="1">I155-K155</f>
        <v>-2</v>
      </c>
      <c r="M155" s="175"/>
      <c r="N155" s="170">
        <f ca="1">INDEX(INDIRECT(""&amp;$B155&amp;"!Z2:Z628"),MATCH($A155,INDIRECT(""&amp;$B155&amp;"!B2:B628"),0))</f>
        <v>6.8000000000000114</v>
      </c>
      <c r="O155" s="158" t="str">
        <f ca="1">IF(INDEX(INDIRECT(""&amp;$B155&amp;"!W2:W628"),MATCH($A155,INDIRECT(""&amp;$B155&amp;"!B2:B628"),0))=0,"",INDEX(INDIRECT(""&amp;$B155&amp;"!W2:W628"),MATCH($A155,INDIRECT(""&amp;$B155&amp;"!B2:B628"),0)))</f>
        <v/>
      </c>
    </row>
    <row r="156" spans="1:15" x14ac:dyDescent="0.25">
      <c r="A156" s="158" t="s">
        <v>451</v>
      </c>
      <c r="B156" s="158" t="s">
        <v>48</v>
      </c>
      <c r="C156" s="158">
        <f ca="1">IFERROR(INDEX(BYEs!$B$2:$B$33,MATCH(D156,BYEs!$A$2:$A$33,0)),"N/A")</f>
        <v>8</v>
      </c>
      <c r="D156" s="219" t="str">
        <f ca="1">INDEX(INDIRECT(""&amp;B156&amp;"!F2:F628"),MATCH(A156,INDIRECT(""&amp;B156&amp;"!B2:B628"),0))</f>
        <v>KC</v>
      </c>
      <c r="E156" s="218" t="str">
        <f ca="1">INDEX(INDIRECT(""&amp;$B156&amp;"!AA2:AA628"),MATCH($A156,INDIRECT(""&amp;$B156&amp;"!B2:B628"),0))</f>
        <v>K1</v>
      </c>
      <c r="F156" s="159">
        <f ca="1">IF(LeagueInfo!$H$7="Starter/Bench",INDEX(INDIRECT(""&amp;B156&amp;"!T2:T628"),MATCH(A156,INDIRECT(""&amp;B156&amp;"!B2:B628"),0)),INDEX(INDIRECT(""&amp;B156&amp;"!AB2:AB628"),MATCH(A156,INDIRECT(""&amp;B156&amp;"!B2:B628"),0)))</f>
        <v>1</v>
      </c>
      <c r="G156" s="160">
        <f>IF(H156&gt;0,F156-H156,0)</f>
        <v>0</v>
      </c>
      <c r="H156" s="161"/>
      <c r="I156" s="160">
        <f ca="1">F156*$A$2</f>
        <v>1</v>
      </c>
      <c r="J156" s="160" t="s">
        <v>76</v>
      </c>
      <c r="K156" s="160">
        <f>IF(LeagueInfo!$F$7="Yahoo",IFERROR(INDEX(DefaultAuctionValues!$B$2:$B$1000,MATCH(A156,DefaultAuctionValues!$A$2:$A$1000,0)),0),IF(LeagueInfo!$F$7="ESPN",IFERROR(INDEX(DefaultAuctionValues!$C$2:$C$1000,MATCH(A156,DefaultAuctionValues!$A$2:$A$1000,0)),0),IF(LeagueInfo!$F$7="Custom",IFERROR(INDEX(DefaultAuctionValues!$D$2:$D$1000,MATCH(A156,DefaultAuctionValues!$A$2:$A$1000,0)),0))))</f>
        <v>1</v>
      </c>
      <c r="L156" s="160">
        <f ca="1">I156-K156</f>
        <v>0</v>
      </c>
      <c r="M156" s="175"/>
      <c r="N156" s="170">
        <f ca="1">INDEX(INDIRECT(""&amp;$B156&amp;"!Z2:Z628"),MATCH($A156,INDIRECT(""&amp;$B156&amp;"!B2:B628"),0))</f>
        <v>6.5</v>
      </c>
      <c r="O156" s="158" t="str">
        <f ca="1">IF(INDEX(INDIRECT(""&amp;$B156&amp;"!W2:W628"),MATCH($A156,INDIRECT(""&amp;$B156&amp;"!B2:B628"),0))=0,"",INDEX(INDIRECT(""&amp;$B156&amp;"!W2:W628"),MATCH($A156,INDIRECT(""&amp;$B156&amp;"!B2:B628"),0)))</f>
        <v/>
      </c>
    </row>
    <row r="157" spans="1:15" x14ac:dyDescent="0.25">
      <c r="A157" s="158" t="s">
        <v>601</v>
      </c>
      <c r="B157" s="158" t="s">
        <v>48</v>
      </c>
      <c r="C157" s="158">
        <f ca="1">IFERROR(INDEX(BYEs!$B$2:$B$33,MATCH(D157,BYEs!$A$2:$A$33,0)),"N/A")</f>
        <v>6</v>
      </c>
      <c r="D157" s="219" t="str">
        <f ca="1">INDEX(INDIRECT(""&amp;B157&amp;"!F2:F628"),MATCH(A157,INDIRECT(""&amp;B157&amp;"!B2:B628"),0))</f>
        <v>LV</v>
      </c>
      <c r="E157" s="218" t="str">
        <f ca="1">INDEX(INDIRECT(""&amp;$B157&amp;"!AA2:AA628"),MATCH($A157,INDIRECT(""&amp;$B157&amp;"!B2:B628"),0))</f>
        <v>K1</v>
      </c>
      <c r="F157" s="159">
        <f ca="1">IF(LeagueInfo!$H$7="Starter/Bench",INDEX(INDIRECT(""&amp;B157&amp;"!T2:T628"),MATCH(A157,INDIRECT(""&amp;B157&amp;"!B2:B628"),0)),INDEX(INDIRECT(""&amp;B157&amp;"!AB2:AB628"),MATCH(A157,INDIRECT(""&amp;B157&amp;"!B2:B628"),0)))</f>
        <v>1</v>
      </c>
      <c r="G157" s="160">
        <f>IF(H157&gt;0,F157-H157,0)</f>
        <v>0</v>
      </c>
      <c r="H157" s="161"/>
      <c r="I157" s="160">
        <f ca="1">F157*$A$2</f>
        <v>1</v>
      </c>
      <c r="J157" s="160" t="s">
        <v>76</v>
      </c>
      <c r="K157" s="160">
        <f>IF(LeagueInfo!$F$7="Yahoo",IFERROR(INDEX(DefaultAuctionValues!$B$2:$B$1000,MATCH(A157,DefaultAuctionValues!$A$2:$A$1000,0)),0),IF(LeagueInfo!$F$7="ESPN",IFERROR(INDEX(DefaultAuctionValues!$C$2:$C$1000,MATCH(A157,DefaultAuctionValues!$A$2:$A$1000,0)),0),IF(LeagueInfo!$F$7="Custom",IFERROR(INDEX(DefaultAuctionValues!$D$2:$D$1000,MATCH(A157,DefaultAuctionValues!$A$2:$A$1000,0)),0))))</f>
        <v>1</v>
      </c>
      <c r="L157" s="160">
        <f ca="1">I157-K157</f>
        <v>0</v>
      </c>
      <c r="M157" s="175"/>
      <c r="N157" s="170">
        <f ca="1">INDEX(INDIRECT(""&amp;$B157&amp;"!Z2:Z628"),MATCH($A157,INDIRECT(""&amp;$B157&amp;"!B2:B628"),0))</f>
        <v>6.1999999999999886</v>
      </c>
      <c r="O157" s="158" t="str">
        <f ca="1">IF(INDEX(INDIRECT(""&amp;$B157&amp;"!W2:W628"),MATCH($A157,INDIRECT(""&amp;$B157&amp;"!B2:B628"),0))=0,"",INDEX(INDIRECT(""&amp;$B157&amp;"!W2:W628"),MATCH($A157,INDIRECT(""&amp;$B157&amp;"!B2:B628"),0)))</f>
        <v/>
      </c>
    </row>
    <row r="158" spans="1:15" x14ac:dyDescent="0.25">
      <c r="A158" s="158" t="s">
        <v>764</v>
      </c>
      <c r="B158" s="158" t="s">
        <v>48</v>
      </c>
      <c r="C158" s="158">
        <f ca="1">IFERROR(INDEX(BYEs!$B$2:$B$33,MATCH(D158,BYEs!$A$2:$A$33,0)),"N/A")</f>
        <v>7</v>
      </c>
      <c r="D158" s="219" t="str">
        <f ca="1">INDEX(INDIRECT(""&amp;B158&amp;"!F2:F628"),MATCH(A158,INDIRECT(""&amp;B158&amp;"!B2:B628"),0))</f>
        <v>LAR</v>
      </c>
      <c r="E158" s="218" t="str">
        <f ca="1">INDEX(INDIRECT(""&amp;$B158&amp;"!AA2:AA628"),MATCH($A158,INDIRECT(""&amp;$B158&amp;"!B2:B628"),0))</f>
        <v>K1</v>
      </c>
      <c r="F158" s="159">
        <f ca="1">IF(LeagueInfo!$H$7="Starter/Bench",INDEX(INDIRECT(""&amp;B158&amp;"!T2:T628"),MATCH(A158,INDIRECT(""&amp;B158&amp;"!B2:B628"),0)),INDEX(INDIRECT(""&amp;B158&amp;"!AB2:AB628"),MATCH(A158,INDIRECT(""&amp;B158&amp;"!B2:B628"),0)))</f>
        <v>1</v>
      </c>
      <c r="G158" s="160">
        <f>IF(H158&gt;0,F158-H158,0)</f>
        <v>0</v>
      </c>
      <c r="H158" s="161"/>
      <c r="I158" s="160">
        <f ca="1">F158*$A$2</f>
        <v>1</v>
      </c>
      <c r="J158" s="160" t="s">
        <v>76</v>
      </c>
      <c r="K158" s="160">
        <f>IF(LeagueInfo!$F$7="Yahoo",IFERROR(INDEX(DefaultAuctionValues!$B$2:$B$1000,MATCH(A158,DefaultAuctionValues!$A$2:$A$1000,0)),0),IF(LeagueInfo!$F$7="ESPN",IFERROR(INDEX(DefaultAuctionValues!$C$2:$C$1000,MATCH(A158,DefaultAuctionValues!$A$2:$A$1000,0)),0),IF(LeagueInfo!$F$7="Custom",IFERROR(INDEX(DefaultAuctionValues!$D$2:$D$1000,MATCH(A158,DefaultAuctionValues!$A$2:$A$1000,0)),0))))</f>
        <v>1</v>
      </c>
      <c r="L158" s="160">
        <f ca="1">I158-K158</f>
        <v>0</v>
      </c>
      <c r="M158" s="175"/>
      <c r="N158" s="170">
        <f ca="1">INDEX(INDIRECT(""&amp;$B158&amp;"!Z2:Z628"),MATCH($A158,INDIRECT(""&amp;$B158&amp;"!B2:B628"),0))</f>
        <v>5.9000000000000057</v>
      </c>
      <c r="O158" s="158" t="str">
        <f ca="1">IF(INDEX(INDIRECT(""&amp;$B158&amp;"!W2:W628"),MATCH($A158,INDIRECT(""&amp;$B158&amp;"!B2:B628"),0))=0,"",INDEX(INDIRECT(""&amp;$B158&amp;"!W2:W628"),MATCH($A158,INDIRECT(""&amp;$B158&amp;"!B2:B628"),0)))</f>
        <v/>
      </c>
    </row>
    <row r="159" spans="1:15" x14ac:dyDescent="0.25">
      <c r="A159" s="158" t="s">
        <v>248</v>
      </c>
      <c r="B159" s="158" t="s">
        <v>48</v>
      </c>
      <c r="C159" s="158">
        <f ca="1">IFERROR(INDEX(BYEs!$B$2:$B$33,MATCH(D159,BYEs!$A$2:$A$33,0)),"N/A")</f>
        <v>11</v>
      </c>
      <c r="D159" s="219" t="str">
        <f ca="1">INDEX(INDIRECT(""&amp;B159&amp;"!F2:F628"),MATCH(A159,INDIRECT(""&amp;B159&amp;"!B2:B628"),0))</f>
        <v>TB</v>
      </c>
      <c r="E159" s="218" t="str">
        <f ca="1">INDEX(INDIRECT(""&amp;$B159&amp;"!AA2:AA628"),MATCH($A159,INDIRECT(""&amp;$B159&amp;"!B2:B628"),0))</f>
        <v>K1</v>
      </c>
      <c r="F159" s="159">
        <f ca="1">IF(LeagueInfo!$H$7="Starter/Bench",INDEX(INDIRECT(""&amp;B159&amp;"!T2:T628"),MATCH(A159,INDIRECT(""&amp;B159&amp;"!B2:B628"),0)),INDEX(INDIRECT(""&amp;B159&amp;"!AB2:AB628"),MATCH(A159,INDIRECT(""&amp;B159&amp;"!B2:B628"),0)))</f>
        <v>1</v>
      </c>
      <c r="G159" s="160">
        <f>IF(H159&gt;0,F159-H159,0)</f>
        <v>0</v>
      </c>
      <c r="H159" s="161"/>
      <c r="I159" s="160">
        <f ca="1">F159*$A$2</f>
        <v>1</v>
      </c>
      <c r="J159" s="160" t="s">
        <v>76</v>
      </c>
      <c r="K159" s="160">
        <f>IF(LeagueInfo!$F$7="Yahoo",IFERROR(INDEX(DefaultAuctionValues!$B$2:$B$1000,MATCH(A159,DefaultAuctionValues!$A$2:$A$1000,0)),0),IF(LeagueInfo!$F$7="ESPN",IFERROR(INDEX(DefaultAuctionValues!$C$2:$C$1000,MATCH(A159,DefaultAuctionValues!$A$2:$A$1000,0)),0),IF(LeagueInfo!$F$7="Custom",IFERROR(INDEX(DefaultAuctionValues!$D$2:$D$1000,MATCH(A159,DefaultAuctionValues!$A$2:$A$1000,0)),0))))</f>
        <v>1</v>
      </c>
      <c r="L159" s="160">
        <f ca="1">I159-K159</f>
        <v>0</v>
      </c>
      <c r="M159" s="175"/>
      <c r="N159" s="170">
        <f ca="1">INDEX(INDIRECT(""&amp;$B159&amp;"!Z2:Z628"),MATCH($A159,INDIRECT(""&amp;$B159&amp;"!B2:B628"),0))</f>
        <v>4.2999999999999972</v>
      </c>
      <c r="O159" s="158" t="str">
        <f ca="1">IF(INDEX(INDIRECT(""&amp;$B159&amp;"!W2:W628"),MATCH($A159,INDIRECT(""&amp;$B159&amp;"!B2:B628"),0))=0,"",INDEX(INDIRECT(""&amp;$B159&amp;"!W2:W628"),MATCH($A159,INDIRECT(""&amp;$B159&amp;"!B2:B628"),0)))</f>
        <v/>
      </c>
    </row>
    <row r="160" spans="1:15" x14ac:dyDescent="0.25">
      <c r="A160" s="158" t="s">
        <v>815</v>
      </c>
      <c r="B160" s="158" t="s">
        <v>48</v>
      </c>
      <c r="C160" s="158">
        <f ca="1">IFERROR(INDEX(BYEs!$B$2:$B$33,MATCH(D160,BYEs!$A$2:$A$33,0)),"N/A")</f>
        <v>7</v>
      </c>
      <c r="D160" s="219" t="str">
        <f ca="1">INDEX(INDIRECT(""&amp;B160&amp;"!F2:F628"),MATCH(A160,INDIRECT(""&amp;B160&amp;"!B2:B628"),0))</f>
        <v>BUF</v>
      </c>
      <c r="E160" s="218" t="str">
        <f ca="1">INDEX(INDIRECT(""&amp;$B160&amp;"!AA2:AA628"),MATCH($A160,INDIRECT(""&amp;$B160&amp;"!B2:B628"),0))</f>
        <v>K1</v>
      </c>
      <c r="F160" s="159">
        <f ca="1">IF(LeagueInfo!$H$7="Starter/Bench",INDEX(INDIRECT(""&amp;B160&amp;"!T2:T628"),MATCH(A160,INDIRECT(""&amp;B160&amp;"!B2:B628"),0)),INDEX(INDIRECT(""&amp;B160&amp;"!AB2:AB628"),MATCH(A160,INDIRECT(""&amp;B160&amp;"!B2:B628"),0)))</f>
        <v>1</v>
      </c>
      <c r="G160" s="160">
        <f>IF(H160&gt;0,F160-H160,0)</f>
        <v>0</v>
      </c>
      <c r="H160" s="161"/>
      <c r="I160" s="160">
        <f ca="1">F160*$A$2</f>
        <v>1</v>
      </c>
      <c r="J160" s="160" t="s">
        <v>76</v>
      </c>
      <c r="K160" s="160">
        <f>IF(LeagueInfo!$F$7="Yahoo",IFERROR(INDEX(DefaultAuctionValues!$B$2:$B$1000,MATCH(A160,DefaultAuctionValues!$A$2:$A$1000,0)),0),IF(LeagueInfo!$F$7="ESPN",IFERROR(INDEX(DefaultAuctionValues!$C$2:$C$1000,MATCH(A160,DefaultAuctionValues!$A$2:$A$1000,0)),0),IF(LeagueInfo!$F$7="Custom",IFERROR(INDEX(DefaultAuctionValues!$D$2:$D$1000,MATCH(A160,DefaultAuctionValues!$A$2:$A$1000,0)),0))))</f>
        <v>1</v>
      </c>
      <c r="L160" s="160">
        <f ca="1">I160-K160</f>
        <v>0</v>
      </c>
      <c r="M160" s="175"/>
      <c r="N160" s="170">
        <f ca="1">INDEX(INDIRECT(""&amp;$B160&amp;"!Z2:Z628"),MATCH($A160,INDIRECT(""&amp;$B160&amp;"!B2:B628"),0))</f>
        <v>3.7000000000000028</v>
      </c>
      <c r="O160" s="158" t="str">
        <f ca="1">IF(INDEX(INDIRECT(""&amp;$B160&amp;"!W2:W628"),MATCH($A160,INDIRECT(""&amp;$B160&amp;"!B2:B628"),0))=0,"",INDEX(INDIRECT(""&amp;$B160&amp;"!W2:W628"),MATCH($A160,INDIRECT(""&amp;$B160&amp;"!B2:B628"),0)))</f>
        <v/>
      </c>
    </row>
    <row r="161" spans="1:15" x14ac:dyDescent="0.25">
      <c r="A161" s="158" t="s">
        <v>765</v>
      </c>
      <c r="B161" s="158" t="s">
        <v>48</v>
      </c>
      <c r="C161" s="158">
        <f ca="1">IFERROR(INDEX(BYEs!$B$2:$B$33,MATCH(D161,BYEs!$A$2:$A$33,0)),"N/A")</f>
        <v>7</v>
      </c>
      <c r="D161" s="219" t="str">
        <f ca="1">INDEX(INDIRECT(""&amp;B161&amp;"!F2:F628"),MATCH(A161,INDIRECT(""&amp;B161&amp;"!B2:B628"),0))</f>
        <v>MIN</v>
      </c>
      <c r="E161" s="218" t="str">
        <f ca="1">INDEX(INDIRECT(""&amp;$B161&amp;"!AA2:AA628"),MATCH($A161,INDIRECT(""&amp;$B161&amp;"!B2:B628"),0))</f>
        <v>K1</v>
      </c>
      <c r="F161" s="159">
        <f ca="1">IF(LeagueInfo!$H$7="Starter/Bench",INDEX(INDIRECT(""&amp;B161&amp;"!T2:T628"),MATCH(A161,INDIRECT(""&amp;B161&amp;"!B2:B628"),0)),INDEX(INDIRECT(""&amp;B161&amp;"!AB2:AB628"),MATCH(A161,INDIRECT(""&amp;B161&amp;"!B2:B628"),0)))</f>
        <v>1</v>
      </c>
      <c r="G161" s="160">
        <f>IF(H161&gt;0,F161-H161,0)</f>
        <v>0</v>
      </c>
      <c r="H161" s="161"/>
      <c r="I161" s="160">
        <f ca="1">F161*$A$2</f>
        <v>1</v>
      </c>
      <c r="J161" s="160" t="s">
        <v>76</v>
      </c>
      <c r="K161" s="160">
        <f>IF(LeagueInfo!$F$7="Yahoo",IFERROR(INDEX(DefaultAuctionValues!$B$2:$B$1000,MATCH(A161,DefaultAuctionValues!$A$2:$A$1000,0)),0),IF(LeagueInfo!$F$7="ESPN",IFERROR(INDEX(DefaultAuctionValues!$C$2:$C$1000,MATCH(A161,DefaultAuctionValues!$A$2:$A$1000,0)),0),IF(LeagueInfo!$F$7="Custom",IFERROR(INDEX(DefaultAuctionValues!$D$2:$D$1000,MATCH(A161,DefaultAuctionValues!$A$2:$A$1000,0)),0))))</f>
        <v>1</v>
      </c>
      <c r="L161" s="160">
        <f ca="1">I161-K161</f>
        <v>0</v>
      </c>
      <c r="M161" s="175"/>
      <c r="N161" s="170">
        <f ca="1">INDEX(INDIRECT(""&amp;$B161&amp;"!Z2:Z628"),MATCH($A161,INDIRECT(""&amp;$B161&amp;"!B2:B628"),0))</f>
        <v>3.4000000000000057</v>
      </c>
      <c r="O161" s="158" t="str">
        <f ca="1">IF(INDEX(INDIRECT(""&amp;$B161&amp;"!W2:W628"),MATCH($A161,INDIRECT(""&amp;$B161&amp;"!B2:B628"),0))=0,"",INDEX(INDIRECT(""&amp;$B161&amp;"!W2:W628"),MATCH($A161,INDIRECT(""&amp;$B161&amp;"!B2:B628"),0)))</f>
        <v/>
      </c>
    </row>
    <row r="162" spans="1:15" x14ac:dyDescent="0.25">
      <c r="A162" s="158" t="s">
        <v>242</v>
      </c>
      <c r="B162" s="158" t="s">
        <v>48</v>
      </c>
      <c r="C162" s="158">
        <f ca="1">IFERROR(INDEX(BYEs!$B$2:$B$33,MATCH(D162,BYEs!$A$2:$A$33,0)),"N/A")</f>
        <v>13</v>
      </c>
      <c r="D162" s="219" t="str">
        <f ca="1">INDEX(INDIRECT(""&amp;B162&amp;"!F2:F628"),MATCH(A162,INDIRECT(""&amp;B162&amp;"!B2:B628"),0))</f>
        <v>ARI</v>
      </c>
      <c r="E162" s="218" t="str">
        <f ca="1">INDEX(INDIRECT(""&amp;$B162&amp;"!AA2:AA628"),MATCH($A162,INDIRECT(""&amp;$B162&amp;"!B2:B628"),0))</f>
        <v>K1</v>
      </c>
      <c r="F162" s="159">
        <f ca="1">IF(LeagueInfo!$H$7="Starter/Bench",INDEX(INDIRECT(""&amp;B162&amp;"!T2:T628"),MATCH(A162,INDIRECT(""&amp;B162&amp;"!B2:B628"),0)),INDEX(INDIRECT(""&amp;B162&amp;"!AB2:AB628"),MATCH(A162,INDIRECT(""&amp;B162&amp;"!B2:B628"),0)))</f>
        <v>1</v>
      </c>
      <c r="G162" s="160">
        <f>IF(H162&gt;0,F162-H162,0)</f>
        <v>0</v>
      </c>
      <c r="H162" s="161"/>
      <c r="I162" s="160">
        <f ca="1">F162*$A$2</f>
        <v>1</v>
      </c>
      <c r="J162" s="160" t="s">
        <v>76</v>
      </c>
      <c r="K162" s="160">
        <f>IF(LeagueInfo!$F$7="Yahoo",IFERROR(INDEX(DefaultAuctionValues!$B$2:$B$1000,MATCH(A162,DefaultAuctionValues!$A$2:$A$1000,0)),0),IF(LeagueInfo!$F$7="ESPN",IFERROR(INDEX(DefaultAuctionValues!$C$2:$C$1000,MATCH(A162,DefaultAuctionValues!$A$2:$A$1000,0)),0),IF(LeagueInfo!$F$7="Custom",IFERROR(INDEX(DefaultAuctionValues!$D$2:$D$1000,MATCH(A162,DefaultAuctionValues!$A$2:$A$1000,0)),0))))</f>
        <v>1</v>
      </c>
      <c r="L162" s="160">
        <f ca="1">I162-K162</f>
        <v>0</v>
      </c>
      <c r="M162" s="175"/>
      <c r="N162" s="170">
        <f ca="1">INDEX(INDIRECT(""&amp;$B162&amp;"!Z2:Z628"),MATCH($A162,INDIRECT(""&amp;$B162&amp;"!B2:B628"),0))</f>
        <v>1.7000000000000028</v>
      </c>
      <c r="O162" s="158" t="str">
        <f ca="1">IF(INDEX(INDIRECT(""&amp;$B162&amp;"!W2:W628"),MATCH($A162,INDIRECT(""&amp;$B162&amp;"!B2:B628"),0))=0,"",INDEX(INDIRECT(""&amp;$B162&amp;"!W2:W628"),MATCH($A162,INDIRECT(""&amp;$B162&amp;"!B2:B628"),0)))</f>
        <v/>
      </c>
    </row>
    <row r="163" spans="1:15" x14ac:dyDescent="0.25">
      <c r="A163" s="158" t="s">
        <v>801</v>
      </c>
      <c r="B163" s="158" t="s">
        <v>48</v>
      </c>
      <c r="C163" s="158"/>
      <c r="D163" s="219" t="str">
        <f ca="1">INDEX(INDIRECT(""&amp;B163&amp;"!F2:F628"),MATCH(A163,INDIRECT(""&amp;B163&amp;"!B2:B628"),0))</f>
        <v>NE</v>
      </c>
      <c r="E163" s="218" t="str">
        <f ca="1">INDEX(INDIRECT(""&amp;$B163&amp;"!AA2:AA628"),MATCH($A163,INDIRECT(""&amp;$B163&amp;"!B2:B628"),0))</f>
        <v>K1</v>
      </c>
      <c r="F163" s="159">
        <f ca="1">IF(LeagueInfo!$H$7="Starter/Bench",INDEX(INDIRECT(""&amp;B163&amp;"!T2:T628"),MATCH(A163,INDIRECT(""&amp;B163&amp;"!B2:B628"),0)),INDEX(INDIRECT(""&amp;B163&amp;"!AB2:AB628"),MATCH(A163,INDIRECT(""&amp;B163&amp;"!B2:B628"),0)))</f>
        <v>1</v>
      </c>
      <c r="G163" s="160">
        <f>IF(H163&gt;0,F163-H163,0)</f>
        <v>0</v>
      </c>
      <c r="H163" s="161"/>
      <c r="I163" s="160">
        <f ca="1">F163*$A$2</f>
        <v>1</v>
      </c>
      <c r="J163" s="160" t="s">
        <v>76</v>
      </c>
      <c r="K163" s="160">
        <f>IF(LeagueInfo!$F$7="Yahoo",IFERROR(INDEX(DefaultAuctionValues!$B$2:$B$1000,MATCH(A163,DefaultAuctionValues!$A$2:$A$1000,0)),0),IF(LeagueInfo!$F$7="ESPN",IFERROR(INDEX(DefaultAuctionValues!$C$2:$C$1000,MATCH(A163,DefaultAuctionValues!$A$2:$A$1000,0)),0),IF(LeagueInfo!$F$7="Custom",IFERROR(INDEX(DefaultAuctionValues!$D$2:$D$1000,MATCH(A163,DefaultAuctionValues!$A$2:$A$1000,0)),0))))</f>
        <v>1</v>
      </c>
      <c r="L163" s="160">
        <f ca="1">I163-K163</f>
        <v>0</v>
      </c>
      <c r="M163" s="175"/>
      <c r="N163" s="170">
        <f ca="1">INDEX(INDIRECT(""&amp;$B163&amp;"!Z2:Z628"),MATCH($A163,INDIRECT(""&amp;$B163&amp;"!B2:B628"),0))</f>
        <v>1.5999999999999943</v>
      </c>
      <c r="O163" s="158" t="str">
        <f ca="1">IF(INDEX(INDIRECT(""&amp;$B163&amp;"!W2:W628"),MATCH($A163,INDIRECT(""&amp;$B163&amp;"!B2:B628"),0))=0,"",INDEX(INDIRECT(""&amp;$B163&amp;"!W2:W628"),MATCH($A163,INDIRECT(""&amp;$B163&amp;"!B2:B628"),0)))</f>
        <v/>
      </c>
    </row>
    <row r="164" spans="1:15" x14ac:dyDescent="0.25">
      <c r="A164" s="158" t="s">
        <v>913</v>
      </c>
      <c r="B164" s="158" t="s">
        <v>48</v>
      </c>
      <c r="C164" s="158">
        <f ca="1">IFERROR(INDEX(BYEs!$B$2:$B$33,MATCH(D164,BYEs!$A$2:$A$33,0)),"N/A")</f>
        <v>10</v>
      </c>
      <c r="D164" s="219" t="str">
        <f ca="1">INDEX(INDIRECT(""&amp;B164&amp;"!F2:F628"),MATCH(A164,INDIRECT(""&amp;B164&amp;"!B2:B628"),0))</f>
        <v>CIN</v>
      </c>
      <c r="E164" s="218" t="str">
        <f ca="1">INDEX(INDIRECT(""&amp;$B164&amp;"!AA2:AA628"),MATCH($A164,INDIRECT(""&amp;$B164&amp;"!B2:B628"),0))</f>
        <v>K1</v>
      </c>
      <c r="F164" s="159">
        <f ca="1">IF(LeagueInfo!$H$7="Starter/Bench",INDEX(INDIRECT(""&amp;B164&amp;"!T2:T628"),MATCH(A164,INDIRECT(""&amp;B164&amp;"!B2:B628"),0)),INDEX(INDIRECT(""&amp;B164&amp;"!AB2:AB628"),MATCH(A164,INDIRECT(""&amp;B164&amp;"!B2:B628"),0)))</f>
        <v>1</v>
      </c>
      <c r="G164" s="160">
        <f>IF(H164&gt;0,F164-H164,0)</f>
        <v>0</v>
      </c>
      <c r="H164" s="161"/>
      <c r="I164" s="160">
        <f ca="1">F164*$A$2</f>
        <v>1</v>
      </c>
      <c r="J164" s="160" t="s">
        <v>76</v>
      </c>
      <c r="K164" s="160">
        <f>IF(LeagueInfo!$F$7="Yahoo",IFERROR(INDEX(DefaultAuctionValues!$B$2:$B$1000,MATCH(A164,DefaultAuctionValues!$A$2:$A$1000,0)),0),IF(LeagueInfo!$F$7="ESPN",IFERROR(INDEX(DefaultAuctionValues!$C$2:$C$1000,MATCH(A164,DefaultAuctionValues!$A$2:$A$1000,0)),0),IF(LeagueInfo!$F$7="Custom",IFERROR(INDEX(DefaultAuctionValues!$D$2:$D$1000,MATCH(A164,DefaultAuctionValues!$A$2:$A$1000,0)),0))))</f>
        <v>2</v>
      </c>
      <c r="L164" s="160">
        <f ca="1">I164-K164</f>
        <v>-1</v>
      </c>
      <c r="M164" s="175"/>
      <c r="N164" s="170">
        <f ca="1">INDEX(INDIRECT(""&amp;$B164&amp;"!Z2:Z628"),MATCH($A164,INDIRECT(""&amp;$B164&amp;"!B2:B628"),0))</f>
        <v>1.4000000000000057</v>
      </c>
      <c r="O164" s="158" t="str">
        <f ca="1">IF(INDEX(INDIRECT(""&amp;$B164&amp;"!W2:W628"),MATCH($A164,INDIRECT(""&amp;$B164&amp;"!B2:B628"),0))=0,"",INDEX(INDIRECT(""&amp;$B164&amp;"!W2:W628"),MATCH($A164,INDIRECT(""&amp;$B164&amp;"!B2:B628"),0)))</f>
        <v/>
      </c>
    </row>
    <row r="165" spans="1:15" x14ac:dyDescent="0.25">
      <c r="A165" s="158" t="s">
        <v>206</v>
      </c>
      <c r="B165" s="158" t="s">
        <v>48</v>
      </c>
      <c r="C165" s="158">
        <f ca="1">IFERROR(INDEX(BYEs!$B$2:$B$33,MATCH(D165,BYEs!$A$2:$A$33,0)),"N/A")</f>
        <v>14</v>
      </c>
      <c r="D165" s="219" t="str">
        <f ca="1">INDEX(INDIRECT(""&amp;B165&amp;"!F2:F628"),MATCH(A165,INDIRECT(""&amp;B165&amp;"!B2:B628"),0))</f>
        <v>GB</v>
      </c>
      <c r="E165" s="218" t="str">
        <f ca="1">INDEX(INDIRECT(""&amp;$B165&amp;"!AA2:AA628"),MATCH($A165,INDIRECT(""&amp;$B165&amp;"!B2:B628"),0))</f>
        <v>K1</v>
      </c>
      <c r="F165" s="159">
        <f ca="1">IF(LeagueInfo!$H$7="Starter/Bench",INDEX(INDIRECT(""&amp;B165&amp;"!T2:T628"),MATCH(A165,INDIRECT(""&amp;B165&amp;"!B2:B628"),0)),INDEX(INDIRECT(""&amp;B165&amp;"!AB2:AB628"),MATCH(A165,INDIRECT(""&amp;B165&amp;"!B2:B628"),0)))</f>
        <v>1</v>
      </c>
      <c r="G165" s="160">
        <f>IF(H165&gt;0,F165-H165,0)</f>
        <v>0</v>
      </c>
      <c r="H165" s="161"/>
      <c r="I165" s="160">
        <f ca="1">F165*$A$2</f>
        <v>1</v>
      </c>
      <c r="J165" s="160" t="s">
        <v>76</v>
      </c>
      <c r="K165" s="160">
        <f>IF(LeagueInfo!$F$7="Yahoo",IFERROR(INDEX(DefaultAuctionValues!$B$2:$B$1000,MATCH(A165,DefaultAuctionValues!$A$2:$A$1000,0)),0),IF(LeagueInfo!$F$7="ESPN",IFERROR(INDEX(DefaultAuctionValues!$C$2:$C$1000,MATCH(A165,DefaultAuctionValues!$A$2:$A$1000,0)),0),IF(LeagueInfo!$F$7="Custom",IFERROR(INDEX(DefaultAuctionValues!$D$2:$D$1000,MATCH(A165,DefaultAuctionValues!$A$2:$A$1000,0)),0))))</f>
        <v>0</v>
      </c>
      <c r="L165" s="160">
        <f ca="1">I165-K165</f>
        <v>1</v>
      </c>
      <c r="M165" s="175"/>
      <c r="N165" s="170">
        <f ca="1">INDEX(INDIRECT(""&amp;$B165&amp;"!Z2:Z628"),MATCH($A165,INDIRECT(""&amp;$B165&amp;"!B2:B628"),0))</f>
        <v>1.2999999999999972</v>
      </c>
      <c r="O165" s="158" t="str">
        <f ca="1">IF(INDEX(INDIRECT(""&amp;$B165&amp;"!W2:W628"),MATCH($A165,INDIRECT(""&amp;$B165&amp;"!B2:B628"),0))=0,"",INDEX(INDIRECT(""&amp;$B165&amp;"!W2:W628"),MATCH($A165,INDIRECT(""&amp;$B165&amp;"!B2:B628"),0)))</f>
        <v/>
      </c>
    </row>
    <row r="166" spans="1:15" x14ac:dyDescent="0.25">
      <c r="A166" s="158" t="s">
        <v>909</v>
      </c>
      <c r="B166" s="158" t="s">
        <v>48</v>
      </c>
      <c r="C166" s="158">
        <f ca="1">IFERROR(INDEX(BYEs!$B$2:$B$33,MATCH(D166,BYEs!$A$2:$A$33,0)),"N/A")</f>
        <v>14</v>
      </c>
      <c r="D166" s="219" t="str">
        <f ca="1">INDEX(INDIRECT(""&amp;B166&amp;"!F2:F628"),MATCH(A166,INDIRECT(""&amp;B166&amp;"!B2:B628"),0))</f>
        <v>IND</v>
      </c>
      <c r="E166" s="218" t="str">
        <f ca="1">INDEX(INDIRECT(""&amp;$B166&amp;"!AA2:AA628"),MATCH($A166,INDIRECT(""&amp;$B166&amp;"!B2:B628"),0))</f>
        <v>K1</v>
      </c>
      <c r="F166" s="159">
        <f ca="1">IF(LeagueInfo!$H$7="Starter/Bench",INDEX(INDIRECT(""&amp;B166&amp;"!T2:T628"),MATCH(A166,INDIRECT(""&amp;B166&amp;"!B2:B628"),0)),INDEX(INDIRECT(""&amp;B166&amp;"!AB2:AB628"),MATCH(A166,INDIRECT(""&amp;B166&amp;"!B2:B628"),0)))</f>
        <v>1</v>
      </c>
      <c r="G166" s="160">
        <f>IF(H166&gt;0,F166-H166,0)</f>
        <v>0</v>
      </c>
      <c r="H166" s="161"/>
      <c r="I166" s="160">
        <f ca="1">F166*$A$2</f>
        <v>1</v>
      </c>
      <c r="J166" s="160" t="s">
        <v>76</v>
      </c>
      <c r="K166" s="160">
        <f>IF(LeagueInfo!$F$7="Yahoo",IFERROR(INDEX(DefaultAuctionValues!$B$2:$B$1000,MATCH(A166,DefaultAuctionValues!$A$2:$A$1000,0)),0),IF(LeagueInfo!$F$7="ESPN",IFERROR(INDEX(DefaultAuctionValues!$C$2:$C$1000,MATCH(A166,DefaultAuctionValues!$A$2:$A$1000,0)),0),IF(LeagueInfo!$F$7="Custom",IFERROR(INDEX(DefaultAuctionValues!$D$2:$D$1000,MATCH(A166,DefaultAuctionValues!$A$2:$A$1000,0)),0))))</f>
        <v>1</v>
      </c>
      <c r="L166" s="160">
        <f ca="1">I166-K166</f>
        <v>0</v>
      </c>
      <c r="M166" s="175"/>
      <c r="N166" s="170">
        <f ca="1">INDEX(INDIRECT(""&amp;$B166&amp;"!Z2:Z628"),MATCH($A166,INDIRECT(""&amp;$B166&amp;"!B2:B628"),0))</f>
        <v>0</v>
      </c>
      <c r="O166" s="158" t="str">
        <f ca="1">IF(INDEX(INDIRECT(""&amp;$B166&amp;"!W2:W628"),MATCH($A166,INDIRECT(""&amp;$B166&amp;"!B2:B628"),0))=0,"",INDEX(INDIRECT(""&amp;$B166&amp;"!W2:W628"),MATCH($A166,INDIRECT(""&amp;$B166&amp;"!B2:B628"),0)))</f>
        <v/>
      </c>
    </row>
    <row r="167" spans="1:15" x14ac:dyDescent="0.25">
      <c r="A167" s="158" t="s">
        <v>226</v>
      </c>
      <c r="B167" s="158" t="s">
        <v>54</v>
      </c>
      <c r="C167" s="158">
        <f ca="1">IFERROR(INDEX(BYEs!$B$2:$B$33,MATCH(D167,BYEs!$A$2:$A$33,0)),"N/A")</f>
        <v>11</v>
      </c>
      <c r="D167" s="219" t="str">
        <f ca="1">INDEX(INDIRECT(""&amp;B167&amp;"!F2:F628"),MATCH(A167,INDIRECT(""&amp;B167&amp;"!B2:B628"),0))</f>
        <v>TB</v>
      </c>
      <c r="E167" s="218" t="str">
        <f ca="1">INDEX(INDIRECT(""&amp;$B167&amp;"!AA2:AA628"),MATCH($A167,INDIRECT(""&amp;$B167&amp;"!B2:B628"),0))</f>
        <v>DEF1</v>
      </c>
      <c r="F167" s="159">
        <f ca="1">IF(LeagueInfo!$H$7="Starter/Bench",INDEX(INDIRECT(""&amp;B167&amp;"!T2:T628"),MATCH(A167,INDIRECT(""&amp;B167&amp;"!B2:B628"),0)),INDEX(INDIRECT(""&amp;B167&amp;"!AB2:AB628"),MATCH(A167,INDIRECT(""&amp;B167&amp;"!B2:B628"),0)))</f>
        <v>1</v>
      </c>
      <c r="G167" s="160">
        <f>IF(H167&gt;0,F167-H167,0)</f>
        <v>0</v>
      </c>
      <c r="H167" s="161"/>
      <c r="I167" s="160">
        <f ca="1">F167*$A$2</f>
        <v>1</v>
      </c>
      <c r="J167" s="160" t="s">
        <v>76</v>
      </c>
      <c r="K167" s="160">
        <f>IF(LeagueInfo!$F$7="Yahoo",IFERROR(INDEX(DefaultAuctionValues!$B$2:$B$1000,MATCH(A167,DefaultAuctionValues!$A$2:$A$1000,0)),0),IF(LeagueInfo!$F$7="ESPN",IFERROR(INDEX(DefaultAuctionValues!$C$2:$C$1000,MATCH(A167,DefaultAuctionValues!$A$2:$A$1000,0)),0),IF(LeagueInfo!$F$7="Custom",IFERROR(INDEX(DefaultAuctionValues!$D$2:$D$1000,MATCH(A167,DefaultAuctionValues!$A$2:$A$1000,0)),0))))</f>
        <v>1</v>
      </c>
      <c r="L167" s="160">
        <f ca="1">I167-K167</f>
        <v>0</v>
      </c>
      <c r="M167" s="175"/>
      <c r="N167" s="170">
        <f ca="1">INDEX(INDIRECT(""&amp;$B167&amp;"!Z2:Z628"),MATCH($A167,INDIRECT(""&amp;$B167&amp;"!B2:B628"),0))</f>
        <v>0</v>
      </c>
      <c r="O167" s="158" t="str">
        <f ca="1">IF(INDEX(INDIRECT(""&amp;$B167&amp;"!W2:W628"),MATCH($A167,INDIRECT(""&amp;$B167&amp;"!B2:B628"),0))=0,"",INDEX(INDIRECT(""&amp;$B167&amp;"!W2:W628"),MATCH($A167,INDIRECT(""&amp;$B167&amp;"!B2:B628"),0)))</f>
        <v/>
      </c>
    </row>
    <row r="168" spans="1:15" x14ac:dyDescent="0.25">
      <c r="A168" s="158" t="s">
        <v>232</v>
      </c>
      <c r="B168" s="158" t="s">
        <v>54</v>
      </c>
      <c r="C168" s="158">
        <f ca="1">IFERROR(INDEX(BYEs!$B$2:$B$33,MATCH(D168,BYEs!$A$2:$A$33,0)),"N/A")</f>
        <v>9</v>
      </c>
      <c r="D168" s="219" t="str">
        <f ca="1">INDEX(INDIRECT(""&amp;B168&amp;"!F2:F628"),MATCH(A168,INDIRECT(""&amp;B168&amp;"!B2:B628"),0))</f>
        <v>PIT</v>
      </c>
      <c r="E168" s="218" t="str">
        <f ca="1">INDEX(INDIRECT(""&amp;$B168&amp;"!AA2:AA628"),MATCH($A168,INDIRECT(""&amp;$B168&amp;"!B2:B628"),0))</f>
        <v>DEF2</v>
      </c>
      <c r="F168" s="159">
        <f ca="1">IF(LeagueInfo!$H$7="Starter/Bench",INDEX(INDIRECT(""&amp;B168&amp;"!T2:T628"),MATCH(A168,INDIRECT(""&amp;B168&amp;"!B2:B628"),0)),INDEX(INDIRECT(""&amp;B168&amp;"!AB2:AB628"),MATCH(A168,INDIRECT(""&amp;B168&amp;"!B2:B628"),0)))</f>
        <v>1</v>
      </c>
      <c r="G168" s="160">
        <f>IF(H168&gt;0,F168-H168,0)</f>
        <v>0</v>
      </c>
      <c r="H168" s="161"/>
      <c r="I168" s="160">
        <f ca="1">F168*$A$2</f>
        <v>1</v>
      </c>
      <c r="J168" s="160" t="s">
        <v>76</v>
      </c>
      <c r="K168" s="160">
        <f>IF(LeagueInfo!$F$7="Yahoo",IFERROR(INDEX(DefaultAuctionValues!$B$2:$B$1000,MATCH(A168,DefaultAuctionValues!$A$2:$A$1000,0)),0),IF(LeagueInfo!$F$7="ESPN",IFERROR(INDEX(DefaultAuctionValues!$C$2:$C$1000,MATCH(A168,DefaultAuctionValues!$A$2:$A$1000,0)),0),IF(LeagueInfo!$F$7="Custom",IFERROR(INDEX(DefaultAuctionValues!$D$2:$D$1000,MATCH(A168,DefaultAuctionValues!$A$2:$A$1000,0)),0))))</f>
        <v>1</v>
      </c>
      <c r="L168" s="160">
        <f ca="1">I168-K168</f>
        <v>0</v>
      </c>
      <c r="M168" s="175"/>
      <c r="N168" s="170">
        <f ca="1">INDEX(INDIRECT(""&amp;$B168&amp;"!Z2:Z628"),MATCH($A168,INDIRECT(""&amp;$B168&amp;"!B2:B628"),0))</f>
        <v>0</v>
      </c>
      <c r="O168" s="158" t="str">
        <f ca="1">IF(INDEX(INDIRECT(""&amp;$B168&amp;"!W2:W628"),MATCH($A168,INDIRECT(""&amp;$B168&amp;"!B2:B628"),0))=0,"",INDEX(INDIRECT(""&amp;$B168&amp;"!W2:W628"),MATCH($A168,INDIRECT(""&amp;$B168&amp;"!B2:B628"),0)))</f>
        <v/>
      </c>
    </row>
    <row r="169" spans="1:15" x14ac:dyDescent="0.25">
      <c r="A169" s="158" t="s">
        <v>246</v>
      </c>
      <c r="B169" s="158" t="s">
        <v>54</v>
      </c>
      <c r="C169" s="158">
        <f ca="1">IFERROR(INDEX(BYEs!$B$2:$B$33,MATCH(D169,BYEs!$A$2:$A$33,0)),"N/A")</f>
        <v>7</v>
      </c>
      <c r="D169" s="219" t="str">
        <f ca="1">INDEX(INDIRECT(""&amp;B169&amp;"!F2:F628"),MATCH(A169,INDIRECT(""&amp;B169&amp;"!B2:B628"),0))</f>
        <v>BUF</v>
      </c>
      <c r="E169" s="218" t="str">
        <f ca="1">INDEX(INDIRECT(""&amp;$B169&amp;"!AA2:AA628"),MATCH($A169,INDIRECT(""&amp;$B169&amp;"!B2:B628"),0))</f>
        <v>DEF2</v>
      </c>
      <c r="F169" s="159">
        <f ca="1">IF(LeagueInfo!$H$7="Starter/Bench",INDEX(INDIRECT(""&amp;B169&amp;"!T2:T628"),MATCH(A169,INDIRECT(""&amp;B169&amp;"!B2:B628"),0)),INDEX(INDIRECT(""&amp;B169&amp;"!AB2:AB628"),MATCH(A169,INDIRECT(""&amp;B169&amp;"!B2:B628"),0)))</f>
        <v>1</v>
      </c>
      <c r="G169" s="160">
        <f>IF(H169&gt;0,F169-H169,0)</f>
        <v>0</v>
      </c>
      <c r="H169" s="161"/>
      <c r="I169" s="160">
        <f ca="1">F169*$A$2</f>
        <v>1</v>
      </c>
      <c r="J169" s="160" t="s">
        <v>76</v>
      </c>
      <c r="K169" s="160">
        <f>IF(LeagueInfo!$F$7="Yahoo",IFERROR(INDEX(DefaultAuctionValues!$B$2:$B$1000,MATCH(A169,DefaultAuctionValues!$A$2:$A$1000,0)),0),IF(LeagueInfo!$F$7="ESPN",IFERROR(INDEX(DefaultAuctionValues!$C$2:$C$1000,MATCH(A169,DefaultAuctionValues!$A$2:$A$1000,0)),0),IF(LeagueInfo!$F$7="Custom",IFERROR(INDEX(DefaultAuctionValues!$D$2:$D$1000,MATCH(A169,DefaultAuctionValues!$A$2:$A$1000,0)),0))))</f>
        <v>4</v>
      </c>
      <c r="L169" s="160">
        <f ca="1">I169-K169</f>
        <v>-3</v>
      </c>
      <c r="M169" s="175"/>
      <c r="N169" s="170">
        <f ca="1">INDEX(INDIRECT(""&amp;$B169&amp;"!Z2:Z628"),MATCH($A169,INDIRECT(""&amp;$B169&amp;"!B2:B628"),0))</f>
        <v>0</v>
      </c>
      <c r="O169" s="158" t="str">
        <f ca="1">IF(INDEX(INDIRECT(""&amp;$B169&amp;"!W2:W628"),MATCH($A169,INDIRECT(""&amp;$B169&amp;"!B2:B628"),0))=0,"",INDEX(INDIRECT(""&amp;$B169&amp;"!W2:W628"),MATCH($A169,INDIRECT(""&amp;$B169&amp;"!B2:B628"),0)))</f>
        <v/>
      </c>
    </row>
    <row r="170" spans="1:15" x14ac:dyDescent="0.25">
      <c r="A170" s="158" t="s">
        <v>235</v>
      </c>
      <c r="B170" s="158" t="s">
        <v>54</v>
      </c>
      <c r="C170" s="158">
        <f ca="1">IFERROR(INDEX(BYEs!$B$2:$B$33,MATCH(D170,BYEs!$A$2:$A$33,0)),"N/A")</f>
        <v>14</v>
      </c>
      <c r="D170" s="219" t="str">
        <f ca="1">INDEX(INDIRECT(""&amp;B170&amp;"!F2:F628"),MATCH(A170,INDIRECT(""&amp;B170&amp;"!B2:B628"),0))</f>
        <v>GB</v>
      </c>
      <c r="E170" s="218" t="str">
        <f ca="1">INDEX(INDIRECT(""&amp;$B170&amp;"!AA2:AA628"),MATCH($A170,INDIRECT(""&amp;$B170&amp;"!B2:B628"),0))</f>
        <v>DEF2</v>
      </c>
      <c r="F170" s="159">
        <f ca="1">IF(LeagueInfo!$H$7="Starter/Bench",INDEX(INDIRECT(""&amp;B170&amp;"!T2:T628"),MATCH(A170,INDIRECT(""&amp;B170&amp;"!B2:B628"),0)),INDEX(INDIRECT(""&amp;B170&amp;"!AB2:AB628"),MATCH(A170,INDIRECT(""&amp;B170&amp;"!B2:B628"),0)))</f>
        <v>1</v>
      </c>
      <c r="G170" s="160">
        <f>IF(H170&gt;0,F170-H170,0)</f>
        <v>0</v>
      </c>
      <c r="H170" s="161"/>
      <c r="I170" s="160">
        <f ca="1">F170*$A$2</f>
        <v>1</v>
      </c>
      <c r="J170" s="160" t="s">
        <v>76</v>
      </c>
      <c r="K170" s="160">
        <f>IF(LeagueInfo!$F$7="Yahoo",IFERROR(INDEX(DefaultAuctionValues!$B$2:$B$1000,MATCH(A170,DefaultAuctionValues!$A$2:$A$1000,0)),0),IF(LeagueInfo!$F$7="ESPN",IFERROR(INDEX(DefaultAuctionValues!$C$2:$C$1000,MATCH(A170,DefaultAuctionValues!$A$2:$A$1000,0)),0),IF(LeagueInfo!$F$7="Custom",IFERROR(INDEX(DefaultAuctionValues!$D$2:$D$1000,MATCH(A170,DefaultAuctionValues!$A$2:$A$1000,0)),0))))</f>
        <v>1</v>
      </c>
      <c r="L170" s="160">
        <f ca="1">I170-K170</f>
        <v>0</v>
      </c>
      <c r="M170" s="175"/>
      <c r="N170" s="170">
        <f ca="1">INDEX(INDIRECT(""&amp;$B170&amp;"!Z2:Z628"),MATCH($A170,INDIRECT(""&amp;$B170&amp;"!B2:B628"),0))</f>
        <v>0</v>
      </c>
      <c r="O170" s="158" t="str">
        <f ca="1">IF(INDEX(INDIRECT(""&amp;$B170&amp;"!W2:W628"),MATCH($A170,INDIRECT(""&amp;$B170&amp;"!B2:B628"),0))=0,"",INDEX(INDIRECT(""&amp;$B170&amp;"!W2:W628"),MATCH($A170,INDIRECT(""&amp;$B170&amp;"!B2:B628"),0)))</f>
        <v/>
      </c>
    </row>
    <row r="171" spans="1:15" x14ac:dyDescent="0.25">
      <c r="A171" s="158" t="s">
        <v>222</v>
      </c>
      <c r="B171" s="158" t="s">
        <v>54</v>
      </c>
      <c r="C171" s="158">
        <f ca="1">IFERROR(INDEX(BYEs!$B$2:$B$33,MATCH(D171,BYEs!$A$2:$A$33,0)),"N/A")</f>
        <v>9</v>
      </c>
      <c r="D171" s="219" t="str">
        <f ca="1">INDEX(INDIRECT(""&amp;B171&amp;"!F2:F628"),MATCH(A171,INDIRECT(""&amp;B171&amp;"!B2:B628"),0))</f>
        <v>DAL</v>
      </c>
      <c r="E171" s="218" t="str">
        <f ca="1">INDEX(INDIRECT(""&amp;$B171&amp;"!AA2:AA628"),MATCH($A171,INDIRECT(""&amp;$B171&amp;"!B2:B628"),0))</f>
        <v>DEF3</v>
      </c>
      <c r="F171" s="159">
        <f ca="1">IF(LeagueInfo!$H$7="Starter/Bench",INDEX(INDIRECT(""&amp;B171&amp;"!T2:T628"),MATCH(A171,INDIRECT(""&amp;B171&amp;"!B2:B628"),0)),INDEX(INDIRECT(""&amp;B171&amp;"!AB2:AB628"),MATCH(A171,INDIRECT(""&amp;B171&amp;"!B2:B628"),0)))</f>
        <v>1</v>
      </c>
      <c r="G171" s="160">
        <f>IF(H171&gt;0,F171-H171,0)</f>
        <v>0</v>
      </c>
      <c r="H171" s="161"/>
      <c r="I171" s="160">
        <f ca="1">F171*$A$2</f>
        <v>1</v>
      </c>
      <c r="J171" s="160" t="s">
        <v>76</v>
      </c>
      <c r="K171" s="160">
        <f>IF(LeagueInfo!$F$7="Yahoo",IFERROR(INDEX(DefaultAuctionValues!$B$2:$B$1000,MATCH(A171,DefaultAuctionValues!$A$2:$A$1000,0)),0),IF(LeagueInfo!$F$7="ESPN",IFERROR(INDEX(DefaultAuctionValues!$C$2:$C$1000,MATCH(A171,DefaultAuctionValues!$A$2:$A$1000,0)),0),IF(LeagueInfo!$F$7="Custom",IFERROR(INDEX(DefaultAuctionValues!$D$2:$D$1000,MATCH(A171,DefaultAuctionValues!$A$2:$A$1000,0)),0))))</f>
        <v>1</v>
      </c>
      <c r="L171" s="160">
        <f ca="1">I171-K171</f>
        <v>0</v>
      </c>
      <c r="M171" s="175"/>
      <c r="N171" s="170">
        <f ca="1">INDEX(INDIRECT(""&amp;$B171&amp;"!Z2:Z628"),MATCH($A171,INDIRECT(""&amp;$B171&amp;"!B2:B628"),0))</f>
        <v>0</v>
      </c>
      <c r="O171" s="158" t="str">
        <f ca="1">IF(INDEX(INDIRECT(""&amp;$B171&amp;"!W2:W628"),MATCH($A171,INDIRECT(""&amp;$B171&amp;"!B2:B628"),0))=0,"",INDEX(INDIRECT(""&amp;$B171&amp;"!W2:W628"),MATCH($A171,INDIRECT(""&amp;$B171&amp;"!B2:B628"),0)))</f>
        <v/>
      </c>
    </row>
    <row r="172" spans="1:15" x14ac:dyDescent="0.25">
      <c r="A172" s="158" t="s">
        <v>192</v>
      </c>
      <c r="B172" s="158" t="s">
        <v>54</v>
      </c>
      <c r="C172" s="158">
        <f ca="1">IFERROR(INDEX(BYEs!$B$2:$B$33,MATCH(D172,BYEs!$A$2:$A$33,0)),"N/A")</f>
        <v>7</v>
      </c>
      <c r="D172" s="219" t="str">
        <f ca="1">INDEX(INDIRECT(""&amp;B172&amp;"!F2:F628"),MATCH(A172,INDIRECT(""&amp;B172&amp;"!B2:B628"),0))</f>
        <v>LAR</v>
      </c>
      <c r="E172" s="218" t="str">
        <f ca="1">INDEX(INDIRECT(""&amp;$B172&amp;"!AA2:AA628"),MATCH($A172,INDIRECT(""&amp;$B172&amp;"!B2:B628"),0))</f>
        <v>DEF3</v>
      </c>
      <c r="F172" s="159">
        <f ca="1">IF(LeagueInfo!$H$7="Starter/Bench",INDEX(INDIRECT(""&amp;B172&amp;"!T2:T628"),MATCH(A172,INDIRECT(""&amp;B172&amp;"!B2:B628"),0)),INDEX(INDIRECT(""&amp;B172&amp;"!AB2:AB628"),MATCH(A172,INDIRECT(""&amp;B172&amp;"!B2:B628"),0)))</f>
        <v>1</v>
      </c>
      <c r="G172" s="160">
        <f>IF(H172&gt;0,F172-H172,0)</f>
        <v>0</v>
      </c>
      <c r="H172" s="161"/>
      <c r="I172" s="160">
        <f ca="1">F172*$A$2</f>
        <v>1</v>
      </c>
      <c r="J172" s="160" t="s">
        <v>76</v>
      </c>
      <c r="K172" s="160">
        <f>IF(LeagueInfo!$F$7="Yahoo",IFERROR(INDEX(DefaultAuctionValues!$B$2:$B$1000,MATCH(A172,DefaultAuctionValues!$A$2:$A$1000,0)),0),IF(LeagueInfo!$F$7="ESPN",IFERROR(INDEX(DefaultAuctionValues!$C$2:$C$1000,MATCH(A172,DefaultAuctionValues!$A$2:$A$1000,0)),0),IF(LeagueInfo!$F$7="Custom",IFERROR(INDEX(DefaultAuctionValues!$D$2:$D$1000,MATCH(A172,DefaultAuctionValues!$A$2:$A$1000,0)),0))))</f>
        <v>0</v>
      </c>
      <c r="L172" s="160">
        <f ca="1">I172-K172</f>
        <v>1</v>
      </c>
      <c r="M172" s="175"/>
      <c r="N172" s="170">
        <f ca="1">INDEX(INDIRECT(""&amp;$B172&amp;"!Z2:Z628"),MATCH($A172,INDIRECT(""&amp;$B172&amp;"!B2:B628"),0))</f>
        <v>0</v>
      </c>
      <c r="O172" s="158" t="str">
        <f ca="1">IF(INDEX(INDIRECT(""&amp;$B172&amp;"!W2:W628"),MATCH($A172,INDIRECT(""&amp;$B172&amp;"!B2:B628"),0))=0,"",INDEX(INDIRECT(""&amp;$B172&amp;"!W2:W628"),MATCH($A172,INDIRECT(""&amp;$B172&amp;"!B2:B628"),0)))</f>
        <v/>
      </c>
    </row>
    <row r="173" spans="1:15" x14ac:dyDescent="0.25">
      <c r="A173" s="158" t="s">
        <v>464</v>
      </c>
      <c r="B173" s="158" t="s">
        <v>54</v>
      </c>
      <c r="C173" s="158">
        <f ca="1">IFERROR(INDEX(BYEs!$B$2:$B$33,MATCH(D173,BYEs!$A$2:$A$33,0)),"N/A")</f>
        <v>14</v>
      </c>
      <c r="D173" s="219" t="str">
        <f ca="1">INDEX(INDIRECT(""&amp;B173&amp;"!F2:F628"),MATCH(A173,INDIRECT(""&amp;B173&amp;"!B2:B628"),0))</f>
        <v>NO</v>
      </c>
      <c r="E173" s="218" t="str">
        <f ca="1">INDEX(INDIRECT(""&amp;$B173&amp;"!AA2:AA628"),MATCH($A173,INDIRECT(""&amp;$B173&amp;"!B2:B628"),0))</f>
        <v>DEF3</v>
      </c>
      <c r="F173" s="159">
        <f ca="1">IF(LeagueInfo!$H$7="Starter/Bench",INDEX(INDIRECT(""&amp;B173&amp;"!T2:T628"),MATCH(A173,INDIRECT(""&amp;B173&amp;"!B2:B628"),0)),INDEX(INDIRECT(""&amp;B173&amp;"!AB2:AB628"),MATCH(A173,INDIRECT(""&amp;B173&amp;"!B2:B628"),0)))</f>
        <v>1</v>
      </c>
      <c r="G173" s="160">
        <f>IF(H173&gt;0,F173-H173,0)</f>
        <v>0</v>
      </c>
      <c r="H173" s="161"/>
      <c r="I173" s="160">
        <f ca="1">F173*$A$2</f>
        <v>1</v>
      </c>
      <c r="J173" s="160" t="s">
        <v>76</v>
      </c>
      <c r="K173" s="160">
        <f>IF(LeagueInfo!$F$7="Yahoo",IFERROR(INDEX(DefaultAuctionValues!$B$2:$B$1000,MATCH(A173,DefaultAuctionValues!$A$2:$A$1000,0)),0),IF(LeagueInfo!$F$7="ESPN",IFERROR(INDEX(DefaultAuctionValues!$C$2:$C$1000,MATCH(A173,DefaultAuctionValues!$A$2:$A$1000,0)),0),IF(LeagueInfo!$F$7="Custom",IFERROR(INDEX(DefaultAuctionValues!$D$2:$D$1000,MATCH(A173,DefaultAuctionValues!$A$2:$A$1000,0)),0))))</f>
        <v>1</v>
      </c>
      <c r="L173" s="160">
        <f ca="1">I173-K173</f>
        <v>0</v>
      </c>
      <c r="M173" s="175"/>
      <c r="N173" s="170">
        <f ca="1">INDEX(INDIRECT(""&amp;$B173&amp;"!Z2:Z628"),MATCH($A173,INDIRECT(""&amp;$B173&amp;"!B2:B628"),0))</f>
        <v>0</v>
      </c>
      <c r="O173" s="158" t="str">
        <f ca="1">IF(INDEX(INDIRECT(""&amp;$B173&amp;"!W2:W628"),MATCH($A173,INDIRECT(""&amp;$B173&amp;"!B2:B628"),0))=0,"",INDEX(INDIRECT(""&amp;$B173&amp;"!W2:W628"),MATCH($A173,INDIRECT(""&amp;$B173&amp;"!B2:B628"),0)))</f>
        <v/>
      </c>
    </row>
    <row r="174" spans="1:15" x14ac:dyDescent="0.25">
      <c r="A174" s="158" t="s">
        <v>167</v>
      </c>
      <c r="B174" s="158" t="s">
        <v>54</v>
      </c>
      <c r="C174" s="158">
        <f ca="1">IFERROR(INDEX(BYEs!$B$2:$B$33,MATCH(D174,BYEs!$A$2:$A$33,0)),"N/A")</f>
        <v>11</v>
      </c>
      <c r="D174" s="219" t="str">
        <f ca="1">INDEX(INDIRECT(""&amp;B174&amp;"!F2:F628"),MATCH(A174,INDIRECT(""&amp;B174&amp;"!B2:B628"),0))</f>
        <v>MIA</v>
      </c>
      <c r="E174" s="218" t="str">
        <f ca="1">INDEX(INDIRECT(""&amp;$B174&amp;"!AA2:AA628"),MATCH($A174,INDIRECT(""&amp;$B174&amp;"!B2:B628"),0))</f>
        <v>DEF3</v>
      </c>
      <c r="F174" s="159">
        <f ca="1">IF(LeagueInfo!$H$7="Starter/Bench",INDEX(INDIRECT(""&amp;B174&amp;"!T2:T628"),MATCH(A174,INDIRECT(""&amp;B174&amp;"!B2:B628"),0)),INDEX(INDIRECT(""&amp;B174&amp;"!AB2:AB628"),MATCH(A174,INDIRECT(""&amp;B174&amp;"!B2:B628"),0)))</f>
        <v>1</v>
      </c>
      <c r="G174" s="160">
        <f>IF(H174&gt;0,F174-H174,0)</f>
        <v>0</v>
      </c>
      <c r="H174" s="161"/>
      <c r="I174" s="160">
        <f ca="1">F174*$A$2</f>
        <v>1</v>
      </c>
      <c r="J174" s="160" t="s">
        <v>76</v>
      </c>
      <c r="K174" s="160">
        <f>IF(LeagueInfo!$F$7="Yahoo",IFERROR(INDEX(DefaultAuctionValues!$B$2:$B$1000,MATCH(A174,DefaultAuctionValues!$A$2:$A$1000,0)),0),IF(LeagueInfo!$F$7="ESPN",IFERROR(INDEX(DefaultAuctionValues!$C$2:$C$1000,MATCH(A174,DefaultAuctionValues!$A$2:$A$1000,0)),0),IF(LeagueInfo!$F$7="Custom",IFERROR(INDEX(DefaultAuctionValues!$D$2:$D$1000,MATCH(A174,DefaultAuctionValues!$A$2:$A$1000,0)),0))))</f>
        <v>1</v>
      </c>
      <c r="L174" s="160">
        <f ca="1">I174-K174</f>
        <v>0</v>
      </c>
      <c r="M174" s="175"/>
      <c r="N174" s="170">
        <f ca="1">INDEX(INDIRECT(""&amp;$B174&amp;"!Z2:Z628"),MATCH($A174,INDIRECT(""&amp;$B174&amp;"!B2:B628"),0))</f>
        <v>0</v>
      </c>
      <c r="O174" s="158" t="str">
        <f ca="1">IF(INDEX(INDIRECT(""&amp;$B174&amp;"!W2:W628"),MATCH($A174,INDIRECT(""&amp;$B174&amp;"!B2:B628"),0))=0,"",INDEX(INDIRECT(""&amp;$B174&amp;"!W2:W628"),MATCH($A174,INDIRECT(""&amp;$B174&amp;"!B2:B628"),0)))</f>
        <v/>
      </c>
    </row>
    <row r="175" spans="1:15" x14ac:dyDescent="0.25">
      <c r="A175" s="158" t="s">
        <v>229</v>
      </c>
      <c r="B175" s="158" t="s">
        <v>54</v>
      </c>
      <c r="C175" s="158">
        <f ca="1">IFERROR(INDEX(BYEs!$B$2:$B$33,MATCH(D175,BYEs!$A$2:$A$33,0)),"N/A")</f>
        <v>8</v>
      </c>
      <c r="D175" s="219" t="str">
        <f ca="1">INDEX(INDIRECT(""&amp;B175&amp;"!F2:F628"),MATCH(A175,INDIRECT(""&amp;B175&amp;"!B2:B628"),0))</f>
        <v>LAC</v>
      </c>
      <c r="E175" s="218" t="str">
        <f ca="1">INDEX(INDIRECT(""&amp;$B175&amp;"!AA2:AA628"),MATCH($A175,INDIRECT(""&amp;$B175&amp;"!B2:B628"),0))</f>
        <v>DEF3</v>
      </c>
      <c r="F175" s="159">
        <f ca="1">IF(LeagueInfo!$H$7="Starter/Bench",INDEX(INDIRECT(""&amp;B175&amp;"!T2:T628"),MATCH(A175,INDIRECT(""&amp;B175&amp;"!B2:B628"),0)),INDEX(INDIRECT(""&amp;B175&amp;"!AB2:AB628"),MATCH(A175,INDIRECT(""&amp;B175&amp;"!B2:B628"),0)))</f>
        <v>1</v>
      </c>
      <c r="G175" s="160">
        <f>IF(H175&gt;0,F175-H175,0)</f>
        <v>0</v>
      </c>
      <c r="H175" s="161"/>
      <c r="I175" s="160">
        <f ca="1">F175*$A$2</f>
        <v>1</v>
      </c>
      <c r="J175" s="160" t="s">
        <v>76</v>
      </c>
      <c r="K175" s="160">
        <f>IF(LeagueInfo!$F$7="Yahoo",IFERROR(INDEX(DefaultAuctionValues!$B$2:$B$1000,MATCH(A175,DefaultAuctionValues!$A$2:$A$1000,0)),0),IF(LeagueInfo!$F$7="ESPN",IFERROR(INDEX(DefaultAuctionValues!$C$2:$C$1000,MATCH(A175,DefaultAuctionValues!$A$2:$A$1000,0)),0),IF(LeagueInfo!$F$7="Custom",IFERROR(INDEX(DefaultAuctionValues!$D$2:$D$1000,MATCH(A175,DefaultAuctionValues!$A$2:$A$1000,0)),0))))</f>
        <v>1</v>
      </c>
      <c r="L175" s="160">
        <f ca="1">I175-K175</f>
        <v>0</v>
      </c>
      <c r="M175" s="175"/>
      <c r="N175" s="170">
        <f ca="1">INDEX(INDIRECT(""&amp;$B175&amp;"!Z2:Z628"),MATCH($A175,INDIRECT(""&amp;$B175&amp;"!B2:B628"),0))</f>
        <v>0</v>
      </c>
      <c r="O175" s="158" t="str">
        <f ca="1">IF(INDEX(INDIRECT(""&amp;$B175&amp;"!W2:W628"),MATCH($A175,INDIRECT(""&amp;$B175&amp;"!B2:B628"),0))=0,"",INDEX(INDIRECT(""&amp;$B175&amp;"!W2:W628"),MATCH($A175,INDIRECT(""&amp;$B175&amp;"!B2:B628"),0)))</f>
        <v/>
      </c>
    </row>
    <row r="176" spans="1:15" x14ac:dyDescent="0.25">
      <c r="A176" s="158" t="s">
        <v>462</v>
      </c>
      <c r="B176" s="158" t="s">
        <v>54</v>
      </c>
      <c r="C176" s="158">
        <f ca="1">IFERROR(INDEX(BYEs!$B$2:$B$33,MATCH(D176,BYEs!$A$2:$A$33,0)),"N/A")</f>
        <v>9</v>
      </c>
      <c r="D176" s="219" t="str">
        <f ca="1">INDEX(INDIRECT(""&amp;B176&amp;"!F2:F628"),MATCH(A176,INDIRECT(""&amp;B176&amp;"!B2:B628"),0))</f>
        <v>SF</v>
      </c>
      <c r="E176" s="218" t="str">
        <f ca="1">INDEX(INDIRECT(""&amp;$B176&amp;"!AA2:AA628"),MATCH($A176,INDIRECT(""&amp;$B176&amp;"!B2:B628"),0))</f>
        <v>DEF4</v>
      </c>
      <c r="F176" s="159">
        <f ca="1">IF(LeagueInfo!$H$7="Starter/Bench",INDEX(INDIRECT(""&amp;B176&amp;"!T2:T628"),MATCH(A176,INDIRECT(""&amp;B176&amp;"!B2:B628"),0)),INDEX(INDIRECT(""&amp;B176&amp;"!AB2:AB628"),MATCH(A176,INDIRECT(""&amp;B176&amp;"!B2:B628"),0)))</f>
        <v>1</v>
      </c>
      <c r="G176" s="160">
        <f>IF(H176&gt;0,F176-H176,0)</f>
        <v>0</v>
      </c>
      <c r="H176" s="161"/>
      <c r="I176" s="160">
        <f ca="1">F176*$A$2</f>
        <v>1</v>
      </c>
      <c r="J176" s="160" t="s">
        <v>76</v>
      </c>
      <c r="K176" s="160">
        <f>IF(LeagueInfo!$F$7="Yahoo",IFERROR(INDEX(DefaultAuctionValues!$B$2:$B$1000,MATCH(A176,DefaultAuctionValues!$A$2:$A$1000,0)),0),IF(LeagueInfo!$F$7="ESPN",IFERROR(INDEX(DefaultAuctionValues!$C$2:$C$1000,MATCH(A176,DefaultAuctionValues!$A$2:$A$1000,0)),0),IF(LeagueInfo!$F$7="Custom",IFERROR(INDEX(DefaultAuctionValues!$D$2:$D$1000,MATCH(A176,DefaultAuctionValues!$A$2:$A$1000,0)),0))))</f>
        <v>2</v>
      </c>
      <c r="L176" s="160">
        <f ca="1">I176-K176</f>
        <v>-1</v>
      </c>
      <c r="M176" s="175"/>
      <c r="N176" s="170">
        <f ca="1">INDEX(INDIRECT(""&amp;$B176&amp;"!Z2:Z628"),MATCH($A176,INDIRECT(""&amp;$B176&amp;"!B2:B628"),0))</f>
        <v>0</v>
      </c>
      <c r="O176" s="158" t="str">
        <f ca="1">IF(INDEX(INDIRECT(""&amp;$B176&amp;"!W2:W628"),MATCH($A176,INDIRECT(""&amp;$B176&amp;"!B2:B628"),0))=0,"",INDEX(INDIRECT(""&amp;$B176&amp;"!W2:W628"),MATCH($A176,INDIRECT(""&amp;$B176&amp;"!B2:B628"),0)))</f>
        <v/>
      </c>
    </row>
    <row r="177" spans="1:15" x14ac:dyDescent="0.25">
      <c r="A177" s="158" t="s">
        <v>461</v>
      </c>
      <c r="B177" s="158" t="s">
        <v>54</v>
      </c>
      <c r="C177" s="158">
        <f ca="1">IFERROR(INDEX(BYEs!$B$2:$B$33,MATCH(D177,BYEs!$A$2:$A$33,0)),"N/A")</f>
        <v>14</v>
      </c>
      <c r="D177" s="219" t="str">
        <f ca="1">INDEX(INDIRECT(""&amp;B177&amp;"!F2:F628"),MATCH(A177,INDIRECT(""&amp;B177&amp;"!B2:B628"),0))</f>
        <v>IND</v>
      </c>
      <c r="E177" s="218" t="str">
        <f ca="1">INDEX(INDIRECT(""&amp;$B177&amp;"!AA2:AA628"),MATCH($A177,INDIRECT(""&amp;$B177&amp;"!B2:B628"),0))</f>
        <v>DEF4</v>
      </c>
      <c r="F177" s="159">
        <f ca="1">IF(LeagueInfo!$H$7="Starter/Bench",INDEX(INDIRECT(""&amp;B177&amp;"!T2:T628"),MATCH(A177,INDIRECT(""&amp;B177&amp;"!B2:B628"),0)),INDEX(INDIRECT(""&amp;B177&amp;"!AB2:AB628"),MATCH(A177,INDIRECT(""&amp;B177&amp;"!B2:B628"),0)))</f>
        <v>1</v>
      </c>
      <c r="G177" s="160">
        <f>IF(H177&gt;0,F177-H177,0)</f>
        <v>0</v>
      </c>
      <c r="H177" s="161"/>
      <c r="I177" s="160">
        <f ca="1">F177*$A$2</f>
        <v>1</v>
      </c>
      <c r="J177" s="160" t="s">
        <v>76</v>
      </c>
      <c r="K177" s="160">
        <f>IF(LeagueInfo!$F$7="Yahoo",IFERROR(INDEX(DefaultAuctionValues!$B$2:$B$1000,MATCH(A177,DefaultAuctionValues!$A$2:$A$1000,0)),0),IF(LeagueInfo!$F$7="ESPN",IFERROR(INDEX(DefaultAuctionValues!$C$2:$C$1000,MATCH(A177,DefaultAuctionValues!$A$2:$A$1000,0)),0),IF(LeagueInfo!$F$7="Custom",IFERROR(INDEX(DefaultAuctionValues!$D$2:$D$1000,MATCH(A177,DefaultAuctionValues!$A$2:$A$1000,0)),0))))</f>
        <v>1</v>
      </c>
      <c r="L177" s="160">
        <f ca="1">I177-K177</f>
        <v>0</v>
      </c>
      <c r="M177" s="175"/>
      <c r="N177" s="170">
        <f ca="1">INDEX(INDIRECT(""&amp;$B177&amp;"!Z2:Z628"),MATCH($A177,INDIRECT(""&amp;$B177&amp;"!B2:B628"),0))</f>
        <v>0</v>
      </c>
      <c r="O177" s="158" t="str">
        <f ca="1">IF(INDEX(INDIRECT(""&amp;$B177&amp;"!W2:W628"),MATCH($A177,INDIRECT(""&amp;$B177&amp;"!B2:B628"),0))=0,"",INDEX(INDIRECT(""&amp;$B177&amp;"!W2:W628"),MATCH($A177,INDIRECT(""&amp;$B177&amp;"!B2:B628"),0)))</f>
        <v/>
      </c>
    </row>
    <row r="178" spans="1:15" x14ac:dyDescent="0.25">
      <c r="A178" s="158" t="s">
        <v>194</v>
      </c>
      <c r="B178" s="158" t="s">
        <v>54</v>
      </c>
      <c r="C178" s="158">
        <f ca="1">IFERROR(INDEX(BYEs!$B$2:$B$33,MATCH(D178,BYEs!$A$2:$A$33,0)),"N/A")</f>
        <v>7</v>
      </c>
      <c r="D178" s="219" t="str">
        <f ca="1">INDEX(INDIRECT(""&amp;B178&amp;"!F2:F628"),MATCH(A178,INDIRECT(""&amp;B178&amp;"!B2:B628"),0))</f>
        <v>MIN</v>
      </c>
      <c r="E178" s="218" t="str">
        <f ca="1">INDEX(INDIRECT(""&amp;$B178&amp;"!AA2:AA628"),MATCH($A178,INDIRECT(""&amp;$B178&amp;"!B2:B628"),0))</f>
        <v>DEF4</v>
      </c>
      <c r="F178" s="159">
        <f ca="1">IF(LeagueInfo!$H$7="Starter/Bench",INDEX(INDIRECT(""&amp;B178&amp;"!T2:T628"),MATCH(A178,INDIRECT(""&amp;B178&amp;"!B2:B628"),0)),INDEX(INDIRECT(""&amp;B178&amp;"!AB2:AB628"),MATCH(A178,INDIRECT(""&amp;B178&amp;"!B2:B628"),0)))</f>
        <v>1</v>
      </c>
      <c r="G178" s="160">
        <f>IF(H178&gt;0,F178-H178,0)</f>
        <v>0</v>
      </c>
      <c r="H178" s="161"/>
      <c r="I178" s="160">
        <f ca="1">F178*$A$2</f>
        <v>1</v>
      </c>
      <c r="J178" s="160" t="s">
        <v>76</v>
      </c>
      <c r="K178" s="160">
        <f>IF(LeagueInfo!$F$7="Yahoo",IFERROR(INDEX(DefaultAuctionValues!$B$2:$B$1000,MATCH(A178,DefaultAuctionValues!$A$2:$A$1000,0)),0),IF(LeagueInfo!$F$7="ESPN",IFERROR(INDEX(DefaultAuctionValues!$C$2:$C$1000,MATCH(A178,DefaultAuctionValues!$A$2:$A$1000,0)),0),IF(LeagueInfo!$F$7="Custom",IFERROR(INDEX(DefaultAuctionValues!$D$2:$D$1000,MATCH(A178,DefaultAuctionValues!$A$2:$A$1000,0)),0))))</f>
        <v>1</v>
      </c>
      <c r="L178" s="160">
        <f ca="1">I178-K178</f>
        <v>0</v>
      </c>
      <c r="M178" s="175"/>
      <c r="N178" s="170">
        <f ca="1">INDEX(INDIRECT(""&amp;$B178&amp;"!Z2:Z628"),MATCH($A178,INDIRECT(""&amp;$B178&amp;"!B2:B628"),0))</f>
        <v>0</v>
      </c>
      <c r="O178" s="158" t="str">
        <f ca="1">IF(INDEX(INDIRECT(""&amp;$B178&amp;"!W2:W628"),MATCH($A178,INDIRECT(""&amp;$B178&amp;"!B2:B628"),0))=0,"",INDEX(INDIRECT(""&amp;$B178&amp;"!W2:W628"),MATCH($A178,INDIRECT(""&amp;$B178&amp;"!B2:B628"),0)))</f>
        <v/>
      </c>
    </row>
    <row r="179" spans="1:15" x14ac:dyDescent="0.25">
      <c r="A179" s="158" t="s">
        <v>747</v>
      </c>
      <c r="B179" s="158" t="s">
        <v>43</v>
      </c>
      <c r="C179" s="158">
        <f ca="1">IFERROR(INDEX(BYEs!$B$2:$B$33,MATCH(D179,BYEs!$A$2:$A$33,0)),"N/A")</f>
        <v>7</v>
      </c>
      <c r="D179" s="219" t="str">
        <f ca="1">INDEX(INDIRECT(""&amp;B179&amp;"!F2:F628"),MATCH(A179,INDIRECT(""&amp;B179&amp;"!B2:B628"),0))</f>
        <v>MIN</v>
      </c>
      <c r="E179" s="218" t="str">
        <f ca="1">INDEX(INDIRECT(""&amp;$B179&amp;"!AA2:AA628"),MATCH($A179,INDIRECT(""&amp;$B179&amp;"!B2:B628"),0))</f>
        <v>TE8</v>
      </c>
      <c r="F179" s="159">
        <f ca="1">IF(LeagueInfo!$H$7="Starter/Bench",INDEX(INDIRECT(""&amp;B179&amp;"!T2:T628"),MATCH(A179,INDIRECT(""&amp;B179&amp;"!B2:B628"),0)),INDEX(INDIRECT(""&amp;B179&amp;"!AB2:AB628"),MATCH(A179,INDIRECT(""&amp;B179&amp;"!B2:B628"),0)))</f>
        <v>0.92471620176411018</v>
      </c>
      <c r="G179" s="160">
        <f>IF(H179&gt;0,F179-H179,0)</f>
        <v>0</v>
      </c>
      <c r="H179" s="161"/>
      <c r="I179" s="160">
        <f ca="1">F179*$A$2</f>
        <v>0.92471620176411018</v>
      </c>
      <c r="J179" s="160" t="s">
        <v>76</v>
      </c>
      <c r="K179" s="160">
        <f>IF(LeagueInfo!$F$7="Yahoo",IFERROR(INDEX(DefaultAuctionValues!$B$2:$B$1000,MATCH(A179,DefaultAuctionValues!$A$2:$A$1000,0)),0),IF(LeagueInfo!$F$7="ESPN",IFERROR(INDEX(DefaultAuctionValues!$C$2:$C$1000,MATCH(A179,DefaultAuctionValues!$A$2:$A$1000,0)),0),IF(LeagueInfo!$F$7="Custom",IFERROR(INDEX(DefaultAuctionValues!$D$2:$D$1000,MATCH(A179,DefaultAuctionValues!$A$2:$A$1000,0)),0))))</f>
        <v>1</v>
      </c>
      <c r="L179" s="160">
        <f ca="1">I179-K179</f>
        <v>-7.5283798235889821E-2</v>
      </c>
      <c r="M179" s="175"/>
      <c r="N179" s="170">
        <f ca="1">INDEX(INDIRECT(""&amp;$B179&amp;"!Z2:Z628"),MATCH($A179,INDIRECT(""&amp;$B179&amp;"!B2:B628"),0))</f>
        <v>2.5499999999999972</v>
      </c>
      <c r="O179" s="158" t="str">
        <f ca="1">IF(INDEX(INDIRECT(""&amp;$B179&amp;"!W2:W628"),MATCH($A179,INDIRECT(""&amp;$B179&amp;"!B2:B628"),0))=0,"",INDEX(INDIRECT(""&amp;$B179&amp;"!W2:W628"),MATCH($A179,INDIRECT(""&amp;$B179&amp;"!B2:B628"),0)))</f>
        <v/>
      </c>
    </row>
    <row r="180" spans="1:15" x14ac:dyDescent="0.25">
      <c r="A180" s="158" t="s">
        <v>370</v>
      </c>
      <c r="B180" s="158" t="s">
        <v>35</v>
      </c>
      <c r="C180" s="158">
        <f ca="1">IFERROR(INDEX(BYEs!$B$2:$B$33,MATCH(D180,BYEs!$A$2:$A$33,0)),"N/A")</f>
        <v>9</v>
      </c>
      <c r="D180" s="219" t="str">
        <f ca="1">INDEX(INDIRECT(""&amp;B180&amp;"!F2:F628"),MATCH(A180,INDIRECT(""&amp;B180&amp;"!B2:B628"),0))</f>
        <v>NYG</v>
      </c>
      <c r="E180" s="218" t="str">
        <f ca="1">INDEX(INDIRECT(""&amp;$B180&amp;"!AA2:AA628"),MATCH($A180,INDIRECT(""&amp;$B180&amp;"!B2:B628"),0))</f>
        <v>WR8</v>
      </c>
      <c r="F180" s="159">
        <f ca="1">IF(LeagueInfo!$H$7="Starter/Bench",INDEX(INDIRECT(""&amp;B180&amp;"!T2:T628"),MATCH(A180,INDIRECT(""&amp;B180&amp;"!B2:B628"),0)),INDEX(INDIRECT(""&amp;B180&amp;"!AB2:AB628"),MATCH(A180,INDIRECT(""&amp;B180&amp;"!B2:B628"),0)))</f>
        <v>0.91202401860264326</v>
      </c>
      <c r="G180" s="160">
        <f>IF(H180&gt;0,F180-H180,0)</f>
        <v>0</v>
      </c>
      <c r="H180" s="161"/>
      <c r="I180" s="160">
        <f ca="1">F180*$A$2</f>
        <v>0.91202401860264326</v>
      </c>
      <c r="J180" s="160" t="s">
        <v>76</v>
      </c>
      <c r="K180" s="160">
        <f>IF(LeagueInfo!$F$7="Yahoo",IFERROR(INDEX(DefaultAuctionValues!$B$2:$B$1000,MATCH(A180,DefaultAuctionValues!$A$2:$A$1000,0)),0),IF(LeagueInfo!$F$7="ESPN",IFERROR(INDEX(DefaultAuctionValues!$C$2:$C$1000,MATCH(A180,DefaultAuctionValues!$A$2:$A$1000,0)),0),IF(LeagueInfo!$F$7="Custom",IFERROR(INDEX(DefaultAuctionValues!$D$2:$D$1000,MATCH(A180,DefaultAuctionValues!$A$2:$A$1000,0)),0))))</f>
        <v>1</v>
      </c>
      <c r="L180" s="160">
        <f ca="1">I180-K180</f>
        <v>-8.7975981397356739E-2</v>
      </c>
      <c r="M180" s="175"/>
      <c r="N180" s="170">
        <f ca="1">INDEX(INDIRECT(""&amp;$B180&amp;"!Z2:Z628"),MATCH($A180,INDIRECT(""&amp;$B180&amp;"!B2:B628"),0))</f>
        <v>2.5150000000000006</v>
      </c>
      <c r="O180" s="158" t="str">
        <f ca="1">IF(INDEX(INDIRECT(""&amp;$B180&amp;"!W2:W628"),MATCH($A180,INDIRECT(""&amp;$B180&amp;"!B2:B628"),0))=0,"",INDEX(INDIRECT(""&amp;$B180&amp;"!W2:W628"),MATCH($A180,INDIRECT(""&amp;$B180&amp;"!B2:B628"),0)))</f>
        <v/>
      </c>
    </row>
    <row r="181" spans="1:15" x14ac:dyDescent="0.25">
      <c r="A181" s="158" t="s">
        <v>649</v>
      </c>
      <c r="B181" s="158" t="s">
        <v>29</v>
      </c>
      <c r="C181" s="158">
        <f ca="1">IFERROR(INDEX(BYEs!$B$2:$B$33,MATCH(D181,BYEs!$A$2:$A$33,0)),"N/A")</f>
        <v>9</v>
      </c>
      <c r="D181" s="219" t="str">
        <f ca="1">INDEX(INDIRECT(""&amp;B181&amp;"!F2:F628"),MATCH(A181,INDIRECT(""&amp;B181&amp;"!B2:B628"),0))</f>
        <v>NYG</v>
      </c>
      <c r="E181" s="218" t="str">
        <f ca="1">INDEX(INDIRECT(""&amp;$B181&amp;"!AA2:AA628"),MATCH($A181,INDIRECT(""&amp;$B181&amp;"!B2:B628"),0))</f>
        <v>QB6</v>
      </c>
      <c r="F181" s="159">
        <f ca="1">IF(LeagueInfo!$H$7="Starter/Bench",INDEX(INDIRECT(""&amp;B181&amp;"!T2:T628"),MATCH(A181,INDIRECT(""&amp;B181&amp;"!B2:B628"),0)),INDEX(INDIRECT(""&amp;B181&amp;"!AB2:AB628"),MATCH(A181,INDIRECT(""&amp;B181&amp;"!B2:B628"),0)))</f>
        <v>0.86161791976139568</v>
      </c>
      <c r="G181" s="160">
        <f>IF(H181&gt;0,F181-H181,0)</f>
        <v>0</v>
      </c>
      <c r="H181" s="161"/>
      <c r="I181" s="160">
        <f ca="1">F181*$A$2</f>
        <v>0.86161791976139568</v>
      </c>
      <c r="J181" s="160" t="s">
        <v>76</v>
      </c>
      <c r="K181" s="160">
        <f>IF(LeagueInfo!$F$7="Yahoo",IFERROR(INDEX(DefaultAuctionValues!$B$2:$B$1000,MATCH(A181,DefaultAuctionValues!$A$2:$A$1000,0)),0),IF(LeagueInfo!$F$7="ESPN",IFERROR(INDEX(DefaultAuctionValues!$C$2:$C$1000,MATCH(A181,DefaultAuctionValues!$A$2:$A$1000,0)),0),IF(LeagueInfo!$F$7="Custom",IFERROR(INDEX(DefaultAuctionValues!$D$2:$D$1000,MATCH(A181,DefaultAuctionValues!$A$2:$A$1000,0)),0))))</f>
        <v>1</v>
      </c>
      <c r="L181" s="160">
        <f ca="1">I181-K181</f>
        <v>-0.13838208023860432</v>
      </c>
      <c r="M181" s="175"/>
      <c r="N181" s="170">
        <f ca="1">INDEX(INDIRECT(""&amp;$B181&amp;"!Z2:Z628"),MATCH($A181,INDIRECT(""&amp;$B181&amp;"!B2:B628"),0))</f>
        <v>2.3760000000000332</v>
      </c>
      <c r="O181" s="158" t="str">
        <f ca="1">IF(INDEX(INDIRECT(""&amp;$B181&amp;"!W2:W628"),MATCH($A181,INDIRECT(""&amp;$B181&amp;"!B2:B628"),0))=0,"",INDEX(INDIRECT(""&amp;$B181&amp;"!W2:W628"),MATCH($A181,INDIRECT(""&amp;$B181&amp;"!B2:B628"),0)))</f>
        <v/>
      </c>
    </row>
    <row r="182" spans="1:15" x14ac:dyDescent="0.25">
      <c r="A182" s="158" t="s">
        <v>136</v>
      </c>
      <c r="B182" s="158" t="s">
        <v>29</v>
      </c>
      <c r="C182" s="158">
        <f ca="1">IFERROR(INDEX(BYEs!$B$2:$B$33,MATCH(D182,BYEs!$A$2:$A$33,0)),"N/A")</f>
        <v>14</v>
      </c>
      <c r="D182" s="219" t="str">
        <f ca="1">INDEX(INDIRECT(""&amp;B182&amp;"!F2:F628"),MATCH(A182,INDIRECT(""&amp;B182&amp;"!B2:B628"),0))</f>
        <v>IND</v>
      </c>
      <c r="E182" s="218" t="str">
        <f ca="1">INDEX(INDIRECT(""&amp;$B182&amp;"!AA2:AA628"),MATCH($A182,INDIRECT(""&amp;$B182&amp;"!B2:B628"),0))</f>
        <v>QB6</v>
      </c>
      <c r="F182" s="159">
        <f ca="1">IF(LeagueInfo!$H$7="Starter/Bench",INDEX(INDIRECT(""&amp;B182&amp;"!T2:T628"),MATCH(A182,INDIRECT(""&amp;B182&amp;"!B2:B628"),0)),INDEX(INDIRECT(""&amp;B182&amp;"!AB2:AB628"),MATCH(A182,INDIRECT(""&amp;B182&amp;"!B2:B628"),0)))</f>
        <v>0.81447552516164801</v>
      </c>
      <c r="G182" s="160">
        <f>IF(H182&gt;0,F182-H182,0)</f>
        <v>0</v>
      </c>
      <c r="H182" s="161"/>
      <c r="I182" s="160">
        <f ca="1">F182*$A$2</f>
        <v>0.81447552516164801</v>
      </c>
      <c r="J182" s="160" t="s">
        <v>76</v>
      </c>
      <c r="K182" s="160">
        <f>IF(LeagueInfo!$F$7="Yahoo",IFERROR(INDEX(DefaultAuctionValues!$B$2:$B$1000,MATCH(A182,DefaultAuctionValues!$A$2:$A$1000,0)),0),IF(LeagueInfo!$F$7="ESPN",IFERROR(INDEX(DefaultAuctionValues!$C$2:$C$1000,MATCH(A182,DefaultAuctionValues!$A$2:$A$1000,0)),0),IF(LeagueInfo!$F$7="Custom",IFERROR(INDEX(DefaultAuctionValues!$D$2:$D$1000,MATCH(A182,DefaultAuctionValues!$A$2:$A$1000,0)),0))))</f>
        <v>1</v>
      </c>
      <c r="L182" s="160">
        <f ca="1">I182-K182</f>
        <v>-0.18552447483835199</v>
      </c>
      <c r="M182" s="175"/>
      <c r="N182" s="170">
        <f ca="1">INDEX(INDIRECT(""&amp;$B182&amp;"!Z2:Z628"),MATCH($A182,INDIRECT(""&amp;$B182&amp;"!B2:B628"),0))</f>
        <v>2.2460000000000093</v>
      </c>
      <c r="O182" s="158" t="str">
        <f ca="1">IF(INDEX(INDIRECT(""&amp;$B182&amp;"!W2:W628"),MATCH($A182,INDIRECT(""&amp;$B182&amp;"!B2:B628"),0))=0,"",INDEX(INDIRECT(""&amp;$B182&amp;"!W2:W628"),MATCH($A182,INDIRECT(""&amp;$B182&amp;"!B2:B628"),0)))</f>
        <v/>
      </c>
    </row>
    <row r="183" spans="1:15" x14ac:dyDescent="0.25">
      <c r="A183" s="158" t="s">
        <v>947</v>
      </c>
      <c r="B183" s="158" t="s">
        <v>35</v>
      </c>
      <c r="C183" s="158">
        <f ca="1">IFERROR(INDEX(BYEs!$B$2:$B$33,MATCH(D183,BYEs!$A$2:$A$33,0)),"N/A")</f>
        <v>11</v>
      </c>
      <c r="D183" s="219" t="str">
        <f ca="1">INDEX(INDIRECT(""&amp;B183&amp;"!F2:F628"),MATCH(A183,INDIRECT(""&amp;B183&amp;"!B2:B628"),0))</f>
        <v>JAC</v>
      </c>
      <c r="E183" s="218" t="str">
        <f ca="1">INDEX(INDIRECT(""&amp;$B183&amp;"!AA2:AA628"),MATCH($A183,INDIRECT(""&amp;$B183&amp;"!B2:B628"),0))</f>
        <v>WR8</v>
      </c>
      <c r="F183" s="159">
        <f ca="1">IF(LeagueInfo!$H$7="Starter/Bench",INDEX(INDIRECT(""&amp;B183&amp;"!T2:T628"),MATCH(A183,INDIRECT(""&amp;B183&amp;"!B2:B628"),0)),INDEX(INDIRECT(""&amp;B183&amp;"!AB2:AB628"),MATCH(A183,INDIRECT(""&amp;B183&amp;"!B2:B628"),0)))</f>
        <v>0.81411289135703291</v>
      </c>
      <c r="G183" s="160">
        <f>IF(H183&gt;0,F183-H183,0)</f>
        <v>0</v>
      </c>
      <c r="H183" s="161"/>
      <c r="I183" s="160">
        <f ca="1">F183*$A$2</f>
        <v>0.81411289135703291</v>
      </c>
      <c r="J183" s="160" t="s">
        <v>76</v>
      </c>
      <c r="K183" s="160">
        <f>IF(LeagueInfo!$F$7="Yahoo",IFERROR(INDEX(DefaultAuctionValues!$B$2:$B$1000,MATCH(A183,DefaultAuctionValues!$A$2:$A$1000,0)),0),IF(LeagueInfo!$F$7="ESPN",IFERROR(INDEX(DefaultAuctionValues!$C$2:$C$1000,MATCH(A183,DefaultAuctionValues!$A$2:$A$1000,0)),0),IF(LeagueInfo!$F$7="Custom",IFERROR(INDEX(DefaultAuctionValues!$D$2:$D$1000,MATCH(A183,DefaultAuctionValues!$A$2:$A$1000,0)),0))))</f>
        <v>0</v>
      </c>
      <c r="L183" s="160">
        <f ca="1">I183-K183</f>
        <v>0.81411289135703291</v>
      </c>
      <c r="M183" s="175"/>
      <c r="N183" s="170">
        <f ca="1">INDEX(INDIRECT(""&amp;$B183&amp;"!Z2:Z628"),MATCH($A183,INDIRECT(""&amp;$B183&amp;"!B2:B628"),0))</f>
        <v>2.2450000000000045</v>
      </c>
      <c r="O183" s="158" t="str">
        <f ca="1">IF(INDEX(INDIRECT(""&amp;$B183&amp;"!W2:W628"),MATCH($A183,INDIRECT(""&amp;$B183&amp;"!B2:B628"),0))=0,"",INDEX(INDIRECT(""&amp;$B183&amp;"!W2:W628"),MATCH($A183,INDIRECT(""&amp;$B183&amp;"!B2:B628"),0)))</f>
        <v/>
      </c>
    </row>
    <row r="184" spans="1:15" x14ac:dyDescent="0.25">
      <c r="A184" s="158" t="s">
        <v>567</v>
      </c>
      <c r="B184" s="158" t="s">
        <v>35</v>
      </c>
      <c r="C184" s="158">
        <f ca="1">IFERROR(INDEX(BYEs!$B$2:$B$33,MATCH(D184,BYEs!$A$2:$A$33,0)),"N/A")</f>
        <v>9</v>
      </c>
      <c r="D184" s="219" t="str">
        <f ca="1">INDEX(INDIRECT(""&amp;B184&amp;"!F2:F628"),MATCH(A184,INDIRECT(""&amp;B184&amp;"!B2:B628"),0))</f>
        <v>DAL</v>
      </c>
      <c r="E184" s="218" t="str">
        <f ca="1">INDEX(INDIRECT(""&amp;$B184&amp;"!AA2:AA628"),MATCH($A184,INDIRECT(""&amp;$B184&amp;"!B2:B628"),0))</f>
        <v>WR9</v>
      </c>
      <c r="F184" s="159">
        <f ca="1">IF(LeagueInfo!$H$7="Starter/Bench",INDEX(INDIRECT(""&amp;B184&amp;"!T2:T628"),MATCH(A184,INDIRECT(""&amp;B184&amp;"!B2:B628"),0)),INDEX(INDIRECT(""&amp;B184&amp;"!AB2:AB628"),MATCH(A184,INDIRECT(""&amp;B184&amp;"!B2:B628"),0)))</f>
        <v>0.71801493313449039</v>
      </c>
      <c r="G184" s="160">
        <f>IF(H184&gt;0,F184-H184,0)</f>
        <v>0</v>
      </c>
      <c r="H184" s="161"/>
      <c r="I184" s="160">
        <f ca="1">F184*$A$2</f>
        <v>0.71801493313449039</v>
      </c>
      <c r="J184" s="160" t="s">
        <v>76</v>
      </c>
      <c r="K184" s="160">
        <f>IF(LeagueInfo!$F$7="Yahoo",IFERROR(INDEX(DefaultAuctionValues!$B$2:$B$1000,MATCH(A184,DefaultAuctionValues!$A$2:$A$1000,0)),0),IF(LeagueInfo!$F$7="ESPN",IFERROR(INDEX(DefaultAuctionValues!$C$2:$C$1000,MATCH(A184,DefaultAuctionValues!$A$2:$A$1000,0)),0),IF(LeagueInfo!$F$7="Custom",IFERROR(INDEX(DefaultAuctionValues!$D$2:$D$1000,MATCH(A184,DefaultAuctionValues!$A$2:$A$1000,0)),0))))</f>
        <v>1</v>
      </c>
      <c r="L184" s="160">
        <f ca="1">I184-K184</f>
        <v>-0.28198506686550961</v>
      </c>
      <c r="M184" s="175"/>
      <c r="N184" s="170">
        <f ca="1">INDEX(INDIRECT(""&amp;$B184&amp;"!Z2:Z628"),MATCH($A184,INDIRECT(""&amp;$B184&amp;"!B2:B628"),0))</f>
        <v>1.9800000000000111</v>
      </c>
      <c r="O184" s="158" t="str">
        <f ca="1">IF(INDEX(INDIRECT(""&amp;$B184&amp;"!W2:W628"),MATCH($A184,INDIRECT(""&amp;$B184&amp;"!B2:B628"),0))=0,"",INDEX(INDIRECT(""&amp;$B184&amp;"!W2:W628"),MATCH($A184,INDIRECT(""&amp;$B184&amp;"!B2:B628"),0)))</f>
        <v/>
      </c>
    </row>
    <row r="185" spans="1:15" x14ac:dyDescent="0.25">
      <c r="A185" s="158" t="s">
        <v>135</v>
      </c>
      <c r="B185" s="158" t="s">
        <v>35</v>
      </c>
      <c r="C185" s="158">
        <f ca="1">IFERROR(INDEX(BYEs!$B$2:$B$33,MATCH(D185,BYEs!$A$2:$A$33,0)),"N/A")</f>
        <v>14</v>
      </c>
      <c r="D185" s="219" t="str">
        <f ca="1">INDEX(INDIRECT(""&amp;B185&amp;"!F2:F628"),MATCH(A185,INDIRECT(""&amp;B185&amp;"!B2:B628"),0))</f>
        <v>NO</v>
      </c>
      <c r="E185" s="218" t="str">
        <f ca="1">INDEX(INDIRECT(""&amp;$B185&amp;"!AA2:AA628"),MATCH($A185,INDIRECT(""&amp;$B185&amp;"!B2:B628"),0))</f>
        <v>WR9</v>
      </c>
      <c r="F185" s="159">
        <f ca="1">IF(LeagueInfo!$H$7="Starter/Bench",INDEX(INDIRECT(""&amp;B185&amp;"!T2:T628"),MATCH(A185,INDIRECT(""&amp;B185&amp;"!B2:B628"),0)),INDEX(INDIRECT(""&amp;B185&amp;"!AB2:AB628"),MATCH(A185,INDIRECT(""&amp;B185&amp;"!B2:B628"),0)))</f>
        <v>0.3970840160516525</v>
      </c>
      <c r="G185" s="160">
        <f>IF(H185&gt;0,F185-H185,0)</f>
        <v>0</v>
      </c>
      <c r="H185" s="161"/>
      <c r="I185" s="160">
        <f ca="1">F185*$A$2</f>
        <v>0.3970840160516525</v>
      </c>
      <c r="J185" s="160" t="s">
        <v>76</v>
      </c>
      <c r="K185" s="160">
        <f>IF(LeagueInfo!$F$7="Yahoo",IFERROR(INDEX(DefaultAuctionValues!$B$2:$B$1000,MATCH(A185,DefaultAuctionValues!$A$2:$A$1000,0)),0),IF(LeagueInfo!$F$7="ESPN",IFERROR(INDEX(DefaultAuctionValues!$C$2:$C$1000,MATCH(A185,DefaultAuctionValues!$A$2:$A$1000,0)),0),IF(LeagueInfo!$F$7="Custom",IFERROR(INDEX(DefaultAuctionValues!$D$2:$D$1000,MATCH(A185,DefaultAuctionValues!$A$2:$A$1000,0)),0))))</f>
        <v>1</v>
      </c>
      <c r="L185" s="160">
        <f ca="1">I185-K185</f>
        <v>-0.60291598394834756</v>
      </c>
      <c r="M185" s="175"/>
      <c r="N185" s="170">
        <f ca="1">INDEX(INDIRECT(""&amp;$B185&amp;"!Z2:Z628"),MATCH($A185,INDIRECT(""&amp;$B185&amp;"!B2:B628"),0))</f>
        <v>1.0950000000000131</v>
      </c>
      <c r="O185" s="158" t="str">
        <f ca="1">IF(INDEX(INDIRECT(""&amp;$B185&amp;"!W2:W628"),MATCH($A185,INDIRECT(""&amp;$B185&amp;"!B2:B628"),0))=0,"",INDEX(INDIRECT(""&amp;$B185&amp;"!W2:W628"),MATCH($A185,INDIRECT(""&amp;$B185&amp;"!B2:B628"),0)))</f>
        <v/>
      </c>
    </row>
    <row r="186" spans="1:15" x14ac:dyDescent="0.25">
      <c r="A186" s="158" t="s">
        <v>2413</v>
      </c>
      <c r="B186" s="158" t="s">
        <v>35</v>
      </c>
      <c r="C186" s="158">
        <f ca="1">IFERROR(INDEX(BYEs!$B$2:$B$33,MATCH(D186,BYEs!$A$2:$A$33,0)),"N/A")</f>
        <v>13</v>
      </c>
      <c r="D186" s="219" t="str">
        <f ca="1">INDEX(INDIRECT(""&amp;B186&amp;"!F2:F628"),MATCH(A186,INDIRECT(""&amp;B186&amp;"!B2:B628"),0))</f>
        <v>CAR</v>
      </c>
      <c r="E186" s="218" t="str">
        <f ca="1">INDEX(INDIRECT(""&amp;$B186&amp;"!AA2:AA628"),MATCH($A186,INDIRECT(""&amp;$B186&amp;"!B2:B628"),0))</f>
        <v>WR9</v>
      </c>
      <c r="F186" s="159">
        <f ca="1">IF(LeagueInfo!$H$7="Starter/Bench",INDEX(INDIRECT(""&amp;B186&amp;"!T2:T628"),MATCH(A186,INDIRECT(""&amp;B186&amp;"!B2:B628"),0)),INDEX(INDIRECT(""&amp;B186&amp;"!AB2:AB628"),MATCH(A186,INDIRECT(""&amp;B186&amp;"!B2:B628"),0)))</f>
        <v>0.20670126862962754</v>
      </c>
      <c r="G186" s="160">
        <f>IF(H186&gt;0,F186-H186,0)</f>
        <v>0</v>
      </c>
      <c r="H186" s="161"/>
      <c r="I186" s="160">
        <f ca="1">F186*$A$2</f>
        <v>0.20670126862962754</v>
      </c>
      <c r="J186" s="160" t="s">
        <v>76</v>
      </c>
      <c r="K186" s="160">
        <f>IF(LeagueInfo!$F$7="Yahoo",IFERROR(INDEX(DefaultAuctionValues!$B$2:$B$1000,MATCH(A186,DefaultAuctionValues!$A$2:$A$1000,0)),0),IF(LeagueInfo!$F$7="ESPN",IFERROR(INDEX(DefaultAuctionValues!$C$2:$C$1000,MATCH(A186,DefaultAuctionValues!$A$2:$A$1000,0)),0),IF(LeagueInfo!$F$7="Custom",IFERROR(INDEX(DefaultAuctionValues!$D$2:$D$1000,MATCH(A186,DefaultAuctionValues!$A$2:$A$1000,0)),0))))</f>
        <v>0</v>
      </c>
      <c r="L186" s="160">
        <f ca="1">I186-K186</f>
        <v>0.20670126862962754</v>
      </c>
      <c r="M186" s="175"/>
      <c r="N186" s="170">
        <f ca="1">INDEX(INDIRECT(""&amp;$B186&amp;"!Z2:Z628"),MATCH($A186,INDIRECT(""&amp;$B186&amp;"!B2:B628"),0))</f>
        <v>0.57000000000000739</v>
      </c>
      <c r="O186" s="158" t="str">
        <f ca="1">IF(INDEX(INDIRECT(""&amp;$B186&amp;"!W2:W628"),MATCH($A186,INDIRECT(""&amp;$B186&amp;"!B2:B628"),0))=0,"",INDEX(INDIRECT(""&amp;$B186&amp;"!W2:W628"),MATCH($A186,INDIRECT(""&amp;$B186&amp;"!B2:B628"),0)))</f>
        <v/>
      </c>
    </row>
    <row r="187" spans="1:15" x14ac:dyDescent="0.25">
      <c r="A187" s="158" t="s">
        <v>437</v>
      </c>
      <c r="B187" s="158" t="s">
        <v>43</v>
      </c>
      <c r="C187" s="158">
        <f ca="1">IFERROR(INDEX(BYEs!$B$2:$B$33,MATCH(D187,BYEs!$A$2:$A$33,0)),"N/A")</f>
        <v>14</v>
      </c>
      <c r="D187" s="219" t="str">
        <f ca="1">INDEX(INDIRECT(""&amp;B187&amp;"!F2:F628"),MATCH(A187,INDIRECT(""&amp;B187&amp;"!B2:B628"),0))</f>
        <v>WAS</v>
      </c>
      <c r="E187" s="218" t="str">
        <f ca="1">INDEX(INDIRECT(""&amp;$B187&amp;"!AA2:AA628"),MATCH($A187,INDIRECT(""&amp;$B187&amp;"!B2:B628"),0))</f>
        <v>TE9</v>
      </c>
      <c r="F187" s="159">
        <f ca="1">IF(LeagueInfo!$H$7="Starter/Bench",INDEX(INDIRECT(""&amp;B187&amp;"!T2:T628"),MATCH(A187,INDIRECT(""&amp;B187&amp;"!B2:B628"),0)),INDEX(INDIRECT(""&amp;B187&amp;"!AB2:AB628"),MATCH(A187,INDIRECT(""&amp;B187&amp;"!B2:B628"),0)))</f>
        <v>6.8900422876540801E-2</v>
      </c>
      <c r="G187" s="160">
        <f>IF(H187&gt;0,F187-H187,0)</f>
        <v>0</v>
      </c>
      <c r="H187" s="161"/>
      <c r="I187" s="160">
        <f ca="1">F187*$A$2</f>
        <v>6.8900422876540801E-2</v>
      </c>
      <c r="J187" s="160" t="s">
        <v>76</v>
      </c>
      <c r="K187" s="160">
        <f>IF(LeagueInfo!$F$7="Yahoo",IFERROR(INDEX(DefaultAuctionValues!$B$2:$B$1000,MATCH(A187,DefaultAuctionValues!$A$2:$A$1000,0)),0),IF(LeagueInfo!$F$7="ESPN",IFERROR(INDEX(DefaultAuctionValues!$C$2:$C$1000,MATCH(A187,DefaultAuctionValues!$A$2:$A$1000,0)),0),IF(LeagueInfo!$F$7="Custom",IFERROR(INDEX(DefaultAuctionValues!$D$2:$D$1000,MATCH(A187,DefaultAuctionValues!$A$2:$A$1000,0)),0))))</f>
        <v>1</v>
      </c>
      <c r="L187" s="160">
        <f ca="1">I187-K187</f>
        <v>-0.93109957712345914</v>
      </c>
      <c r="M187" s="175"/>
      <c r="N187" s="170">
        <f ca="1">INDEX(INDIRECT(""&amp;$B187&amp;"!Z2:Z628"),MATCH($A187,INDIRECT(""&amp;$B187&amp;"!B2:B628"),0))</f>
        <v>0.18999999999999773</v>
      </c>
      <c r="O187" s="158" t="str">
        <f ca="1">IF(INDEX(INDIRECT(""&amp;$B187&amp;"!W2:W628"),MATCH($A187,INDIRECT(""&amp;$B187&amp;"!B2:B628"),0))=0,"",INDEX(INDIRECT(""&amp;$B187&amp;"!W2:W628"),MATCH($A187,INDIRECT(""&amp;$B187&amp;"!B2:B628"),0)))</f>
        <v/>
      </c>
    </row>
    <row r="188" spans="1:15" x14ac:dyDescent="0.25">
      <c r="A188" s="158" t="s">
        <v>826</v>
      </c>
      <c r="B188" s="158" t="s">
        <v>43</v>
      </c>
      <c r="C188" s="158">
        <f ca="1">IFERROR(INDEX(BYEs!$B$2:$B$33,MATCH(D188,BYEs!$A$2:$A$33,0)),"N/A")</f>
        <v>9</v>
      </c>
      <c r="D188" s="219" t="str">
        <f ca="1">INDEX(INDIRECT(""&amp;B188&amp;"!F2:F628"),MATCH(A188,INDIRECT(""&amp;B188&amp;"!B2:B628"),0))</f>
        <v>DEN</v>
      </c>
      <c r="E188" s="218" t="str">
        <f ca="1">INDEX(INDIRECT(""&amp;$B188&amp;"!AA2:AA628"),MATCH($A188,INDIRECT(""&amp;$B188&amp;"!B2:B628"),0))</f>
        <v>TE9</v>
      </c>
      <c r="F188" s="159">
        <f ca="1">IF(LeagueInfo!$H$7="Starter/Bench",INDEX(INDIRECT(""&amp;B188&amp;"!T2:T628"),MATCH(A188,INDIRECT(""&amp;B188&amp;"!B2:B628"),0)),INDEX(INDIRECT(""&amp;B188&amp;"!AB2:AB628"),MATCH(A188,INDIRECT(""&amp;B188&amp;"!B2:B628"),0)))</f>
        <v>5.9834577761206889E-2</v>
      </c>
      <c r="G188" s="160">
        <f>IF(H188&gt;0,F188-H188,0)</f>
        <v>0</v>
      </c>
      <c r="H188" s="161"/>
      <c r="I188" s="160">
        <f ca="1">F188*$A$2</f>
        <v>5.9834577761206889E-2</v>
      </c>
      <c r="J188" s="160" t="s">
        <v>76</v>
      </c>
      <c r="K188" s="160">
        <f>IF(LeagueInfo!$F$7="Yahoo",IFERROR(INDEX(DefaultAuctionValues!$B$2:$B$1000,MATCH(A188,DefaultAuctionValues!$A$2:$A$1000,0)),0),IF(LeagueInfo!$F$7="ESPN",IFERROR(INDEX(DefaultAuctionValues!$C$2:$C$1000,MATCH(A188,DefaultAuctionValues!$A$2:$A$1000,0)),0),IF(LeagueInfo!$F$7="Custom",IFERROR(INDEX(DefaultAuctionValues!$D$2:$D$1000,MATCH(A188,DefaultAuctionValues!$A$2:$A$1000,0)),0))))</f>
        <v>1</v>
      </c>
      <c r="L188" s="160">
        <f ca="1">I188-K188</f>
        <v>-0.94016542223879307</v>
      </c>
      <c r="M188" s="175"/>
      <c r="N188" s="170">
        <f ca="1">INDEX(INDIRECT(""&amp;$B188&amp;"!Z2:Z628"),MATCH($A188,INDIRECT(""&amp;$B188&amp;"!B2:B628"),0))</f>
        <v>0.16499999999999915</v>
      </c>
      <c r="O188" s="158" t="str">
        <f ca="1">IF(INDEX(INDIRECT(""&amp;$B188&amp;"!W2:W628"),MATCH($A188,INDIRECT(""&amp;$B188&amp;"!B2:B628"),0))=0,"",INDEX(INDIRECT(""&amp;$B188&amp;"!W2:W628"),MATCH($A188,INDIRECT(""&amp;$B188&amp;"!B2:B628"),0)))</f>
        <v/>
      </c>
    </row>
    <row r="189" spans="1:15" x14ac:dyDescent="0.25">
      <c r="A189" s="158" t="s">
        <v>162</v>
      </c>
      <c r="B189" s="158" t="s">
        <v>29</v>
      </c>
      <c r="C189" s="158">
        <f ca="1">IFERROR(INDEX(BYEs!$B$2:$B$33,MATCH(D189,BYEs!$A$2:$A$33,0)),"N/A")</f>
        <v>14</v>
      </c>
      <c r="D189" s="219" t="str">
        <f ca="1">INDEX(INDIRECT(""&amp;B189&amp;"!F2:F628"),MATCH(A189,INDIRECT(""&amp;B189&amp;"!B2:B628"),0))</f>
        <v>NO</v>
      </c>
      <c r="E189" s="218" t="str">
        <f ca="1">INDEX(INDIRECT(""&amp;$B189&amp;"!AA2:AA628"),MATCH($A189,INDIRECT(""&amp;$B189&amp;"!B2:B628"),0))</f>
        <v>QB6</v>
      </c>
      <c r="F189" s="159">
        <f ca="1">IF(LeagueInfo!$H$7="Starter/Bench",INDEX(INDIRECT(""&amp;B189&amp;"!T2:T628"),MATCH(A189,INDIRECT(""&amp;B189&amp;"!B2:B628"),0)),INDEX(INDIRECT(""&amp;B189&amp;"!AB2:AB628"),MATCH(A189,INDIRECT(""&amp;B189&amp;"!B2:B628"),0)))</f>
        <v>2.8648070564469889E-2</v>
      </c>
      <c r="G189" s="160">
        <f>IF(H189&gt;0,F189-H189,0)</f>
        <v>0</v>
      </c>
      <c r="H189" s="161"/>
      <c r="I189" s="160">
        <f ca="1">F189*$A$2</f>
        <v>2.8648070564469889E-2</v>
      </c>
      <c r="J189" s="160" t="s">
        <v>76</v>
      </c>
      <c r="K189" s="160">
        <f>IF(LeagueInfo!$F$7="Yahoo",IFERROR(INDEX(DefaultAuctionValues!$B$2:$B$1000,MATCH(A189,DefaultAuctionValues!$A$2:$A$1000,0)),0),IF(LeagueInfo!$F$7="ESPN",IFERROR(INDEX(DefaultAuctionValues!$C$2:$C$1000,MATCH(A189,DefaultAuctionValues!$A$2:$A$1000,0)),0),IF(LeagueInfo!$F$7="Custom",IFERROR(INDEX(DefaultAuctionValues!$D$2:$D$1000,MATCH(A189,DefaultAuctionValues!$A$2:$A$1000,0)),0))))</f>
        <v>1</v>
      </c>
      <c r="L189" s="160">
        <f ca="1">I189-K189</f>
        <v>-0.97135192943553006</v>
      </c>
      <c r="M189" s="175"/>
      <c r="N189" s="170">
        <f ca="1">INDEX(INDIRECT(""&amp;$B189&amp;"!Z2:Z628"),MATCH($A189,INDIRECT(""&amp;$B189&amp;"!B2:B628"),0))</f>
        <v>7.9000000000036152E-2</v>
      </c>
      <c r="O189" s="158" t="str">
        <f ca="1">IF(INDEX(INDIRECT(""&amp;$B189&amp;"!W2:W628"),MATCH($A189,INDIRECT(""&amp;$B189&amp;"!B2:B628"),0))=0,"",INDEX(INDIRECT(""&amp;$B189&amp;"!W2:W628"),MATCH($A189,INDIRECT(""&amp;$B189&amp;"!B2:B628"),0)))</f>
        <v/>
      </c>
    </row>
    <row r="190" spans="1:15" x14ac:dyDescent="0.25">
      <c r="A190" s="158" t="s">
        <v>757</v>
      </c>
      <c r="B190" s="158" t="s">
        <v>43</v>
      </c>
      <c r="C190" s="158">
        <f ca="1">IFERROR(INDEX(BYEs!$B$2:$B$33,MATCH(D190,BYEs!$A$2:$A$33,0)),"N/A")</f>
        <v>14</v>
      </c>
      <c r="D190" s="219" t="str">
        <f ca="1">INDEX(INDIRECT(""&amp;B190&amp;"!F2:F628"),MATCH(A190,INDIRECT(""&amp;B190&amp;"!B2:B628"),0))</f>
        <v>GB</v>
      </c>
      <c r="E190" s="218" t="str">
        <f ca="1">INDEX(INDIRECT(""&amp;$B190&amp;"!AA2:AA628"),MATCH($A190,INDIRECT(""&amp;$B190&amp;"!B2:B628"),0))</f>
        <v>TE9</v>
      </c>
      <c r="F190" s="159">
        <f ca="1">IF(LeagueInfo!$H$7="Starter/Bench",INDEX(INDIRECT(""&amp;B190&amp;"!T2:T628"),MATCH(A190,INDIRECT(""&amp;B190&amp;"!B2:B628"),0)),INDEX(INDIRECT(""&amp;B190&amp;"!AB2:AB628"),MATCH(A190,INDIRECT(""&amp;B190&amp;"!B2:B628"),0)))</f>
        <v>9.0658451153313325E-3</v>
      </c>
      <c r="G190" s="160">
        <f>IF(H190&gt;0,F190-H190,0)</f>
        <v>0</v>
      </c>
      <c r="H190" s="161"/>
      <c r="I190" s="160">
        <f ca="1">F190*$A$2</f>
        <v>9.0658451153313325E-3</v>
      </c>
      <c r="J190" s="160" t="s">
        <v>76</v>
      </c>
      <c r="K190" s="160">
        <f>IF(LeagueInfo!$F$7="Yahoo",IFERROR(INDEX(DefaultAuctionValues!$B$2:$B$1000,MATCH(A190,DefaultAuctionValues!$A$2:$A$1000,0)),0),IF(LeagueInfo!$F$7="ESPN",IFERROR(INDEX(DefaultAuctionValues!$C$2:$C$1000,MATCH(A190,DefaultAuctionValues!$A$2:$A$1000,0)),0),IF(LeagueInfo!$F$7="Custom",IFERROR(INDEX(DefaultAuctionValues!$D$2:$D$1000,MATCH(A190,DefaultAuctionValues!$A$2:$A$1000,0)),0))))</f>
        <v>1</v>
      </c>
      <c r="L190" s="160">
        <f ca="1">I190-K190</f>
        <v>-0.99093415488466863</v>
      </c>
      <c r="M190" s="175"/>
      <c r="N190" s="170">
        <f ca="1">INDEX(INDIRECT(""&amp;$B190&amp;"!Z2:Z628"),MATCH($A190,INDIRECT(""&amp;$B190&amp;"!B2:B628"),0))</f>
        <v>2.4999999999991473E-2</v>
      </c>
      <c r="O190" s="158" t="str">
        <f ca="1">IF(INDEX(INDIRECT(""&amp;$B190&amp;"!W2:W628"),MATCH($A190,INDIRECT(""&amp;$B190&amp;"!B2:B628"),0))=0,"",INDEX(INDIRECT(""&amp;$B190&amp;"!W2:W628"),MATCH($A190,INDIRECT(""&amp;$B190&amp;"!B2:B628"),0)))</f>
        <v/>
      </c>
    </row>
    <row r="191" spans="1:15" x14ac:dyDescent="0.25">
      <c r="A191" s="158" t="s">
        <v>940</v>
      </c>
      <c r="B191" s="158" t="s">
        <v>28</v>
      </c>
      <c r="C191" s="158">
        <f ca="1">IFERROR(INDEX(BYEs!$B$2:$B$33,MATCH(D191,BYEs!$A$2:$A$33,0)),"N/A")</f>
        <v>14</v>
      </c>
      <c r="D191" s="219" t="str">
        <f ca="1">INDEX(INDIRECT(""&amp;B191&amp;"!F2:F628"),MATCH(A191,INDIRECT(""&amp;B191&amp;"!B2:B628"),0))</f>
        <v>CHI</v>
      </c>
      <c r="E191" s="218" t="str">
        <f ca="1">INDEX(INDIRECT(""&amp;$B191&amp;"!AA2:AA628"),MATCH($A191,INDIRECT(""&amp;$B191&amp;"!B2:B628"),0))</f>
        <v>RB9</v>
      </c>
      <c r="F191" s="159">
        <f ca="1">IF(LeagueInfo!$H$7="Starter/Bench",INDEX(INDIRECT(""&amp;B191&amp;"!T2:T628"),MATCH(A191,INDIRECT(""&amp;B191&amp;"!B2:B628"),0)),INDEX(INDIRECT(""&amp;B191&amp;"!AB2:AB628"),MATCH(A191,INDIRECT(""&amp;B191&amp;"!B2:B628"),0)))</f>
        <v>0</v>
      </c>
      <c r="G191" s="160">
        <f>IF(H191&gt;0,F191-H191,0)</f>
        <v>0</v>
      </c>
      <c r="H191" s="161"/>
      <c r="I191" s="160">
        <f ca="1">F191*$A$2</f>
        <v>0</v>
      </c>
      <c r="J191" s="160" t="s">
        <v>76</v>
      </c>
      <c r="K191" s="160">
        <f>IF(LeagueInfo!$F$7="Yahoo",IFERROR(INDEX(DefaultAuctionValues!$B$2:$B$1000,MATCH(A191,DefaultAuctionValues!$A$2:$A$1000,0)),0),IF(LeagueInfo!$F$7="ESPN",IFERROR(INDEX(DefaultAuctionValues!$C$2:$C$1000,MATCH(A191,DefaultAuctionValues!$A$2:$A$1000,0)),0),IF(LeagueInfo!$F$7="Custom",IFERROR(INDEX(DefaultAuctionValues!$D$2:$D$1000,MATCH(A191,DefaultAuctionValues!$A$2:$A$1000,0)),0))))</f>
        <v>1</v>
      </c>
      <c r="L191" s="160">
        <f ca="1">I191-K191</f>
        <v>-1</v>
      </c>
      <c r="M191" s="175"/>
      <c r="N191" s="170">
        <f ca="1">INDEX(INDIRECT(""&amp;$B191&amp;"!Z2:Z628"),MATCH($A191,INDIRECT(""&amp;$B191&amp;"!B2:B628"),0))</f>
        <v>0</v>
      </c>
      <c r="O191" s="158" t="str">
        <f ca="1">IF(INDEX(INDIRECT(""&amp;$B191&amp;"!W2:W628"),MATCH($A191,INDIRECT(""&amp;$B191&amp;"!B2:B628"),0))=0,"",INDEX(INDIRECT(""&amp;$B191&amp;"!W2:W628"),MATCH($A191,INDIRECT(""&amp;$B191&amp;"!B2:B628"),0)))</f>
        <v/>
      </c>
    </row>
    <row r="192" spans="1:15" x14ac:dyDescent="0.25">
      <c r="A192" s="158" t="s">
        <v>2414</v>
      </c>
      <c r="B192" s="158" t="s">
        <v>35</v>
      </c>
      <c r="C192" s="158">
        <f ca="1">IFERROR(INDEX(BYEs!$B$2:$B$33,MATCH(D192,BYEs!$A$2:$A$33,0)),"N/A")</f>
        <v>14</v>
      </c>
      <c r="D192" s="219" t="str">
        <f ca="1">INDEX(INDIRECT(""&amp;B192&amp;"!F2:F628"),MATCH(A192,INDIRECT(""&amp;B192&amp;"!B2:B628"),0))</f>
        <v>NO</v>
      </c>
      <c r="E192" s="218" t="str">
        <f ca="1">INDEX(INDIRECT(""&amp;$B192&amp;"!AA2:AA628"),MATCH($A192,INDIRECT(""&amp;$B192&amp;"!B2:B628"),0))</f>
        <v>WR9</v>
      </c>
      <c r="F192" s="159">
        <f ca="1">IF(LeagueInfo!$H$7="Starter/Bench",INDEX(INDIRECT(""&amp;B192&amp;"!T2:T628"),MATCH(A192,INDIRECT(""&amp;B192&amp;"!B2:B628"),0)),INDEX(INDIRECT(""&amp;B192&amp;"!AB2:AB628"),MATCH(A192,INDIRECT(""&amp;B192&amp;"!B2:B628"),0)))</f>
        <v>0</v>
      </c>
      <c r="G192" s="160">
        <f>IF(H192&gt;0,F192-H192,0)</f>
        <v>0</v>
      </c>
      <c r="H192" s="161"/>
      <c r="I192" s="160">
        <f ca="1">F192*$A$2</f>
        <v>0</v>
      </c>
      <c r="J192" s="160" t="s">
        <v>76</v>
      </c>
      <c r="K192" s="160">
        <f>IF(LeagueInfo!$F$7="Yahoo",IFERROR(INDEX(DefaultAuctionValues!$B$2:$B$1000,MATCH(A192,DefaultAuctionValues!$A$2:$A$1000,0)),0),IF(LeagueInfo!$F$7="ESPN",IFERROR(INDEX(DefaultAuctionValues!$C$2:$C$1000,MATCH(A192,DefaultAuctionValues!$A$2:$A$1000,0)),0),IF(LeagueInfo!$F$7="Custom",IFERROR(INDEX(DefaultAuctionValues!$D$2:$D$1000,MATCH(A192,DefaultAuctionValues!$A$2:$A$1000,0)),0))))</f>
        <v>1</v>
      </c>
      <c r="L192" s="160">
        <f ca="1">I192-K192</f>
        <v>-1</v>
      </c>
      <c r="M192" s="175"/>
      <c r="N192" s="170">
        <f ca="1">INDEX(INDIRECT(""&amp;$B192&amp;"!Z2:Z628"),MATCH($A192,INDIRECT(""&amp;$B192&amp;"!B2:B628"),0))</f>
        <v>0</v>
      </c>
      <c r="O192" s="158" t="str">
        <f ca="1">IF(INDEX(INDIRECT(""&amp;$B192&amp;"!W2:W628"),MATCH($A192,INDIRECT(""&amp;$B192&amp;"!B2:B628"),0))=0,"",INDEX(INDIRECT(""&amp;$B192&amp;"!W2:W628"),MATCH($A192,INDIRECT(""&amp;$B192&amp;"!B2:B628"),0)))</f>
        <v/>
      </c>
    </row>
    <row r="193" spans="1:15" x14ac:dyDescent="0.25">
      <c r="A193" s="158" t="s">
        <v>223</v>
      </c>
      <c r="B193" s="158" t="s">
        <v>43</v>
      </c>
      <c r="C193" s="158">
        <f ca="1">IFERROR(INDEX(BYEs!$B$2:$B$33,MATCH(D193,BYEs!$A$2:$A$33,0)),"N/A")</f>
        <v>11</v>
      </c>
      <c r="D193" s="219" t="str">
        <f ca="1">INDEX(INDIRECT(""&amp;B193&amp;"!F2:F628"),MATCH(A193,INDIRECT(""&amp;B193&amp;"!B2:B628"),0))</f>
        <v>JAC</v>
      </c>
      <c r="E193" s="218" t="str">
        <f ca="1">INDEX(INDIRECT(""&amp;$B193&amp;"!AA2:AA628"),MATCH($A193,INDIRECT(""&amp;$B193&amp;"!B2:B628"),0))</f>
        <v>TE9</v>
      </c>
      <c r="F193" s="159">
        <f ca="1">IF(LeagueInfo!$H$7="Starter/Bench",INDEX(INDIRECT(""&amp;B193&amp;"!T2:T628"),MATCH(A193,INDIRECT(""&amp;B193&amp;"!B2:B628"),0)),INDEX(INDIRECT(""&amp;B193&amp;"!AB2:AB628"),MATCH(A193,INDIRECT(""&amp;B193&amp;"!B2:B628"),0)))</f>
        <v>0</v>
      </c>
      <c r="G193" s="160">
        <f>IF(H193&gt;0,F193-H193,0)</f>
        <v>0</v>
      </c>
      <c r="H193" s="161"/>
      <c r="I193" s="160">
        <f ca="1">F193*$A$2</f>
        <v>0</v>
      </c>
      <c r="J193" s="160" t="s">
        <v>76</v>
      </c>
      <c r="K193" s="160">
        <f>IF(LeagueInfo!$F$7="Yahoo",IFERROR(INDEX(DefaultAuctionValues!$B$2:$B$1000,MATCH(A193,DefaultAuctionValues!$A$2:$A$1000,0)),0),IF(LeagueInfo!$F$7="ESPN",IFERROR(INDEX(DefaultAuctionValues!$C$2:$C$1000,MATCH(A193,DefaultAuctionValues!$A$2:$A$1000,0)),0),IF(LeagueInfo!$F$7="Custom",IFERROR(INDEX(DefaultAuctionValues!$D$2:$D$1000,MATCH(A193,DefaultAuctionValues!$A$2:$A$1000,0)),0))))</f>
        <v>1</v>
      </c>
      <c r="L193" s="160">
        <f ca="1">I193-K193</f>
        <v>-1</v>
      </c>
      <c r="M193" s="175"/>
      <c r="N193" s="170">
        <f ca="1">INDEX(INDIRECT(""&amp;$B193&amp;"!Z2:Z628"),MATCH($A193,INDIRECT(""&amp;$B193&amp;"!B2:B628"),0))</f>
        <v>0</v>
      </c>
      <c r="O193" s="158" t="str">
        <f ca="1">IF(INDEX(INDIRECT(""&amp;$B193&amp;"!W2:W628"),MATCH($A193,INDIRECT(""&amp;$B193&amp;"!B2:B628"),0))=0,"",INDEX(INDIRECT(""&amp;$B193&amp;"!W2:W628"),MATCH($A193,INDIRECT(""&amp;$B193&amp;"!B2:B628"),0)))</f>
        <v/>
      </c>
    </row>
    <row r="194" spans="1:15" x14ac:dyDescent="0.25">
      <c r="A194" s="158" t="s">
        <v>919</v>
      </c>
      <c r="B194" s="158" t="s">
        <v>29</v>
      </c>
      <c r="C194" s="158">
        <f ca="1">IFERROR(INDEX(BYEs!$B$2:$B$33,MATCH(D194,BYEs!$A$2:$A$33,0)),"N/A")</f>
        <v>10</v>
      </c>
      <c r="D194" s="219" t="str">
        <f ca="1">INDEX(INDIRECT(""&amp;B194&amp;"!F2:F628"),MATCH(A194,INDIRECT(""&amp;B194&amp;"!B2:B628"),0))</f>
        <v>NE</v>
      </c>
      <c r="E194" s="218" t="str">
        <f ca="1">INDEX(INDIRECT(""&amp;$B194&amp;"!AA2:AA628"),MATCH($A194,INDIRECT(""&amp;$B194&amp;"!B2:B628"),0))</f>
        <v>QB6</v>
      </c>
      <c r="F194" s="159">
        <f ca="1">IF(LeagueInfo!$H$7="Starter/Bench",INDEX(INDIRECT(""&amp;B194&amp;"!T2:T628"),MATCH(A194,INDIRECT(""&amp;B194&amp;"!B2:B628"),0)),INDEX(INDIRECT(""&amp;B194&amp;"!AB2:AB628"),MATCH(A194,INDIRECT(""&amp;B194&amp;"!B2:B628"),0)))</f>
        <v>0</v>
      </c>
      <c r="G194" s="160">
        <f>IF(H194&gt;0,F194-H194,0)</f>
        <v>0</v>
      </c>
      <c r="H194" s="161"/>
      <c r="I194" s="160">
        <f ca="1">F194*$A$2</f>
        <v>0</v>
      </c>
      <c r="J194" s="160" t="s">
        <v>76</v>
      </c>
      <c r="K194" s="160">
        <f>IF(LeagueInfo!$F$7="Yahoo",IFERROR(INDEX(DefaultAuctionValues!$B$2:$B$1000,MATCH(A194,DefaultAuctionValues!$A$2:$A$1000,0)),0),IF(LeagueInfo!$F$7="ESPN",IFERROR(INDEX(DefaultAuctionValues!$C$2:$C$1000,MATCH(A194,DefaultAuctionValues!$A$2:$A$1000,0)),0),IF(LeagueInfo!$F$7="Custom",IFERROR(INDEX(DefaultAuctionValues!$D$2:$D$1000,MATCH(A194,DefaultAuctionValues!$A$2:$A$1000,0)),0))))</f>
        <v>1</v>
      </c>
      <c r="L194" s="160">
        <f ca="1">I194-K194</f>
        <v>-1</v>
      </c>
      <c r="M194" s="175"/>
      <c r="N194" s="170">
        <f ca="1">INDEX(INDIRECT(""&amp;$B194&amp;"!Z2:Z628"),MATCH($A194,INDIRECT(""&amp;$B194&amp;"!B2:B628"),0))</f>
        <v>0</v>
      </c>
      <c r="O194" s="158" t="str">
        <f ca="1">IF(INDEX(INDIRECT(""&amp;$B194&amp;"!W2:W628"),MATCH($A194,INDIRECT(""&amp;$B194&amp;"!B2:B628"),0))=0,"",INDEX(INDIRECT(""&amp;$B194&amp;"!W2:W628"),MATCH($A194,INDIRECT(""&amp;$B194&amp;"!B2:B628"),0)))</f>
        <v/>
      </c>
    </row>
    <row r="195" spans="1:15" x14ac:dyDescent="0.25">
      <c r="A195" s="158" t="s">
        <v>183</v>
      </c>
      <c r="B195" s="158" t="s">
        <v>54</v>
      </c>
      <c r="C195" s="158">
        <f ca="1">IFERROR(INDEX(BYEs!$B$2:$B$33,MATCH(D195,BYEs!$A$2:$A$33,0)),"N/A")</f>
        <v>10</v>
      </c>
      <c r="D195" s="219" t="str">
        <f ca="1">INDEX(INDIRECT(""&amp;B195&amp;"!F2:F628"),MATCH(A195,INDIRECT(""&amp;B195&amp;"!B2:B628"),0))</f>
        <v>NE</v>
      </c>
      <c r="E195" s="218" t="str">
        <f ca="1">INDEX(INDIRECT(""&amp;$B195&amp;"!AA2:AA628"),MATCH($A195,INDIRECT(""&amp;$B195&amp;"!B2:B628"),0))</f>
        <v>DEF4</v>
      </c>
      <c r="F195" s="159">
        <f ca="1">IF(LeagueInfo!$H$7="Starter/Bench",INDEX(INDIRECT(""&amp;B195&amp;"!T2:T628"),MATCH(A195,INDIRECT(""&amp;B195&amp;"!B2:B628"),0)),INDEX(INDIRECT(""&amp;B195&amp;"!AB2:AB628"),MATCH(A195,INDIRECT(""&amp;B195&amp;"!B2:B628"),0)))</f>
        <v>0</v>
      </c>
      <c r="G195" s="160">
        <f>IF(H195&gt;0,F195-H195,0)</f>
        <v>0</v>
      </c>
      <c r="H195" s="161"/>
      <c r="I195" s="160">
        <f ca="1">F195*$A$2</f>
        <v>0</v>
      </c>
      <c r="J195" s="160" t="s">
        <v>76</v>
      </c>
      <c r="K195" s="160">
        <f>IF(LeagueInfo!$F$7="Yahoo",IFERROR(INDEX(DefaultAuctionValues!$B$2:$B$1000,MATCH(A195,DefaultAuctionValues!$A$2:$A$1000,0)),0),IF(LeagueInfo!$F$7="ESPN",IFERROR(INDEX(DefaultAuctionValues!$C$2:$C$1000,MATCH(A195,DefaultAuctionValues!$A$2:$A$1000,0)),0),IF(LeagueInfo!$F$7="Custom",IFERROR(INDEX(DefaultAuctionValues!$D$2:$D$1000,MATCH(A195,DefaultAuctionValues!$A$2:$A$1000,0)),0))))</f>
        <v>1</v>
      </c>
      <c r="L195" s="160">
        <f ca="1">I195-K195</f>
        <v>-1</v>
      </c>
      <c r="M195" s="175"/>
      <c r="N195" s="170">
        <f ca="1">INDEX(INDIRECT(""&amp;$B195&amp;"!Z2:Z628"),MATCH($A195,INDIRECT(""&amp;$B195&amp;"!B2:B628"),0))</f>
        <v>0</v>
      </c>
      <c r="O195" s="158" t="str">
        <f ca="1">IF(INDEX(INDIRECT(""&amp;$B195&amp;"!W2:W628"),MATCH($A195,INDIRECT(""&amp;$B195&amp;"!B2:B628"),0))=0,"",INDEX(INDIRECT(""&amp;$B195&amp;"!W2:W628"),MATCH($A195,INDIRECT(""&amp;$B195&amp;"!B2:B628"),0)))</f>
        <v/>
      </c>
    </row>
    <row r="196" spans="1:15" x14ac:dyDescent="0.25">
      <c r="A196" s="158" t="s">
        <v>463</v>
      </c>
      <c r="B196" s="158" t="s">
        <v>54</v>
      </c>
      <c r="C196" s="158">
        <f ca="1">IFERROR(INDEX(BYEs!$B$2:$B$33,MATCH(D196,BYEs!$A$2:$A$33,0)),"N/A")</f>
        <v>9</v>
      </c>
      <c r="D196" s="219" t="str">
        <f ca="1">INDEX(INDIRECT(""&amp;B196&amp;"!F2:F628"),MATCH(A196,INDIRECT(""&amp;B196&amp;"!B2:B628"),0))</f>
        <v>CLE</v>
      </c>
      <c r="E196" s="218" t="str">
        <f ca="1">INDEX(INDIRECT(""&amp;$B196&amp;"!AA2:AA628"),MATCH($A196,INDIRECT(""&amp;$B196&amp;"!B2:B628"),0))</f>
        <v>DEF5</v>
      </c>
      <c r="F196" s="159">
        <f ca="1">IF(LeagueInfo!$H$7="Starter/Bench",INDEX(INDIRECT(""&amp;B196&amp;"!T2:T628"),MATCH(A196,INDIRECT(""&amp;B196&amp;"!B2:B628"),0)),INDEX(INDIRECT(""&amp;B196&amp;"!AB2:AB628"),MATCH(A196,INDIRECT(""&amp;B196&amp;"!B2:B628"),0)))</f>
        <v>0</v>
      </c>
      <c r="G196" s="160">
        <f>IF(H196&gt;0,F196-H196,0)</f>
        <v>0</v>
      </c>
      <c r="H196" s="161"/>
      <c r="I196" s="160">
        <f ca="1">F196*$A$2</f>
        <v>0</v>
      </c>
      <c r="J196" s="160" t="s">
        <v>76</v>
      </c>
      <c r="K196" s="160">
        <f>IF(LeagueInfo!$F$7="Yahoo",IFERROR(INDEX(DefaultAuctionValues!$B$2:$B$1000,MATCH(A196,DefaultAuctionValues!$A$2:$A$1000,0)),0),IF(LeagueInfo!$F$7="ESPN",IFERROR(INDEX(DefaultAuctionValues!$C$2:$C$1000,MATCH(A196,DefaultAuctionValues!$A$2:$A$1000,0)),0),IF(LeagueInfo!$F$7="Custom",IFERROR(INDEX(DefaultAuctionValues!$D$2:$D$1000,MATCH(A196,DefaultAuctionValues!$A$2:$A$1000,0)),0))))</f>
        <v>1</v>
      </c>
      <c r="L196" s="160">
        <f ca="1">I196-K196</f>
        <v>-1</v>
      </c>
      <c r="M196" s="175"/>
      <c r="N196" s="170">
        <f ca="1">INDEX(INDIRECT(""&amp;$B196&amp;"!Z2:Z628"),MATCH($A196,INDIRECT(""&amp;$B196&amp;"!B2:B628"),0))</f>
        <v>0</v>
      </c>
      <c r="O196" s="158" t="str">
        <f ca="1">IF(INDEX(INDIRECT(""&amp;$B196&amp;"!W2:W628"),MATCH($A196,INDIRECT(""&amp;$B196&amp;"!B2:B628"),0))=0,"",INDEX(INDIRECT(""&amp;$B196&amp;"!W2:W628"),MATCH($A196,INDIRECT(""&amp;$B196&amp;"!B2:B628"),0)))</f>
        <v/>
      </c>
    </row>
    <row r="197" spans="1:15" x14ac:dyDescent="0.25">
      <c r="A197" s="158" t="s">
        <v>182</v>
      </c>
      <c r="B197" s="158" t="s">
        <v>54</v>
      </c>
      <c r="C197" s="158">
        <f ca="1">IFERROR(INDEX(BYEs!$B$2:$B$33,MATCH(D197,BYEs!$A$2:$A$33,0)),"N/A")</f>
        <v>8</v>
      </c>
      <c r="D197" s="219" t="str">
        <f ca="1">INDEX(INDIRECT(""&amp;B197&amp;"!F2:F628"),MATCH(A197,INDIRECT(""&amp;B197&amp;"!B2:B628"),0))</f>
        <v>KC</v>
      </c>
      <c r="E197" s="218" t="str">
        <f ca="1">INDEX(INDIRECT(""&amp;$B197&amp;"!AA2:AA628"),MATCH($A197,INDIRECT(""&amp;$B197&amp;"!B2:B628"),0))</f>
        <v>DEF5</v>
      </c>
      <c r="F197" s="159">
        <f ca="1">IF(LeagueInfo!$H$7="Starter/Bench",INDEX(INDIRECT(""&amp;B197&amp;"!T2:T628"),MATCH(A197,INDIRECT(""&amp;B197&amp;"!B2:B628"),0)),INDEX(INDIRECT(""&amp;B197&amp;"!AB2:AB628"),MATCH(A197,INDIRECT(""&amp;B197&amp;"!B2:B628"),0)))</f>
        <v>0</v>
      </c>
      <c r="G197" s="160">
        <f>IF(H197&gt;0,F197-H197,0)</f>
        <v>0</v>
      </c>
      <c r="H197" s="161"/>
      <c r="I197" s="160">
        <f ca="1">F197*$A$2</f>
        <v>0</v>
      </c>
      <c r="J197" s="160" t="s">
        <v>76</v>
      </c>
      <c r="K197" s="160">
        <f>IF(LeagueInfo!$F$7="Yahoo",IFERROR(INDEX(DefaultAuctionValues!$B$2:$B$1000,MATCH(A197,DefaultAuctionValues!$A$2:$A$1000,0)),0),IF(LeagueInfo!$F$7="ESPN",IFERROR(INDEX(DefaultAuctionValues!$C$2:$C$1000,MATCH(A197,DefaultAuctionValues!$A$2:$A$1000,0)),0),IF(LeagueInfo!$F$7="Custom",IFERROR(INDEX(DefaultAuctionValues!$D$2:$D$1000,MATCH(A197,DefaultAuctionValues!$A$2:$A$1000,0)),0))))</f>
        <v>1</v>
      </c>
      <c r="L197" s="160">
        <f ca="1">I197-K197</f>
        <v>-1</v>
      </c>
      <c r="M197" s="175"/>
      <c r="N197" s="170">
        <f ca="1">INDEX(INDIRECT(""&amp;$B197&amp;"!Z2:Z628"),MATCH($A197,INDIRECT(""&amp;$B197&amp;"!B2:B628"),0))</f>
        <v>0</v>
      </c>
      <c r="O197" s="158" t="str">
        <f ca="1">IF(INDEX(INDIRECT(""&amp;$B197&amp;"!W2:W628"),MATCH($A197,INDIRECT(""&amp;$B197&amp;"!B2:B628"),0))=0,"",INDEX(INDIRECT(""&amp;$B197&amp;"!W2:W628"),MATCH($A197,INDIRECT(""&amp;$B197&amp;"!B2:B628"),0)))</f>
        <v/>
      </c>
    </row>
    <row r="198" spans="1:15" x14ac:dyDescent="0.25">
      <c r="A198" s="158" t="s">
        <v>205</v>
      </c>
      <c r="B198" s="158" t="s">
        <v>54</v>
      </c>
      <c r="C198" s="158">
        <f ca="1">IFERROR(INDEX(BYEs!$B$2:$B$33,MATCH(D198,BYEs!$A$2:$A$33,0)),"N/A")</f>
        <v>13</v>
      </c>
      <c r="D198" s="219" t="str">
        <f ca="1">INDEX(INDIRECT(""&amp;B198&amp;"!F2:F628"),MATCH(A198,INDIRECT(""&amp;B198&amp;"!B2:B628"),0))</f>
        <v>ARI</v>
      </c>
      <c r="E198" s="218" t="str">
        <f ca="1">INDEX(INDIRECT(""&amp;$B198&amp;"!AA2:AA628"),MATCH($A198,INDIRECT(""&amp;$B198&amp;"!B2:B628"),0))</f>
        <v>DEF5</v>
      </c>
      <c r="F198" s="159">
        <f ca="1">IF(LeagueInfo!$H$7="Starter/Bench",INDEX(INDIRECT(""&amp;B198&amp;"!T2:T628"),MATCH(A198,INDIRECT(""&amp;B198&amp;"!B2:B628"),0)),INDEX(INDIRECT(""&amp;B198&amp;"!AB2:AB628"),MATCH(A198,INDIRECT(""&amp;B198&amp;"!B2:B628"),0)))</f>
        <v>0</v>
      </c>
      <c r="G198" s="160">
        <f>IF(H198&gt;0,F198-H198,0)</f>
        <v>0</v>
      </c>
      <c r="H198" s="161"/>
      <c r="I198" s="160">
        <f ca="1">F198*$A$2</f>
        <v>0</v>
      </c>
      <c r="J198" s="160" t="s">
        <v>76</v>
      </c>
      <c r="K198" s="160">
        <f>IF(LeagueInfo!$F$7="Yahoo",IFERROR(INDEX(DefaultAuctionValues!$B$2:$B$1000,MATCH(A198,DefaultAuctionValues!$A$2:$A$1000,0)),0),IF(LeagueInfo!$F$7="ESPN",IFERROR(INDEX(DefaultAuctionValues!$C$2:$C$1000,MATCH(A198,DefaultAuctionValues!$A$2:$A$1000,0)),0),IF(LeagueInfo!$F$7="Custom",IFERROR(INDEX(DefaultAuctionValues!$D$2:$D$1000,MATCH(A198,DefaultAuctionValues!$A$2:$A$1000,0)),0))))</f>
        <v>0</v>
      </c>
      <c r="L198" s="160">
        <f ca="1">I198-K198</f>
        <v>0</v>
      </c>
      <c r="M198" s="175"/>
      <c r="N198" s="170">
        <f ca="1">INDEX(INDIRECT(""&amp;$B198&amp;"!Z2:Z628"),MATCH($A198,INDIRECT(""&amp;$B198&amp;"!B2:B628"),0))</f>
        <v>0</v>
      </c>
      <c r="O198" s="158" t="str">
        <f ca="1">IF(INDEX(INDIRECT(""&amp;$B198&amp;"!W2:W628"),MATCH($A198,INDIRECT(""&amp;$B198&amp;"!B2:B628"),0))=0,"",INDEX(INDIRECT(""&amp;$B198&amp;"!W2:W628"),MATCH($A198,INDIRECT(""&amp;$B198&amp;"!B2:B628"),0)))</f>
        <v/>
      </c>
    </row>
    <row r="199" spans="1:15" x14ac:dyDescent="0.25">
      <c r="A199" s="158" t="s">
        <v>152</v>
      </c>
      <c r="B199" s="158" t="s">
        <v>54</v>
      </c>
      <c r="C199" s="158">
        <f ca="1">IFERROR(INDEX(BYEs!$B$2:$B$33,MATCH(D199,BYEs!$A$2:$A$33,0)),"N/A")</f>
        <v>9</v>
      </c>
      <c r="D199" s="219" t="str">
        <f ca="1">INDEX(INDIRECT(""&amp;B199&amp;"!F2:F628"),MATCH(A199,INDIRECT(""&amp;B199&amp;"!B2:B628"),0))</f>
        <v>DEN</v>
      </c>
      <c r="E199" s="218" t="str">
        <f ca="1">INDEX(INDIRECT(""&amp;$B199&amp;"!AA2:AA628"),MATCH($A199,INDIRECT(""&amp;$B199&amp;"!B2:B628"),0))</f>
        <v>DEF5</v>
      </c>
      <c r="F199" s="159">
        <f ca="1">IF(LeagueInfo!$H$7="Starter/Bench",INDEX(INDIRECT(""&amp;B199&amp;"!T2:T628"),MATCH(A199,INDIRECT(""&amp;B199&amp;"!B2:B628"),0)),INDEX(INDIRECT(""&amp;B199&amp;"!AB2:AB628"),MATCH(A199,INDIRECT(""&amp;B199&amp;"!B2:B628"),0)))</f>
        <v>0</v>
      </c>
      <c r="G199" s="160">
        <f>IF(H199&gt;0,F199-H199,0)</f>
        <v>0</v>
      </c>
      <c r="H199" s="161"/>
      <c r="I199" s="160">
        <f ca="1">F199*$A$2</f>
        <v>0</v>
      </c>
      <c r="J199" s="160" t="s">
        <v>76</v>
      </c>
      <c r="K199" s="160">
        <f>IF(LeagueInfo!$F$7="Yahoo",IFERROR(INDEX(DefaultAuctionValues!$B$2:$B$1000,MATCH(A199,DefaultAuctionValues!$A$2:$A$1000,0)),0),IF(LeagueInfo!$F$7="ESPN",IFERROR(INDEX(DefaultAuctionValues!$C$2:$C$1000,MATCH(A199,DefaultAuctionValues!$A$2:$A$1000,0)),0),IF(LeagueInfo!$F$7="Custom",IFERROR(INDEX(DefaultAuctionValues!$D$2:$D$1000,MATCH(A199,DefaultAuctionValues!$A$2:$A$1000,0)),0))))</f>
        <v>1</v>
      </c>
      <c r="L199" s="160">
        <f ca="1">I199-K199</f>
        <v>-1</v>
      </c>
      <c r="M199" s="175"/>
      <c r="N199" s="170">
        <f ca="1">INDEX(INDIRECT(""&amp;$B199&amp;"!Z2:Z628"),MATCH($A199,INDIRECT(""&amp;$B199&amp;"!B2:B628"),0))</f>
        <v>0</v>
      </c>
      <c r="O199" s="158" t="str">
        <f ca="1">IF(INDEX(INDIRECT(""&amp;$B199&amp;"!W2:W628"),MATCH($A199,INDIRECT(""&amp;$B199&amp;"!B2:B628"),0))=0,"",INDEX(INDIRECT(""&amp;$B199&amp;"!W2:W628"),MATCH($A199,INDIRECT(""&amp;$B199&amp;"!B2:B628"),0)))</f>
        <v/>
      </c>
    </row>
    <row r="200" spans="1:15" x14ac:dyDescent="0.25">
      <c r="A200" s="158" t="s">
        <v>1035</v>
      </c>
      <c r="B200" s="158" t="s">
        <v>54</v>
      </c>
      <c r="C200" s="158">
        <f ca="1">IFERROR(INDEX(BYEs!$B$2:$B$33,MATCH(D200,BYEs!$A$2:$A$33,0)),"N/A")</f>
        <v>14</v>
      </c>
      <c r="D200" s="219" t="str">
        <f ca="1">INDEX(INDIRECT(""&amp;B200&amp;"!F2:F628"),MATCH(A200,INDIRECT(""&amp;B200&amp;"!B2:B628"),0))</f>
        <v>WAS</v>
      </c>
      <c r="E200" s="218" t="str">
        <f ca="1">INDEX(INDIRECT(""&amp;$B200&amp;"!AA2:AA628"),MATCH($A200,INDIRECT(""&amp;$B200&amp;"!B2:B628"),0))</f>
        <v>DEF5</v>
      </c>
      <c r="F200" s="159">
        <f ca="1">IF(LeagueInfo!$H$7="Starter/Bench",INDEX(INDIRECT(""&amp;B200&amp;"!T2:T628"),MATCH(A200,INDIRECT(""&amp;B200&amp;"!B2:B628"),0)),INDEX(INDIRECT(""&amp;B200&amp;"!AB2:AB628"),MATCH(A200,INDIRECT(""&amp;B200&amp;"!B2:B628"),0)))</f>
        <v>0</v>
      </c>
      <c r="G200" s="160">
        <f>IF(H200&gt;0,F200-H200,0)</f>
        <v>0</v>
      </c>
      <c r="H200" s="161"/>
      <c r="I200" s="160">
        <f ca="1">F200*$A$2</f>
        <v>0</v>
      </c>
      <c r="J200" s="160" t="s">
        <v>76</v>
      </c>
      <c r="K200" s="160">
        <f>IF(LeagueInfo!$F$7="Yahoo",IFERROR(INDEX(DefaultAuctionValues!$B$2:$B$1000,MATCH(A200,DefaultAuctionValues!$A$2:$A$1000,0)),0),IF(LeagueInfo!$F$7="ESPN",IFERROR(INDEX(DefaultAuctionValues!$C$2:$C$1000,MATCH(A200,DefaultAuctionValues!$A$2:$A$1000,0)),0),IF(LeagueInfo!$F$7="Custom",IFERROR(INDEX(DefaultAuctionValues!$D$2:$D$1000,MATCH(A200,DefaultAuctionValues!$A$2:$A$1000,0)),0))))</f>
        <v>0</v>
      </c>
      <c r="L200" s="160">
        <f ca="1">I200-K200</f>
        <v>0</v>
      </c>
      <c r="M200" s="175"/>
      <c r="N200" s="170">
        <f ca="1">INDEX(INDIRECT(""&amp;$B200&amp;"!Z2:Z628"),MATCH($A200,INDIRECT(""&amp;$B200&amp;"!B2:B628"),0))</f>
        <v>0</v>
      </c>
      <c r="O200" s="158" t="str">
        <f ca="1">IF(INDEX(INDIRECT(""&amp;$B200&amp;"!W2:W628"),MATCH($A200,INDIRECT(""&amp;$B200&amp;"!B2:B628"),0))=0,"",INDEX(INDIRECT(""&amp;$B200&amp;"!W2:W628"),MATCH($A200,INDIRECT(""&amp;$B200&amp;"!B2:B628"),0)))</f>
        <v/>
      </c>
    </row>
    <row r="201" spans="1:15" x14ac:dyDescent="0.25">
      <c r="A201" s="158" t="s">
        <v>237</v>
      </c>
      <c r="B201" s="158" t="s">
        <v>54</v>
      </c>
      <c r="C201" s="158">
        <f ca="1">IFERROR(INDEX(BYEs!$B$2:$B$33,MATCH(D201,BYEs!$A$2:$A$33,0)),"N/A")</f>
        <v>10</v>
      </c>
      <c r="D201" s="219" t="str">
        <f ca="1">INDEX(INDIRECT(""&amp;B201&amp;"!F2:F628"),MATCH(A201,INDIRECT(""&amp;B201&amp;"!B2:B628"),0))</f>
        <v>CIN</v>
      </c>
      <c r="E201" s="218" t="str">
        <f ca="1">INDEX(INDIRECT(""&amp;$B201&amp;"!AA2:AA628"),MATCH($A201,INDIRECT(""&amp;$B201&amp;"!B2:B628"),0))</f>
        <v>DEF5</v>
      </c>
      <c r="F201" s="159">
        <f ca="1">IF(LeagueInfo!$H$7="Starter/Bench",INDEX(INDIRECT(""&amp;B201&amp;"!T2:T628"),MATCH(A201,INDIRECT(""&amp;B201&amp;"!B2:B628"),0)),INDEX(INDIRECT(""&amp;B201&amp;"!AB2:AB628"),MATCH(A201,INDIRECT(""&amp;B201&amp;"!B2:B628"),0)))</f>
        <v>0</v>
      </c>
      <c r="G201" s="160">
        <f>IF(H201&gt;0,F201-H201,0)</f>
        <v>0</v>
      </c>
      <c r="H201" s="161"/>
      <c r="I201" s="160">
        <f ca="1">F201*$A$2</f>
        <v>0</v>
      </c>
      <c r="J201" s="160" t="s">
        <v>76</v>
      </c>
      <c r="K201" s="160">
        <f>IF(LeagueInfo!$F$7="Yahoo",IFERROR(INDEX(DefaultAuctionValues!$B$2:$B$1000,MATCH(A201,DefaultAuctionValues!$A$2:$A$1000,0)),0),IF(LeagueInfo!$F$7="ESPN",IFERROR(INDEX(DefaultAuctionValues!$C$2:$C$1000,MATCH(A201,DefaultAuctionValues!$A$2:$A$1000,0)),0),IF(LeagueInfo!$F$7="Custom",IFERROR(INDEX(DefaultAuctionValues!$D$2:$D$1000,MATCH(A201,DefaultAuctionValues!$A$2:$A$1000,0)),0))))</f>
        <v>1</v>
      </c>
      <c r="L201" s="160">
        <f ca="1">I201-K201</f>
        <v>-1</v>
      </c>
      <c r="M201" s="175"/>
      <c r="N201" s="170">
        <f ca="1">INDEX(INDIRECT(""&amp;$B201&amp;"!Z2:Z628"),MATCH($A201,INDIRECT(""&amp;$B201&amp;"!B2:B628"),0))</f>
        <v>0</v>
      </c>
      <c r="O201" s="158" t="str">
        <f ca="1">IF(INDEX(INDIRECT(""&amp;$B201&amp;"!W2:W628"),MATCH($A201,INDIRECT(""&amp;$B201&amp;"!B2:B628"),0))=0,"",INDEX(INDIRECT(""&amp;$B201&amp;"!W2:W628"),MATCH($A201,INDIRECT(""&amp;$B201&amp;"!B2:B628"),0)))</f>
        <v/>
      </c>
    </row>
    <row r="202" spans="1:15" x14ac:dyDescent="0.25">
      <c r="A202" s="158" t="s">
        <v>230</v>
      </c>
      <c r="B202" s="158" t="s">
        <v>54</v>
      </c>
      <c r="C202" s="158">
        <f ca="1">IFERROR(INDEX(BYEs!$B$2:$B$33,MATCH(D202,BYEs!$A$2:$A$33,0)),"N/A")</f>
        <v>10</v>
      </c>
      <c r="D202" s="219" t="str">
        <f ca="1">INDEX(INDIRECT(""&amp;B202&amp;"!F2:F628"),MATCH(A202,INDIRECT(""&amp;B202&amp;"!B2:B628"),0))</f>
        <v>BAL</v>
      </c>
      <c r="E202" s="218" t="str">
        <f ca="1">INDEX(INDIRECT(""&amp;$B202&amp;"!AA2:AA628"),MATCH($A202,INDIRECT(""&amp;$B202&amp;"!B2:B628"),0))</f>
        <v>DEF5</v>
      </c>
      <c r="F202" s="159">
        <f ca="1">IF(LeagueInfo!$H$7="Starter/Bench",INDEX(INDIRECT(""&amp;B202&amp;"!T2:T628"),MATCH(A202,INDIRECT(""&amp;B202&amp;"!B2:B628"),0)),INDEX(INDIRECT(""&amp;B202&amp;"!AB2:AB628"),MATCH(A202,INDIRECT(""&amp;B202&amp;"!B2:B628"),0)))</f>
        <v>0</v>
      </c>
      <c r="G202" s="160">
        <f>IF(H202&gt;0,F202-H202,0)</f>
        <v>0</v>
      </c>
      <c r="H202" s="161"/>
      <c r="I202" s="160">
        <f ca="1">F202*$A$2</f>
        <v>0</v>
      </c>
      <c r="J202" s="160" t="s">
        <v>76</v>
      </c>
      <c r="K202" s="160">
        <f>IF(LeagueInfo!$F$7="Yahoo",IFERROR(INDEX(DefaultAuctionValues!$B$2:$B$1000,MATCH(A202,DefaultAuctionValues!$A$2:$A$1000,0)),0),IF(LeagueInfo!$F$7="ESPN",IFERROR(INDEX(DefaultAuctionValues!$C$2:$C$1000,MATCH(A202,DefaultAuctionValues!$A$2:$A$1000,0)),0),IF(LeagueInfo!$F$7="Custom",IFERROR(INDEX(DefaultAuctionValues!$D$2:$D$1000,MATCH(A202,DefaultAuctionValues!$A$2:$A$1000,0)),0))))</f>
        <v>1</v>
      </c>
      <c r="L202" s="160">
        <f ca="1">I202-K202</f>
        <v>-1</v>
      </c>
      <c r="M202" s="175"/>
      <c r="N202" s="170">
        <f ca="1">INDEX(INDIRECT(""&amp;$B202&amp;"!Z2:Z628"),MATCH($A202,INDIRECT(""&amp;$B202&amp;"!B2:B628"),0))</f>
        <v>0</v>
      </c>
      <c r="O202" s="158" t="str">
        <f ca="1">IF(INDEX(INDIRECT(""&amp;$B202&amp;"!W2:W628"),MATCH($A202,INDIRECT(""&amp;$B202&amp;"!B2:B628"),0))=0,"",INDEX(INDIRECT(""&amp;$B202&amp;"!W2:W628"),MATCH($A202,INDIRECT(""&amp;$B202&amp;"!B2:B628"),0)))</f>
        <v/>
      </c>
    </row>
    <row r="203" spans="1:15" x14ac:dyDescent="0.25">
      <c r="A203" s="158" t="s">
        <v>225</v>
      </c>
      <c r="B203" s="158" t="s">
        <v>54</v>
      </c>
      <c r="C203" s="158">
        <f ca="1">IFERROR(INDEX(BYEs!$B$2:$B$33,MATCH(D203,BYEs!$A$2:$A$33,0)),"N/A")</f>
        <v>7</v>
      </c>
      <c r="D203" s="219" t="str">
        <f ca="1">INDEX(INDIRECT(""&amp;B203&amp;"!F2:F628"),MATCH(A203,INDIRECT(""&amp;B203&amp;"!B2:B628"),0))</f>
        <v>PHI</v>
      </c>
      <c r="E203" s="218" t="str">
        <f ca="1">INDEX(INDIRECT(""&amp;$B203&amp;"!AA2:AA628"),MATCH($A203,INDIRECT(""&amp;$B203&amp;"!B2:B628"),0))</f>
        <v>DEF5</v>
      </c>
      <c r="F203" s="159">
        <f ca="1">IF(LeagueInfo!$H$7="Starter/Bench",INDEX(INDIRECT(""&amp;B203&amp;"!T2:T628"),MATCH(A203,INDIRECT(""&amp;B203&amp;"!B2:B628"),0)),INDEX(INDIRECT(""&amp;B203&amp;"!AB2:AB628"),MATCH(A203,INDIRECT(""&amp;B203&amp;"!B2:B628"),0)))</f>
        <v>0</v>
      </c>
      <c r="G203" s="160">
        <f>IF(H203&gt;0,F203-H203,0)</f>
        <v>0</v>
      </c>
      <c r="H203" s="161"/>
      <c r="I203" s="160">
        <f ca="1">F203*$A$2</f>
        <v>0</v>
      </c>
      <c r="J203" s="160" t="s">
        <v>76</v>
      </c>
      <c r="K203" s="160">
        <f>IF(LeagueInfo!$F$7="Yahoo",IFERROR(INDEX(DefaultAuctionValues!$B$2:$B$1000,MATCH(A203,DefaultAuctionValues!$A$2:$A$1000,0)),0),IF(LeagueInfo!$F$7="ESPN",IFERROR(INDEX(DefaultAuctionValues!$C$2:$C$1000,MATCH(A203,DefaultAuctionValues!$A$2:$A$1000,0)),0),IF(LeagueInfo!$F$7="Custom",IFERROR(INDEX(DefaultAuctionValues!$D$2:$D$1000,MATCH(A203,DefaultAuctionValues!$A$2:$A$1000,0)),0))))</f>
        <v>1</v>
      </c>
      <c r="L203" s="160">
        <f ca="1">I203-K203</f>
        <v>-1</v>
      </c>
      <c r="M203" s="175"/>
      <c r="N203" s="170">
        <f ca="1">INDEX(INDIRECT(""&amp;$B203&amp;"!Z2:Z628"),MATCH($A203,INDIRECT(""&amp;$B203&amp;"!B2:B628"),0))</f>
        <v>0</v>
      </c>
      <c r="O203" s="158" t="str">
        <f ca="1">IF(INDEX(INDIRECT(""&amp;$B203&amp;"!W2:W628"),MATCH($A203,INDIRECT(""&amp;$B203&amp;"!B2:B628"),0))=0,"",INDEX(INDIRECT(""&amp;$B203&amp;"!W2:W628"),MATCH($A203,INDIRECT(""&amp;$B203&amp;"!B2:B628"),0)))</f>
        <v/>
      </c>
    </row>
    <row r="204" spans="1:15" x14ac:dyDescent="0.25">
      <c r="A204" s="158" t="s">
        <v>460</v>
      </c>
      <c r="B204" s="158" t="s">
        <v>54</v>
      </c>
      <c r="C204" s="158">
        <f ca="1">IFERROR(INDEX(BYEs!$B$2:$B$33,MATCH(D204,BYEs!$A$2:$A$33,0)),"N/A")</f>
        <v>14</v>
      </c>
      <c r="D204" s="219" t="str">
        <f ca="1">INDEX(INDIRECT(""&amp;B204&amp;"!F2:F628"),MATCH(A204,INDIRECT(""&amp;B204&amp;"!B2:B628"),0))</f>
        <v>CHI</v>
      </c>
      <c r="E204" s="218" t="str">
        <f ca="1">INDEX(INDIRECT(""&amp;$B204&amp;"!AA2:AA628"),MATCH($A204,INDIRECT(""&amp;$B204&amp;"!B2:B628"),0))</f>
        <v>DEF5</v>
      </c>
      <c r="F204" s="159">
        <f ca="1">IF(LeagueInfo!$H$7="Starter/Bench",INDEX(INDIRECT(""&amp;B204&amp;"!T2:T628"),MATCH(A204,INDIRECT(""&amp;B204&amp;"!B2:B628"),0)),INDEX(INDIRECT(""&amp;B204&amp;"!AB2:AB628"),MATCH(A204,INDIRECT(""&amp;B204&amp;"!B2:B628"),0)))</f>
        <v>0</v>
      </c>
      <c r="G204" s="160">
        <f>IF(H204&gt;0,F204-H204,0)</f>
        <v>0</v>
      </c>
      <c r="H204" s="161"/>
      <c r="I204" s="160">
        <f ca="1">F204*$A$2</f>
        <v>0</v>
      </c>
      <c r="J204" s="160" t="s">
        <v>76</v>
      </c>
      <c r="K204" s="160">
        <f>IF(LeagueInfo!$F$7="Yahoo",IFERROR(INDEX(DefaultAuctionValues!$B$2:$B$1000,MATCH(A204,DefaultAuctionValues!$A$2:$A$1000,0)),0),IF(LeagueInfo!$F$7="ESPN",IFERROR(INDEX(DefaultAuctionValues!$C$2:$C$1000,MATCH(A204,DefaultAuctionValues!$A$2:$A$1000,0)),0),IF(LeagueInfo!$F$7="Custom",IFERROR(INDEX(DefaultAuctionValues!$D$2:$D$1000,MATCH(A204,DefaultAuctionValues!$A$2:$A$1000,0)),0))))</f>
        <v>1</v>
      </c>
      <c r="L204" s="160">
        <f ca="1">I204-K204</f>
        <v>-1</v>
      </c>
      <c r="M204" s="175"/>
      <c r="N204" s="170">
        <f ca="1">INDEX(INDIRECT(""&amp;$B204&amp;"!Z2:Z628"),MATCH($A204,INDIRECT(""&amp;$B204&amp;"!B2:B628"),0))</f>
        <v>0</v>
      </c>
      <c r="O204" s="158" t="str">
        <f ca="1">IF(INDEX(INDIRECT(""&amp;$B204&amp;"!W2:W628"),MATCH($A204,INDIRECT(""&amp;$B204&amp;"!B2:B628"),0))=0,"",INDEX(INDIRECT(""&amp;$B204&amp;"!W2:W628"),MATCH($A204,INDIRECT(""&amp;$B204&amp;"!B2:B628"),0)))</f>
        <v/>
      </c>
    </row>
    <row r="205" spans="1:15" x14ac:dyDescent="0.25">
      <c r="A205" s="158" t="s">
        <v>201</v>
      </c>
      <c r="B205" s="158" t="s">
        <v>54</v>
      </c>
      <c r="C205" s="158">
        <f ca="1">IFERROR(INDEX(BYEs!$B$2:$B$33,MATCH(D205,BYEs!$A$2:$A$33,0)),"N/A")</f>
        <v>6</v>
      </c>
      <c r="D205" s="219" t="str">
        <f ca="1">INDEX(INDIRECT(""&amp;B205&amp;"!F2:F628"),MATCH(A205,INDIRECT(""&amp;B205&amp;"!B2:B628"),0))</f>
        <v>TEN</v>
      </c>
      <c r="E205" s="218" t="str">
        <f ca="1">INDEX(INDIRECT(""&amp;$B205&amp;"!AA2:AA628"),MATCH($A205,INDIRECT(""&amp;$B205&amp;"!B2:B628"),0))</f>
        <v>DEF5</v>
      </c>
      <c r="F205" s="159">
        <f ca="1">IF(LeagueInfo!$H$7="Starter/Bench",INDEX(INDIRECT(""&amp;B205&amp;"!T2:T628"),MATCH(A205,INDIRECT(""&amp;B205&amp;"!B2:B628"),0)),INDEX(INDIRECT(""&amp;B205&amp;"!AB2:AB628"),MATCH(A205,INDIRECT(""&amp;B205&amp;"!B2:B628"),0)))</f>
        <v>0</v>
      </c>
      <c r="G205" s="160">
        <f>IF(H205&gt;0,F205-H205,0)</f>
        <v>0</v>
      </c>
      <c r="H205" s="161"/>
      <c r="I205" s="160">
        <f ca="1">F205*$A$2</f>
        <v>0</v>
      </c>
      <c r="J205" s="160" t="s">
        <v>76</v>
      </c>
      <c r="K205" s="160">
        <f>IF(LeagueInfo!$F$7="Yahoo",IFERROR(INDEX(DefaultAuctionValues!$B$2:$B$1000,MATCH(A205,DefaultAuctionValues!$A$2:$A$1000,0)),0),IF(LeagueInfo!$F$7="ESPN",IFERROR(INDEX(DefaultAuctionValues!$C$2:$C$1000,MATCH(A205,DefaultAuctionValues!$A$2:$A$1000,0)),0),IF(LeagueInfo!$F$7="Custom",IFERROR(INDEX(DefaultAuctionValues!$D$2:$D$1000,MATCH(A205,DefaultAuctionValues!$A$2:$A$1000,0)),0))))</f>
        <v>1</v>
      </c>
      <c r="L205" s="160">
        <f ca="1">I205-K205</f>
        <v>-1</v>
      </c>
      <c r="M205" s="175"/>
      <c r="N205" s="170">
        <f ca="1">INDEX(INDIRECT(""&amp;$B205&amp;"!Z2:Z628"),MATCH($A205,INDIRECT(""&amp;$B205&amp;"!B2:B628"),0))</f>
        <v>0</v>
      </c>
      <c r="O205" s="158" t="str">
        <f ca="1">IF(INDEX(INDIRECT(""&amp;$B205&amp;"!W2:W628"),MATCH($A205,INDIRECT(""&amp;$B205&amp;"!B2:B628"),0))=0,"",INDEX(INDIRECT(""&amp;$B205&amp;"!W2:W628"),MATCH($A205,INDIRECT(""&amp;$B205&amp;"!B2:B628"),0)))</f>
        <v/>
      </c>
    </row>
    <row r="206" spans="1:15" x14ac:dyDescent="0.25">
      <c r="A206" s="158" t="s">
        <v>455</v>
      </c>
      <c r="B206" s="158" t="s">
        <v>54</v>
      </c>
      <c r="C206" s="158">
        <f ca="1">IFERROR(INDEX(BYEs!$B$2:$B$33,MATCH(D206,BYEs!$A$2:$A$33,0)),"N/A")</f>
        <v>13</v>
      </c>
      <c r="D206" s="219" t="str">
        <f ca="1">INDEX(INDIRECT(""&amp;B206&amp;"!F2:F628"),MATCH(A206,INDIRECT(""&amp;B206&amp;"!B2:B628"),0))</f>
        <v>CAR</v>
      </c>
      <c r="E206" s="218" t="str">
        <f ca="1">INDEX(INDIRECT(""&amp;$B206&amp;"!AA2:AA628"),MATCH($A206,INDIRECT(""&amp;$B206&amp;"!B2:B628"),0))</f>
        <v>DEF5</v>
      </c>
      <c r="F206" s="159">
        <f ca="1">IF(LeagueInfo!$H$7="Starter/Bench",INDEX(INDIRECT(""&amp;B206&amp;"!T2:T628"),MATCH(A206,INDIRECT(""&amp;B206&amp;"!B2:B628"),0)),INDEX(INDIRECT(""&amp;B206&amp;"!AB2:AB628"),MATCH(A206,INDIRECT(""&amp;B206&amp;"!B2:B628"),0)))</f>
        <v>0</v>
      </c>
      <c r="G206" s="160">
        <f>IF(H206&gt;0,F206-H206,0)</f>
        <v>0</v>
      </c>
      <c r="H206" s="161"/>
      <c r="I206" s="160">
        <f ca="1">F206*$A$2</f>
        <v>0</v>
      </c>
      <c r="J206" s="160" t="s">
        <v>76</v>
      </c>
      <c r="K206" s="160">
        <f>IF(LeagueInfo!$F$7="Yahoo",IFERROR(INDEX(DefaultAuctionValues!$B$2:$B$1000,MATCH(A206,DefaultAuctionValues!$A$2:$A$1000,0)),0),IF(LeagueInfo!$F$7="ESPN",IFERROR(INDEX(DefaultAuctionValues!$C$2:$C$1000,MATCH(A206,DefaultAuctionValues!$A$2:$A$1000,0)),0),IF(LeagueInfo!$F$7="Custom",IFERROR(INDEX(DefaultAuctionValues!$D$2:$D$1000,MATCH(A206,DefaultAuctionValues!$A$2:$A$1000,0)),0))))</f>
        <v>0</v>
      </c>
      <c r="L206" s="160">
        <f ca="1">I206-K206</f>
        <v>0</v>
      </c>
      <c r="M206" s="175"/>
      <c r="N206" s="170">
        <f ca="1">INDEX(INDIRECT(""&amp;$B206&amp;"!Z2:Z628"),MATCH($A206,INDIRECT(""&amp;$B206&amp;"!B2:B628"),0))</f>
        <v>0</v>
      </c>
      <c r="O206" s="158" t="str">
        <f ca="1">IF(INDEX(INDIRECT(""&amp;$B206&amp;"!W2:W628"),MATCH($A206,INDIRECT(""&amp;$B206&amp;"!B2:B628"),0))=0,"",INDEX(INDIRECT(""&amp;$B206&amp;"!W2:W628"),MATCH($A206,INDIRECT(""&amp;$B206&amp;"!B2:B628"),0)))</f>
        <v/>
      </c>
    </row>
    <row r="207" spans="1:15" x14ac:dyDescent="0.25">
      <c r="A207" s="158" t="s">
        <v>231</v>
      </c>
      <c r="B207" s="158" t="s">
        <v>54</v>
      </c>
      <c r="C207" s="158">
        <f ca="1">IFERROR(INDEX(BYEs!$B$2:$B$33,MATCH(D207,BYEs!$A$2:$A$33,0)),"N/A")</f>
        <v>9</v>
      </c>
      <c r="D207" s="219" t="str">
        <f ca="1">INDEX(INDIRECT(""&amp;B207&amp;"!F2:F628"),MATCH(A207,INDIRECT(""&amp;B207&amp;"!B2:B628"),0))</f>
        <v>NYG</v>
      </c>
      <c r="E207" s="218" t="str">
        <f ca="1">INDEX(INDIRECT(""&amp;$B207&amp;"!AA2:AA628"),MATCH($A207,INDIRECT(""&amp;$B207&amp;"!B2:B628"),0))</f>
        <v>DEF5</v>
      </c>
      <c r="F207" s="159">
        <f ca="1">IF(LeagueInfo!$H$7="Starter/Bench",INDEX(INDIRECT(""&amp;B207&amp;"!T2:T628"),MATCH(A207,INDIRECT(""&amp;B207&amp;"!B2:B628"),0)),INDEX(INDIRECT(""&amp;B207&amp;"!AB2:AB628"),MATCH(A207,INDIRECT(""&amp;B207&amp;"!B2:B628"),0)))</f>
        <v>0</v>
      </c>
      <c r="G207" s="160">
        <f>IF(H207&gt;0,F207-H207,0)</f>
        <v>0</v>
      </c>
      <c r="H207" s="161"/>
      <c r="I207" s="160">
        <f ca="1">F207*$A$2</f>
        <v>0</v>
      </c>
      <c r="J207" s="160" t="s">
        <v>76</v>
      </c>
      <c r="K207" s="160">
        <f>IF(LeagueInfo!$F$7="Yahoo",IFERROR(INDEX(DefaultAuctionValues!$B$2:$B$1000,MATCH(A207,DefaultAuctionValues!$A$2:$A$1000,0)),0),IF(LeagueInfo!$F$7="ESPN",IFERROR(INDEX(DefaultAuctionValues!$C$2:$C$1000,MATCH(A207,DefaultAuctionValues!$A$2:$A$1000,0)),0),IF(LeagueInfo!$F$7="Custom",IFERROR(INDEX(DefaultAuctionValues!$D$2:$D$1000,MATCH(A207,DefaultAuctionValues!$A$2:$A$1000,0)),0))))</f>
        <v>0</v>
      </c>
      <c r="L207" s="160">
        <f ca="1">I207-K207</f>
        <v>0</v>
      </c>
      <c r="M207" s="175"/>
      <c r="N207" s="170">
        <f ca="1">INDEX(INDIRECT(""&amp;$B207&amp;"!Z2:Z628"),MATCH($A207,INDIRECT(""&amp;$B207&amp;"!B2:B628"),0))</f>
        <v>0</v>
      </c>
      <c r="O207" s="158" t="str">
        <f ca="1">IF(INDEX(INDIRECT(""&amp;$B207&amp;"!W2:W628"),MATCH($A207,INDIRECT(""&amp;$B207&amp;"!B2:B628"),0))=0,"",INDEX(INDIRECT(""&amp;$B207&amp;"!W2:W628"),MATCH($A207,INDIRECT(""&amp;$B207&amp;"!B2:B628"),0)))</f>
        <v/>
      </c>
    </row>
    <row r="208" spans="1:15" x14ac:dyDescent="0.25">
      <c r="A208" s="158" t="s">
        <v>236</v>
      </c>
      <c r="B208" s="158" t="s">
        <v>54</v>
      </c>
      <c r="C208" s="158">
        <f ca="1">IFERROR(INDEX(BYEs!$B$2:$B$33,MATCH(D208,BYEs!$A$2:$A$33,0)),"N/A")</f>
        <v>11</v>
      </c>
      <c r="D208" s="219" t="str">
        <f ca="1">INDEX(INDIRECT(""&amp;B208&amp;"!F2:F628"),MATCH(A208,INDIRECT(""&amp;B208&amp;"!B2:B628"),0))</f>
        <v>JAC</v>
      </c>
      <c r="E208" s="218" t="str">
        <f ca="1">INDEX(INDIRECT(""&amp;$B208&amp;"!AA2:AA628"),MATCH($A208,INDIRECT(""&amp;$B208&amp;"!B2:B628"),0))</f>
        <v>DEF5</v>
      </c>
      <c r="F208" s="159">
        <f ca="1">IF(LeagueInfo!$H$7="Starter/Bench",INDEX(INDIRECT(""&amp;B208&amp;"!T2:T628"),MATCH(A208,INDIRECT(""&amp;B208&amp;"!B2:B628"),0)),INDEX(INDIRECT(""&amp;B208&amp;"!AB2:AB628"),MATCH(A208,INDIRECT(""&amp;B208&amp;"!B2:B628"),0)))</f>
        <v>0</v>
      </c>
      <c r="G208" s="160">
        <f>IF(H208&gt;0,F208-H208,0)</f>
        <v>0</v>
      </c>
      <c r="H208" s="161"/>
      <c r="I208" s="160">
        <f ca="1">F208*$A$2</f>
        <v>0</v>
      </c>
      <c r="J208" s="160" t="s">
        <v>76</v>
      </c>
      <c r="K208" s="160">
        <f>IF(LeagueInfo!$F$7="Yahoo",IFERROR(INDEX(DefaultAuctionValues!$B$2:$B$1000,MATCH(A208,DefaultAuctionValues!$A$2:$A$1000,0)),0),IF(LeagueInfo!$F$7="ESPN",IFERROR(INDEX(DefaultAuctionValues!$C$2:$C$1000,MATCH(A208,DefaultAuctionValues!$A$2:$A$1000,0)),0),IF(LeagueInfo!$F$7="Custom",IFERROR(INDEX(DefaultAuctionValues!$D$2:$D$1000,MATCH(A208,DefaultAuctionValues!$A$2:$A$1000,0)),0))))</f>
        <v>0</v>
      </c>
      <c r="L208" s="160">
        <f ca="1">I208-K208</f>
        <v>0</v>
      </c>
      <c r="M208" s="175"/>
      <c r="N208" s="170">
        <f ca="1">INDEX(INDIRECT(""&amp;$B208&amp;"!Z2:Z628"),MATCH($A208,INDIRECT(""&amp;$B208&amp;"!B2:B628"),0))</f>
        <v>0</v>
      </c>
      <c r="O208" s="158" t="str">
        <f ca="1">IF(INDEX(INDIRECT(""&amp;$B208&amp;"!W2:W628"),MATCH($A208,INDIRECT(""&amp;$B208&amp;"!B2:B628"),0))=0,"",INDEX(INDIRECT(""&amp;$B208&amp;"!W2:W628"),MATCH($A208,INDIRECT(""&amp;$B208&amp;"!B2:B628"),0)))</f>
        <v/>
      </c>
    </row>
    <row r="209" spans="1:15" x14ac:dyDescent="0.25">
      <c r="A209" s="158" t="s">
        <v>160</v>
      </c>
      <c r="B209" s="158" t="s">
        <v>54</v>
      </c>
      <c r="C209" s="158">
        <f ca="1">IFERROR(INDEX(BYEs!$B$2:$B$33,MATCH(D209,BYEs!$A$2:$A$33,0)),"N/A")</f>
        <v>11</v>
      </c>
      <c r="D209" s="219" t="str">
        <f ca="1">INDEX(INDIRECT(""&amp;B209&amp;"!F2:F628"),MATCH(A209,INDIRECT(""&amp;B209&amp;"!B2:B628"),0))</f>
        <v>SEA</v>
      </c>
      <c r="E209" s="218" t="str">
        <f ca="1">INDEX(INDIRECT(""&amp;$B209&amp;"!AA2:AA628"),MATCH($A209,INDIRECT(""&amp;$B209&amp;"!B2:B628"),0))</f>
        <v>DEF5</v>
      </c>
      <c r="F209" s="159">
        <f ca="1">IF(LeagueInfo!$H$7="Starter/Bench",INDEX(INDIRECT(""&amp;B209&amp;"!T2:T628"),MATCH(A209,INDIRECT(""&amp;B209&amp;"!B2:B628"),0)),INDEX(INDIRECT(""&amp;B209&amp;"!AB2:AB628"),MATCH(A209,INDIRECT(""&amp;B209&amp;"!B2:B628"),0)))</f>
        <v>0</v>
      </c>
      <c r="G209" s="160">
        <f>IF(H209&gt;0,F209-H209,0)</f>
        <v>0</v>
      </c>
      <c r="H209" s="161"/>
      <c r="I209" s="160">
        <f ca="1">F209*$A$2</f>
        <v>0</v>
      </c>
      <c r="J209" s="160" t="s">
        <v>76</v>
      </c>
      <c r="K209" s="160">
        <f>IF(LeagueInfo!$F$7="Yahoo",IFERROR(INDEX(DefaultAuctionValues!$B$2:$B$1000,MATCH(A209,DefaultAuctionValues!$A$2:$A$1000,0)),0),IF(LeagueInfo!$F$7="ESPN",IFERROR(INDEX(DefaultAuctionValues!$C$2:$C$1000,MATCH(A209,DefaultAuctionValues!$A$2:$A$1000,0)),0),IF(LeagueInfo!$F$7="Custom",IFERROR(INDEX(DefaultAuctionValues!$D$2:$D$1000,MATCH(A209,DefaultAuctionValues!$A$2:$A$1000,0)),0))))</f>
        <v>0</v>
      </c>
      <c r="L209" s="160">
        <f ca="1">I209-K209</f>
        <v>0</v>
      </c>
      <c r="M209" s="175"/>
      <c r="N209" s="170">
        <f ca="1">INDEX(INDIRECT(""&amp;$B209&amp;"!Z2:Z628"),MATCH($A209,INDIRECT(""&amp;$B209&amp;"!B2:B628"),0))</f>
        <v>0</v>
      </c>
      <c r="O209" s="158" t="str">
        <f ca="1">IF(INDEX(INDIRECT(""&amp;$B209&amp;"!W2:W628"),MATCH($A209,INDIRECT(""&amp;$B209&amp;"!B2:B628"),0))=0,"",INDEX(INDIRECT(""&amp;$B209&amp;"!W2:W628"),MATCH($A209,INDIRECT(""&amp;$B209&amp;"!B2:B628"),0)))</f>
        <v/>
      </c>
    </row>
    <row r="210" spans="1:15" x14ac:dyDescent="0.25">
      <c r="A210" s="158" t="s">
        <v>177</v>
      </c>
      <c r="B210" s="158" t="s">
        <v>54</v>
      </c>
      <c r="C210" s="158">
        <f ca="1">IFERROR(INDEX(BYEs!$B$2:$B$33,MATCH(D210,BYEs!$A$2:$A$33,0)),"N/A")</f>
        <v>6</v>
      </c>
      <c r="D210" s="219" t="str">
        <f ca="1">INDEX(INDIRECT(""&amp;B210&amp;"!F2:F628"),MATCH(A210,INDIRECT(""&amp;B210&amp;"!B2:B628"),0))</f>
        <v>HOU</v>
      </c>
      <c r="E210" s="218" t="str">
        <f ca="1">INDEX(INDIRECT(""&amp;$B210&amp;"!AA2:AA628"),MATCH($A210,INDIRECT(""&amp;$B210&amp;"!B2:B628"),0))</f>
        <v>DEF5</v>
      </c>
      <c r="F210" s="159">
        <f ca="1">IF(LeagueInfo!$H$7="Starter/Bench",INDEX(INDIRECT(""&amp;B210&amp;"!T2:T628"),MATCH(A210,INDIRECT(""&amp;B210&amp;"!B2:B628"),0)),INDEX(INDIRECT(""&amp;B210&amp;"!AB2:AB628"),MATCH(A210,INDIRECT(""&amp;B210&amp;"!B2:B628"),0)))</f>
        <v>0</v>
      </c>
      <c r="G210" s="160">
        <f>IF(H210&gt;0,F210-H210,0)</f>
        <v>0</v>
      </c>
      <c r="H210" s="161"/>
      <c r="I210" s="160">
        <f ca="1">F210*$A$2</f>
        <v>0</v>
      </c>
      <c r="J210" s="160" t="s">
        <v>76</v>
      </c>
      <c r="K210" s="160">
        <f>IF(LeagueInfo!$F$7="Yahoo",IFERROR(INDEX(DefaultAuctionValues!$B$2:$B$1000,MATCH(A210,DefaultAuctionValues!$A$2:$A$1000,0)),0),IF(LeagueInfo!$F$7="ESPN",IFERROR(INDEX(DefaultAuctionValues!$C$2:$C$1000,MATCH(A210,DefaultAuctionValues!$A$2:$A$1000,0)),0),IF(LeagueInfo!$F$7="Custom",IFERROR(INDEX(DefaultAuctionValues!$D$2:$D$1000,MATCH(A210,DefaultAuctionValues!$A$2:$A$1000,0)),0))))</f>
        <v>0</v>
      </c>
      <c r="L210" s="160">
        <f ca="1">I210-K210</f>
        <v>0</v>
      </c>
      <c r="M210" s="175"/>
      <c r="N210" s="170">
        <f ca="1">INDEX(INDIRECT(""&amp;$B210&amp;"!Z2:Z628"),MATCH($A210,INDIRECT(""&amp;$B210&amp;"!B2:B628"),0))</f>
        <v>0</v>
      </c>
      <c r="O210" s="158" t="str">
        <f ca="1">IF(INDEX(INDIRECT(""&amp;$B210&amp;"!W2:W628"),MATCH($A210,INDIRECT(""&amp;$B210&amp;"!B2:B628"),0))=0,"",INDEX(INDIRECT(""&amp;$B210&amp;"!W2:W628"),MATCH($A210,INDIRECT(""&amp;$B210&amp;"!B2:B628"),0)))</f>
        <v/>
      </c>
    </row>
    <row r="211" spans="1:15" x14ac:dyDescent="0.25">
      <c r="A211" s="158" t="s">
        <v>244</v>
      </c>
      <c r="B211" s="158" t="s">
        <v>54</v>
      </c>
      <c r="C211" s="158">
        <f ca="1">IFERROR(INDEX(BYEs!$B$2:$B$33,MATCH(D211,BYEs!$A$2:$A$33,0)),"N/A")</f>
        <v>10</v>
      </c>
      <c r="D211" s="219" t="str">
        <f ca="1">INDEX(INDIRECT(""&amp;B211&amp;"!F2:F628"),MATCH(A211,INDIRECT(""&amp;B211&amp;"!B2:B628"),0))</f>
        <v>NYJ</v>
      </c>
      <c r="E211" s="218" t="str">
        <f ca="1">INDEX(INDIRECT(""&amp;$B211&amp;"!AA2:AA628"),MATCH($A211,INDIRECT(""&amp;$B211&amp;"!B2:B628"),0))</f>
        <v>DEF5</v>
      </c>
      <c r="F211" s="159">
        <f ca="1">IF(LeagueInfo!$H$7="Starter/Bench",INDEX(INDIRECT(""&amp;B211&amp;"!T2:T628"),MATCH(A211,INDIRECT(""&amp;B211&amp;"!B2:B628"),0)),INDEX(INDIRECT(""&amp;B211&amp;"!AB2:AB628"),MATCH(A211,INDIRECT(""&amp;B211&amp;"!B2:B628"),0)))</f>
        <v>0</v>
      </c>
      <c r="G211" s="160">
        <f>IF(H211&gt;0,F211-H211,0)</f>
        <v>0</v>
      </c>
      <c r="H211" s="161"/>
      <c r="I211" s="160">
        <f ca="1">F211*$A$2</f>
        <v>0</v>
      </c>
      <c r="J211" s="160" t="s">
        <v>76</v>
      </c>
      <c r="K211" s="160">
        <f>IF(LeagueInfo!$F$7="Yahoo",IFERROR(INDEX(DefaultAuctionValues!$B$2:$B$1000,MATCH(A211,DefaultAuctionValues!$A$2:$A$1000,0)),0),IF(LeagueInfo!$F$7="ESPN",IFERROR(INDEX(DefaultAuctionValues!$C$2:$C$1000,MATCH(A211,DefaultAuctionValues!$A$2:$A$1000,0)),0),IF(LeagueInfo!$F$7="Custom",IFERROR(INDEX(DefaultAuctionValues!$D$2:$D$1000,MATCH(A211,DefaultAuctionValues!$A$2:$A$1000,0)),0))))</f>
        <v>0</v>
      </c>
      <c r="L211" s="160">
        <f ca="1">I211-K211</f>
        <v>0</v>
      </c>
      <c r="M211" s="175"/>
      <c r="N211" s="170">
        <f ca="1">INDEX(INDIRECT(""&amp;$B211&amp;"!Z2:Z628"),MATCH($A211,INDIRECT(""&amp;$B211&amp;"!B2:B628"),0))</f>
        <v>0</v>
      </c>
      <c r="O211" s="158" t="str">
        <f ca="1">IF(INDEX(INDIRECT(""&amp;$B211&amp;"!W2:W628"),MATCH($A211,INDIRECT(""&amp;$B211&amp;"!B2:B628"),0))=0,"",INDEX(INDIRECT(""&amp;$B211&amp;"!W2:W628"),MATCH($A211,INDIRECT(""&amp;$B211&amp;"!B2:B628"),0)))</f>
        <v/>
      </c>
    </row>
    <row r="212" spans="1:15" x14ac:dyDescent="0.25">
      <c r="A212" s="158" t="s">
        <v>812</v>
      </c>
      <c r="B212" s="158" t="s">
        <v>54</v>
      </c>
      <c r="C212" s="158">
        <f ca="1">IFERROR(INDEX(BYEs!$B$2:$B$33,MATCH(D212,BYEs!$A$2:$A$33,0)),"N/A")</f>
        <v>6</v>
      </c>
      <c r="D212" s="219" t="str">
        <f ca="1">INDEX(INDIRECT(""&amp;B212&amp;"!F2:F628"),MATCH(A212,INDIRECT(""&amp;B212&amp;"!B2:B628"),0))</f>
        <v>LV</v>
      </c>
      <c r="E212" s="218" t="str">
        <f ca="1">INDEX(INDIRECT(""&amp;$B212&amp;"!AA2:AA628"),MATCH($A212,INDIRECT(""&amp;$B212&amp;"!B2:B628"),0))</f>
        <v>DEF5</v>
      </c>
      <c r="F212" s="159">
        <f ca="1">IF(LeagueInfo!$H$7="Starter/Bench",INDEX(INDIRECT(""&amp;B212&amp;"!T2:T628"),MATCH(A212,INDIRECT(""&amp;B212&amp;"!B2:B628"),0)),INDEX(INDIRECT(""&amp;B212&amp;"!AB2:AB628"),MATCH(A212,INDIRECT(""&amp;B212&amp;"!B2:B628"),0)))</f>
        <v>0</v>
      </c>
      <c r="G212" s="160">
        <f>IF(H212&gt;0,F212-H212,0)</f>
        <v>0</v>
      </c>
      <c r="H212" s="161"/>
      <c r="I212" s="160">
        <f ca="1">F212*$A$2</f>
        <v>0</v>
      </c>
      <c r="J212" s="160" t="s">
        <v>76</v>
      </c>
      <c r="K212" s="160">
        <f>IF(LeagueInfo!$F$7="Yahoo",IFERROR(INDEX(DefaultAuctionValues!$B$2:$B$1000,MATCH(A212,DefaultAuctionValues!$A$2:$A$1000,0)),0),IF(LeagueInfo!$F$7="ESPN",IFERROR(INDEX(DefaultAuctionValues!$C$2:$C$1000,MATCH(A212,DefaultAuctionValues!$A$2:$A$1000,0)),0),IF(LeagueInfo!$F$7="Custom",IFERROR(INDEX(DefaultAuctionValues!$D$2:$D$1000,MATCH(A212,DefaultAuctionValues!$A$2:$A$1000,0)),0))))</f>
        <v>1</v>
      </c>
      <c r="L212" s="160">
        <f ca="1">I212-K212</f>
        <v>-1</v>
      </c>
      <c r="M212" s="175"/>
      <c r="N212" s="170">
        <f ca="1">INDEX(INDIRECT(""&amp;$B212&amp;"!Z2:Z628"),MATCH($A212,INDIRECT(""&amp;$B212&amp;"!B2:B628"),0))</f>
        <v>0</v>
      </c>
      <c r="O212" s="158" t="str">
        <f ca="1">IF(INDEX(INDIRECT(""&amp;$B212&amp;"!W2:W628"),MATCH($A212,INDIRECT(""&amp;$B212&amp;"!B2:B628"),0))=0,"",INDEX(INDIRECT(""&amp;$B212&amp;"!W2:W628"),MATCH($A212,INDIRECT(""&amp;$B212&amp;"!B2:B628"),0)))</f>
        <v/>
      </c>
    </row>
    <row r="213" spans="1:15" x14ac:dyDescent="0.25">
      <c r="A213" s="158" t="s">
        <v>459</v>
      </c>
      <c r="B213" s="158" t="s">
        <v>54</v>
      </c>
      <c r="C213" s="158">
        <f ca="1">IFERROR(INDEX(BYEs!$B$2:$B$33,MATCH(D213,BYEs!$A$2:$A$33,0)),"N/A")</f>
        <v>6</v>
      </c>
      <c r="D213" s="219" t="str">
        <f ca="1">INDEX(INDIRECT(""&amp;B213&amp;"!F2:F628"),MATCH(A213,INDIRECT(""&amp;B213&amp;"!B2:B628"),0))</f>
        <v>DET</v>
      </c>
      <c r="E213" s="218" t="str">
        <f ca="1">INDEX(INDIRECT(""&amp;$B213&amp;"!AA2:AA628"),MATCH($A213,INDIRECT(""&amp;$B213&amp;"!B2:B628"),0))</f>
        <v>DEF5</v>
      </c>
      <c r="F213" s="159">
        <f ca="1">IF(LeagueInfo!$H$7="Starter/Bench",INDEX(INDIRECT(""&amp;B213&amp;"!T2:T628"),MATCH(A213,INDIRECT(""&amp;B213&amp;"!B2:B628"),0)),INDEX(INDIRECT(""&amp;B213&amp;"!AB2:AB628"),MATCH(A213,INDIRECT(""&amp;B213&amp;"!B2:B628"),0)))</f>
        <v>0</v>
      </c>
      <c r="G213" s="160">
        <f>IF(H213&gt;0,F213-H213,0)</f>
        <v>0</v>
      </c>
      <c r="H213" s="161"/>
      <c r="I213" s="160">
        <f ca="1">F213*$A$2</f>
        <v>0</v>
      </c>
      <c r="J213" s="160" t="s">
        <v>76</v>
      </c>
      <c r="K213" s="160">
        <f>IF(LeagueInfo!$F$7="Yahoo",IFERROR(INDEX(DefaultAuctionValues!$B$2:$B$1000,MATCH(A213,DefaultAuctionValues!$A$2:$A$1000,0)),0),IF(LeagueInfo!$F$7="ESPN",IFERROR(INDEX(DefaultAuctionValues!$C$2:$C$1000,MATCH(A213,DefaultAuctionValues!$A$2:$A$1000,0)),0),IF(LeagueInfo!$F$7="Custom",IFERROR(INDEX(DefaultAuctionValues!$D$2:$D$1000,MATCH(A213,DefaultAuctionValues!$A$2:$A$1000,0)),0))))</f>
        <v>0</v>
      </c>
      <c r="L213" s="160">
        <f ca="1">I213-K213</f>
        <v>0</v>
      </c>
      <c r="M213" s="175"/>
      <c r="N213" s="170">
        <f ca="1">INDEX(INDIRECT(""&amp;$B213&amp;"!Z2:Z628"),MATCH($A213,INDIRECT(""&amp;$B213&amp;"!B2:B628"),0))</f>
        <v>0</v>
      </c>
      <c r="O213" s="158" t="str">
        <f ca="1">IF(INDEX(INDIRECT(""&amp;$B213&amp;"!W2:W628"),MATCH($A213,INDIRECT(""&amp;$B213&amp;"!B2:B628"),0))=0,"",INDEX(INDIRECT(""&amp;$B213&amp;"!W2:W628"),MATCH($A213,INDIRECT(""&amp;$B213&amp;"!B2:B628"),0)))</f>
        <v/>
      </c>
    </row>
    <row r="214" spans="1:15" x14ac:dyDescent="0.25">
      <c r="A214" s="158" t="s">
        <v>178</v>
      </c>
      <c r="B214" s="158" t="s">
        <v>54</v>
      </c>
      <c r="C214" s="158">
        <f ca="1">IFERROR(INDEX(BYEs!$B$2:$B$33,MATCH(D214,BYEs!$A$2:$A$33,0)),"N/A")</f>
        <v>14</v>
      </c>
      <c r="D214" s="219" t="str">
        <f ca="1">INDEX(INDIRECT(""&amp;B214&amp;"!F2:F628"),MATCH(A214,INDIRECT(""&amp;B214&amp;"!B2:B628"),0))</f>
        <v>ATL</v>
      </c>
      <c r="E214" s="218" t="str">
        <f ca="1">INDEX(INDIRECT(""&amp;$B214&amp;"!AA2:AA628"),MATCH($A214,INDIRECT(""&amp;$B214&amp;"!B2:B628"),0))</f>
        <v>DEF5</v>
      </c>
      <c r="F214" s="159">
        <f ca="1">IF(LeagueInfo!$H$7="Starter/Bench",INDEX(INDIRECT(""&amp;B214&amp;"!T2:T628"),MATCH(A214,INDIRECT(""&amp;B214&amp;"!B2:B628"),0)),INDEX(INDIRECT(""&amp;B214&amp;"!AB2:AB628"),MATCH(A214,INDIRECT(""&amp;B214&amp;"!B2:B628"),0)))</f>
        <v>0</v>
      </c>
      <c r="G214" s="160">
        <f>IF(H214&gt;0,F214-H214,0)</f>
        <v>0</v>
      </c>
      <c r="H214" s="161"/>
      <c r="I214" s="160">
        <f ca="1">F214*$A$2</f>
        <v>0</v>
      </c>
      <c r="J214" s="160" t="s">
        <v>76</v>
      </c>
      <c r="K214" s="160">
        <f>IF(LeagueInfo!$F$7="Yahoo",IFERROR(INDEX(DefaultAuctionValues!$B$2:$B$1000,MATCH(A214,DefaultAuctionValues!$A$2:$A$1000,0)),0),IF(LeagueInfo!$F$7="ESPN",IFERROR(INDEX(DefaultAuctionValues!$C$2:$C$1000,MATCH(A214,DefaultAuctionValues!$A$2:$A$1000,0)),0),IF(LeagueInfo!$F$7="Custom",IFERROR(INDEX(DefaultAuctionValues!$D$2:$D$1000,MATCH(A214,DefaultAuctionValues!$A$2:$A$1000,0)),0))))</f>
        <v>0</v>
      </c>
      <c r="L214" s="160">
        <f ca="1">I214-K214</f>
        <v>0</v>
      </c>
      <c r="M214" s="175"/>
      <c r="N214" s="170">
        <f ca="1">INDEX(INDIRECT(""&amp;$B214&amp;"!Z2:Z628"),MATCH($A214,INDIRECT(""&amp;$B214&amp;"!B2:B628"),0))</f>
        <v>0</v>
      </c>
      <c r="O214" s="158" t="str">
        <f ca="1">IF(INDEX(INDIRECT(""&amp;$B214&amp;"!W2:W628"),MATCH($A214,INDIRECT(""&amp;$B214&amp;"!B2:B628"),0))=0,"",INDEX(INDIRECT(""&amp;$B214&amp;"!W2:W628"),MATCH($A214,INDIRECT(""&amp;$B214&amp;"!B2:B628"),0)))</f>
        <v/>
      </c>
    </row>
    <row r="215" spans="1:15" x14ac:dyDescent="0.25">
      <c r="A215" s="158" t="s">
        <v>448</v>
      </c>
      <c r="B215" s="158" t="s">
        <v>48</v>
      </c>
      <c r="C215" s="158">
        <f ca="1">IFERROR(INDEX(BYEs!$B$2:$B$33,MATCH(D215,BYEs!$A$2:$A$33,0)),"N/A")</f>
        <v>9</v>
      </c>
      <c r="D215" s="219" t="str">
        <f ca="1">INDEX(INDIRECT(""&amp;B215&amp;"!F2:F628"),MATCH(A215,INDIRECT(""&amp;B215&amp;"!B2:B628"),0))</f>
        <v>SF</v>
      </c>
      <c r="E215" s="218" t="str">
        <f ca="1">INDEX(INDIRECT(""&amp;$B215&amp;"!AA2:AA628"),MATCH($A215,INDIRECT(""&amp;$B215&amp;"!B2:B628"),0))</f>
        <v>K1</v>
      </c>
      <c r="F215" s="159">
        <f ca="1">IF(LeagueInfo!$H$7="Starter/Bench",INDEX(INDIRECT(""&amp;B215&amp;"!T2:T628"),MATCH(A215,INDIRECT(""&amp;B215&amp;"!B2:B628"),0)),INDEX(INDIRECT(""&amp;B215&amp;"!AB2:AB628"),MATCH(A215,INDIRECT(""&amp;B215&amp;"!B2:B628"),0)))</f>
        <v>0</v>
      </c>
      <c r="G215" s="160">
        <f>IF(H215&gt;0,F215-H215,0)</f>
        <v>0</v>
      </c>
      <c r="H215" s="161"/>
      <c r="I215" s="160">
        <f ca="1">F215*$A$2</f>
        <v>0</v>
      </c>
      <c r="J215" s="160" t="s">
        <v>76</v>
      </c>
      <c r="K215" s="160">
        <f>IF(LeagueInfo!$F$7="Yahoo",IFERROR(INDEX(DefaultAuctionValues!$B$2:$B$1000,MATCH(A215,DefaultAuctionValues!$A$2:$A$1000,0)),0),IF(LeagueInfo!$F$7="ESPN",IFERROR(INDEX(DefaultAuctionValues!$C$2:$C$1000,MATCH(A215,DefaultAuctionValues!$A$2:$A$1000,0)),0),IF(LeagueInfo!$F$7="Custom",IFERROR(INDEX(DefaultAuctionValues!$D$2:$D$1000,MATCH(A215,DefaultAuctionValues!$A$2:$A$1000,0)),0))))</f>
        <v>1</v>
      </c>
      <c r="L215" s="160">
        <f ca="1">I215-K215</f>
        <v>-1</v>
      </c>
      <c r="M215" s="175"/>
      <c r="N215" s="170">
        <f ca="1">INDEX(INDIRECT(""&amp;$B215&amp;"!Z2:Z628"),MATCH($A215,INDIRECT(""&amp;$B215&amp;"!B2:B628"),0))</f>
        <v>-0.59999999999999432</v>
      </c>
      <c r="O215" s="158" t="str">
        <f ca="1">IF(INDEX(INDIRECT(""&amp;$B215&amp;"!W2:W628"),MATCH($A215,INDIRECT(""&amp;$B215&amp;"!B2:B628"),0))=0,"",INDEX(INDIRECT(""&amp;$B215&amp;"!W2:W628"),MATCH($A215,INDIRECT(""&amp;$B215&amp;"!B2:B628"),0)))</f>
        <v/>
      </c>
    </row>
    <row r="216" spans="1:15" x14ac:dyDescent="0.25">
      <c r="A216" s="158" t="s">
        <v>239</v>
      </c>
      <c r="B216" s="158" t="s">
        <v>48</v>
      </c>
      <c r="C216" s="158">
        <f ca="1">IFERROR(INDEX(BYEs!$B$2:$B$33,MATCH(D216,BYEs!$A$2:$A$33,0)),"N/A")</f>
        <v>9</v>
      </c>
      <c r="D216" s="219" t="str">
        <f ca="1">INDEX(INDIRECT(""&amp;B216&amp;"!F2:F628"),MATCH(A216,INDIRECT(""&amp;B216&amp;"!B2:B628"),0))</f>
        <v>DEN</v>
      </c>
      <c r="E216" s="218" t="str">
        <f ca="1">INDEX(INDIRECT(""&amp;$B216&amp;"!AA2:AA628"),MATCH($A216,INDIRECT(""&amp;$B216&amp;"!B2:B628"),0))</f>
        <v>K1</v>
      </c>
      <c r="F216" s="159">
        <f ca="1">IF(LeagueInfo!$H$7="Starter/Bench",INDEX(INDIRECT(""&amp;B216&amp;"!T2:T628"),MATCH(A216,INDIRECT(""&amp;B216&amp;"!B2:B628"),0)),INDEX(INDIRECT(""&amp;B216&amp;"!AB2:AB628"),MATCH(A216,INDIRECT(""&amp;B216&amp;"!B2:B628"),0)))</f>
        <v>0</v>
      </c>
      <c r="G216" s="160">
        <f>IF(H216&gt;0,F216-H216,0)</f>
        <v>0</v>
      </c>
      <c r="H216" s="161"/>
      <c r="I216" s="160">
        <f ca="1">F216*$A$2</f>
        <v>0</v>
      </c>
      <c r="J216" s="160" t="s">
        <v>76</v>
      </c>
      <c r="K216" s="160">
        <f>IF(LeagueInfo!$F$7="Yahoo",IFERROR(INDEX(DefaultAuctionValues!$B$2:$B$1000,MATCH(A216,DefaultAuctionValues!$A$2:$A$1000,0)),0),IF(LeagueInfo!$F$7="ESPN",IFERROR(INDEX(DefaultAuctionValues!$C$2:$C$1000,MATCH(A216,DefaultAuctionValues!$A$2:$A$1000,0)),0),IF(LeagueInfo!$F$7="Custom",IFERROR(INDEX(DefaultAuctionValues!$D$2:$D$1000,MATCH(A216,DefaultAuctionValues!$A$2:$A$1000,0)),0))))</f>
        <v>1</v>
      </c>
      <c r="L216" s="160">
        <f ca="1">I216-K216</f>
        <v>-1</v>
      </c>
      <c r="M216" s="175"/>
      <c r="N216" s="170">
        <f ca="1">INDEX(INDIRECT(""&amp;$B216&amp;"!Z2:Z628"),MATCH($A216,INDIRECT(""&amp;$B216&amp;"!B2:B628"),0))</f>
        <v>-1.4000000000000057</v>
      </c>
      <c r="O216" s="158" t="str">
        <f ca="1">IF(INDEX(INDIRECT(""&amp;$B216&amp;"!W2:W628"),MATCH($A216,INDIRECT(""&amp;$B216&amp;"!B2:B628"),0))=0,"",INDEX(INDIRECT(""&amp;$B216&amp;"!W2:W628"),MATCH($A216,INDIRECT(""&amp;$B216&amp;"!B2:B628"),0)))</f>
        <v/>
      </c>
    </row>
    <row r="217" spans="1:15" x14ac:dyDescent="0.25">
      <c r="A217" s="158" t="s">
        <v>249</v>
      </c>
      <c r="B217" s="158" t="s">
        <v>48</v>
      </c>
      <c r="C217" s="158">
        <f ca="1">IFERROR(INDEX(BYEs!$B$2:$B$33,MATCH(D217,BYEs!$A$2:$A$33,0)),"N/A")</f>
        <v>8</v>
      </c>
      <c r="D217" s="219" t="str">
        <f ca="1">INDEX(INDIRECT(""&amp;B217&amp;"!F2:F628"),MATCH(A217,INDIRECT(""&amp;B217&amp;"!B2:B628"),0))</f>
        <v>LAC</v>
      </c>
      <c r="E217" s="218" t="str">
        <f ca="1">INDEX(INDIRECT(""&amp;$B217&amp;"!AA2:AA628"),MATCH($A217,INDIRECT(""&amp;$B217&amp;"!B2:B628"),0))</f>
        <v>K1</v>
      </c>
      <c r="F217" s="159">
        <f ca="1">IF(LeagueInfo!$H$7="Starter/Bench",INDEX(INDIRECT(""&amp;B217&amp;"!T2:T628"),MATCH(A217,INDIRECT(""&amp;B217&amp;"!B2:B628"),0)),INDEX(INDIRECT(""&amp;B217&amp;"!AB2:AB628"),MATCH(A217,INDIRECT(""&amp;B217&amp;"!B2:B628"),0)))</f>
        <v>0</v>
      </c>
      <c r="G217" s="160">
        <f>IF(H217&gt;0,F217-H217,0)</f>
        <v>0</v>
      </c>
      <c r="H217" s="161"/>
      <c r="I217" s="160">
        <f ca="1">F217*$A$2</f>
        <v>0</v>
      </c>
      <c r="J217" s="160" t="s">
        <v>76</v>
      </c>
      <c r="K217" s="160">
        <f>IF(LeagueInfo!$F$7="Yahoo",IFERROR(INDEX(DefaultAuctionValues!$B$2:$B$1000,MATCH(A217,DefaultAuctionValues!$A$2:$A$1000,0)),0),IF(LeagueInfo!$F$7="ESPN",IFERROR(INDEX(DefaultAuctionValues!$C$2:$C$1000,MATCH(A217,DefaultAuctionValues!$A$2:$A$1000,0)),0),IF(LeagueInfo!$F$7="Custom",IFERROR(INDEX(DefaultAuctionValues!$D$2:$D$1000,MATCH(A217,DefaultAuctionValues!$A$2:$A$1000,0)),0))))</f>
        <v>1</v>
      </c>
      <c r="L217" s="160">
        <f ca="1">I217-K217</f>
        <v>-1</v>
      </c>
      <c r="M217" s="175"/>
      <c r="N217" s="170">
        <f ca="1">INDEX(INDIRECT(""&amp;$B217&amp;"!Z2:Z628"),MATCH($A217,INDIRECT(""&amp;$B217&amp;"!B2:B628"),0))</f>
        <v>-2.5</v>
      </c>
      <c r="O217" s="158" t="str">
        <f ca="1">IF(INDEX(INDIRECT(""&amp;$B217&amp;"!W2:W628"),MATCH($A217,INDIRECT(""&amp;$B217&amp;"!B2:B628"),0))=0,"",INDEX(INDIRECT(""&amp;$B217&amp;"!W2:W628"),MATCH($A217,INDIRECT(""&amp;$B217&amp;"!B2:B628"),0)))</f>
        <v/>
      </c>
    </row>
    <row r="218" spans="1:15" x14ac:dyDescent="0.25">
      <c r="A218" s="158" t="s">
        <v>179</v>
      </c>
      <c r="B218" s="158" t="s">
        <v>48</v>
      </c>
      <c r="C218" s="158">
        <f ca="1">IFERROR(INDEX(BYEs!$B$2:$B$33,MATCH(D218,BYEs!$A$2:$A$33,0)),"N/A")</f>
        <v>9</v>
      </c>
      <c r="D218" s="219" t="str">
        <f ca="1">INDEX(INDIRECT(""&amp;B218&amp;"!F2:F628"),MATCH(A218,INDIRECT(""&amp;B218&amp;"!B2:B628"),0))</f>
        <v>PIT</v>
      </c>
      <c r="E218" s="218" t="str">
        <f ca="1">INDEX(INDIRECT(""&amp;$B218&amp;"!AA2:AA628"),MATCH($A218,INDIRECT(""&amp;$B218&amp;"!B2:B628"),0))</f>
        <v>K2</v>
      </c>
      <c r="F218" s="159">
        <f ca="1">IF(LeagueInfo!$H$7="Starter/Bench",INDEX(INDIRECT(""&amp;B218&amp;"!T2:T628"),MATCH(A218,INDIRECT(""&amp;B218&amp;"!B2:B628"),0)),INDEX(INDIRECT(""&amp;B218&amp;"!AB2:AB628"),MATCH(A218,INDIRECT(""&amp;B218&amp;"!B2:B628"),0)))</f>
        <v>0</v>
      </c>
      <c r="G218" s="160">
        <f>IF(H218&gt;0,F218-H218,0)</f>
        <v>0</v>
      </c>
      <c r="H218" s="161"/>
      <c r="I218" s="160">
        <f ca="1">F218*$A$2</f>
        <v>0</v>
      </c>
      <c r="J218" s="160" t="s">
        <v>76</v>
      </c>
      <c r="K218" s="160">
        <f>IF(LeagueInfo!$F$7="Yahoo",IFERROR(INDEX(DefaultAuctionValues!$B$2:$B$1000,MATCH(A218,DefaultAuctionValues!$A$2:$A$1000,0)),0),IF(LeagueInfo!$F$7="ESPN",IFERROR(INDEX(DefaultAuctionValues!$C$2:$C$1000,MATCH(A218,DefaultAuctionValues!$A$2:$A$1000,0)),0),IF(LeagueInfo!$F$7="Custom",IFERROR(INDEX(DefaultAuctionValues!$D$2:$D$1000,MATCH(A218,DefaultAuctionValues!$A$2:$A$1000,0)),0))))</f>
        <v>1</v>
      </c>
      <c r="L218" s="160">
        <f ca="1">I218-K218</f>
        <v>-1</v>
      </c>
      <c r="M218" s="175"/>
      <c r="N218" s="170">
        <f ca="1">INDEX(INDIRECT(""&amp;$B218&amp;"!Z2:Z628"),MATCH($A218,INDIRECT(""&amp;$B218&amp;"!B2:B628"),0))</f>
        <v>-3.2999999999999972</v>
      </c>
      <c r="O218" s="158" t="str">
        <f ca="1">IF(INDEX(INDIRECT(""&amp;$B218&amp;"!W2:W628"),MATCH($A218,INDIRECT(""&amp;$B218&amp;"!B2:B628"),0))=0,"",INDEX(INDIRECT(""&amp;$B218&amp;"!W2:W628"),MATCH($A218,INDIRECT(""&amp;$B218&amp;"!B2:B628"),0)))</f>
        <v/>
      </c>
    </row>
    <row r="219" spans="1:15" x14ac:dyDescent="0.25">
      <c r="A219" s="158" t="s">
        <v>446</v>
      </c>
      <c r="B219" s="158" t="s">
        <v>48</v>
      </c>
      <c r="C219" s="158">
        <f ca="1">IFERROR(INDEX(BYEs!$B$2:$B$33,MATCH(D219,BYEs!$A$2:$A$33,0)),"N/A")</f>
        <v>6</v>
      </c>
      <c r="D219" s="219" t="str">
        <f ca="1">INDEX(INDIRECT(""&amp;B219&amp;"!F2:F628"),MATCH(A219,INDIRECT(""&amp;B219&amp;"!B2:B628"),0))</f>
        <v>TEN</v>
      </c>
      <c r="E219" s="218" t="str">
        <f ca="1">INDEX(INDIRECT(""&amp;$B219&amp;"!AA2:AA628"),MATCH($A219,INDIRECT(""&amp;$B219&amp;"!B2:B628"),0))</f>
        <v>K2</v>
      </c>
      <c r="F219" s="159">
        <f ca="1">IF(LeagueInfo!$H$7="Starter/Bench",INDEX(INDIRECT(""&amp;B219&amp;"!T2:T628"),MATCH(A219,INDIRECT(""&amp;B219&amp;"!B2:B628"),0)),INDEX(INDIRECT(""&amp;B219&amp;"!AB2:AB628"),MATCH(A219,INDIRECT(""&amp;B219&amp;"!B2:B628"),0)))</f>
        <v>0</v>
      </c>
      <c r="G219" s="160">
        <f>IF(H219&gt;0,F219-H219,0)</f>
        <v>0</v>
      </c>
      <c r="H219" s="161"/>
      <c r="I219" s="160">
        <f ca="1">F219*$A$2</f>
        <v>0</v>
      </c>
      <c r="J219" s="160" t="s">
        <v>76</v>
      </c>
      <c r="K219" s="160">
        <f>IF(LeagueInfo!$F$7="Yahoo",IFERROR(INDEX(DefaultAuctionValues!$B$2:$B$1000,MATCH(A219,DefaultAuctionValues!$A$2:$A$1000,0)),0),IF(LeagueInfo!$F$7="ESPN",IFERROR(INDEX(DefaultAuctionValues!$C$2:$C$1000,MATCH(A219,DefaultAuctionValues!$A$2:$A$1000,0)),0),IF(LeagueInfo!$F$7="Custom",IFERROR(INDEX(DefaultAuctionValues!$D$2:$D$1000,MATCH(A219,DefaultAuctionValues!$A$2:$A$1000,0)),0))))</f>
        <v>0</v>
      </c>
      <c r="L219" s="160">
        <f ca="1">I219-K219</f>
        <v>0</v>
      </c>
      <c r="M219" s="175"/>
      <c r="N219" s="170">
        <f ca="1">INDEX(INDIRECT(""&amp;$B219&amp;"!Z2:Z628"),MATCH($A219,INDIRECT(""&amp;$B219&amp;"!B2:B628"),0))</f>
        <v>-5.9000000000000057</v>
      </c>
      <c r="O219" s="158" t="str">
        <f ca="1">IF(INDEX(INDIRECT(""&amp;$B219&amp;"!W2:W628"),MATCH($A219,INDIRECT(""&amp;$B219&amp;"!B2:B628"),0))=0,"",INDEX(INDIRECT(""&amp;$B219&amp;"!W2:W628"),MATCH($A219,INDIRECT(""&amp;$B219&amp;"!B2:B628"),0)))</f>
        <v/>
      </c>
    </row>
    <row r="220" spans="1:15" x14ac:dyDescent="0.25">
      <c r="A220" s="158" t="s">
        <v>224</v>
      </c>
      <c r="B220" s="158" t="s">
        <v>48</v>
      </c>
      <c r="C220" s="158">
        <f ca="1">IFERROR(INDEX(BYEs!$B$2:$B$33,MATCH(D220,BYEs!$A$2:$A$33,0)),"N/A")</f>
        <v>14</v>
      </c>
      <c r="D220" s="219" t="str">
        <f ca="1">INDEX(INDIRECT(""&amp;B220&amp;"!F2:F628"),MATCH(A220,INDIRECT(""&amp;B220&amp;"!B2:B628"),0))</f>
        <v>NO</v>
      </c>
      <c r="E220" s="218" t="str">
        <f ca="1">INDEX(INDIRECT(""&amp;$B220&amp;"!AA2:AA628"),MATCH($A220,INDIRECT(""&amp;$B220&amp;"!B2:B628"),0))</f>
        <v>K2</v>
      </c>
      <c r="F220" s="159">
        <f ca="1">IF(LeagueInfo!$H$7="Starter/Bench",INDEX(INDIRECT(""&amp;B220&amp;"!T2:T628"),MATCH(A220,INDIRECT(""&amp;B220&amp;"!B2:B628"),0)),INDEX(INDIRECT(""&amp;B220&amp;"!AB2:AB628"),MATCH(A220,INDIRECT(""&amp;B220&amp;"!B2:B628"),0)))</f>
        <v>0</v>
      </c>
      <c r="G220" s="160">
        <f>IF(H220&gt;0,F220-H220,0)</f>
        <v>0</v>
      </c>
      <c r="H220" s="161"/>
      <c r="I220" s="160">
        <f ca="1">F220*$A$2</f>
        <v>0</v>
      </c>
      <c r="J220" s="160" t="s">
        <v>76</v>
      </c>
      <c r="K220" s="160">
        <f>IF(LeagueInfo!$F$7="Yahoo",IFERROR(INDEX(DefaultAuctionValues!$B$2:$B$1000,MATCH(A220,DefaultAuctionValues!$A$2:$A$1000,0)),0),IF(LeagueInfo!$F$7="ESPN",IFERROR(INDEX(DefaultAuctionValues!$C$2:$C$1000,MATCH(A220,DefaultAuctionValues!$A$2:$A$1000,0)),0),IF(LeagueInfo!$F$7="Custom",IFERROR(INDEX(DefaultAuctionValues!$D$2:$D$1000,MATCH(A220,DefaultAuctionValues!$A$2:$A$1000,0)),0))))</f>
        <v>1</v>
      </c>
      <c r="L220" s="160">
        <f ca="1">I220-K220</f>
        <v>-1</v>
      </c>
      <c r="M220" s="175"/>
      <c r="N220" s="170">
        <f ca="1">INDEX(INDIRECT(""&amp;$B220&amp;"!Z2:Z628"),MATCH($A220,INDIRECT(""&amp;$B220&amp;"!B2:B628"),0))</f>
        <v>-7</v>
      </c>
      <c r="O220" s="158" t="str">
        <f ca="1">IF(INDEX(INDIRECT(""&amp;$B220&amp;"!W2:W628"),MATCH($A220,INDIRECT(""&amp;$B220&amp;"!B2:B628"),0))=0,"",INDEX(INDIRECT(""&amp;$B220&amp;"!W2:W628"),MATCH($A220,INDIRECT(""&amp;$B220&amp;"!B2:B628"),0)))</f>
        <v/>
      </c>
    </row>
    <row r="221" spans="1:15" x14ac:dyDescent="0.25">
      <c r="A221" s="158" t="s">
        <v>450</v>
      </c>
      <c r="B221" s="158" t="s">
        <v>48</v>
      </c>
      <c r="C221" s="158">
        <f ca="1">IFERROR(INDEX(BYEs!$B$2:$B$33,MATCH(D221,BYEs!$A$2:$A$33,0)),"N/A")</f>
        <v>7</v>
      </c>
      <c r="D221" s="219" t="str">
        <f ca="1">INDEX(INDIRECT(""&amp;B221&amp;"!F2:F628"),MATCH(A221,INDIRECT(""&amp;B221&amp;"!B2:B628"),0))</f>
        <v>PHI</v>
      </c>
      <c r="E221" s="218" t="str">
        <f ca="1">INDEX(INDIRECT(""&amp;$B221&amp;"!AA2:AA628"),MATCH($A221,INDIRECT(""&amp;$B221&amp;"!B2:B628"),0))</f>
        <v>K2</v>
      </c>
      <c r="F221" s="159">
        <f ca="1">IF(LeagueInfo!$H$7="Starter/Bench",INDEX(INDIRECT(""&amp;B221&amp;"!T2:T628"),MATCH(A221,INDIRECT(""&amp;B221&amp;"!B2:B628"),0)),INDEX(INDIRECT(""&amp;B221&amp;"!AB2:AB628"),MATCH(A221,INDIRECT(""&amp;B221&amp;"!B2:B628"),0)))</f>
        <v>0</v>
      </c>
      <c r="G221" s="160">
        <f>IF(H221&gt;0,F221-H221,0)</f>
        <v>0</v>
      </c>
      <c r="H221" s="161"/>
      <c r="I221" s="160">
        <f ca="1">F221*$A$2</f>
        <v>0</v>
      </c>
      <c r="J221" s="160" t="s">
        <v>76</v>
      </c>
      <c r="K221" s="160">
        <f>IF(LeagueInfo!$F$7="Yahoo",IFERROR(INDEX(DefaultAuctionValues!$B$2:$B$1000,MATCH(A221,DefaultAuctionValues!$A$2:$A$1000,0)),0),IF(LeagueInfo!$F$7="ESPN",IFERROR(INDEX(DefaultAuctionValues!$C$2:$C$1000,MATCH(A221,DefaultAuctionValues!$A$2:$A$1000,0)),0),IF(LeagueInfo!$F$7="Custom",IFERROR(INDEX(DefaultAuctionValues!$D$2:$D$1000,MATCH(A221,DefaultAuctionValues!$A$2:$A$1000,0)),0))))</f>
        <v>1</v>
      </c>
      <c r="L221" s="160">
        <f ca="1">I221-K221</f>
        <v>-1</v>
      </c>
      <c r="M221" s="175"/>
      <c r="N221" s="170">
        <f ca="1">INDEX(INDIRECT(""&amp;$B221&amp;"!Z2:Z628"),MATCH($A221,INDIRECT(""&amp;$B221&amp;"!B2:B628"),0))</f>
        <v>-7</v>
      </c>
      <c r="O221" s="158" t="str">
        <f ca="1">IF(INDEX(INDIRECT(""&amp;$B221&amp;"!W2:W628"),MATCH($A221,INDIRECT(""&amp;$B221&amp;"!B2:B628"),0))=0,"",INDEX(INDIRECT(""&amp;$B221&amp;"!W2:W628"),MATCH($A221,INDIRECT(""&amp;$B221&amp;"!B2:B628"),0)))</f>
        <v/>
      </c>
    </row>
    <row r="222" spans="1:15" x14ac:dyDescent="0.25">
      <c r="A222" s="158" t="s">
        <v>802</v>
      </c>
      <c r="B222" s="158" t="s">
        <v>48</v>
      </c>
      <c r="C222" s="158">
        <f ca="1">IFERROR(INDEX(BYEs!$B$2:$B$33,MATCH(D222,BYEs!$A$2:$A$33,0)),"N/A")</f>
        <v>14</v>
      </c>
      <c r="D222" s="219" t="str">
        <f ca="1">INDEX(INDIRECT(""&amp;B222&amp;"!F2:F628"),MATCH(A222,INDIRECT(""&amp;B222&amp;"!B2:B628"),0))</f>
        <v>ATL</v>
      </c>
      <c r="E222" s="218" t="str">
        <f ca="1">INDEX(INDIRECT(""&amp;$B222&amp;"!AA2:AA628"),MATCH($A222,INDIRECT(""&amp;$B222&amp;"!B2:B628"),0))</f>
        <v>K2</v>
      </c>
      <c r="F222" s="159">
        <f ca="1">IF(LeagueInfo!$H$7="Starter/Bench",INDEX(INDIRECT(""&amp;B222&amp;"!T2:T628"),MATCH(A222,INDIRECT(""&amp;B222&amp;"!B2:B628"),0)),INDEX(INDIRECT(""&amp;B222&amp;"!AB2:AB628"),MATCH(A222,INDIRECT(""&amp;B222&amp;"!B2:B628"),0)))</f>
        <v>0</v>
      </c>
      <c r="G222" s="160">
        <f>IF(H222&gt;0,F222-H222,0)</f>
        <v>0</v>
      </c>
      <c r="H222" s="161"/>
      <c r="I222" s="160">
        <f ca="1">F222*$A$2</f>
        <v>0</v>
      </c>
      <c r="J222" s="160" t="s">
        <v>76</v>
      </c>
      <c r="K222" s="160">
        <f>IF(LeagueInfo!$F$7="Yahoo",IFERROR(INDEX(DefaultAuctionValues!$B$2:$B$1000,MATCH(A222,DefaultAuctionValues!$A$2:$A$1000,0)),0),IF(LeagueInfo!$F$7="ESPN",IFERROR(INDEX(DefaultAuctionValues!$C$2:$C$1000,MATCH(A222,DefaultAuctionValues!$A$2:$A$1000,0)),0),IF(LeagueInfo!$F$7="Custom",IFERROR(INDEX(DefaultAuctionValues!$D$2:$D$1000,MATCH(A222,DefaultAuctionValues!$A$2:$A$1000,0)),0))))</f>
        <v>1</v>
      </c>
      <c r="L222" s="160">
        <f ca="1">I222-K222</f>
        <v>-1</v>
      </c>
      <c r="M222" s="175"/>
      <c r="N222" s="170">
        <f ca="1">INDEX(INDIRECT(""&amp;$B222&amp;"!Z2:Z628"),MATCH($A222,INDIRECT(""&amp;$B222&amp;"!B2:B628"),0))</f>
        <v>-7.0999999999999943</v>
      </c>
      <c r="O222" s="158" t="str">
        <f ca="1">IF(INDEX(INDIRECT(""&amp;$B222&amp;"!W2:W628"),MATCH($A222,INDIRECT(""&amp;$B222&amp;"!B2:B628"),0))=0,"",INDEX(INDIRECT(""&amp;$B222&amp;"!W2:W628"),MATCH($A222,INDIRECT(""&amp;$B222&amp;"!B2:B628"),0)))</f>
        <v/>
      </c>
    </row>
    <row r="223" spans="1:15" x14ac:dyDescent="0.25">
      <c r="A223" s="158" t="s">
        <v>603</v>
      </c>
      <c r="B223" s="158" t="s">
        <v>48</v>
      </c>
      <c r="C223" s="158">
        <f ca="1">IFERROR(INDEX(BYEs!$B$2:$B$33,MATCH(D223,BYEs!$A$2:$A$33,0)),"N/A")</f>
        <v>11</v>
      </c>
      <c r="D223" s="219" t="str">
        <f ca="1">INDEX(INDIRECT(""&amp;B223&amp;"!F2:F628"),MATCH(A223,INDIRECT(""&amp;B223&amp;"!B2:B628"),0))</f>
        <v>MIA</v>
      </c>
      <c r="E223" s="218" t="str">
        <f ca="1">INDEX(INDIRECT(""&amp;$B223&amp;"!AA2:AA628"),MATCH($A223,INDIRECT(""&amp;$B223&amp;"!B2:B628"),0))</f>
        <v>K2</v>
      </c>
      <c r="F223" s="159">
        <f ca="1">IF(LeagueInfo!$H$7="Starter/Bench",INDEX(INDIRECT(""&amp;B223&amp;"!T2:T628"),MATCH(A223,INDIRECT(""&amp;B223&amp;"!B2:B628"),0)),INDEX(INDIRECT(""&amp;B223&amp;"!AB2:AB628"),MATCH(A223,INDIRECT(""&amp;B223&amp;"!B2:B628"),0)))</f>
        <v>0</v>
      </c>
      <c r="G223" s="160">
        <f>IF(H223&gt;0,F223-H223,0)</f>
        <v>0</v>
      </c>
      <c r="H223" s="161"/>
      <c r="I223" s="160">
        <f ca="1">F223*$A$2</f>
        <v>0</v>
      </c>
      <c r="J223" s="160" t="s">
        <v>76</v>
      </c>
      <c r="K223" s="160">
        <f>IF(LeagueInfo!$F$7="Yahoo",IFERROR(INDEX(DefaultAuctionValues!$B$2:$B$1000,MATCH(A223,DefaultAuctionValues!$A$2:$A$1000,0)),0),IF(LeagueInfo!$F$7="ESPN",IFERROR(INDEX(DefaultAuctionValues!$C$2:$C$1000,MATCH(A223,DefaultAuctionValues!$A$2:$A$1000,0)),0),IF(LeagueInfo!$F$7="Custom",IFERROR(INDEX(DefaultAuctionValues!$D$2:$D$1000,MATCH(A223,DefaultAuctionValues!$A$2:$A$1000,0)),0))))</f>
        <v>1</v>
      </c>
      <c r="L223" s="160">
        <f ca="1">I223-K223</f>
        <v>-1</v>
      </c>
      <c r="M223" s="175"/>
      <c r="N223" s="170">
        <f ca="1">INDEX(INDIRECT(""&amp;$B223&amp;"!Z2:Z628"),MATCH($A223,INDIRECT(""&amp;$B223&amp;"!B2:B628"),0))</f>
        <v>-8.5</v>
      </c>
      <c r="O223" s="158" t="str">
        <f ca="1">IF(INDEX(INDIRECT(""&amp;$B223&amp;"!W2:W628"),MATCH($A223,INDIRECT(""&amp;$B223&amp;"!B2:B628"),0))=0,"",INDEX(INDIRECT(""&amp;$B223&amp;"!W2:W628"),MATCH($A223,INDIRECT(""&amp;$B223&amp;"!B2:B628"),0)))</f>
        <v/>
      </c>
    </row>
    <row r="224" spans="1:15" x14ac:dyDescent="0.25">
      <c r="A224" s="158" t="s">
        <v>243</v>
      </c>
      <c r="B224" s="158" t="s">
        <v>48</v>
      </c>
      <c r="C224" s="158">
        <f ca="1">IFERROR(INDEX(BYEs!$B$2:$B$33,MATCH(D224,BYEs!$A$2:$A$33,0)),"N/A")</f>
        <v>14</v>
      </c>
      <c r="D224" s="219" t="str">
        <f ca="1">INDEX(INDIRECT(""&amp;B224&amp;"!F2:F628"),MATCH(A224,INDIRECT(""&amp;B224&amp;"!B2:B628"),0))</f>
        <v>CHI</v>
      </c>
      <c r="E224" s="218" t="str">
        <f ca="1">INDEX(INDIRECT(""&amp;$B224&amp;"!AA2:AA628"),MATCH($A224,INDIRECT(""&amp;$B224&amp;"!B2:B628"),0))</f>
        <v>K2</v>
      </c>
      <c r="F224" s="159">
        <f ca="1">IF(LeagueInfo!$H$7="Starter/Bench",INDEX(INDIRECT(""&amp;B224&amp;"!T2:T628"),MATCH(A224,INDIRECT(""&amp;B224&amp;"!B2:B628"),0)),INDEX(INDIRECT(""&amp;B224&amp;"!AB2:AB628"),MATCH(A224,INDIRECT(""&amp;B224&amp;"!B2:B628"),0)))</f>
        <v>0</v>
      </c>
      <c r="G224" s="160">
        <f>IF(H224&gt;0,F224-H224,0)</f>
        <v>0</v>
      </c>
      <c r="H224" s="161"/>
      <c r="I224" s="160">
        <f ca="1">F224*$A$2</f>
        <v>0</v>
      </c>
      <c r="J224" s="160" t="s">
        <v>76</v>
      </c>
      <c r="K224" s="160">
        <f>IF(LeagueInfo!$F$7="Yahoo",IFERROR(INDEX(DefaultAuctionValues!$B$2:$B$1000,MATCH(A224,DefaultAuctionValues!$A$2:$A$1000,0)),0),IF(LeagueInfo!$F$7="ESPN",IFERROR(INDEX(DefaultAuctionValues!$C$2:$C$1000,MATCH(A224,DefaultAuctionValues!$A$2:$A$1000,0)),0),IF(LeagueInfo!$F$7="Custom",IFERROR(INDEX(DefaultAuctionValues!$D$2:$D$1000,MATCH(A224,DefaultAuctionValues!$A$2:$A$1000,0)),0))))</f>
        <v>0</v>
      </c>
      <c r="L224" s="160">
        <f ca="1">I224-K224</f>
        <v>0</v>
      </c>
      <c r="M224" s="175"/>
      <c r="N224" s="170">
        <f ca="1">INDEX(INDIRECT(""&amp;$B224&amp;"!Z2:Z628"),MATCH($A224,INDIRECT(""&amp;$B224&amp;"!B2:B628"),0))</f>
        <v>-10</v>
      </c>
      <c r="O224" s="158" t="str">
        <f ca="1">IF(INDEX(INDIRECT(""&amp;$B224&amp;"!W2:W628"),MATCH($A224,INDIRECT(""&amp;$B224&amp;"!B2:B628"),0))=0,"",INDEX(INDIRECT(""&amp;$B224&amp;"!W2:W628"),MATCH($A224,INDIRECT(""&amp;$B224&amp;"!B2:B628"),0)))</f>
        <v/>
      </c>
    </row>
    <row r="225" spans="1:15" x14ac:dyDescent="0.25">
      <c r="A225" s="158" t="s">
        <v>245</v>
      </c>
      <c r="B225" s="158" t="s">
        <v>48</v>
      </c>
      <c r="C225" s="158">
        <f ca="1">IFERROR(INDEX(BYEs!$B$2:$B$33,MATCH(D225,BYEs!$A$2:$A$33,0)),"N/A")</f>
        <v>9</v>
      </c>
      <c r="D225" s="219" t="str">
        <f ca="1">INDEX(INDIRECT(""&amp;B225&amp;"!F2:F628"),MATCH(A225,INDIRECT(""&amp;B225&amp;"!B2:B628"),0))</f>
        <v>NYG</v>
      </c>
      <c r="E225" s="218" t="str">
        <f ca="1">INDEX(INDIRECT(""&amp;$B225&amp;"!AA2:AA628"),MATCH($A225,INDIRECT(""&amp;$B225&amp;"!B2:B628"),0))</f>
        <v>K2</v>
      </c>
      <c r="F225" s="159">
        <f ca="1">IF(LeagueInfo!$H$7="Starter/Bench",INDEX(INDIRECT(""&amp;B225&amp;"!T2:T628"),MATCH(A225,INDIRECT(""&amp;B225&amp;"!B2:B628"),0)),INDEX(INDIRECT(""&amp;B225&amp;"!AB2:AB628"),MATCH(A225,INDIRECT(""&amp;B225&amp;"!B2:B628"),0)))</f>
        <v>0</v>
      </c>
      <c r="G225" s="160">
        <f>IF(H225&gt;0,F225-H225,0)</f>
        <v>0</v>
      </c>
      <c r="H225" s="161"/>
      <c r="I225" s="160">
        <f ca="1">F225*$A$2</f>
        <v>0</v>
      </c>
      <c r="J225" s="160" t="s">
        <v>76</v>
      </c>
      <c r="K225" s="160">
        <f>IF(LeagueInfo!$F$7="Yahoo",IFERROR(INDEX(DefaultAuctionValues!$B$2:$B$1000,MATCH(A225,DefaultAuctionValues!$A$2:$A$1000,0)),0),IF(LeagueInfo!$F$7="ESPN",IFERROR(INDEX(DefaultAuctionValues!$C$2:$C$1000,MATCH(A225,DefaultAuctionValues!$A$2:$A$1000,0)),0),IF(LeagueInfo!$F$7="Custom",IFERROR(INDEX(DefaultAuctionValues!$D$2:$D$1000,MATCH(A225,DefaultAuctionValues!$A$2:$A$1000,0)),0))))</f>
        <v>0</v>
      </c>
      <c r="L225" s="160">
        <f ca="1">I225-K225</f>
        <v>0</v>
      </c>
      <c r="M225" s="175"/>
      <c r="N225" s="170">
        <f ca="1">INDEX(INDIRECT(""&amp;$B225&amp;"!Z2:Z628"),MATCH($A225,INDIRECT(""&amp;$B225&amp;"!B2:B628"),0))</f>
        <v>-10.299999999999997</v>
      </c>
      <c r="O225" s="158" t="str">
        <f ca="1">IF(INDEX(INDIRECT(""&amp;$B225&amp;"!W2:W628"),MATCH($A225,INDIRECT(""&amp;$B225&amp;"!B2:B628"),0))=0,"",INDEX(INDIRECT(""&amp;$B225&amp;"!W2:W628"),MATCH($A225,INDIRECT(""&amp;$B225&amp;"!B2:B628"),0)))</f>
        <v/>
      </c>
    </row>
    <row r="226" spans="1:15" x14ac:dyDescent="0.25">
      <c r="A226" s="158" t="s">
        <v>763</v>
      </c>
      <c r="B226" s="158" t="s">
        <v>48</v>
      </c>
      <c r="C226" s="158">
        <f ca="1">IFERROR(INDEX(BYEs!$B$2:$B$33,MATCH(D226,BYEs!$A$2:$A$33,0)),"N/A")</f>
        <v>6</v>
      </c>
      <c r="D226" s="219" t="str">
        <f ca="1">INDEX(INDIRECT(""&amp;B226&amp;"!F2:F628"),MATCH(A226,INDIRECT(""&amp;B226&amp;"!B2:B628"),0))</f>
        <v>DET</v>
      </c>
      <c r="E226" s="218" t="str">
        <f ca="1">INDEX(INDIRECT(""&amp;$B226&amp;"!AA2:AA628"),MATCH($A226,INDIRECT(""&amp;$B226&amp;"!B2:B628"),0))</f>
        <v>K2</v>
      </c>
      <c r="F226" s="159">
        <f ca="1">IF(LeagueInfo!$H$7="Starter/Bench",INDEX(INDIRECT(""&amp;B226&amp;"!T2:T628"),MATCH(A226,INDIRECT(""&amp;B226&amp;"!B2:B628"),0)),INDEX(INDIRECT(""&amp;B226&amp;"!AB2:AB628"),MATCH(A226,INDIRECT(""&amp;B226&amp;"!B2:B628"),0)))</f>
        <v>0</v>
      </c>
      <c r="G226" s="160">
        <f>IF(H226&gt;0,F226-H226,0)</f>
        <v>0</v>
      </c>
      <c r="H226" s="161"/>
      <c r="I226" s="160">
        <f ca="1">F226*$A$2</f>
        <v>0</v>
      </c>
      <c r="J226" s="160" t="s">
        <v>76</v>
      </c>
      <c r="K226" s="160">
        <f>IF(LeagueInfo!$F$7="Yahoo",IFERROR(INDEX(DefaultAuctionValues!$B$2:$B$1000,MATCH(A226,DefaultAuctionValues!$A$2:$A$1000,0)),0),IF(LeagueInfo!$F$7="ESPN",IFERROR(INDEX(DefaultAuctionValues!$C$2:$C$1000,MATCH(A226,DefaultAuctionValues!$A$2:$A$1000,0)),0),IF(LeagueInfo!$F$7="Custom",IFERROR(INDEX(DefaultAuctionValues!$D$2:$D$1000,MATCH(A226,DefaultAuctionValues!$A$2:$A$1000,0)),0))))</f>
        <v>0</v>
      </c>
      <c r="L226" s="160">
        <f ca="1">I226-K226</f>
        <v>0</v>
      </c>
      <c r="M226" s="175"/>
      <c r="N226" s="170">
        <f ca="1">INDEX(INDIRECT(""&amp;$B226&amp;"!Z2:Z628"),MATCH($A226,INDIRECT(""&amp;$B226&amp;"!B2:B628"),0))</f>
        <v>-10.599999999999994</v>
      </c>
      <c r="O226" s="158" t="str">
        <f ca="1">IF(INDEX(INDIRECT(""&amp;$B226&amp;"!W2:W628"),MATCH($A226,INDIRECT(""&amp;$B226&amp;"!B2:B628"),0))=0,"",INDEX(INDIRECT(""&amp;$B226&amp;"!W2:W628"),MATCH($A226,INDIRECT(""&amp;$B226&amp;"!B2:B628"),0)))</f>
        <v/>
      </c>
    </row>
    <row r="227" spans="1:15" x14ac:dyDescent="0.25">
      <c r="A227" s="158" t="s">
        <v>813</v>
      </c>
      <c r="B227" s="158" t="s">
        <v>48</v>
      </c>
      <c r="C227" s="158">
        <f ca="1">IFERROR(INDEX(BYEs!$B$2:$B$33,MATCH(D227,BYEs!$A$2:$A$33,0)),"N/A")</f>
        <v>14</v>
      </c>
      <c r="D227" s="219" t="str">
        <f ca="1">INDEX(INDIRECT(""&amp;B227&amp;"!F2:F628"),MATCH(A227,INDIRECT(""&amp;B227&amp;"!B2:B628"),0))</f>
        <v>WAS</v>
      </c>
      <c r="E227" s="218" t="str">
        <f ca="1">INDEX(INDIRECT(""&amp;$B227&amp;"!AA2:AA628"),MATCH($A227,INDIRECT(""&amp;$B227&amp;"!B2:B628"),0))</f>
        <v>K2</v>
      </c>
      <c r="F227" s="159">
        <f ca="1">IF(LeagueInfo!$H$7="Starter/Bench",INDEX(INDIRECT(""&amp;B227&amp;"!T2:T628"),MATCH(A227,INDIRECT(""&amp;B227&amp;"!B2:B628"),0)),INDEX(INDIRECT(""&amp;B227&amp;"!AB2:AB628"),MATCH(A227,INDIRECT(""&amp;B227&amp;"!B2:B628"),0)))</f>
        <v>0</v>
      </c>
      <c r="G227" s="160">
        <f>IF(H227&gt;0,F227-H227,0)</f>
        <v>0</v>
      </c>
      <c r="H227" s="161"/>
      <c r="I227" s="160">
        <f ca="1">F227*$A$2</f>
        <v>0</v>
      </c>
      <c r="J227" s="160" t="s">
        <v>76</v>
      </c>
      <c r="K227" s="160">
        <f>IF(LeagueInfo!$F$7="Yahoo",IFERROR(INDEX(DefaultAuctionValues!$B$2:$B$1000,MATCH(A227,DefaultAuctionValues!$A$2:$A$1000,0)),0),IF(LeagueInfo!$F$7="ESPN",IFERROR(INDEX(DefaultAuctionValues!$C$2:$C$1000,MATCH(A227,DefaultAuctionValues!$A$2:$A$1000,0)),0),IF(LeagueInfo!$F$7="Custom",IFERROR(INDEX(DefaultAuctionValues!$D$2:$D$1000,MATCH(A227,DefaultAuctionValues!$A$2:$A$1000,0)),0))))</f>
        <v>0</v>
      </c>
      <c r="L227" s="160">
        <f ca="1">I227-K227</f>
        <v>0</v>
      </c>
      <c r="M227" s="175"/>
      <c r="N227" s="170">
        <f ca="1">INDEX(INDIRECT(""&amp;$B227&amp;"!Z2:Z628"),MATCH($A227,INDIRECT(""&amp;$B227&amp;"!B2:B628"),0))</f>
        <v>-13.200000000000003</v>
      </c>
      <c r="O227" s="158" t="str">
        <f ca="1">IF(INDEX(INDIRECT(""&amp;$B227&amp;"!W2:W628"),MATCH($A227,INDIRECT(""&amp;$B227&amp;"!B2:B628"),0))=0,"",INDEX(INDIRECT(""&amp;$B227&amp;"!W2:W628"),MATCH($A227,INDIRECT(""&amp;$B227&amp;"!B2:B628"),0)))</f>
        <v/>
      </c>
    </row>
    <row r="228" spans="1:15" x14ac:dyDescent="0.25">
      <c r="A228" s="158" t="s">
        <v>2686</v>
      </c>
      <c r="B228" s="158" t="s">
        <v>48</v>
      </c>
      <c r="C228" s="158">
        <f ca="1">IFERROR(INDEX(BYEs!$B$2:$B$33,MATCH(D228,BYEs!$A$2:$A$33,0)),"N/A")</f>
        <v>13</v>
      </c>
      <c r="D228" s="219" t="str">
        <f ca="1">INDEX(INDIRECT(""&amp;B228&amp;"!F2:F628"),MATCH(A228,INDIRECT(""&amp;B228&amp;"!B2:B628"),0))</f>
        <v>CAR</v>
      </c>
      <c r="E228" s="218" t="str">
        <f ca="1">INDEX(INDIRECT(""&amp;$B228&amp;"!AA2:AA628"),MATCH($A228,INDIRECT(""&amp;$B228&amp;"!B2:B628"),0))</f>
        <v>K2</v>
      </c>
      <c r="F228" s="159">
        <f ca="1">IF(LeagueInfo!$H$7="Starter/Bench",INDEX(INDIRECT(""&amp;B228&amp;"!T2:T628"),MATCH(A228,INDIRECT(""&amp;B228&amp;"!B2:B628"),0)),INDEX(INDIRECT(""&amp;B228&amp;"!AB2:AB628"),MATCH(A228,INDIRECT(""&amp;B228&amp;"!B2:B628"),0)))</f>
        <v>0</v>
      </c>
      <c r="G228" s="160">
        <f>IF(H228&gt;0,F228-H228,0)</f>
        <v>0</v>
      </c>
      <c r="H228" s="161"/>
      <c r="I228" s="160">
        <f ca="1">F228*$A$2</f>
        <v>0</v>
      </c>
      <c r="J228" s="160" t="s">
        <v>76</v>
      </c>
      <c r="K228" s="160">
        <f>IF(LeagueInfo!$F$7="Yahoo",IFERROR(INDEX(DefaultAuctionValues!$B$2:$B$1000,MATCH(A228,DefaultAuctionValues!$A$2:$A$1000,0)),0),IF(LeagueInfo!$F$7="ESPN",IFERROR(INDEX(DefaultAuctionValues!$C$2:$C$1000,MATCH(A228,DefaultAuctionValues!$A$2:$A$1000,0)),0),IF(LeagueInfo!$F$7="Custom",IFERROR(INDEX(DefaultAuctionValues!$D$2:$D$1000,MATCH(A228,DefaultAuctionValues!$A$2:$A$1000,0)),0))))</f>
        <v>0</v>
      </c>
      <c r="L228" s="160">
        <f ca="1">I228-K228</f>
        <v>0</v>
      </c>
      <c r="M228" s="175"/>
      <c r="N228" s="170">
        <f ca="1">INDEX(INDIRECT(""&amp;$B228&amp;"!Z2:Z628"),MATCH($A228,INDIRECT(""&amp;$B228&amp;"!B2:B628"),0))</f>
        <v>-15.400000000000006</v>
      </c>
      <c r="O228" s="158" t="str">
        <f ca="1">IF(INDEX(INDIRECT(""&amp;$B228&amp;"!W2:W628"),MATCH($A228,INDIRECT(""&amp;$B228&amp;"!B2:B628"),0))=0,"",INDEX(INDIRECT(""&amp;$B228&amp;"!W2:W628"),MATCH($A228,INDIRECT(""&amp;$B228&amp;"!B2:B628"),0)))</f>
        <v/>
      </c>
    </row>
    <row r="229" spans="1:15" x14ac:dyDescent="0.25">
      <c r="A229" s="158" t="s">
        <v>2498</v>
      </c>
      <c r="B229" s="158" t="s">
        <v>48</v>
      </c>
      <c r="C229" s="158">
        <f ca="1">IFERROR(INDEX(BYEs!$B$2:$B$33,MATCH(D229,BYEs!$A$2:$A$33,0)),"N/A")</f>
        <v>9</v>
      </c>
      <c r="D229" s="219" t="str">
        <f ca="1">INDEX(INDIRECT(""&amp;B229&amp;"!F2:F628"),MATCH(A229,INDIRECT(""&amp;B229&amp;"!B2:B628"),0))</f>
        <v>CLE</v>
      </c>
      <c r="E229" s="218" t="str">
        <f ca="1">INDEX(INDIRECT(""&amp;$B229&amp;"!AA2:AA628"),MATCH($A229,INDIRECT(""&amp;$B229&amp;"!B2:B628"),0))</f>
        <v>K2</v>
      </c>
      <c r="F229" s="159">
        <f ca="1">IF(LeagueInfo!$H$7="Starter/Bench",INDEX(INDIRECT(""&amp;B229&amp;"!T2:T628"),MATCH(A229,INDIRECT(""&amp;B229&amp;"!B2:B628"),0)),INDEX(INDIRECT(""&amp;B229&amp;"!AB2:AB628"),MATCH(A229,INDIRECT(""&amp;B229&amp;"!B2:B628"),0)))</f>
        <v>0</v>
      </c>
      <c r="G229" s="160">
        <f>IF(H229&gt;0,F229-H229,0)</f>
        <v>0</v>
      </c>
      <c r="H229" s="161"/>
      <c r="I229" s="160">
        <f ca="1">F229*$A$2</f>
        <v>0</v>
      </c>
      <c r="J229" s="160" t="s">
        <v>76</v>
      </c>
      <c r="K229" s="160">
        <f>IF(LeagueInfo!$F$7="Yahoo",IFERROR(INDEX(DefaultAuctionValues!$B$2:$B$1000,MATCH(A229,DefaultAuctionValues!$A$2:$A$1000,0)),0),IF(LeagueInfo!$F$7="ESPN",IFERROR(INDEX(DefaultAuctionValues!$C$2:$C$1000,MATCH(A229,DefaultAuctionValues!$A$2:$A$1000,0)),0),IF(LeagueInfo!$F$7="Custom",IFERROR(INDEX(DefaultAuctionValues!$D$2:$D$1000,MATCH(A229,DefaultAuctionValues!$A$2:$A$1000,0)),0))))</f>
        <v>1</v>
      </c>
      <c r="L229" s="160">
        <f ca="1">I229-K229</f>
        <v>-1</v>
      </c>
      <c r="M229" s="175"/>
      <c r="N229" s="170">
        <f ca="1">INDEX(INDIRECT(""&amp;$B229&amp;"!Z2:Z628"),MATCH($A229,INDIRECT(""&amp;$B229&amp;"!B2:B628"),0))</f>
        <v>-17.400000000000006</v>
      </c>
      <c r="O229" s="158" t="str">
        <f ca="1">IF(INDEX(INDIRECT(""&amp;$B229&amp;"!W2:W628"),MATCH($A229,INDIRECT(""&amp;$B229&amp;"!B2:B628"),0))=0,"",INDEX(INDIRECT(""&amp;$B229&amp;"!W2:W628"),MATCH($A229,INDIRECT(""&amp;$B229&amp;"!B2:B628"),0)))</f>
        <v/>
      </c>
    </row>
    <row r="230" spans="1:15" x14ac:dyDescent="0.25">
      <c r="A230" s="158" t="s">
        <v>447</v>
      </c>
      <c r="B230" s="158" t="s">
        <v>48</v>
      </c>
      <c r="C230" s="158">
        <f ca="1">IFERROR(INDEX(BYEs!$B$2:$B$33,MATCH(D230,BYEs!$A$2:$A$33,0)),"N/A")</f>
        <v>11</v>
      </c>
      <c r="D230" s="219" t="str">
        <f ca="1">INDEX(INDIRECT(""&amp;B230&amp;"!F2:F628"),MATCH(A230,INDIRECT(""&amp;B230&amp;"!B2:B628"),0))</f>
        <v>SEA</v>
      </c>
      <c r="E230" s="218" t="str">
        <f ca="1">INDEX(INDIRECT(""&amp;$B230&amp;"!AA2:AA628"),MATCH($A230,INDIRECT(""&amp;$B230&amp;"!B2:B628"),0))</f>
        <v>K2</v>
      </c>
      <c r="F230" s="159">
        <f ca="1">IF(LeagueInfo!$H$7="Starter/Bench",INDEX(INDIRECT(""&amp;B230&amp;"!T2:T628"),MATCH(A230,INDIRECT(""&amp;B230&amp;"!B2:B628"),0)),INDEX(INDIRECT(""&amp;B230&amp;"!AB2:AB628"),MATCH(A230,INDIRECT(""&amp;B230&amp;"!B2:B628"),0)))</f>
        <v>0</v>
      </c>
      <c r="G230" s="160">
        <f>IF(H230&gt;0,F230-H230,0)</f>
        <v>0</v>
      </c>
      <c r="H230" s="161"/>
      <c r="I230" s="160">
        <f ca="1">F230*$A$2</f>
        <v>0</v>
      </c>
      <c r="J230" s="160" t="s">
        <v>76</v>
      </c>
      <c r="K230" s="160">
        <f>IF(LeagueInfo!$F$7="Yahoo",IFERROR(INDEX(DefaultAuctionValues!$B$2:$B$1000,MATCH(A230,DefaultAuctionValues!$A$2:$A$1000,0)),0),IF(LeagueInfo!$F$7="ESPN",IFERROR(INDEX(DefaultAuctionValues!$C$2:$C$1000,MATCH(A230,DefaultAuctionValues!$A$2:$A$1000,0)),0),IF(LeagueInfo!$F$7="Custom",IFERROR(INDEX(DefaultAuctionValues!$D$2:$D$1000,MATCH(A230,DefaultAuctionValues!$A$2:$A$1000,0)),0))))</f>
        <v>0</v>
      </c>
      <c r="L230" s="160">
        <f ca="1">I230-K230</f>
        <v>0</v>
      </c>
      <c r="M230" s="175"/>
      <c r="N230" s="170">
        <f ca="1">INDEX(INDIRECT(""&amp;$B230&amp;"!Z2:Z628"),MATCH($A230,INDIRECT(""&amp;$B230&amp;"!B2:B628"),0))</f>
        <v>-18.599999999999994</v>
      </c>
      <c r="O230" s="158" t="str">
        <f ca="1">IF(INDEX(INDIRECT(""&amp;$B230&amp;"!W2:W628"),MATCH($A230,INDIRECT(""&amp;$B230&amp;"!B2:B628"),0))=0,"",INDEX(INDIRECT(""&amp;$B230&amp;"!W2:W628"),MATCH($A230,INDIRECT(""&amp;$B230&amp;"!B2:B628"),0)))</f>
        <v/>
      </c>
    </row>
    <row r="231" spans="1:15" x14ac:dyDescent="0.25">
      <c r="A231" s="158" t="s">
        <v>602</v>
      </c>
      <c r="B231" s="158" t="s">
        <v>48</v>
      </c>
      <c r="C231" s="158">
        <f ca="1">IFERROR(INDEX(BYEs!$B$2:$B$33,MATCH(D231,BYEs!$A$2:$A$33,0)),"N/A")</f>
        <v>6</v>
      </c>
      <c r="D231" s="219" t="str">
        <f ca="1">INDEX(INDIRECT(""&amp;B231&amp;"!F2:F628"),MATCH(A231,INDIRECT(""&amp;B231&amp;"!B2:B628"),0))</f>
        <v>HOU</v>
      </c>
      <c r="E231" s="218" t="str">
        <f ca="1">INDEX(INDIRECT(""&amp;$B231&amp;"!AA2:AA628"),MATCH($A231,INDIRECT(""&amp;$B231&amp;"!B2:B628"),0))</f>
        <v>K2</v>
      </c>
      <c r="F231" s="159">
        <f ca="1">IF(LeagueInfo!$H$7="Starter/Bench",INDEX(INDIRECT(""&amp;B231&amp;"!T2:T628"),MATCH(A231,INDIRECT(""&amp;B231&amp;"!B2:B628"),0)),INDEX(INDIRECT(""&amp;B231&amp;"!AB2:AB628"),MATCH(A231,INDIRECT(""&amp;B231&amp;"!B2:B628"),0)))</f>
        <v>0</v>
      </c>
      <c r="G231" s="160">
        <f>IF(H231&gt;0,F231-H231,0)</f>
        <v>0</v>
      </c>
      <c r="H231" s="161"/>
      <c r="I231" s="160">
        <f ca="1">F231*$A$2</f>
        <v>0</v>
      </c>
      <c r="J231" s="160" t="s">
        <v>76</v>
      </c>
      <c r="K231" s="160">
        <f>IF(LeagueInfo!$F$7="Yahoo",IFERROR(INDEX(DefaultAuctionValues!$B$2:$B$1000,MATCH(A231,DefaultAuctionValues!$A$2:$A$1000,0)),0),IF(LeagueInfo!$F$7="ESPN",IFERROR(INDEX(DefaultAuctionValues!$C$2:$C$1000,MATCH(A231,DefaultAuctionValues!$A$2:$A$1000,0)),0),IF(LeagueInfo!$F$7="Custom",IFERROR(INDEX(DefaultAuctionValues!$D$2:$D$1000,MATCH(A231,DefaultAuctionValues!$A$2:$A$1000,0)),0))))</f>
        <v>0</v>
      </c>
      <c r="L231" s="160">
        <f ca="1">I231-K231</f>
        <v>0</v>
      </c>
      <c r="M231" s="175"/>
      <c r="N231" s="170">
        <f ca="1">INDEX(INDIRECT(""&amp;$B231&amp;"!Z2:Z628"),MATCH($A231,INDIRECT(""&amp;$B231&amp;"!B2:B628"),0))</f>
        <v>-19.799999999999997</v>
      </c>
      <c r="O231" s="158" t="str">
        <f ca="1">IF(INDEX(INDIRECT(""&amp;$B231&amp;"!W2:W628"),MATCH($A231,INDIRECT(""&amp;$B231&amp;"!B2:B628"),0))=0,"",INDEX(INDIRECT(""&amp;$B231&amp;"!W2:W628"),MATCH($A231,INDIRECT(""&amp;$B231&amp;"!B2:B628"),0)))</f>
        <v/>
      </c>
    </row>
    <row r="232" spans="1:15" x14ac:dyDescent="0.25">
      <c r="A232" s="158" t="s">
        <v>449</v>
      </c>
      <c r="B232" s="158" t="s">
        <v>48</v>
      </c>
      <c r="C232" s="158">
        <f ca="1">IFERROR(INDEX(BYEs!$B$2:$B$33,MATCH(D232,BYEs!$A$2:$A$33,0)),"N/A")</f>
        <v>10</v>
      </c>
      <c r="D232" s="219" t="str">
        <f ca="1">INDEX(INDIRECT(""&amp;B232&amp;"!F2:F628"),MATCH(A232,INDIRECT(""&amp;B232&amp;"!B2:B628"),0))</f>
        <v>NYJ</v>
      </c>
      <c r="E232" s="218" t="str">
        <f ca="1">INDEX(INDIRECT(""&amp;$B232&amp;"!AA2:AA628"),MATCH($A232,INDIRECT(""&amp;$B232&amp;"!B2:B628"),0))</f>
        <v>K2</v>
      </c>
      <c r="F232" s="159">
        <f ca="1">IF(LeagueInfo!$H$7="Starter/Bench",INDEX(INDIRECT(""&amp;B232&amp;"!T2:T628"),MATCH(A232,INDIRECT(""&amp;B232&amp;"!B2:B628"),0)),INDEX(INDIRECT(""&amp;B232&amp;"!AB2:AB628"),MATCH(A232,INDIRECT(""&amp;B232&amp;"!B2:B628"),0)))</f>
        <v>0</v>
      </c>
      <c r="G232" s="160">
        <f>IF(H232&gt;0,F232-H232,0)</f>
        <v>0</v>
      </c>
      <c r="H232" s="161"/>
      <c r="I232" s="160">
        <f ca="1">F232*$A$2</f>
        <v>0</v>
      </c>
      <c r="J232" s="160" t="s">
        <v>76</v>
      </c>
      <c r="K232" s="160">
        <f>IF(LeagueInfo!$F$7="Yahoo",IFERROR(INDEX(DefaultAuctionValues!$B$2:$B$1000,MATCH(A232,DefaultAuctionValues!$A$2:$A$1000,0)),0),IF(LeagueInfo!$F$7="ESPN",IFERROR(INDEX(DefaultAuctionValues!$C$2:$C$1000,MATCH(A232,DefaultAuctionValues!$A$2:$A$1000,0)),0),IF(LeagueInfo!$F$7="Custom",IFERROR(INDEX(DefaultAuctionValues!$D$2:$D$1000,MATCH(A232,DefaultAuctionValues!$A$2:$A$1000,0)),0))))</f>
        <v>1</v>
      </c>
      <c r="L232" s="160">
        <f ca="1">I232-K232</f>
        <v>-1</v>
      </c>
      <c r="M232" s="175"/>
      <c r="N232" s="170">
        <f ca="1">INDEX(INDIRECT(""&amp;$B232&amp;"!Z2:Z628"),MATCH($A232,INDIRECT(""&amp;$B232&amp;"!B2:B628"),0))</f>
        <v>-20.099999999999994</v>
      </c>
      <c r="O232" s="158" t="str">
        <f ca="1">IF(INDEX(INDIRECT(""&amp;$B232&amp;"!W2:W628"),MATCH($A232,INDIRECT(""&amp;$B232&amp;"!B2:B628"),0))=0,"",INDEX(INDIRECT(""&amp;$B232&amp;"!W2:W628"),MATCH($A232,INDIRECT(""&amp;$B232&amp;"!B2:B628"),0)))</f>
        <v/>
      </c>
    </row>
    <row r="233" spans="1:15" x14ac:dyDescent="0.25">
      <c r="A233" s="158" t="s">
        <v>2499</v>
      </c>
      <c r="B233" s="158" t="s">
        <v>48</v>
      </c>
      <c r="C233" s="158">
        <f ca="1">IFERROR(INDEX(BYEs!$B$2:$B$33,MATCH(D233,BYEs!$A$2:$A$33,0)),"N/A")</f>
        <v>11</v>
      </c>
      <c r="D233" s="219" t="str">
        <f ca="1">INDEX(INDIRECT(""&amp;B233&amp;"!F2:F628"),MATCH(A233,INDIRECT(""&amp;B233&amp;"!B2:B628"),0))</f>
        <v>JAC</v>
      </c>
      <c r="E233" s="218" t="str">
        <f ca="1">INDEX(INDIRECT(""&amp;$B233&amp;"!AA2:AA628"),MATCH($A233,INDIRECT(""&amp;$B233&amp;"!B2:B628"),0))</f>
        <v>K2</v>
      </c>
      <c r="F233" s="159">
        <f ca="1">IF(LeagueInfo!$H$7="Starter/Bench",INDEX(INDIRECT(""&amp;B233&amp;"!T2:T628"),MATCH(A233,INDIRECT(""&amp;B233&amp;"!B2:B628"),0)),INDEX(INDIRECT(""&amp;B233&amp;"!AB2:AB628"),MATCH(A233,INDIRECT(""&amp;B233&amp;"!B2:B628"),0)))</f>
        <v>0</v>
      </c>
      <c r="G233" s="160">
        <f>IF(H233&gt;0,F233-H233,0)</f>
        <v>0</v>
      </c>
      <c r="H233" s="161"/>
      <c r="I233" s="160">
        <f ca="1">F233*$A$2</f>
        <v>0</v>
      </c>
      <c r="J233" s="160" t="s">
        <v>76</v>
      </c>
      <c r="K233" s="160">
        <f>IF(LeagueInfo!$F$7="Yahoo",IFERROR(INDEX(DefaultAuctionValues!$B$2:$B$1000,MATCH(A233,DefaultAuctionValues!$A$2:$A$1000,0)),0),IF(LeagueInfo!$F$7="ESPN",IFERROR(INDEX(DefaultAuctionValues!$C$2:$C$1000,MATCH(A233,DefaultAuctionValues!$A$2:$A$1000,0)),0),IF(LeagueInfo!$F$7="Custom",IFERROR(INDEX(DefaultAuctionValues!$D$2:$D$1000,MATCH(A233,DefaultAuctionValues!$A$2:$A$1000,0)),0))))</f>
        <v>0</v>
      </c>
      <c r="L233" s="160">
        <f ca="1">I233-K233</f>
        <v>0</v>
      </c>
      <c r="M233" s="175"/>
      <c r="N233" s="170">
        <f ca="1">INDEX(INDIRECT(""&amp;$B233&amp;"!Z2:Z628"),MATCH($A233,INDIRECT(""&amp;$B233&amp;"!B2:B628"),0))</f>
        <v>-20.299999999999997</v>
      </c>
      <c r="O233" s="158" t="str">
        <f ca="1">IF(INDEX(INDIRECT(""&amp;$B233&amp;"!W2:W628"),MATCH($A233,INDIRECT(""&amp;$B233&amp;"!B2:B628"),0))=0,"",INDEX(INDIRECT(""&amp;$B233&amp;"!W2:W628"),MATCH($A233,INDIRECT(""&amp;$B233&amp;"!B2:B628"),0)))</f>
        <v/>
      </c>
    </row>
    <row r="234" spans="1:15" x14ac:dyDescent="0.25">
      <c r="A234" s="158" t="s">
        <v>635</v>
      </c>
      <c r="B234" s="158" t="s">
        <v>48</v>
      </c>
      <c r="C234" s="158">
        <f ca="1">IFERROR(INDEX(BYEs!$B$2:$B$33,MATCH(D234,BYEs!$A$2:$A$33,0)),"N/A")</f>
        <v>9</v>
      </c>
      <c r="D234" s="219" t="str">
        <f ca="1">INDEX(INDIRECT(""&amp;B234&amp;"!F2:F628"),MATCH(A234,INDIRECT(""&amp;B234&amp;"!B2:B628"),0))</f>
        <v>DAL</v>
      </c>
      <c r="E234" s="218" t="str">
        <f ca="1">INDEX(INDIRECT(""&amp;$B234&amp;"!AA2:AA628"),MATCH($A234,INDIRECT(""&amp;$B234&amp;"!B2:B628"),0))</f>
        <v>K3</v>
      </c>
      <c r="F234" s="159">
        <f ca="1">IF(LeagueInfo!$H$7="Starter/Bench",INDEX(INDIRECT(""&amp;B234&amp;"!T2:T628"),MATCH(A234,INDIRECT(""&amp;B234&amp;"!B2:B628"),0)),INDEX(INDIRECT(""&amp;B234&amp;"!AB2:AB628"),MATCH(A234,INDIRECT(""&amp;B234&amp;"!B2:B628"),0)))</f>
        <v>0</v>
      </c>
      <c r="G234" s="160">
        <f>IF(H234&gt;0,F234-H234,0)</f>
        <v>0</v>
      </c>
      <c r="H234" s="161"/>
      <c r="I234" s="160">
        <f ca="1">F234*$A$2</f>
        <v>0</v>
      </c>
      <c r="J234" s="160" t="s">
        <v>76</v>
      </c>
      <c r="K234" s="160">
        <f>IF(LeagueInfo!$F$7="Yahoo",IFERROR(INDEX(DefaultAuctionValues!$B$2:$B$1000,MATCH(A234,DefaultAuctionValues!$A$2:$A$1000,0)),0),IF(LeagueInfo!$F$7="ESPN",IFERROR(INDEX(DefaultAuctionValues!$C$2:$C$1000,MATCH(A234,DefaultAuctionValues!$A$2:$A$1000,0)),0),IF(LeagueInfo!$F$7="Custom",IFERROR(INDEX(DefaultAuctionValues!$D$2:$D$1000,MATCH(A234,DefaultAuctionValues!$A$2:$A$1000,0)),0))))</f>
        <v>0</v>
      </c>
      <c r="L234" s="160">
        <f ca="1">I234-K234</f>
        <v>0</v>
      </c>
      <c r="M234" s="175"/>
      <c r="N234" s="170">
        <f ca="1">INDEX(INDIRECT(""&amp;$B234&amp;"!Z2:Z628"),MATCH($A234,INDIRECT(""&amp;$B234&amp;"!B2:B628"),0))</f>
        <v>-30</v>
      </c>
      <c r="O234" s="158" t="str">
        <f ca="1">IF(INDEX(INDIRECT(""&amp;$B234&amp;"!W2:W628"),MATCH($A234,INDIRECT(""&amp;$B234&amp;"!B2:B628"),0))=0,"",INDEX(INDIRECT(""&amp;$B234&amp;"!W2:W628"),MATCH($A234,INDIRECT(""&amp;$B234&amp;"!B2:B628"),0)))</f>
        <v/>
      </c>
    </row>
    <row r="235" spans="1:15" x14ac:dyDescent="0.25">
      <c r="A235" s="158" t="s">
        <v>2415</v>
      </c>
      <c r="B235" s="158" t="s">
        <v>35</v>
      </c>
      <c r="C235" s="158">
        <f ca="1">IFERROR(INDEX(BYEs!$B$2:$B$33,MATCH(D235,BYEs!$A$2:$A$33,0)),"N/A")</f>
        <v>10</v>
      </c>
      <c r="D235" s="219" t="str">
        <f ca="1">INDEX(INDIRECT(""&amp;B235&amp;"!F2:F628"),MATCH(A235,INDIRECT(""&amp;B235&amp;"!B2:B628"),0))</f>
        <v>NYJ</v>
      </c>
      <c r="E235" s="218" t="str">
        <f ca="1">INDEX(INDIRECT(""&amp;$B235&amp;"!AA2:AA628"),MATCH($A235,INDIRECT(""&amp;$B235&amp;"!B2:B628"),0))</f>
        <v>WR9</v>
      </c>
      <c r="F235" s="159">
        <f ca="1">IF(LeagueInfo!$H$7="Starter/Bench",INDEX(INDIRECT(""&amp;B235&amp;"!T2:T628"),MATCH(A235,INDIRECT(""&amp;B235&amp;"!B2:B628"),0)),INDEX(INDIRECT(""&amp;B235&amp;"!AB2:AB628"),MATCH(A235,INDIRECT(""&amp;B235&amp;"!B2:B628"),0)))</f>
        <v>-0.38983133995937613</v>
      </c>
      <c r="G235" s="160">
        <f>IF(H235&gt;0,F235-H235,0)</f>
        <v>0</v>
      </c>
      <c r="H235" s="161"/>
      <c r="I235" s="160">
        <f ca="1">F235*$A$2</f>
        <v>-0.38983133995937613</v>
      </c>
      <c r="J235" s="160" t="s">
        <v>76</v>
      </c>
      <c r="K235" s="160">
        <f>IF(LeagueInfo!$F$7="Yahoo",IFERROR(INDEX(DefaultAuctionValues!$B$2:$B$1000,MATCH(A235,DefaultAuctionValues!$A$2:$A$1000,0)),0),IF(LeagueInfo!$F$7="ESPN",IFERROR(INDEX(DefaultAuctionValues!$C$2:$C$1000,MATCH(A235,DefaultAuctionValues!$A$2:$A$1000,0)),0),IF(LeagueInfo!$F$7="Custom",IFERROR(INDEX(DefaultAuctionValues!$D$2:$D$1000,MATCH(A235,DefaultAuctionValues!$A$2:$A$1000,0)),0))))</f>
        <v>1</v>
      </c>
      <c r="L235" s="160">
        <f ca="1">I235-K235</f>
        <v>-1.3898313399593762</v>
      </c>
      <c r="M235" s="175"/>
      <c r="N235" s="170">
        <f ca="1">INDEX(INDIRECT(""&amp;$B235&amp;"!Z2:Z628"),MATCH($A235,INDIRECT(""&amp;$B235&amp;"!B2:B628"),0))</f>
        <v>-1.0749999999999886</v>
      </c>
      <c r="O235" s="158" t="str">
        <f ca="1">IF(INDEX(INDIRECT(""&amp;$B235&amp;"!W2:W628"),MATCH($A235,INDIRECT(""&amp;$B235&amp;"!B2:B628"),0))=0,"",INDEX(INDIRECT(""&amp;$B235&amp;"!W2:W628"),MATCH($A235,INDIRECT(""&amp;$B235&amp;"!B2:B628"),0)))</f>
        <v/>
      </c>
    </row>
    <row r="236" spans="1:15" x14ac:dyDescent="0.25">
      <c r="A236" s="158" t="s">
        <v>228</v>
      </c>
      <c r="B236" s="158" t="s">
        <v>43</v>
      </c>
      <c r="C236" s="158">
        <f ca="1">IFERROR(INDEX(BYEs!$B$2:$B$33,MATCH(D236,BYEs!$A$2:$A$33,0)),"N/A")</f>
        <v>6</v>
      </c>
      <c r="D236" s="219" t="str">
        <f ca="1">INDEX(INDIRECT(""&amp;B236&amp;"!F2:F628"),MATCH(A236,INDIRECT(""&amp;B236&amp;"!B2:B628"),0))</f>
        <v>TEN</v>
      </c>
      <c r="E236" s="218" t="str">
        <f ca="1">INDEX(INDIRECT(""&amp;$B236&amp;"!AA2:AA628"),MATCH($A236,INDIRECT(""&amp;$B236&amp;"!B2:B628"),0))</f>
        <v>TE9</v>
      </c>
      <c r="F236" s="159">
        <f ca="1">IF(LeagueInfo!$H$7="Starter/Bench",INDEX(INDIRECT(""&amp;B236&amp;"!T2:T628"),MATCH(A236,INDIRECT(""&amp;B236&amp;"!B2:B628"),0)),INDEX(INDIRECT(""&amp;B236&amp;"!AB2:AB628"),MATCH(A236,INDIRECT(""&amp;B236&amp;"!B2:B628"),0)))</f>
        <v>-0.6581803553732809</v>
      </c>
      <c r="G236" s="160">
        <f>IF(H236&gt;0,F236-H236,0)</f>
        <v>0</v>
      </c>
      <c r="H236" s="161"/>
      <c r="I236" s="160">
        <f ca="1">F236*$A$2</f>
        <v>-0.6581803553732809</v>
      </c>
      <c r="J236" s="160" t="s">
        <v>76</v>
      </c>
      <c r="K236" s="160">
        <f>IF(LeagueInfo!$F$7="Yahoo",IFERROR(INDEX(DefaultAuctionValues!$B$2:$B$1000,MATCH(A236,DefaultAuctionValues!$A$2:$A$1000,0)),0),IF(LeagueInfo!$F$7="ESPN",IFERROR(INDEX(DefaultAuctionValues!$C$2:$C$1000,MATCH(A236,DefaultAuctionValues!$A$2:$A$1000,0)),0),IF(LeagueInfo!$F$7="Custom",IFERROR(INDEX(DefaultAuctionValues!$D$2:$D$1000,MATCH(A236,DefaultAuctionValues!$A$2:$A$1000,0)),0))))</f>
        <v>1</v>
      </c>
      <c r="L236" s="160">
        <f ca="1">I236-K236</f>
        <v>-1.6581803553732808</v>
      </c>
      <c r="M236" s="175"/>
      <c r="N236" s="170">
        <f ca="1">INDEX(INDIRECT(""&amp;$B236&amp;"!Z2:Z628"),MATCH($A236,INDIRECT(""&amp;$B236&amp;"!B2:B628"),0))</f>
        <v>-1.8150000000000048</v>
      </c>
      <c r="O236" s="158" t="str">
        <f ca="1">IF(INDEX(INDIRECT(""&amp;$B236&amp;"!W2:W628"),MATCH($A236,INDIRECT(""&amp;$B236&amp;"!B2:B628"),0))=0,"",INDEX(INDIRECT(""&amp;$B236&amp;"!W2:W628"),MATCH($A236,INDIRECT(""&amp;$B236&amp;"!B2:B628"),0)))</f>
        <v/>
      </c>
    </row>
    <row r="237" spans="1:15" x14ac:dyDescent="0.25">
      <c r="A237" s="158" t="s">
        <v>2416</v>
      </c>
      <c r="B237" s="158" t="s">
        <v>35</v>
      </c>
      <c r="C237" s="158">
        <f ca="1">IFERROR(INDEX(BYEs!$B$2:$B$33,MATCH(D237,BYEs!$A$2:$A$33,0)),"N/A")</f>
        <v>6</v>
      </c>
      <c r="D237" s="219" t="str">
        <f ca="1">INDEX(INDIRECT(""&amp;B237&amp;"!F2:F628"),MATCH(A237,INDIRECT(""&amp;B237&amp;"!B2:B628"),0))</f>
        <v>DET</v>
      </c>
      <c r="E237" s="218" t="str">
        <f ca="1">INDEX(INDIRECT(""&amp;$B237&amp;"!AA2:AA628"),MATCH($A237,INDIRECT(""&amp;$B237&amp;"!B2:B628"),0))</f>
        <v>WR9</v>
      </c>
      <c r="F237" s="159">
        <f ca="1">IF(LeagueInfo!$H$7="Starter/Bench",INDEX(INDIRECT(""&amp;B237&amp;"!T2:T628"),MATCH(A237,INDIRECT(""&amp;B237&amp;"!B2:B628"),0)),INDEX(INDIRECT(""&amp;B237&amp;"!AB2:AB628"),MATCH(A237,INDIRECT(""&amp;B237&amp;"!B2:B628"),0)))</f>
        <v>-0.8104865533108947</v>
      </c>
      <c r="G237" s="160">
        <f>IF(H237&gt;0,F237-H237,0)</f>
        <v>0</v>
      </c>
      <c r="H237" s="161"/>
      <c r="I237" s="160">
        <f ca="1">F237*$A$2</f>
        <v>-0.8104865533108947</v>
      </c>
      <c r="J237" s="160" t="s">
        <v>76</v>
      </c>
      <c r="K237" s="160">
        <f>IF(LeagueInfo!$F$7="Yahoo",IFERROR(INDEX(DefaultAuctionValues!$B$2:$B$1000,MATCH(A237,DefaultAuctionValues!$A$2:$A$1000,0)),0),IF(LeagueInfo!$F$7="ESPN",IFERROR(INDEX(DefaultAuctionValues!$C$2:$C$1000,MATCH(A237,DefaultAuctionValues!$A$2:$A$1000,0)),0),IF(LeagueInfo!$F$7="Custom",IFERROR(INDEX(DefaultAuctionValues!$D$2:$D$1000,MATCH(A237,DefaultAuctionValues!$A$2:$A$1000,0)),0))))</f>
        <v>0</v>
      </c>
      <c r="L237" s="160">
        <f ca="1">I237-K237</f>
        <v>-0.8104865533108947</v>
      </c>
      <c r="M237" s="175"/>
      <c r="N237" s="170">
        <f ca="1">INDEX(INDIRECT(""&amp;$B237&amp;"!Z2:Z628"),MATCH($A237,INDIRECT(""&amp;$B237&amp;"!B2:B628"),0))</f>
        <v>-2.2349999999999923</v>
      </c>
      <c r="O237" s="158" t="str">
        <f ca="1">IF(INDEX(INDIRECT(""&amp;$B237&amp;"!W2:W628"),MATCH($A237,INDIRECT(""&amp;$B237&amp;"!B2:B628"),0))=0,"",INDEX(INDIRECT(""&amp;$B237&amp;"!W2:W628"),MATCH($A237,INDIRECT(""&amp;$B237&amp;"!B2:B628"),0)))</f>
        <v/>
      </c>
    </row>
    <row r="238" spans="1:15" x14ac:dyDescent="0.25">
      <c r="A238" s="158" t="s">
        <v>955</v>
      </c>
      <c r="B238" s="158" t="s">
        <v>35</v>
      </c>
      <c r="C238" s="158">
        <f ca="1">IFERROR(INDEX(BYEs!$B$2:$B$33,MATCH(D238,BYEs!$A$2:$A$33,0)),"N/A")</f>
        <v>6</v>
      </c>
      <c r="D238" s="219" t="str">
        <f ca="1">INDEX(INDIRECT(""&amp;B238&amp;"!F2:F628"),MATCH(A238,INDIRECT(""&amp;B238&amp;"!B2:B628"),0))</f>
        <v>HOU</v>
      </c>
      <c r="E238" s="218" t="str">
        <f ca="1">INDEX(INDIRECT(""&amp;$B238&amp;"!AA2:AA628"),MATCH($A238,INDIRECT(""&amp;$B238&amp;"!B2:B628"),0))</f>
        <v>WR9</v>
      </c>
      <c r="F238" s="159">
        <f ca="1">IF(LeagueInfo!$H$7="Starter/Bench",INDEX(INDIRECT(""&amp;B238&amp;"!T2:T628"),MATCH(A238,INDIRECT(""&amp;B238&amp;"!B2:B628"),0)),INDEX(INDIRECT(""&amp;B238&amp;"!AB2:AB628"),MATCH(A238,INDIRECT(""&amp;B238&amp;"!B2:B628"),0)))</f>
        <v>-0.97004542734077981</v>
      </c>
      <c r="G238" s="160">
        <f>IF(H238&gt;0,F238-H238,0)</f>
        <v>0</v>
      </c>
      <c r="H238" s="161"/>
      <c r="I238" s="160">
        <f ca="1">F238*$A$2</f>
        <v>-0.97004542734077981</v>
      </c>
      <c r="J238" s="160" t="s">
        <v>76</v>
      </c>
      <c r="K238" s="160">
        <f>IF(LeagueInfo!$F$7="Yahoo",IFERROR(INDEX(DefaultAuctionValues!$B$2:$B$1000,MATCH(A238,DefaultAuctionValues!$A$2:$A$1000,0)),0),IF(LeagueInfo!$F$7="ESPN",IFERROR(INDEX(DefaultAuctionValues!$C$2:$C$1000,MATCH(A238,DefaultAuctionValues!$A$2:$A$1000,0)),0),IF(LeagueInfo!$F$7="Custom",IFERROR(INDEX(DefaultAuctionValues!$D$2:$D$1000,MATCH(A238,DefaultAuctionValues!$A$2:$A$1000,0)),0))))</f>
        <v>1</v>
      </c>
      <c r="L238" s="160">
        <f ca="1">I238-K238</f>
        <v>-1.9700454273407799</v>
      </c>
      <c r="M238" s="175"/>
      <c r="N238" s="170">
        <f ca="1">INDEX(INDIRECT(""&amp;$B238&amp;"!Z2:Z628"),MATCH($A238,INDIRECT(""&amp;$B238&amp;"!B2:B628"),0))</f>
        <v>-2.6749999999999901</v>
      </c>
      <c r="O238" s="158" t="str">
        <f ca="1">IF(INDEX(INDIRECT(""&amp;$B238&amp;"!W2:W628"),MATCH($A238,INDIRECT(""&amp;$B238&amp;"!B2:B628"),0))=0,"",INDEX(INDIRECT(""&amp;$B238&amp;"!W2:W628"),MATCH($A238,INDIRECT(""&amp;$B238&amp;"!B2:B628"),0)))</f>
        <v/>
      </c>
    </row>
    <row r="239" spans="1:15" x14ac:dyDescent="0.25">
      <c r="A239" s="158" t="s">
        <v>203</v>
      </c>
      <c r="B239" s="158" t="s">
        <v>29</v>
      </c>
      <c r="C239" s="158">
        <f ca="1">IFERROR(INDEX(BYEs!$B$2:$B$33,MATCH(D239,BYEs!$A$2:$A$33,0)),"N/A")</f>
        <v>14</v>
      </c>
      <c r="D239" s="219" t="str">
        <f ca="1">INDEX(INDIRECT(""&amp;B239&amp;"!F2:F628"),MATCH(A239,INDIRECT(""&amp;B239&amp;"!B2:B628"),0))</f>
        <v>WAS</v>
      </c>
      <c r="E239" s="218" t="str">
        <f ca="1">INDEX(INDIRECT(""&amp;$B239&amp;"!AA2:AA628"),MATCH($A239,INDIRECT(""&amp;$B239&amp;"!B2:B628"),0))</f>
        <v>QB6</v>
      </c>
      <c r="F239" s="159">
        <f ca="1">IF(LeagueInfo!$H$7="Starter/Bench",INDEX(INDIRECT(""&amp;B239&amp;"!T2:T628"),MATCH(A239,INDIRECT(""&amp;B239&amp;"!B2:B628"),0)),INDEX(INDIRECT(""&amp;B239&amp;"!AB2:AB628"),MATCH(A239,INDIRECT(""&amp;B239&amp;"!B2:B628"),0)))</f>
        <v>-0.99144082181296556</v>
      </c>
      <c r="G239" s="160">
        <f>IF(H239&gt;0,F239-H239,0)</f>
        <v>0</v>
      </c>
      <c r="H239" s="161"/>
      <c r="I239" s="160">
        <f ca="1">F239*$A$2</f>
        <v>-0.99144082181296556</v>
      </c>
      <c r="J239" s="160" t="s">
        <v>76</v>
      </c>
      <c r="K239" s="160">
        <f>IF(LeagueInfo!$F$7="Yahoo",IFERROR(INDEX(DefaultAuctionValues!$B$2:$B$1000,MATCH(A239,DefaultAuctionValues!$A$2:$A$1000,0)),0),IF(LeagueInfo!$F$7="ESPN",IFERROR(INDEX(DefaultAuctionValues!$C$2:$C$1000,MATCH(A239,DefaultAuctionValues!$A$2:$A$1000,0)),0),IF(LeagueInfo!$F$7="Custom",IFERROR(INDEX(DefaultAuctionValues!$D$2:$D$1000,MATCH(A239,DefaultAuctionValues!$A$2:$A$1000,0)),0))))</f>
        <v>1</v>
      </c>
      <c r="L239" s="160">
        <f ca="1">I239-K239</f>
        <v>-1.9914408218129656</v>
      </c>
      <c r="M239" s="175"/>
      <c r="N239" s="170">
        <f ca="1">INDEX(INDIRECT(""&amp;$B239&amp;"!Z2:Z628"),MATCH($A239,INDIRECT(""&amp;$B239&amp;"!B2:B628"),0))</f>
        <v>-2.7339999999999804</v>
      </c>
      <c r="O239" s="158" t="str">
        <f ca="1">IF(INDEX(INDIRECT(""&amp;$B239&amp;"!W2:W628"),MATCH($A239,INDIRECT(""&amp;$B239&amp;"!B2:B628"),0))=0,"",INDEX(INDIRECT(""&amp;$B239&amp;"!W2:W628"),MATCH($A239,INDIRECT(""&amp;$B239&amp;"!B2:B628"),0)))</f>
        <v/>
      </c>
    </row>
    <row r="240" spans="1:15" x14ac:dyDescent="0.25">
      <c r="A240" s="158" t="s">
        <v>2422</v>
      </c>
      <c r="B240" s="158" t="s">
        <v>35</v>
      </c>
      <c r="C240" s="158">
        <f ca="1">IFERROR(INDEX(BYEs!$B$2:$B$33,MATCH(D240,BYEs!$A$2:$A$33,0)),"N/A")</f>
        <v>9</v>
      </c>
      <c r="D240" s="219" t="str">
        <f ca="1">INDEX(INDIRECT(""&amp;B240&amp;"!F2:F628"),MATCH(A240,INDIRECT(""&amp;B240&amp;"!B2:B628"),0))</f>
        <v>PIT</v>
      </c>
      <c r="E240" s="218" t="str">
        <f ca="1">INDEX(INDIRECT(""&amp;$B240&amp;"!AA2:AA628"),MATCH($A240,INDIRECT(""&amp;$B240&amp;"!B2:B628"),0))</f>
        <v>WR9</v>
      </c>
      <c r="F240" s="159">
        <f ca="1">IF(LeagueInfo!$H$7="Starter/Bench",INDEX(INDIRECT(""&amp;B240&amp;"!T2:T628"),MATCH(A240,INDIRECT(""&amp;B240&amp;"!B2:B628"),0)),INDEX(INDIRECT(""&amp;B240&amp;"!AB2:AB628"),MATCH(A240,INDIRECT(""&amp;B240&amp;"!B2:B628"),0)))</f>
        <v>-1.0552643714249232</v>
      </c>
      <c r="G240" s="160">
        <f>IF(H240&gt;0,F240-H240,0)</f>
        <v>0</v>
      </c>
      <c r="H240" s="161"/>
      <c r="I240" s="160">
        <f ca="1">F240*$A$2</f>
        <v>-1.0552643714249232</v>
      </c>
      <c r="J240" s="160" t="s">
        <v>76</v>
      </c>
      <c r="K240" s="160">
        <f>IF(LeagueInfo!$F$7="Yahoo",IFERROR(INDEX(DefaultAuctionValues!$B$2:$B$1000,MATCH(A240,DefaultAuctionValues!$A$2:$A$1000,0)),0),IF(LeagueInfo!$F$7="ESPN",IFERROR(INDEX(DefaultAuctionValues!$C$2:$C$1000,MATCH(A240,DefaultAuctionValues!$A$2:$A$1000,0)),0),IF(LeagueInfo!$F$7="Custom",IFERROR(INDEX(DefaultAuctionValues!$D$2:$D$1000,MATCH(A240,DefaultAuctionValues!$A$2:$A$1000,0)),0))))</f>
        <v>1</v>
      </c>
      <c r="L240" s="160">
        <f ca="1">I240-K240</f>
        <v>-2.055264371424923</v>
      </c>
      <c r="M240" s="175"/>
      <c r="N240" s="170">
        <f ca="1">INDEX(INDIRECT(""&amp;$B240&amp;"!Z2:Z628"),MATCH($A240,INDIRECT(""&amp;$B240&amp;"!B2:B628"),0))</f>
        <v>-2.9099999999999895</v>
      </c>
      <c r="O240" s="158" t="str">
        <f ca="1">IF(INDEX(INDIRECT(""&amp;$B240&amp;"!W2:W628"),MATCH($A240,INDIRECT(""&amp;$B240&amp;"!B2:B628"),0))=0,"",INDEX(INDIRECT(""&amp;$B240&amp;"!W2:W628"),MATCH($A240,INDIRECT(""&amp;$B240&amp;"!B2:B628"),0)))</f>
        <v/>
      </c>
    </row>
    <row r="241" spans="1:15" x14ac:dyDescent="0.25">
      <c r="A241" s="158" t="s">
        <v>170</v>
      </c>
      <c r="B241" s="158" t="s">
        <v>35</v>
      </c>
      <c r="C241" s="158">
        <f ca="1">IFERROR(INDEX(BYEs!$B$2:$B$33,MATCH(D241,BYEs!$A$2:$A$33,0)),"N/A")</f>
        <v>10</v>
      </c>
      <c r="D241" s="219" t="str">
        <f ca="1">INDEX(INDIRECT(""&amp;B241&amp;"!F2:F628"),MATCH(A241,INDIRECT(""&amp;B241&amp;"!B2:B628"),0))</f>
        <v>NYJ</v>
      </c>
      <c r="E241" s="218" t="str">
        <f ca="1">INDEX(INDIRECT(""&amp;$B241&amp;"!AA2:AA628"),MATCH($A241,INDIRECT(""&amp;$B241&amp;"!B2:B628"),0))</f>
        <v>WR9</v>
      </c>
      <c r="F241" s="159">
        <f ca="1">IF(LeagueInfo!$H$7="Starter/Bench",INDEX(INDIRECT(""&amp;B241&amp;"!T2:T628"),MATCH(A241,INDIRECT(""&amp;B241&amp;"!B2:B628"),0)),INDEX(INDIRECT(""&amp;B241&amp;"!AB2:AB628"),MATCH(A241,INDIRECT(""&amp;B241&amp;"!B2:B628"),0)))</f>
        <v>-1.1658676818320055</v>
      </c>
      <c r="G241" s="160">
        <f>IF(H241&gt;0,F241-H241,0)</f>
        <v>0</v>
      </c>
      <c r="H241" s="161"/>
      <c r="I241" s="160">
        <f ca="1">F241*$A$2</f>
        <v>-1.1658676818320055</v>
      </c>
      <c r="J241" s="160" t="s">
        <v>76</v>
      </c>
      <c r="K241" s="160">
        <f>IF(LeagueInfo!$F$7="Yahoo",IFERROR(INDEX(DefaultAuctionValues!$B$2:$B$1000,MATCH(A241,DefaultAuctionValues!$A$2:$A$1000,0)),0),IF(LeagueInfo!$F$7="ESPN",IFERROR(INDEX(DefaultAuctionValues!$C$2:$C$1000,MATCH(A241,DefaultAuctionValues!$A$2:$A$1000,0)),0),IF(LeagueInfo!$F$7="Custom",IFERROR(INDEX(DefaultAuctionValues!$D$2:$D$1000,MATCH(A241,DefaultAuctionValues!$A$2:$A$1000,0)),0))))</f>
        <v>0</v>
      </c>
      <c r="L241" s="160">
        <f ca="1">I241-K241</f>
        <v>-1.1658676818320055</v>
      </c>
      <c r="M241" s="175"/>
      <c r="N241" s="170">
        <f ca="1">INDEX(INDIRECT(""&amp;$B241&amp;"!Z2:Z628"),MATCH($A241,INDIRECT(""&amp;$B241&amp;"!B2:B628"),0))</f>
        <v>-3.2149999999999963</v>
      </c>
      <c r="O241" s="158" t="str">
        <f ca="1">IF(INDEX(INDIRECT(""&amp;$B241&amp;"!W2:W628"),MATCH($A241,INDIRECT(""&amp;$B241&amp;"!B2:B628"),0))=0,"",INDEX(INDIRECT(""&amp;$B241&amp;"!W2:W628"),MATCH($A241,INDIRECT(""&amp;$B241&amp;"!B2:B628"),0)))</f>
        <v/>
      </c>
    </row>
    <row r="242" spans="1:15" x14ac:dyDescent="0.25">
      <c r="A242" s="158" t="s">
        <v>333</v>
      </c>
      <c r="B242" s="158" t="s">
        <v>28</v>
      </c>
      <c r="C242" s="158">
        <f ca="1">IFERROR(INDEX(BYEs!$B$2:$B$33,MATCH(D242,BYEs!$A$2:$A$33,0)),"N/A")</f>
        <v>8</v>
      </c>
      <c r="D242" s="219" t="str">
        <f ca="1">INDEX(INDIRECT(""&amp;B242&amp;"!F2:F628"),MATCH(A242,INDIRECT(""&amp;B242&amp;"!B2:B628"),0))</f>
        <v>KC</v>
      </c>
      <c r="E242" s="218" t="str">
        <f ca="1">INDEX(INDIRECT(""&amp;$B242&amp;"!AA2:AA628"),MATCH($A242,INDIRECT(""&amp;$B242&amp;"!B2:B628"),0))</f>
        <v>RB9</v>
      </c>
      <c r="F242" s="159">
        <f ca="1">IF(LeagueInfo!$H$7="Starter/Bench",INDEX(INDIRECT(""&amp;B242&amp;"!T2:T628"),MATCH(A242,INDIRECT(""&amp;B242&amp;"!B2:B628"),0)),INDEX(INDIRECT(""&amp;B242&amp;"!AB2:AB628"),MATCH(A242,INDIRECT(""&amp;B242&amp;"!B2:B628"),0)))</f>
        <v>-1.1912520481549447</v>
      </c>
      <c r="G242" s="160">
        <f>IF(H242&gt;0,F242-H242,0)</f>
        <v>0</v>
      </c>
      <c r="H242" s="161"/>
      <c r="I242" s="160">
        <f ca="1">F242*$A$2</f>
        <v>-1.1912520481549447</v>
      </c>
      <c r="J242" s="160" t="s">
        <v>76</v>
      </c>
      <c r="K242" s="160">
        <f>IF(LeagueInfo!$F$7="Yahoo",IFERROR(INDEX(DefaultAuctionValues!$B$2:$B$1000,MATCH(A242,DefaultAuctionValues!$A$2:$A$1000,0)),0),IF(LeagueInfo!$F$7="ESPN",IFERROR(INDEX(DefaultAuctionValues!$C$2:$C$1000,MATCH(A242,DefaultAuctionValues!$A$2:$A$1000,0)),0),IF(LeagueInfo!$F$7="Custom",IFERROR(INDEX(DefaultAuctionValues!$D$2:$D$1000,MATCH(A242,DefaultAuctionValues!$A$2:$A$1000,0)),0))))</f>
        <v>0</v>
      </c>
      <c r="L242" s="160">
        <f ca="1">I242-K242</f>
        <v>-1.1912520481549447</v>
      </c>
      <c r="M242" s="175"/>
      <c r="N242" s="170">
        <f ca="1">INDEX(INDIRECT(""&amp;$B242&amp;"!Z2:Z628"),MATCH($A242,INDIRECT(""&amp;$B242&amp;"!B2:B628"),0))</f>
        <v>-3.2850000000000037</v>
      </c>
      <c r="O242" s="158" t="str">
        <f ca="1">IF(INDEX(INDIRECT(""&amp;$B242&amp;"!W2:W628"),MATCH($A242,INDIRECT(""&amp;$B242&amp;"!B2:B628"),0))=0,"",INDEX(INDIRECT(""&amp;$B242&amp;"!W2:W628"),MATCH($A242,INDIRECT(""&amp;$B242&amp;"!B2:B628"),0)))</f>
        <v/>
      </c>
    </row>
    <row r="243" spans="1:15" x14ac:dyDescent="0.25">
      <c r="A243" s="158" t="s">
        <v>2419</v>
      </c>
      <c r="B243" s="158" t="s">
        <v>35</v>
      </c>
      <c r="C243" s="158">
        <f ca="1">IFERROR(INDEX(BYEs!$B$2:$B$33,MATCH(D243,BYEs!$A$2:$A$33,0)),"N/A")</f>
        <v>14</v>
      </c>
      <c r="D243" s="219" t="str">
        <f ca="1">INDEX(INDIRECT(""&amp;B243&amp;"!F2:F628"),MATCH(A243,INDIRECT(""&amp;B243&amp;"!B2:B628"),0))</f>
        <v>WAS</v>
      </c>
      <c r="E243" s="218" t="str">
        <f ca="1">INDEX(INDIRECT(""&amp;$B243&amp;"!AA2:AA628"),MATCH($A243,INDIRECT(""&amp;$B243&amp;"!B2:B628"),0))</f>
        <v>WR9</v>
      </c>
      <c r="F243" s="159">
        <f ca="1">IF(LeagueInfo!$H$7="Starter/Bench",INDEX(INDIRECT(""&amp;B243&amp;"!T2:T628"),MATCH(A243,INDIRECT(""&amp;B243&amp;"!B2:B628"),0)),INDEX(INDIRECT(""&amp;B243&amp;"!AB2:AB628"),MATCH(A243,INDIRECT(""&amp;B243&amp;"!B2:B628"),0)))</f>
        <v>-1.3054816966081524</v>
      </c>
      <c r="G243" s="160">
        <f>IF(H243&gt;0,F243-H243,0)</f>
        <v>0</v>
      </c>
      <c r="H243" s="161"/>
      <c r="I243" s="160">
        <f ca="1">F243*$A$2</f>
        <v>-1.3054816966081524</v>
      </c>
      <c r="J243" s="160" t="s">
        <v>76</v>
      </c>
      <c r="K243" s="160">
        <f>IF(LeagueInfo!$F$7="Yahoo",IFERROR(INDEX(DefaultAuctionValues!$B$2:$B$1000,MATCH(A243,DefaultAuctionValues!$A$2:$A$1000,0)),0),IF(LeagueInfo!$F$7="ESPN",IFERROR(INDEX(DefaultAuctionValues!$C$2:$C$1000,MATCH(A243,DefaultAuctionValues!$A$2:$A$1000,0)),0),IF(LeagueInfo!$F$7="Custom",IFERROR(INDEX(DefaultAuctionValues!$D$2:$D$1000,MATCH(A243,DefaultAuctionValues!$A$2:$A$1000,0)),0))))</f>
        <v>1</v>
      </c>
      <c r="L243" s="160">
        <f ca="1">I243-K243</f>
        <v>-2.3054816966081524</v>
      </c>
      <c r="M243" s="175"/>
      <c r="N243" s="170">
        <f ca="1">INDEX(INDIRECT(""&amp;$B243&amp;"!Z2:Z628"),MATCH($A243,INDIRECT(""&amp;$B243&amp;"!B2:B628"),0))</f>
        <v>-3.5999999999999872</v>
      </c>
      <c r="O243" s="158" t="str">
        <f ca="1">IF(INDEX(INDIRECT(""&amp;$B243&amp;"!W2:W628"),MATCH($A243,INDIRECT(""&amp;$B243&amp;"!B2:B628"),0))=0,"",INDEX(INDIRECT(""&amp;$B243&amp;"!W2:W628"),MATCH($A243,INDIRECT(""&amp;$B243&amp;"!B2:B628"),0)))</f>
        <v/>
      </c>
    </row>
    <row r="244" spans="1:15" x14ac:dyDescent="0.25">
      <c r="A244" s="158" t="s">
        <v>302</v>
      </c>
      <c r="B244" s="158" t="s">
        <v>29</v>
      </c>
      <c r="C244" s="158">
        <f ca="1">IFERROR(INDEX(BYEs!$B$2:$B$33,MATCH(D244,BYEs!$A$2:$A$33,0)),"N/A")</f>
        <v>6</v>
      </c>
      <c r="D244" s="219" t="str">
        <f ca="1">INDEX(INDIRECT(""&amp;B244&amp;"!F2:F628"),MATCH(A244,INDIRECT(""&amp;B244&amp;"!B2:B628"),0))</f>
        <v>DET</v>
      </c>
      <c r="E244" s="218" t="str">
        <f ca="1">INDEX(INDIRECT(""&amp;$B244&amp;"!AA2:AA628"),MATCH($A244,INDIRECT(""&amp;$B244&amp;"!B2:B628"),0))</f>
        <v>QB6</v>
      </c>
      <c r="F244" s="159">
        <f ca="1">IF(LeagueInfo!$H$7="Starter/Bench",INDEX(INDIRECT(""&amp;B244&amp;"!T2:T628"),MATCH(A244,INDIRECT(""&amp;B244&amp;"!B2:B628"),0)),INDEX(INDIRECT(""&amp;B244&amp;"!AB2:AB628"),MATCH(A244,INDIRECT(""&amp;B244&amp;"!B2:B628"),0)))</f>
        <v>-1.5491716133083382</v>
      </c>
      <c r="G244" s="160">
        <f>IF(H244&gt;0,F244-H244,0)</f>
        <v>0</v>
      </c>
      <c r="H244" s="161"/>
      <c r="I244" s="160">
        <f ca="1">F244*$A$2</f>
        <v>-1.5491716133083382</v>
      </c>
      <c r="J244" s="160" t="s">
        <v>76</v>
      </c>
      <c r="K244" s="160">
        <f>IF(LeagueInfo!$F$7="Yahoo",IFERROR(INDEX(DefaultAuctionValues!$B$2:$B$1000,MATCH(A244,DefaultAuctionValues!$A$2:$A$1000,0)),0),IF(LeagueInfo!$F$7="ESPN",IFERROR(INDEX(DefaultAuctionValues!$C$2:$C$1000,MATCH(A244,DefaultAuctionValues!$A$2:$A$1000,0)),0),IF(LeagueInfo!$F$7="Custom",IFERROR(INDEX(DefaultAuctionValues!$D$2:$D$1000,MATCH(A244,DefaultAuctionValues!$A$2:$A$1000,0)),0))))</f>
        <v>1</v>
      </c>
      <c r="L244" s="160">
        <f ca="1">I244-K244</f>
        <v>-2.5491716133083382</v>
      </c>
      <c r="M244" s="175"/>
      <c r="N244" s="170">
        <f ca="1">INDEX(INDIRECT(""&amp;$B244&amp;"!Z2:Z628"),MATCH($A244,INDIRECT(""&amp;$B244&amp;"!B2:B628"),0))</f>
        <v>-4.2719999999999771</v>
      </c>
      <c r="O244" s="158" t="str">
        <f ca="1">IF(INDEX(INDIRECT(""&amp;$B244&amp;"!W2:W628"),MATCH($A244,INDIRECT(""&amp;$B244&amp;"!B2:B628"),0))=0,"",INDEX(INDIRECT(""&amp;$B244&amp;"!W2:W628"),MATCH($A244,INDIRECT(""&amp;$B244&amp;"!B2:B628"),0)))</f>
        <v/>
      </c>
    </row>
    <row r="245" spans="1:15" x14ac:dyDescent="0.25">
      <c r="A245" s="158" t="s">
        <v>2452</v>
      </c>
      <c r="B245" s="158" t="s">
        <v>28</v>
      </c>
      <c r="C245" s="158">
        <f ca="1">IFERROR(INDEX(BYEs!$B$2:$B$33,MATCH(D245,BYEs!$A$2:$A$33,0)),"N/A")</f>
        <v>6</v>
      </c>
      <c r="D245" s="219" t="str">
        <f ca="1">INDEX(INDIRECT(""&amp;B245&amp;"!F2:F628"),MATCH(A245,INDIRECT(""&amp;B245&amp;"!B2:B628"),0))</f>
        <v>LV</v>
      </c>
      <c r="E245" s="218" t="str">
        <f ca="1">INDEX(INDIRECT(""&amp;$B245&amp;"!AA2:AA628"),MATCH($A245,INDIRECT(""&amp;$B245&amp;"!B2:B628"),0))</f>
        <v>RB9</v>
      </c>
      <c r="F245" s="159">
        <f ca="1">IF(LeagueInfo!$H$7="Starter/Bench",INDEX(INDIRECT(""&amp;B245&amp;"!T2:T628"),MATCH(A245,INDIRECT(""&amp;B245&amp;"!B2:B628"),0)),INDEX(INDIRECT(""&amp;B245&amp;"!AB2:AB628"),MATCH(A245,INDIRECT(""&amp;B245&amp;"!B2:B628"),0)))</f>
        <v>-1.7352027550750102</v>
      </c>
      <c r="G245" s="160">
        <f>IF(H245&gt;0,F245-H245,0)</f>
        <v>0</v>
      </c>
      <c r="H245" s="161"/>
      <c r="I245" s="160">
        <f ca="1">F245*$A$2</f>
        <v>-1.7352027550750102</v>
      </c>
      <c r="J245" s="160" t="s">
        <v>76</v>
      </c>
      <c r="K245" s="160">
        <f>IF(LeagueInfo!$F$7="Yahoo",IFERROR(INDEX(DefaultAuctionValues!$B$2:$B$1000,MATCH(A245,DefaultAuctionValues!$A$2:$A$1000,0)),0),IF(LeagueInfo!$F$7="ESPN",IFERROR(INDEX(DefaultAuctionValues!$C$2:$C$1000,MATCH(A245,DefaultAuctionValues!$A$2:$A$1000,0)),0),IF(LeagueInfo!$F$7="Custom",IFERROR(INDEX(DefaultAuctionValues!$D$2:$D$1000,MATCH(A245,DefaultAuctionValues!$A$2:$A$1000,0)),0))))</f>
        <v>1</v>
      </c>
      <c r="L245" s="160">
        <f ca="1">I245-K245</f>
        <v>-2.7352027550750102</v>
      </c>
      <c r="M245" s="175"/>
      <c r="N245" s="170">
        <f ca="1">INDEX(INDIRECT(""&amp;$B245&amp;"!Z2:Z628"),MATCH($A245,INDIRECT(""&amp;$B245&amp;"!B2:B628"),0))</f>
        <v>-4.7850000000000037</v>
      </c>
      <c r="O245" s="158" t="str">
        <f ca="1">IF(INDEX(INDIRECT(""&amp;$B245&amp;"!W2:W628"),MATCH($A245,INDIRECT(""&amp;$B245&amp;"!B2:B628"),0))=0,"",INDEX(INDIRECT(""&amp;$B245&amp;"!W2:W628"),MATCH($A245,INDIRECT(""&amp;$B245&amp;"!B2:B628"),0)))</f>
        <v/>
      </c>
    </row>
    <row r="246" spans="1:15" x14ac:dyDescent="0.25">
      <c r="A246" s="158" t="s">
        <v>637</v>
      </c>
      <c r="B246" s="158" t="s">
        <v>28</v>
      </c>
      <c r="C246" s="158">
        <f ca="1">IFERROR(INDEX(BYEs!$B$2:$B$33,MATCH(D246,BYEs!$A$2:$A$33,0)),"N/A")</f>
        <v>10</v>
      </c>
      <c r="D246" s="219" t="str">
        <f ca="1">INDEX(INDIRECT(""&amp;B246&amp;"!F2:F628"),MATCH(A246,INDIRECT(""&amp;B246&amp;"!B2:B628"),0))</f>
        <v>BAL</v>
      </c>
      <c r="E246" s="218" t="str">
        <f ca="1">INDEX(INDIRECT(""&amp;$B246&amp;"!AA2:AA628"),MATCH($A246,INDIRECT(""&amp;$B246&amp;"!B2:B628"),0))</f>
        <v>RB9</v>
      </c>
      <c r="F246" s="159">
        <f ca="1">IF(LeagueInfo!$H$7="Starter/Bench",INDEX(INDIRECT(""&amp;B246&amp;"!T2:T628"),MATCH(A246,INDIRECT(""&amp;B246&amp;"!B2:B628"),0)),INDEX(INDIRECT(""&amp;B246&amp;"!AB2:AB628"),MATCH(A246,INDIRECT(""&amp;B246&amp;"!B2:B628"),0)))</f>
        <v>-1.744268600190344</v>
      </c>
      <c r="G246" s="160">
        <f>IF(H246&gt;0,F246-H246,0)</f>
        <v>0</v>
      </c>
      <c r="H246" s="161"/>
      <c r="I246" s="160">
        <f ca="1">F246*$A$2</f>
        <v>-1.744268600190344</v>
      </c>
      <c r="J246" s="160" t="s">
        <v>76</v>
      </c>
      <c r="K246" s="160">
        <f>IF(LeagueInfo!$F$7="Yahoo",IFERROR(INDEX(DefaultAuctionValues!$B$2:$B$1000,MATCH(A246,DefaultAuctionValues!$A$2:$A$1000,0)),0),IF(LeagueInfo!$F$7="ESPN",IFERROR(INDEX(DefaultAuctionValues!$C$2:$C$1000,MATCH(A246,DefaultAuctionValues!$A$2:$A$1000,0)),0),IF(LeagueInfo!$F$7="Custom",IFERROR(INDEX(DefaultAuctionValues!$D$2:$D$1000,MATCH(A246,DefaultAuctionValues!$A$2:$A$1000,0)),0))))</f>
        <v>1</v>
      </c>
      <c r="L246" s="160">
        <f ca="1">I246-K246</f>
        <v>-2.744268600190344</v>
      </c>
      <c r="M246" s="175"/>
      <c r="N246" s="170">
        <f ca="1">INDEX(INDIRECT(""&amp;$B246&amp;"!Z2:Z628"),MATCH($A246,INDIRECT(""&amp;$B246&amp;"!B2:B628"),0))</f>
        <v>-4.8100000000000023</v>
      </c>
      <c r="O246" s="158" t="str">
        <f ca="1">IF(INDEX(INDIRECT(""&amp;$B246&amp;"!W2:W628"),MATCH($A246,INDIRECT(""&amp;$B246&amp;"!B2:B628"),0))=0,"",INDEX(INDIRECT(""&amp;$B246&amp;"!W2:W628"),MATCH($A246,INDIRECT(""&amp;$B246&amp;"!B2:B628"),0)))</f>
        <v/>
      </c>
    </row>
    <row r="247" spans="1:15" x14ac:dyDescent="0.25">
      <c r="A247" s="158" t="s">
        <v>159</v>
      </c>
      <c r="B247" s="158" t="s">
        <v>28</v>
      </c>
      <c r="C247" s="158">
        <f ca="1">IFERROR(INDEX(BYEs!$B$2:$B$33,MATCH(D247,BYEs!$A$2:$A$33,0)),"N/A")</f>
        <v>6</v>
      </c>
      <c r="D247" s="219" t="str">
        <f ca="1">INDEX(INDIRECT(""&amp;B247&amp;"!F2:F628"),MATCH(A247,INDIRECT(""&amp;B247&amp;"!B2:B628"),0))</f>
        <v>LV</v>
      </c>
      <c r="E247" s="218" t="str">
        <f ca="1">INDEX(INDIRECT(""&amp;$B247&amp;"!AA2:AA628"),MATCH($A247,INDIRECT(""&amp;$B247&amp;"!B2:B628"),0))</f>
        <v>RB9</v>
      </c>
      <c r="F247" s="159">
        <f ca="1">IF(LeagueInfo!$H$7="Starter/Bench",INDEX(INDIRECT(""&amp;B247&amp;"!T2:T628"),MATCH(A247,INDIRECT(""&amp;B247&amp;"!B2:B628"),0)),INDEX(INDIRECT(""&amp;B247&amp;"!AB2:AB628"),MATCH(A247,INDIRECT(""&amp;B247&amp;"!B2:B628"),0)))</f>
        <v>-1.992672756350508</v>
      </c>
      <c r="G247" s="160">
        <f>IF(H247&gt;0,F247-H247,0)</f>
        <v>0</v>
      </c>
      <c r="H247" s="161"/>
      <c r="I247" s="160">
        <f ca="1">F247*$A$2</f>
        <v>-1.992672756350508</v>
      </c>
      <c r="J247" s="160" t="s">
        <v>76</v>
      </c>
      <c r="K247" s="160">
        <f>IF(LeagueInfo!$F$7="Yahoo",IFERROR(INDEX(DefaultAuctionValues!$B$2:$B$1000,MATCH(A247,DefaultAuctionValues!$A$2:$A$1000,0)),0),IF(LeagueInfo!$F$7="ESPN",IFERROR(INDEX(DefaultAuctionValues!$C$2:$C$1000,MATCH(A247,DefaultAuctionValues!$A$2:$A$1000,0)),0),IF(LeagueInfo!$F$7="Custom",IFERROR(INDEX(DefaultAuctionValues!$D$2:$D$1000,MATCH(A247,DefaultAuctionValues!$A$2:$A$1000,0)),0))))</f>
        <v>0</v>
      </c>
      <c r="L247" s="160">
        <f ca="1">I247-K247</f>
        <v>-1.992672756350508</v>
      </c>
      <c r="M247" s="175"/>
      <c r="N247" s="170">
        <f ca="1">INDEX(INDIRECT(""&amp;$B247&amp;"!Z2:Z628"),MATCH($A247,INDIRECT(""&amp;$B247&amp;"!B2:B628"),0))</f>
        <v>-5.4950000000000045</v>
      </c>
      <c r="O247" s="158" t="str">
        <f ca="1">IF(INDEX(INDIRECT(""&amp;$B247&amp;"!W2:W628"),MATCH($A247,INDIRECT(""&amp;$B247&amp;"!B2:B628"),0))=0,"",INDEX(INDIRECT(""&amp;$B247&amp;"!W2:W628"),MATCH($A247,INDIRECT(""&amp;$B247&amp;"!B2:B628"),0)))</f>
        <v/>
      </c>
    </row>
    <row r="248" spans="1:15" x14ac:dyDescent="0.25">
      <c r="A248" s="158" t="s">
        <v>2417</v>
      </c>
      <c r="B248" s="158" t="s">
        <v>35</v>
      </c>
      <c r="C248" s="158">
        <f ca="1">IFERROR(INDEX(BYEs!$B$2:$B$33,MATCH(D248,BYEs!$A$2:$A$33,0)),"N/A")</f>
        <v>9</v>
      </c>
      <c r="D248" s="219" t="str">
        <f ca="1">INDEX(INDIRECT(""&amp;B248&amp;"!F2:F628"),MATCH(A248,INDIRECT(""&amp;B248&amp;"!B2:B628"),0))</f>
        <v>DAL</v>
      </c>
      <c r="E248" s="218" t="str">
        <f ca="1">INDEX(INDIRECT(""&amp;$B248&amp;"!AA2:AA628"),MATCH($A248,INDIRECT(""&amp;$B248&amp;"!B2:B628"),0))</f>
        <v>WR9</v>
      </c>
      <c r="F248" s="159">
        <f ca="1">IF(LeagueInfo!$H$7="Starter/Bench",INDEX(INDIRECT(""&amp;B248&amp;"!T2:T628"),MATCH(A248,INDIRECT(""&amp;B248&amp;"!B2:B628"),0)),INDEX(INDIRECT(""&amp;B248&amp;"!AB2:AB628"),MATCH(A248,INDIRECT(""&amp;B248&amp;"!B2:B628"),0)))</f>
        <v>-2.2301978983722655</v>
      </c>
      <c r="G248" s="160">
        <f>IF(H248&gt;0,F248-H248,0)</f>
        <v>0</v>
      </c>
      <c r="H248" s="161"/>
      <c r="I248" s="160">
        <f ca="1">F248*$A$2</f>
        <v>-2.2301978983722655</v>
      </c>
      <c r="J248" s="160" t="s">
        <v>76</v>
      </c>
      <c r="K248" s="160">
        <f>IF(LeagueInfo!$F$7="Yahoo",IFERROR(INDEX(DefaultAuctionValues!$B$2:$B$1000,MATCH(A248,DefaultAuctionValues!$A$2:$A$1000,0)),0),IF(LeagueInfo!$F$7="ESPN",IFERROR(INDEX(DefaultAuctionValues!$C$2:$C$1000,MATCH(A248,DefaultAuctionValues!$A$2:$A$1000,0)),0),IF(LeagueInfo!$F$7="Custom",IFERROR(INDEX(DefaultAuctionValues!$D$2:$D$1000,MATCH(A248,DefaultAuctionValues!$A$2:$A$1000,0)),0))))</f>
        <v>1</v>
      </c>
      <c r="L248" s="160">
        <f ca="1">I248-K248</f>
        <v>-3.2301978983722655</v>
      </c>
      <c r="M248" s="175"/>
      <c r="N248" s="170">
        <f ca="1">INDEX(INDIRECT(""&amp;$B248&amp;"!Z2:Z628"),MATCH($A248,INDIRECT(""&amp;$B248&amp;"!B2:B628"),0))</f>
        <v>-6.1499999999999915</v>
      </c>
      <c r="O248" s="158" t="str">
        <f ca="1">IF(INDEX(INDIRECT(""&amp;$B248&amp;"!W2:W628"),MATCH($A248,INDIRECT(""&amp;$B248&amp;"!B2:B628"),0))=0,"",INDEX(INDIRECT(""&amp;$B248&amp;"!W2:W628"),MATCH($A248,INDIRECT(""&amp;$B248&amp;"!B2:B628"),0)))</f>
        <v/>
      </c>
    </row>
    <row r="249" spans="1:15" x14ac:dyDescent="0.25">
      <c r="A249" s="158" t="s">
        <v>951</v>
      </c>
      <c r="B249" s="158" t="s">
        <v>35</v>
      </c>
      <c r="C249" s="158">
        <f ca="1">IFERROR(INDEX(BYEs!$B$2:$B$33,MATCH(D249,BYEs!$A$2:$A$33,0)),"N/A")</f>
        <v>13</v>
      </c>
      <c r="D249" s="219" t="str">
        <f ca="1">INDEX(INDIRECT(""&amp;B249&amp;"!F2:F628"),MATCH(A249,INDIRECT(""&amp;B249&amp;"!B2:B628"),0))</f>
        <v>ARI</v>
      </c>
      <c r="E249" s="218" t="str">
        <f ca="1">INDEX(INDIRECT(""&amp;$B249&amp;"!AA2:AA628"),MATCH($A249,INDIRECT(""&amp;$B249&amp;"!B2:B628"),0))</f>
        <v>WR9</v>
      </c>
      <c r="F249" s="159">
        <f ca="1">IF(LeagueInfo!$H$7="Starter/Bench",INDEX(INDIRECT(""&amp;B249&amp;"!T2:T628"),MATCH(A249,INDIRECT(""&amp;B249&amp;"!B2:B628"),0)),INDEX(INDIRECT(""&amp;B249&amp;"!AB2:AB628"),MATCH(A249,INDIRECT(""&amp;B249&amp;"!B2:B628"),0)))</f>
        <v>-2.2501427576260009</v>
      </c>
      <c r="G249" s="160">
        <f>IF(H249&gt;0,F249-H249,0)</f>
        <v>0</v>
      </c>
      <c r="H249" s="161"/>
      <c r="I249" s="160">
        <f ca="1">F249*$A$2</f>
        <v>-2.2501427576260009</v>
      </c>
      <c r="J249" s="160" t="s">
        <v>76</v>
      </c>
      <c r="K249" s="160">
        <f>IF(LeagueInfo!$F$7="Yahoo",IFERROR(INDEX(DefaultAuctionValues!$B$2:$B$1000,MATCH(A249,DefaultAuctionValues!$A$2:$A$1000,0)),0),IF(LeagueInfo!$F$7="ESPN",IFERROR(INDEX(DefaultAuctionValues!$C$2:$C$1000,MATCH(A249,DefaultAuctionValues!$A$2:$A$1000,0)),0),IF(LeagueInfo!$F$7="Custom",IFERROR(INDEX(DefaultAuctionValues!$D$2:$D$1000,MATCH(A249,DefaultAuctionValues!$A$2:$A$1000,0)),0))))</f>
        <v>1</v>
      </c>
      <c r="L249" s="160">
        <f ca="1">I249-K249</f>
        <v>-3.2501427576260009</v>
      </c>
      <c r="M249" s="175"/>
      <c r="N249" s="170">
        <f ca="1">INDEX(INDIRECT(""&amp;$B249&amp;"!Z2:Z628"),MATCH($A249,INDIRECT(""&amp;$B249&amp;"!B2:B628"),0))</f>
        <v>-6.2049999999999912</v>
      </c>
      <c r="O249" s="158" t="str">
        <f ca="1">IF(INDEX(INDIRECT(""&amp;$B249&amp;"!W2:W628"),MATCH($A249,INDIRECT(""&amp;$B249&amp;"!B2:B628"),0))=0,"",INDEX(INDIRECT(""&amp;$B249&amp;"!W2:W628"),MATCH($A249,INDIRECT(""&amp;$B249&amp;"!B2:B628"),0)))</f>
        <v/>
      </c>
    </row>
    <row r="250" spans="1:15" x14ac:dyDescent="0.25">
      <c r="A250" s="158" t="s">
        <v>337</v>
      </c>
      <c r="B250" s="158" t="s">
        <v>28</v>
      </c>
      <c r="C250" s="158">
        <f ca="1">IFERROR(INDEX(BYEs!$B$2:$B$33,MATCH(D250,BYEs!$A$2:$A$33,0)),"N/A")</f>
        <v>14</v>
      </c>
      <c r="D250" s="219" t="str">
        <f ca="1">INDEX(INDIRECT(""&amp;B250&amp;"!F2:F628"),MATCH(A250,INDIRECT(""&amp;B250&amp;"!B2:B628"),0))</f>
        <v>ATL</v>
      </c>
      <c r="E250" s="218" t="str">
        <f ca="1">INDEX(INDIRECT(""&amp;$B250&amp;"!AA2:AA628"),MATCH($A250,INDIRECT(""&amp;$B250&amp;"!B2:B628"),0))</f>
        <v>RB9</v>
      </c>
      <c r="F250" s="159">
        <f ca="1">IF(LeagueInfo!$H$7="Starter/Bench",INDEX(INDIRECT(""&amp;B250&amp;"!T2:T628"),MATCH(A250,INDIRECT(""&amp;B250&amp;"!B2:B628"),0)),INDEX(INDIRECT(""&amp;B250&amp;"!AB2:AB628"),MATCH(A250,INDIRECT(""&amp;B250&amp;"!B2:B628"),0)))</f>
        <v>-2.3317353636640163</v>
      </c>
      <c r="G250" s="160">
        <f>IF(H250&gt;0,F250-H250,0)</f>
        <v>0</v>
      </c>
      <c r="H250" s="161"/>
      <c r="I250" s="160">
        <f ca="1">F250*$A$2</f>
        <v>-2.3317353636640163</v>
      </c>
      <c r="J250" s="160" t="s">
        <v>76</v>
      </c>
      <c r="K250" s="160">
        <f>IF(LeagueInfo!$F$7="Yahoo",IFERROR(INDEX(DefaultAuctionValues!$B$2:$B$1000,MATCH(A250,DefaultAuctionValues!$A$2:$A$1000,0)),0),IF(LeagueInfo!$F$7="ESPN",IFERROR(INDEX(DefaultAuctionValues!$C$2:$C$1000,MATCH(A250,DefaultAuctionValues!$A$2:$A$1000,0)),0),IF(LeagueInfo!$F$7="Custom",IFERROR(INDEX(DefaultAuctionValues!$D$2:$D$1000,MATCH(A250,DefaultAuctionValues!$A$2:$A$1000,0)),0))))</f>
        <v>0</v>
      </c>
      <c r="L250" s="160">
        <f ca="1">I250-K250</f>
        <v>-2.3317353636640163</v>
      </c>
      <c r="M250" s="175"/>
      <c r="N250" s="170">
        <f ca="1">INDEX(INDIRECT(""&amp;$B250&amp;"!Z2:Z628"),MATCH($A250,INDIRECT(""&amp;$B250&amp;"!B2:B628"),0))</f>
        <v>-6.4300000000000068</v>
      </c>
      <c r="O250" s="158" t="str">
        <f ca="1">IF(INDEX(INDIRECT(""&amp;$B250&amp;"!W2:W628"),MATCH($A250,INDIRECT(""&amp;$B250&amp;"!B2:B628"),0))=0,"",INDEX(INDIRECT(""&amp;$B250&amp;"!W2:W628"),MATCH($A250,INDIRECT(""&amp;$B250&amp;"!B2:B628"),0)))</f>
        <v/>
      </c>
    </row>
    <row r="251" spans="1:15" x14ac:dyDescent="0.25">
      <c r="A251" s="158" t="s">
        <v>844</v>
      </c>
      <c r="B251" s="158" t="s">
        <v>35</v>
      </c>
      <c r="C251" s="158">
        <f ca="1">IFERROR(INDEX(BYEs!$B$2:$B$33,MATCH(D251,BYEs!$A$2:$A$33,0)),"N/A")</f>
        <v>7</v>
      </c>
      <c r="D251" s="219" t="str">
        <f ca="1">INDEX(INDIRECT(""&amp;B251&amp;"!F2:F628"),MATCH(A251,INDIRECT(""&amp;B251&amp;"!B2:B628"),0))</f>
        <v>LAR</v>
      </c>
      <c r="E251" s="218" t="str">
        <f ca="1">INDEX(INDIRECT(""&amp;$B251&amp;"!AA2:AA628"),MATCH($A251,INDIRECT(""&amp;$B251&amp;"!B2:B628"),0))</f>
        <v>WR9</v>
      </c>
      <c r="F251" s="159">
        <f ca="1">IF(LeagueInfo!$H$7="Starter/Bench",INDEX(INDIRECT(""&amp;B251&amp;"!T2:T628"),MATCH(A251,INDIRECT(""&amp;B251&amp;"!B2:B628"),0)),INDEX(INDIRECT(""&amp;B251&amp;"!AB2:AB628"),MATCH(A251,INDIRECT(""&amp;B251&amp;"!B2:B628"),0)))</f>
        <v>-2.4151411387250894</v>
      </c>
      <c r="G251" s="160">
        <f>IF(H251&gt;0,F251-H251,0)</f>
        <v>0</v>
      </c>
      <c r="H251" s="161"/>
      <c r="I251" s="160">
        <f ca="1">F251*$A$2</f>
        <v>-2.4151411387250894</v>
      </c>
      <c r="J251" s="160" t="s">
        <v>76</v>
      </c>
      <c r="K251" s="160">
        <f>IF(LeagueInfo!$F$7="Yahoo",IFERROR(INDEX(DefaultAuctionValues!$B$2:$B$1000,MATCH(A251,DefaultAuctionValues!$A$2:$A$1000,0)),0),IF(LeagueInfo!$F$7="ESPN",IFERROR(INDEX(DefaultAuctionValues!$C$2:$C$1000,MATCH(A251,DefaultAuctionValues!$A$2:$A$1000,0)),0),IF(LeagueInfo!$F$7="Custom",IFERROR(INDEX(DefaultAuctionValues!$D$2:$D$1000,MATCH(A251,DefaultAuctionValues!$A$2:$A$1000,0)),0))))</f>
        <v>0</v>
      </c>
      <c r="L251" s="160">
        <f ca="1">I251-K251</f>
        <v>-2.4151411387250894</v>
      </c>
      <c r="M251" s="175"/>
      <c r="N251" s="170">
        <f ca="1">INDEX(INDIRECT(""&amp;$B251&amp;"!Z2:Z628"),MATCH($A251,INDIRECT(""&amp;$B251&amp;"!B2:B628"),0))</f>
        <v>-6.6599999999999966</v>
      </c>
      <c r="O251" s="158" t="str">
        <f ca="1">IF(INDEX(INDIRECT(""&amp;$B251&amp;"!W2:W628"),MATCH($A251,INDIRECT(""&amp;$B251&amp;"!B2:B628"),0))=0,"",INDEX(INDIRECT(""&amp;$B251&amp;"!W2:W628"),MATCH($A251,INDIRECT(""&amp;$B251&amp;"!B2:B628"),0)))</f>
        <v/>
      </c>
    </row>
    <row r="252" spans="1:15" x14ac:dyDescent="0.25">
      <c r="A252" s="158" t="s">
        <v>588</v>
      </c>
      <c r="B252" s="158" t="s">
        <v>43</v>
      </c>
      <c r="C252" s="158">
        <f ca="1">IFERROR(INDEX(BYEs!$B$2:$B$33,MATCH(D252,BYEs!$A$2:$A$33,0)),"N/A")</f>
        <v>10</v>
      </c>
      <c r="D252" s="219" t="str">
        <f ca="1">INDEX(INDIRECT(""&amp;B252&amp;"!F2:F628"),MATCH(A252,INDIRECT(""&amp;B252&amp;"!B2:B628"),0))</f>
        <v>CIN</v>
      </c>
      <c r="E252" s="218" t="str">
        <f ca="1">INDEX(INDIRECT(""&amp;$B252&amp;"!AA2:AA628"),MATCH($A252,INDIRECT(""&amp;$B252&amp;"!B2:B628"),0))</f>
        <v>TE9</v>
      </c>
      <c r="F252" s="159">
        <f ca="1">IF(LeagueInfo!$H$7="Starter/Bench",INDEX(INDIRECT(""&amp;B252&amp;"!T2:T628"),MATCH(A252,INDIRECT(""&amp;B252&amp;"!B2:B628"),0)),INDEX(INDIRECT(""&amp;B252&amp;"!AB2:AB628"),MATCH(A252,INDIRECT(""&amp;B252&amp;"!B2:B628"),0)))</f>
        <v>-2.6562926187929872</v>
      </c>
      <c r="G252" s="160">
        <f>IF(H252&gt;0,F252-H252,0)</f>
        <v>0</v>
      </c>
      <c r="H252" s="161"/>
      <c r="I252" s="160">
        <f ca="1">F252*$A$2</f>
        <v>-2.6562926187929872</v>
      </c>
      <c r="J252" s="160" t="s">
        <v>76</v>
      </c>
      <c r="K252" s="160">
        <f>IF(LeagueInfo!$F$7="Yahoo",IFERROR(INDEX(DefaultAuctionValues!$B$2:$B$1000,MATCH(A252,DefaultAuctionValues!$A$2:$A$1000,0)),0),IF(LeagueInfo!$F$7="ESPN",IFERROR(INDEX(DefaultAuctionValues!$C$2:$C$1000,MATCH(A252,DefaultAuctionValues!$A$2:$A$1000,0)),0),IF(LeagueInfo!$F$7="Custom",IFERROR(INDEX(DefaultAuctionValues!$D$2:$D$1000,MATCH(A252,DefaultAuctionValues!$A$2:$A$1000,0)),0))))</f>
        <v>1</v>
      </c>
      <c r="L252" s="160">
        <f ca="1">I252-K252</f>
        <v>-3.6562926187929872</v>
      </c>
      <c r="M252" s="175"/>
      <c r="N252" s="170">
        <f ca="1">INDEX(INDIRECT(""&amp;$B252&amp;"!Z2:Z628"),MATCH($A252,INDIRECT(""&amp;$B252&amp;"!B2:B628"),0))</f>
        <v>-7.3250000000000028</v>
      </c>
      <c r="O252" s="158" t="str">
        <f ca="1">IF(INDEX(INDIRECT(""&amp;$B252&amp;"!W2:W628"),MATCH($A252,INDIRECT(""&amp;$B252&amp;"!B2:B628"),0))=0,"",INDEX(INDIRECT(""&amp;$B252&amp;"!W2:W628"),MATCH($A252,INDIRECT(""&amp;$B252&amp;"!B2:B628"),0)))</f>
        <v/>
      </c>
    </row>
    <row r="253" spans="1:15" x14ac:dyDescent="0.25">
      <c r="A253" s="158" t="s">
        <v>857</v>
      </c>
      <c r="B253" s="158" t="s">
        <v>35</v>
      </c>
      <c r="C253" s="158">
        <f ca="1">IFERROR(INDEX(BYEs!$B$2:$B$33,MATCH(D253,BYEs!$A$2:$A$33,0)),"N/A")</f>
        <v>9</v>
      </c>
      <c r="D253" s="219" t="str">
        <f ca="1">INDEX(INDIRECT(""&amp;B253&amp;"!F2:F628"),MATCH(A253,INDIRECT(""&amp;B253&amp;"!B2:B628"),0))</f>
        <v>CLE</v>
      </c>
      <c r="E253" s="218" t="str">
        <f ca="1">INDEX(INDIRECT(""&amp;$B253&amp;"!AA2:AA628"),MATCH($A253,INDIRECT(""&amp;$B253&amp;"!B2:B628"),0))</f>
        <v>WR9</v>
      </c>
      <c r="F253" s="159">
        <f ca="1">IF(LeagueInfo!$H$7="Starter/Bench",INDEX(INDIRECT(""&amp;B253&amp;"!T2:T628"),MATCH(A253,INDIRECT(""&amp;B253&amp;"!B2:B628"),0)),INDEX(INDIRECT(""&amp;B253&amp;"!AB2:AB628"),MATCH(A253,INDIRECT(""&amp;B253&amp;"!B2:B628"),0)))</f>
        <v>-2.7034350133927219</v>
      </c>
      <c r="G253" s="160">
        <f>IF(H253&gt;0,F253-H253,0)</f>
        <v>0</v>
      </c>
      <c r="H253" s="161"/>
      <c r="I253" s="160">
        <f ca="1">F253*$A$2</f>
        <v>-2.7034350133927219</v>
      </c>
      <c r="J253" s="160" t="s">
        <v>76</v>
      </c>
      <c r="K253" s="160">
        <f>IF(LeagueInfo!$F$7="Yahoo",IFERROR(INDEX(DefaultAuctionValues!$B$2:$B$1000,MATCH(A253,DefaultAuctionValues!$A$2:$A$1000,0)),0),IF(LeagueInfo!$F$7="ESPN",IFERROR(INDEX(DefaultAuctionValues!$C$2:$C$1000,MATCH(A253,DefaultAuctionValues!$A$2:$A$1000,0)),0),IF(LeagueInfo!$F$7="Custom",IFERROR(INDEX(DefaultAuctionValues!$D$2:$D$1000,MATCH(A253,DefaultAuctionValues!$A$2:$A$1000,0)),0))))</f>
        <v>0</v>
      </c>
      <c r="L253" s="160">
        <f ca="1">I253-K253</f>
        <v>-2.7034350133927219</v>
      </c>
      <c r="M253" s="175"/>
      <c r="N253" s="170">
        <f ca="1">INDEX(INDIRECT(""&amp;$B253&amp;"!Z2:Z628"),MATCH($A253,INDIRECT(""&amp;$B253&amp;"!B2:B628"),0))</f>
        <v>-7.4549999999999912</v>
      </c>
      <c r="O253" s="158" t="str">
        <f ca="1">IF(INDEX(INDIRECT(""&amp;$B253&amp;"!W2:W628"),MATCH($A253,INDIRECT(""&amp;$B253&amp;"!B2:B628"),0))=0,"",INDEX(INDIRECT(""&amp;$B253&amp;"!W2:W628"),MATCH($A253,INDIRECT(""&amp;$B253&amp;"!B2:B628"),0)))</f>
        <v/>
      </c>
    </row>
    <row r="254" spans="1:15" x14ac:dyDescent="0.25">
      <c r="A254" s="158" t="s">
        <v>215</v>
      </c>
      <c r="B254" s="158" t="s">
        <v>35</v>
      </c>
      <c r="C254" s="158">
        <f ca="1">IFERROR(INDEX(BYEs!$B$2:$B$33,MATCH(D254,BYEs!$A$2:$A$33,0)),"N/A")</f>
        <v>9</v>
      </c>
      <c r="D254" s="219" t="str">
        <f ca="1">INDEX(INDIRECT(""&amp;B254&amp;"!F2:F628"),MATCH(A254,INDIRECT(""&amp;B254&amp;"!B2:B628"),0))</f>
        <v>NYG</v>
      </c>
      <c r="E254" s="218" t="str">
        <f ca="1">INDEX(INDIRECT(""&amp;$B254&amp;"!AA2:AA628"),MATCH($A254,INDIRECT(""&amp;$B254&amp;"!B2:B628"),0))</f>
        <v>WR9</v>
      </c>
      <c r="F254" s="159">
        <f ca="1">IF(LeagueInfo!$H$7="Starter/Bench",INDEX(INDIRECT(""&amp;B254&amp;"!T2:T628"),MATCH(A254,INDIRECT(""&amp;B254&amp;"!B2:B628"),0)),INDEX(INDIRECT(""&amp;B254&amp;"!AB2:AB628"),MATCH(A254,INDIRECT(""&amp;B254&amp;"!B2:B628"),0)))</f>
        <v>-2.7306325487387237</v>
      </c>
      <c r="G254" s="160">
        <f>IF(H254&gt;0,F254-H254,0)</f>
        <v>0</v>
      </c>
      <c r="H254" s="161"/>
      <c r="I254" s="160">
        <f ca="1">F254*$A$2</f>
        <v>-2.7306325487387237</v>
      </c>
      <c r="J254" s="160" t="s">
        <v>76</v>
      </c>
      <c r="K254" s="160">
        <f>IF(LeagueInfo!$F$7="Yahoo",IFERROR(INDEX(DefaultAuctionValues!$B$2:$B$1000,MATCH(A254,DefaultAuctionValues!$A$2:$A$1000,0)),0),IF(LeagueInfo!$F$7="ESPN",IFERROR(INDEX(DefaultAuctionValues!$C$2:$C$1000,MATCH(A254,DefaultAuctionValues!$A$2:$A$1000,0)),0),IF(LeagueInfo!$F$7="Custom",IFERROR(INDEX(DefaultAuctionValues!$D$2:$D$1000,MATCH(A254,DefaultAuctionValues!$A$2:$A$1000,0)),0))))</f>
        <v>0</v>
      </c>
      <c r="L254" s="160">
        <f ca="1">I254-K254</f>
        <v>-2.7306325487387237</v>
      </c>
      <c r="M254" s="175"/>
      <c r="N254" s="170">
        <f ca="1">INDEX(INDIRECT(""&amp;$B254&amp;"!Z2:Z628"),MATCH($A254,INDIRECT(""&amp;$B254&amp;"!B2:B628"),0))</f>
        <v>-7.5299999999999869</v>
      </c>
      <c r="O254" s="158" t="str">
        <f ca="1">IF(INDEX(INDIRECT(""&amp;$B254&amp;"!W2:W628"),MATCH($A254,INDIRECT(""&amp;$B254&amp;"!B2:B628"),0))=0,"",INDEX(INDIRECT(""&amp;$B254&amp;"!W2:W628"),MATCH($A254,INDIRECT(""&amp;$B254&amp;"!B2:B628"),0)))</f>
        <v/>
      </c>
    </row>
    <row r="255" spans="1:15" x14ac:dyDescent="0.25">
      <c r="A255" s="158" t="s">
        <v>96</v>
      </c>
      <c r="B255" s="158" t="s">
        <v>35</v>
      </c>
      <c r="C255" s="158">
        <f ca="1">IFERROR(INDEX(BYEs!$B$2:$B$33,MATCH(D255,BYEs!$A$2:$A$33,0)),"N/A")</f>
        <v>11</v>
      </c>
      <c r="D255" s="219" t="str">
        <f ca="1">INDEX(INDIRECT(""&amp;B255&amp;"!F2:F628"),MATCH(A255,INDIRECT(""&amp;B255&amp;"!B2:B628"),0))</f>
        <v>TB</v>
      </c>
      <c r="E255" s="218" t="str">
        <f ca="1">INDEX(INDIRECT(""&amp;$B255&amp;"!AA2:AA628"),MATCH($A255,INDIRECT(""&amp;$B255&amp;"!B2:B628"),0))</f>
        <v>WR9</v>
      </c>
      <c r="F255" s="159">
        <f ca="1">IF(LeagueInfo!$H$7="Starter/Bench",INDEX(INDIRECT(""&amp;B255&amp;"!T2:T628"),MATCH(A255,INDIRECT(""&amp;B255&amp;"!B2:B628"),0)),INDEX(INDIRECT(""&amp;B255&amp;"!AB2:AB628"),MATCH(A255,INDIRECT(""&amp;B255&amp;"!B2:B628"),0)))</f>
        <v>-2.7922802955229984</v>
      </c>
      <c r="G255" s="160">
        <f>IF(H255&gt;0,F255-H255,0)</f>
        <v>0</v>
      </c>
      <c r="H255" s="161"/>
      <c r="I255" s="160">
        <f ca="1">F255*$A$2</f>
        <v>-2.7922802955229984</v>
      </c>
      <c r="J255" s="160" t="s">
        <v>76</v>
      </c>
      <c r="K255" s="160">
        <f>IF(LeagueInfo!$F$7="Yahoo",IFERROR(INDEX(DefaultAuctionValues!$B$2:$B$1000,MATCH(A255,DefaultAuctionValues!$A$2:$A$1000,0)),0),IF(LeagueInfo!$F$7="ESPN",IFERROR(INDEX(DefaultAuctionValues!$C$2:$C$1000,MATCH(A255,DefaultAuctionValues!$A$2:$A$1000,0)),0),IF(LeagueInfo!$F$7="Custom",IFERROR(INDEX(DefaultAuctionValues!$D$2:$D$1000,MATCH(A255,DefaultAuctionValues!$A$2:$A$1000,0)),0))))</f>
        <v>1</v>
      </c>
      <c r="L255" s="160">
        <f ca="1">I255-K255</f>
        <v>-3.7922802955229984</v>
      </c>
      <c r="M255" s="175"/>
      <c r="N255" s="170">
        <f ca="1">INDEX(INDIRECT(""&amp;$B255&amp;"!Z2:Z628"),MATCH($A255,INDIRECT(""&amp;$B255&amp;"!B2:B628"),0))</f>
        <v>-7.6999999999999886</v>
      </c>
      <c r="O255" s="158" t="str">
        <f ca="1">IF(INDEX(INDIRECT(""&amp;$B255&amp;"!W2:W628"),MATCH($A255,INDIRECT(""&amp;$B255&amp;"!B2:B628"),0))=0,"",INDEX(INDIRECT(""&amp;$B255&amp;"!W2:W628"),MATCH($A255,INDIRECT(""&amp;$B255&amp;"!B2:B628"),0)))</f>
        <v/>
      </c>
    </row>
    <row r="256" spans="1:15" x14ac:dyDescent="0.25">
      <c r="A256" s="158" t="s">
        <v>699</v>
      </c>
      <c r="B256" s="158" t="s">
        <v>35</v>
      </c>
      <c r="C256" s="158">
        <f ca="1">IFERROR(INDEX(BYEs!$B$2:$B$33,MATCH(D256,BYEs!$A$2:$A$33,0)),"N/A")</f>
        <v>14</v>
      </c>
      <c r="D256" s="219" t="str">
        <f ca="1">INDEX(INDIRECT(""&amp;B256&amp;"!F2:F628"),MATCH(A256,INDIRECT(""&amp;B256&amp;"!B2:B628"),0))</f>
        <v>IND</v>
      </c>
      <c r="E256" s="218" t="str">
        <f ca="1">INDEX(INDIRECT(""&amp;$B256&amp;"!AA2:AA628"),MATCH($A256,INDIRECT(""&amp;$B256&amp;"!B2:B628"),0))</f>
        <v>WR9</v>
      </c>
      <c r="F256" s="159">
        <f ca="1">IF(LeagueInfo!$H$7="Starter/Bench",INDEX(INDIRECT(""&amp;B256&amp;"!T2:T628"),MATCH(A256,INDIRECT(""&amp;B256&amp;"!B2:B628"),0)),INDEX(INDIRECT(""&amp;B256&amp;"!AB2:AB628"),MATCH(A256,INDIRECT(""&amp;B256&amp;"!B2:B628"),0)))</f>
        <v>-3.0678819870291667</v>
      </c>
      <c r="G256" s="160">
        <f>IF(H256&gt;0,F256-H256,0)</f>
        <v>0</v>
      </c>
      <c r="H256" s="161"/>
      <c r="I256" s="160">
        <f ca="1">F256*$A$2</f>
        <v>-3.0678819870291667</v>
      </c>
      <c r="J256" s="160" t="s">
        <v>76</v>
      </c>
      <c r="K256" s="160">
        <f>IF(LeagueInfo!$F$7="Yahoo",IFERROR(INDEX(DefaultAuctionValues!$B$2:$B$1000,MATCH(A256,DefaultAuctionValues!$A$2:$A$1000,0)),0),IF(LeagueInfo!$F$7="ESPN",IFERROR(INDEX(DefaultAuctionValues!$C$2:$C$1000,MATCH(A256,DefaultAuctionValues!$A$2:$A$1000,0)),0),IF(LeagueInfo!$F$7="Custom",IFERROR(INDEX(DefaultAuctionValues!$D$2:$D$1000,MATCH(A256,DefaultAuctionValues!$A$2:$A$1000,0)),0))))</f>
        <v>0</v>
      </c>
      <c r="L256" s="160">
        <f ca="1">I256-K256</f>
        <v>-3.0678819870291667</v>
      </c>
      <c r="M256" s="175"/>
      <c r="N256" s="170">
        <f ca="1">INDEX(INDIRECT(""&amp;$B256&amp;"!Z2:Z628"),MATCH($A256,INDIRECT(""&amp;$B256&amp;"!B2:B628"),0))</f>
        <v>-8.4599999999999937</v>
      </c>
      <c r="O256" s="158" t="str">
        <f ca="1">IF(INDEX(INDIRECT(""&amp;$B256&amp;"!W2:W628"),MATCH($A256,INDIRECT(""&amp;$B256&amp;"!B2:B628"),0))=0,"",INDEX(INDIRECT(""&amp;$B256&amp;"!W2:W628"),MATCH($A256,INDIRECT(""&amp;$B256&amp;"!B2:B628"),0)))</f>
        <v/>
      </c>
    </row>
    <row r="257" spans="1:15" x14ac:dyDescent="0.25">
      <c r="A257" s="158" t="s">
        <v>688</v>
      </c>
      <c r="B257" s="158" t="s">
        <v>28</v>
      </c>
      <c r="C257" s="158">
        <f ca="1">IFERROR(INDEX(BYEs!$B$2:$B$33,MATCH(D257,BYEs!$A$2:$A$33,0)),"N/A")</f>
        <v>6</v>
      </c>
      <c r="D257" s="219" t="str">
        <f ca="1">INDEX(INDIRECT(""&amp;B257&amp;"!F2:F628"),MATCH(A257,INDIRECT(""&amp;B257&amp;"!B2:B628"),0))</f>
        <v>TEN</v>
      </c>
      <c r="E257" s="218" t="str">
        <f ca="1">INDEX(INDIRECT(""&amp;$B257&amp;"!AA2:AA628"),MATCH($A257,INDIRECT(""&amp;$B257&amp;"!B2:B628"),0))</f>
        <v>RB9</v>
      </c>
      <c r="F257" s="159">
        <f ca="1">IF(LeagueInfo!$H$7="Starter/Bench",INDEX(INDIRECT(""&amp;B257&amp;"!T2:T628"),MATCH(A257,INDIRECT(""&amp;B257&amp;"!B2:B628"),0)),INDEX(INDIRECT(""&amp;B257&amp;"!AB2:AB628"),MATCH(A257,INDIRECT(""&amp;B257&amp;"!B2:B628"),0)))</f>
        <v>-3.0769478321445058</v>
      </c>
      <c r="G257" s="160">
        <f>IF(H257&gt;0,F257-H257,0)</f>
        <v>0</v>
      </c>
      <c r="H257" s="161"/>
      <c r="I257" s="160">
        <f ca="1">F257*$A$2</f>
        <v>-3.0769478321445058</v>
      </c>
      <c r="J257" s="160" t="s">
        <v>76</v>
      </c>
      <c r="K257" s="160">
        <f>IF(LeagueInfo!$F$7="Yahoo",IFERROR(INDEX(DefaultAuctionValues!$B$2:$B$1000,MATCH(A257,DefaultAuctionValues!$A$2:$A$1000,0)),0),IF(LeagueInfo!$F$7="ESPN",IFERROR(INDEX(DefaultAuctionValues!$C$2:$C$1000,MATCH(A257,DefaultAuctionValues!$A$2:$A$1000,0)),0),IF(LeagueInfo!$F$7="Custom",IFERROR(INDEX(DefaultAuctionValues!$D$2:$D$1000,MATCH(A257,DefaultAuctionValues!$A$2:$A$1000,0)),0))))</f>
        <v>0</v>
      </c>
      <c r="L257" s="160">
        <f ca="1">I257-K257</f>
        <v>-3.0769478321445058</v>
      </c>
      <c r="M257" s="175"/>
      <c r="N257" s="170">
        <f ca="1">INDEX(INDIRECT(""&amp;$B257&amp;"!Z2:Z628"),MATCH($A257,INDIRECT(""&amp;$B257&amp;"!B2:B628"),0))</f>
        <v>-8.4850000000000065</v>
      </c>
      <c r="O257" s="158" t="str">
        <f ca="1">IF(INDEX(INDIRECT(""&amp;$B257&amp;"!W2:W628"),MATCH($A257,INDIRECT(""&amp;$B257&amp;"!B2:B628"),0))=0,"",INDEX(INDIRECT(""&amp;$B257&amp;"!W2:W628"),MATCH($A257,INDIRECT(""&amp;$B257&amp;"!B2:B628"),0)))</f>
        <v/>
      </c>
    </row>
    <row r="258" spans="1:15" x14ac:dyDescent="0.25">
      <c r="A258" s="158" t="s">
        <v>2418</v>
      </c>
      <c r="B258" s="158" t="s">
        <v>35</v>
      </c>
      <c r="C258" s="158">
        <f ca="1">IFERROR(INDEX(BYEs!$B$2:$B$33,MATCH(D258,BYEs!$A$2:$A$33,0)),"N/A")</f>
        <v>8</v>
      </c>
      <c r="D258" s="219" t="str">
        <f ca="1">INDEX(INDIRECT(""&amp;B258&amp;"!F2:F628"),MATCH(A258,INDIRECT(""&amp;B258&amp;"!B2:B628"),0))</f>
        <v>KC</v>
      </c>
      <c r="E258" s="218" t="str">
        <f ca="1">INDEX(INDIRECT(""&amp;$B258&amp;"!AA2:AA628"),MATCH($A258,INDIRECT(""&amp;$B258&amp;"!B2:B628"),0))</f>
        <v>WR9</v>
      </c>
      <c r="F258" s="159">
        <f ca="1">IF(LeagueInfo!$H$7="Starter/Bench",INDEX(INDIRECT(""&amp;B258&amp;"!T2:T628"),MATCH(A258,INDIRECT(""&amp;B258&amp;"!B2:B628"),0)),INDEX(INDIRECT(""&amp;B258&amp;"!AB2:AB628"),MATCH(A258,INDIRECT(""&amp;B258&amp;"!B2:B628"),0)))</f>
        <v>-3.1585404381825084</v>
      </c>
      <c r="G258" s="160">
        <f>IF(H258&gt;0,F258-H258,0)</f>
        <v>0</v>
      </c>
      <c r="H258" s="161"/>
      <c r="I258" s="160">
        <f ca="1">F258*$A$2</f>
        <v>-3.1585404381825084</v>
      </c>
      <c r="J258" s="160" t="s">
        <v>76</v>
      </c>
      <c r="K258" s="160">
        <f>IF(LeagueInfo!$F$7="Yahoo",IFERROR(INDEX(DefaultAuctionValues!$B$2:$B$1000,MATCH(A258,DefaultAuctionValues!$A$2:$A$1000,0)),0),IF(LeagueInfo!$F$7="ESPN",IFERROR(INDEX(DefaultAuctionValues!$C$2:$C$1000,MATCH(A258,DefaultAuctionValues!$A$2:$A$1000,0)),0),IF(LeagueInfo!$F$7="Custom",IFERROR(INDEX(DefaultAuctionValues!$D$2:$D$1000,MATCH(A258,DefaultAuctionValues!$A$2:$A$1000,0)),0))))</f>
        <v>1</v>
      </c>
      <c r="L258" s="160">
        <f ca="1">I258-K258</f>
        <v>-4.1585404381825084</v>
      </c>
      <c r="M258" s="175"/>
      <c r="N258" s="170">
        <f ca="1">INDEX(INDIRECT(""&amp;$B258&amp;"!Z2:Z628"),MATCH($A258,INDIRECT(""&amp;$B258&amp;"!B2:B628"),0))</f>
        <v>-8.7099999999999866</v>
      </c>
      <c r="O258" s="158" t="str">
        <f ca="1">IF(INDEX(INDIRECT(""&amp;$B258&amp;"!W2:W628"),MATCH($A258,INDIRECT(""&amp;$B258&amp;"!B2:B628"),0))=0,"",INDEX(INDIRECT(""&amp;$B258&amp;"!W2:W628"),MATCH($A258,INDIRECT(""&amp;$B258&amp;"!B2:B628"),0)))</f>
        <v/>
      </c>
    </row>
    <row r="259" spans="1:15" x14ac:dyDescent="0.25">
      <c r="A259" s="158" t="s">
        <v>533</v>
      </c>
      <c r="B259" s="158" t="s">
        <v>29</v>
      </c>
      <c r="C259" s="158">
        <f ca="1">IFERROR(INDEX(BYEs!$B$2:$B$33,MATCH(D259,BYEs!$A$2:$A$33,0)),"N/A")</f>
        <v>13</v>
      </c>
      <c r="D259" s="219" t="str">
        <f ca="1">INDEX(INDIRECT(""&amp;B259&amp;"!F2:F628"),MATCH(A259,INDIRECT(""&amp;B259&amp;"!B2:B628"),0))</f>
        <v>CAR</v>
      </c>
      <c r="E259" s="218" t="str">
        <f ca="1">INDEX(INDIRECT(""&amp;$B259&amp;"!AA2:AA628"),MATCH($A259,INDIRECT(""&amp;$B259&amp;"!B2:B628"),0))</f>
        <v>QB6</v>
      </c>
      <c r="F259" s="159">
        <f ca="1">IF(LeagueInfo!$H$7="Starter/Bench",INDEX(INDIRECT(""&amp;B259&amp;"!T2:T628"),MATCH(A259,INDIRECT(""&amp;B259&amp;"!B2:B628"),0)),INDEX(INDIRECT(""&amp;B259&amp;"!AB2:AB628"),MATCH(A259,INDIRECT(""&amp;B259&amp;"!B2:B628"),0)))</f>
        <v>-3.2009685933222727</v>
      </c>
      <c r="G259" s="160">
        <f>IF(H259&gt;0,F259-H259,0)</f>
        <v>0</v>
      </c>
      <c r="H259" s="161"/>
      <c r="I259" s="160">
        <f ca="1">F259*$A$2</f>
        <v>-3.2009685933222727</v>
      </c>
      <c r="J259" s="160" t="s">
        <v>76</v>
      </c>
      <c r="K259" s="160">
        <f>IF(LeagueInfo!$F$7="Yahoo",IFERROR(INDEX(DefaultAuctionValues!$B$2:$B$1000,MATCH(A259,DefaultAuctionValues!$A$2:$A$1000,0)),0),IF(LeagueInfo!$F$7="ESPN",IFERROR(INDEX(DefaultAuctionValues!$C$2:$C$1000,MATCH(A259,DefaultAuctionValues!$A$2:$A$1000,0)),0),IF(LeagueInfo!$F$7="Custom",IFERROR(INDEX(DefaultAuctionValues!$D$2:$D$1000,MATCH(A259,DefaultAuctionValues!$A$2:$A$1000,0)),0))))</f>
        <v>1</v>
      </c>
      <c r="L259" s="160">
        <f ca="1">I259-K259</f>
        <v>-4.2009685933222727</v>
      </c>
      <c r="M259" s="175"/>
      <c r="N259" s="170">
        <f ca="1">INDEX(INDIRECT(""&amp;$B259&amp;"!Z2:Z628"),MATCH($A259,INDIRECT(""&amp;$B259&amp;"!B2:B628"),0))</f>
        <v>-8.826999999999984</v>
      </c>
      <c r="O259" s="158" t="str">
        <f ca="1">IF(INDEX(INDIRECT(""&amp;$B259&amp;"!W2:W628"),MATCH($A259,INDIRECT(""&amp;$B259&amp;"!B2:B628"),0))=0,"",INDEX(INDIRECT(""&amp;$B259&amp;"!W2:W628"),MATCH($A259,INDIRECT(""&amp;$B259&amp;"!B2:B628"),0)))</f>
        <v/>
      </c>
    </row>
    <row r="260" spans="1:15" x14ac:dyDescent="0.25">
      <c r="A260" s="158" t="s">
        <v>334</v>
      </c>
      <c r="B260" s="158" t="s">
        <v>28</v>
      </c>
      <c r="C260" s="158">
        <f ca="1">IFERROR(INDEX(BYEs!$B$2:$B$33,MATCH(D260,BYEs!$A$2:$A$33,0)),"N/A")</f>
        <v>13</v>
      </c>
      <c r="D260" s="219" t="str">
        <f ca="1">INDEX(INDIRECT(""&amp;B260&amp;"!F2:F628"),MATCH(A260,INDIRECT(""&amp;B260&amp;"!B2:B628"),0))</f>
        <v>CAR</v>
      </c>
      <c r="E260" s="218" t="str">
        <f ca="1">INDEX(INDIRECT(""&amp;$B260&amp;"!AA2:AA628"),MATCH($A260,INDIRECT(""&amp;$B260&amp;"!B2:B628"),0))</f>
        <v>RB9</v>
      </c>
      <c r="F260" s="159">
        <f ca="1">IF(LeagueInfo!$H$7="Starter/Bench",INDEX(INDIRECT(""&amp;B260&amp;"!T2:T628"),MATCH(A260,INDIRECT(""&amp;B260&amp;"!B2:B628"),0)),INDEX(INDIRECT(""&amp;B260&amp;"!AB2:AB628"),MATCH(A260,INDIRECT(""&amp;B260&amp;"!B2:B628"),0)))</f>
        <v>-3.2473857203127903</v>
      </c>
      <c r="G260" s="160">
        <f>IF(H260&gt;0,F260-H260,0)</f>
        <v>0</v>
      </c>
      <c r="H260" s="161"/>
      <c r="I260" s="160">
        <f ca="1">F260*$A$2</f>
        <v>-3.2473857203127903</v>
      </c>
      <c r="J260" s="160" t="s">
        <v>76</v>
      </c>
      <c r="K260" s="160">
        <f>IF(LeagueInfo!$F$7="Yahoo",IFERROR(INDEX(DefaultAuctionValues!$B$2:$B$1000,MATCH(A260,DefaultAuctionValues!$A$2:$A$1000,0)),0),IF(LeagueInfo!$F$7="ESPN",IFERROR(INDEX(DefaultAuctionValues!$C$2:$C$1000,MATCH(A260,DefaultAuctionValues!$A$2:$A$1000,0)),0),IF(LeagueInfo!$F$7="Custom",IFERROR(INDEX(DefaultAuctionValues!$D$2:$D$1000,MATCH(A260,DefaultAuctionValues!$A$2:$A$1000,0)),0))))</f>
        <v>1</v>
      </c>
      <c r="L260" s="160">
        <f ca="1">I260-K260</f>
        <v>-4.2473857203127903</v>
      </c>
      <c r="M260" s="175"/>
      <c r="N260" s="170">
        <f ca="1">INDEX(INDIRECT(""&amp;$B260&amp;"!Z2:Z628"),MATCH($A260,INDIRECT(""&amp;$B260&amp;"!B2:B628"),0))</f>
        <v>-8.9549999999999983</v>
      </c>
      <c r="O260" s="158" t="str">
        <f ca="1">IF(INDEX(INDIRECT(""&amp;$B260&amp;"!W2:W628"),MATCH($A260,INDIRECT(""&amp;$B260&amp;"!B2:B628"),0))=0,"",INDEX(INDIRECT(""&amp;$B260&amp;"!W2:W628"),MATCH($A260,INDIRECT(""&amp;$B260&amp;"!B2:B628"),0)))</f>
        <v/>
      </c>
    </row>
    <row r="261" spans="1:15" x14ac:dyDescent="0.25">
      <c r="A261" s="158" t="s">
        <v>368</v>
      </c>
      <c r="B261" s="158" t="s">
        <v>35</v>
      </c>
      <c r="C261" s="158">
        <f ca="1">IFERROR(INDEX(BYEs!$B$2:$B$33,MATCH(D261,BYEs!$A$2:$A$33,0)),"N/A")</f>
        <v>14</v>
      </c>
      <c r="D261" s="219" t="str">
        <f ca="1">INDEX(INDIRECT(""&amp;B261&amp;"!F2:F628"),MATCH(A261,INDIRECT(""&amp;B261&amp;"!B2:B628"),0))</f>
        <v>WAS</v>
      </c>
      <c r="E261" s="218" t="str">
        <f ca="1">INDEX(INDIRECT(""&amp;$B261&amp;"!AA2:AA628"),MATCH($A261,INDIRECT(""&amp;$B261&amp;"!B2:B628"),0))</f>
        <v>WR9</v>
      </c>
      <c r="F261" s="159">
        <f ca="1">IF(LeagueInfo!$H$7="Starter/Bench",INDEX(INDIRECT(""&amp;B261&amp;"!T2:T628"),MATCH(A261,INDIRECT(""&amp;B261&amp;"!B2:B628"),0)),INDEX(INDIRECT(""&amp;B261&amp;"!AB2:AB628"),MATCH(A261,INDIRECT(""&amp;B261&amp;"!B2:B628"),0)))</f>
        <v>-3.274583255658789</v>
      </c>
      <c r="G261" s="160">
        <f>IF(H261&gt;0,F261-H261,0)</f>
        <v>0</v>
      </c>
      <c r="H261" s="161"/>
      <c r="I261" s="160">
        <f ca="1">F261*$A$2</f>
        <v>-3.274583255658789</v>
      </c>
      <c r="J261" s="160" t="s">
        <v>76</v>
      </c>
      <c r="K261" s="160">
        <f>IF(LeagueInfo!$F$7="Yahoo",IFERROR(INDEX(DefaultAuctionValues!$B$2:$B$1000,MATCH(A261,DefaultAuctionValues!$A$2:$A$1000,0)),0),IF(LeagueInfo!$F$7="ESPN",IFERROR(INDEX(DefaultAuctionValues!$C$2:$C$1000,MATCH(A261,DefaultAuctionValues!$A$2:$A$1000,0)),0),IF(LeagueInfo!$F$7="Custom",IFERROR(INDEX(DefaultAuctionValues!$D$2:$D$1000,MATCH(A261,DefaultAuctionValues!$A$2:$A$1000,0)),0))))</f>
        <v>0</v>
      </c>
      <c r="L261" s="160">
        <f ca="1">I261-K261</f>
        <v>-3.274583255658789</v>
      </c>
      <c r="M261" s="175"/>
      <c r="N261" s="170">
        <f ca="1">INDEX(INDIRECT(""&amp;$B261&amp;"!Z2:Z628"),MATCH($A261,INDIRECT(""&amp;$B261&amp;"!B2:B628"),0))</f>
        <v>-9.0299999999999869</v>
      </c>
      <c r="O261" s="158" t="str">
        <f ca="1">IF(INDEX(INDIRECT(""&amp;$B261&amp;"!W2:W628"),MATCH($A261,INDIRECT(""&amp;$B261&amp;"!B2:B628"),0))=0,"",INDEX(INDIRECT(""&amp;$B261&amp;"!W2:W628"),MATCH($A261,INDIRECT(""&amp;$B261&amp;"!B2:B628"),0)))</f>
        <v/>
      </c>
    </row>
    <row r="262" spans="1:15" x14ac:dyDescent="0.25">
      <c r="A262" s="158" t="s">
        <v>2449</v>
      </c>
      <c r="B262" s="158" t="s">
        <v>28</v>
      </c>
      <c r="C262" s="158">
        <f ca="1">IFERROR(INDEX(BYEs!$B$2:$B$33,MATCH(D262,BYEs!$A$2:$A$33,0)),"N/A")</f>
        <v>8</v>
      </c>
      <c r="D262" s="219" t="str">
        <f ca="1">INDEX(INDIRECT(""&amp;B262&amp;"!F2:F628"),MATCH(A262,INDIRECT(""&amp;B262&amp;"!B2:B628"),0))</f>
        <v>LAC</v>
      </c>
      <c r="E262" s="218" t="str">
        <f ca="1">INDEX(INDIRECT(""&amp;$B262&amp;"!AA2:AA628"),MATCH($A262,INDIRECT(""&amp;$B262&amp;"!B2:B628"),0))</f>
        <v>RB9</v>
      </c>
      <c r="F262" s="159">
        <f ca="1">IF(LeagueInfo!$H$7="Starter/Bench",INDEX(INDIRECT(""&amp;B262&amp;"!T2:T628"),MATCH(A262,INDIRECT(""&amp;B262&amp;"!B2:B628"),0)),INDEX(INDIRECT(""&amp;B262&amp;"!AB2:AB628"),MATCH(A262,INDIRECT(""&amp;B262&amp;"!B2:B628"),0)))</f>
        <v>-3.4305157916425477</v>
      </c>
      <c r="G262" s="160">
        <f>IF(H262&gt;0,F262-H262,0)</f>
        <v>0</v>
      </c>
      <c r="H262" s="161"/>
      <c r="I262" s="160">
        <f ca="1">F262*$A$2</f>
        <v>-3.4305157916425477</v>
      </c>
      <c r="J262" s="160" t="s">
        <v>76</v>
      </c>
      <c r="K262" s="160">
        <f>IF(LeagueInfo!$F$7="Yahoo",IFERROR(INDEX(DefaultAuctionValues!$B$2:$B$1000,MATCH(A262,DefaultAuctionValues!$A$2:$A$1000,0)),0),IF(LeagueInfo!$F$7="ESPN",IFERROR(INDEX(DefaultAuctionValues!$C$2:$C$1000,MATCH(A262,DefaultAuctionValues!$A$2:$A$1000,0)),0),IF(LeagueInfo!$F$7="Custom",IFERROR(INDEX(DefaultAuctionValues!$D$2:$D$1000,MATCH(A262,DefaultAuctionValues!$A$2:$A$1000,0)),0))))</f>
        <v>1</v>
      </c>
      <c r="L262" s="160">
        <f ca="1">I262-K262</f>
        <v>-4.4305157916425477</v>
      </c>
      <c r="M262" s="175"/>
      <c r="N262" s="170">
        <f ca="1">INDEX(INDIRECT(""&amp;$B262&amp;"!Z2:Z628"),MATCH($A262,INDIRECT(""&amp;$B262&amp;"!B2:B628"),0))</f>
        <v>-9.4600000000000044</v>
      </c>
      <c r="O262" s="158" t="str">
        <f ca="1">IF(INDEX(INDIRECT(""&amp;$B262&amp;"!W2:W628"),MATCH($A262,INDIRECT(""&amp;$B262&amp;"!B2:B628"),0))=0,"",INDEX(INDIRECT(""&amp;$B262&amp;"!W2:W628"),MATCH($A262,INDIRECT(""&amp;$B262&amp;"!B2:B628"),0)))</f>
        <v/>
      </c>
    </row>
    <row r="263" spans="1:15" x14ac:dyDescent="0.25">
      <c r="A263" s="158" t="s">
        <v>679</v>
      </c>
      <c r="B263" s="158" t="s">
        <v>28</v>
      </c>
      <c r="C263" s="158">
        <f ca="1">IFERROR(INDEX(BYEs!$B$2:$B$33,MATCH(D263,BYEs!$A$2:$A$33,0)),"N/A")</f>
        <v>13</v>
      </c>
      <c r="D263" s="219" t="str">
        <f ca="1">INDEX(INDIRECT(""&amp;B263&amp;"!F2:F628"),MATCH(A263,INDIRECT(""&amp;B263&amp;"!B2:B628"),0))</f>
        <v>ARI</v>
      </c>
      <c r="E263" s="218" t="str">
        <f ca="1">INDEX(INDIRECT(""&amp;$B263&amp;"!AA2:AA628"),MATCH($A263,INDIRECT(""&amp;$B263&amp;"!B2:B628"),0))</f>
        <v>RB9</v>
      </c>
      <c r="F263" s="159">
        <f ca="1">IF(LeagueInfo!$H$7="Starter/Bench",INDEX(INDIRECT(""&amp;B263&amp;"!T2:T628"),MATCH(A263,INDIRECT(""&amp;B263&amp;"!B2:B628"),0)),INDEX(INDIRECT(""&amp;B263&amp;"!AB2:AB628"),MATCH(A263,INDIRECT(""&amp;B263&amp;"!B2:B628"),0)))</f>
        <v>-3.4504606508962832</v>
      </c>
      <c r="G263" s="160">
        <f>IF(H263&gt;0,F263-H263,0)</f>
        <v>0</v>
      </c>
      <c r="H263" s="161"/>
      <c r="I263" s="160">
        <f ca="1">F263*$A$2</f>
        <v>-3.4504606508962832</v>
      </c>
      <c r="J263" s="160" t="s">
        <v>76</v>
      </c>
      <c r="K263" s="160">
        <f>IF(LeagueInfo!$F$7="Yahoo",IFERROR(INDEX(DefaultAuctionValues!$B$2:$B$1000,MATCH(A263,DefaultAuctionValues!$A$2:$A$1000,0)),0),IF(LeagueInfo!$F$7="ESPN",IFERROR(INDEX(DefaultAuctionValues!$C$2:$C$1000,MATCH(A263,DefaultAuctionValues!$A$2:$A$1000,0)),0),IF(LeagueInfo!$F$7="Custom",IFERROR(INDEX(DefaultAuctionValues!$D$2:$D$1000,MATCH(A263,DefaultAuctionValues!$A$2:$A$1000,0)),0))))</f>
        <v>1</v>
      </c>
      <c r="L263" s="160">
        <f ca="1">I263-K263</f>
        <v>-4.4504606508962832</v>
      </c>
      <c r="M263" s="175"/>
      <c r="N263" s="170">
        <f ca="1">INDEX(INDIRECT(""&amp;$B263&amp;"!Z2:Z628"),MATCH($A263,INDIRECT(""&amp;$B263&amp;"!B2:B628"),0))</f>
        <v>-9.5150000000000041</v>
      </c>
      <c r="O263" s="158" t="str">
        <f ca="1">IF(INDEX(INDIRECT(""&amp;$B263&amp;"!W2:W628"),MATCH($A263,INDIRECT(""&amp;$B263&amp;"!B2:B628"),0))=0,"",INDEX(INDIRECT(""&amp;$B263&amp;"!W2:W628"),MATCH($A263,INDIRECT(""&amp;$B263&amp;"!B2:B628"),0)))</f>
        <v/>
      </c>
    </row>
    <row r="264" spans="1:15" x14ac:dyDescent="0.25">
      <c r="A264" s="158" t="s">
        <v>748</v>
      </c>
      <c r="B264" s="158" t="s">
        <v>43</v>
      </c>
      <c r="C264" s="158">
        <f ca="1">IFERROR(INDEX(BYEs!$B$2:$B$33,MATCH(D264,BYEs!$A$2:$A$33,0)),"N/A")</f>
        <v>14</v>
      </c>
      <c r="D264" s="219" t="str">
        <f ca="1">INDEX(INDIRECT(""&amp;B264&amp;"!F2:F628"),MATCH(A264,INDIRECT(""&amp;B264&amp;"!B2:B628"),0))</f>
        <v>IND</v>
      </c>
      <c r="E264" s="218" t="str">
        <f ca="1">INDEX(INDIRECT(""&amp;$B264&amp;"!AA2:AA628"),MATCH($A264,INDIRECT(""&amp;$B264&amp;"!B2:B628"),0))</f>
        <v>TE9</v>
      </c>
      <c r="F264" s="159">
        <f ca="1">IF(LeagueInfo!$H$7="Starter/Bench",INDEX(INDIRECT(""&amp;B264&amp;"!T2:T628"),MATCH(A264,INDIRECT(""&amp;B264&amp;"!B2:B628"),0)),INDEX(INDIRECT(""&amp;B264&amp;"!AB2:AB628"),MATCH(A264,INDIRECT(""&amp;B264&amp;"!B2:B628"),0)))</f>
        <v>-3.5665034683725652</v>
      </c>
      <c r="G264" s="160">
        <f>IF(H264&gt;0,F264-H264,0)</f>
        <v>0</v>
      </c>
      <c r="H264" s="161"/>
      <c r="I264" s="160">
        <f ca="1">F264*$A$2</f>
        <v>-3.5665034683725652</v>
      </c>
      <c r="J264" s="160" t="s">
        <v>76</v>
      </c>
      <c r="K264" s="160">
        <f>IF(LeagueInfo!$F$7="Yahoo",IFERROR(INDEX(DefaultAuctionValues!$B$2:$B$1000,MATCH(A264,DefaultAuctionValues!$A$2:$A$1000,0)),0),IF(LeagueInfo!$F$7="ESPN",IFERROR(INDEX(DefaultAuctionValues!$C$2:$C$1000,MATCH(A264,DefaultAuctionValues!$A$2:$A$1000,0)),0),IF(LeagueInfo!$F$7="Custom",IFERROR(INDEX(DefaultAuctionValues!$D$2:$D$1000,MATCH(A264,DefaultAuctionValues!$A$2:$A$1000,0)),0))))</f>
        <v>0</v>
      </c>
      <c r="L264" s="160">
        <f ca="1">I264-K264</f>
        <v>-3.5665034683725652</v>
      </c>
      <c r="M264" s="175"/>
      <c r="N264" s="170">
        <f ca="1">INDEX(INDIRECT(""&amp;$B264&amp;"!Z2:Z628"),MATCH($A264,INDIRECT(""&amp;$B264&amp;"!B2:B628"),0))</f>
        <v>-9.835000000000008</v>
      </c>
      <c r="O264" s="158" t="str">
        <f ca="1">IF(INDEX(INDIRECT(""&amp;$B264&amp;"!W2:W628"),MATCH($A264,INDIRECT(""&amp;$B264&amp;"!B2:B628"),0))=0,"",INDEX(INDIRECT(""&amp;$B264&amp;"!W2:W628"),MATCH($A264,INDIRECT(""&amp;$B264&amp;"!B2:B628"),0)))</f>
        <v/>
      </c>
    </row>
    <row r="265" spans="1:15" x14ac:dyDescent="0.25">
      <c r="A265" s="158" t="s">
        <v>992</v>
      </c>
      <c r="B265" s="158" t="s">
        <v>35</v>
      </c>
      <c r="C265" s="158">
        <f ca="1">IFERROR(INDEX(BYEs!$B$2:$B$33,MATCH(D265,BYEs!$A$2:$A$33,0)),"N/A")</f>
        <v>8</v>
      </c>
      <c r="D265" s="219" t="str">
        <f ca="1">INDEX(INDIRECT(""&amp;B265&amp;"!F2:F628"),MATCH(A265,INDIRECT(""&amp;B265&amp;"!B2:B628"),0))</f>
        <v>LAC</v>
      </c>
      <c r="E265" s="218" t="str">
        <f ca="1">INDEX(INDIRECT(""&amp;$B265&amp;"!AA2:AA628"),MATCH($A265,INDIRECT(""&amp;$B265&amp;"!B2:B628"),0))</f>
        <v>WR9</v>
      </c>
      <c r="F265" s="159">
        <f ca="1">IF(LeagueInfo!$H$7="Starter/Bench",INDEX(INDIRECT(""&amp;B265&amp;"!T2:T628"),MATCH(A265,INDIRECT(""&amp;B265&amp;"!B2:B628"),0)),INDEX(INDIRECT(""&amp;B265&amp;"!AB2:AB628"),MATCH(A265,INDIRECT(""&amp;B265&amp;"!B2:B628"),0)))</f>
        <v>-3.5701298064186933</v>
      </c>
      <c r="G265" s="160">
        <f>IF(H265&gt;0,F265-H265,0)</f>
        <v>0</v>
      </c>
      <c r="H265" s="161"/>
      <c r="I265" s="160">
        <f ca="1">F265*$A$2</f>
        <v>-3.5701298064186933</v>
      </c>
      <c r="J265" s="160" t="s">
        <v>76</v>
      </c>
      <c r="K265" s="160">
        <f>IF(LeagueInfo!$F$7="Yahoo",IFERROR(INDEX(DefaultAuctionValues!$B$2:$B$1000,MATCH(A265,DefaultAuctionValues!$A$2:$A$1000,0)),0),IF(LeagueInfo!$F$7="ESPN",IFERROR(INDEX(DefaultAuctionValues!$C$2:$C$1000,MATCH(A265,DefaultAuctionValues!$A$2:$A$1000,0)),0),IF(LeagueInfo!$F$7="Custom",IFERROR(INDEX(DefaultAuctionValues!$D$2:$D$1000,MATCH(A265,DefaultAuctionValues!$A$2:$A$1000,0)),0))))</f>
        <v>0</v>
      </c>
      <c r="L265" s="160">
        <f ca="1">I265-K265</f>
        <v>-3.5701298064186933</v>
      </c>
      <c r="M265" s="175"/>
      <c r="N265" s="170">
        <f ca="1">INDEX(INDIRECT(""&amp;$B265&amp;"!Z2:Z628"),MATCH($A265,INDIRECT(""&amp;$B265&amp;"!B2:B628"),0))</f>
        <v>-9.8449999999999918</v>
      </c>
      <c r="O265" s="158" t="str">
        <f ca="1">IF(INDEX(INDIRECT(""&amp;$B265&amp;"!W2:W628"),MATCH($A265,INDIRECT(""&amp;$B265&amp;"!B2:B628"),0))=0,"",INDEX(INDIRECT(""&amp;$B265&amp;"!W2:W628"),MATCH($A265,INDIRECT(""&amp;$B265&amp;"!B2:B628"),0)))</f>
        <v/>
      </c>
    </row>
    <row r="266" spans="1:15" x14ac:dyDescent="0.25">
      <c r="A266" s="158" t="s">
        <v>860</v>
      </c>
      <c r="B266" s="158" t="s">
        <v>35</v>
      </c>
      <c r="C266" s="158">
        <f ca="1">IFERROR(INDEX(BYEs!$B$2:$B$33,MATCH(D266,BYEs!$A$2:$A$33,0)),"N/A")</f>
        <v>7</v>
      </c>
      <c r="D266" s="219" t="str">
        <f ca="1">INDEX(INDIRECT(""&amp;B266&amp;"!F2:F628"),MATCH(A266,INDIRECT(""&amp;B266&amp;"!B2:B628"),0))</f>
        <v>MIN</v>
      </c>
      <c r="E266" s="218" t="str">
        <f ca="1">INDEX(INDIRECT(""&amp;$B266&amp;"!AA2:AA628"),MATCH($A266,INDIRECT(""&amp;$B266&amp;"!B2:B628"),0))</f>
        <v>WR9</v>
      </c>
      <c r="F266" s="159">
        <f ca="1">IF(LeagueInfo!$H$7="Starter/Bench",INDEX(INDIRECT(""&amp;B266&amp;"!T2:T628"),MATCH(A266,INDIRECT(""&amp;B266&amp;"!B2:B628"),0)),INDEX(INDIRECT(""&amp;B266&amp;"!AB2:AB628"),MATCH(A266,INDIRECT(""&amp;B266&amp;"!B2:B628"),0)))</f>
        <v>-3.6897989619411042</v>
      </c>
      <c r="G266" s="160">
        <f>IF(H266&gt;0,F266-H266,0)</f>
        <v>0</v>
      </c>
      <c r="H266" s="161"/>
      <c r="I266" s="160">
        <f ca="1">F266*$A$2</f>
        <v>-3.6897989619411042</v>
      </c>
      <c r="J266" s="160" t="s">
        <v>76</v>
      </c>
      <c r="K266" s="160">
        <f>IF(LeagueInfo!$F$7="Yahoo",IFERROR(INDEX(DefaultAuctionValues!$B$2:$B$1000,MATCH(A266,DefaultAuctionValues!$A$2:$A$1000,0)),0),IF(LeagueInfo!$F$7="ESPN",IFERROR(INDEX(DefaultAuctionValues!$C$2:$C$1000,MATCH(A266,DefaultAuctionValues!$A$2:$A$1000,0)),0),IF(LeagueInfo!$F$7="Custom",IFERROR(INDEX(DefaultAuctionValues!$D$2:$D$1000,MATCH(A266,DefaultAuctionValues!$A$2:$A$1000,0)),0))))</f>
        <v>0</v>
      </c>
      <c r="L266" s="160">
        <f ca="1">I266-K266</f>
        <v>-3.6897989619411042</v>
      </c>
      <c r="M266" s="175"/>
      <c r="N266" s="170">
        <f ca="1">INDEX(INDIRECT(""&amp;$B266&amp;"!Z2:Z628"),MATCH($A266,INDIRECT(""&amp;$B266&amp;"!B2:B628"),0))</f>
        <v>-10.174999999999983</v>
      </c>
      <c r="O266" s="158" t="str">
        <f ca="1">IF(INDEX(INDIRECT(""&amp;$B266&amp;"!W2:W628"),MATCH($A266,INDIRECT(""&amp;$B266&amp;"!B2:B628"),0))=0,"",INDEX(INDIRECT(""&amp;$B266&amp;"!W2:W628"),MATCH($A266,INDIRECT(""&amp;$B266&amp;"!B2:B628"),0)))</f>
        <v/>
      </c>
    </row>
    <row r="267" spans="1:15" x14ac:dyDescent="0.25">
      <c r="A267" s="158" t="s">
        <v>979</v>
      </c>
      <c r="B267" s="158" t="s">
        <v>43</v>
      </c>
      <c r="C267" s="158">
        <f ca="1">IFERROR(INDEX(BYEs!$B$2:$B$33,MATCH(D267,BYEs!$A$2:$A$33,0)),"N/A")</f>
        <v>6</v>
      </c>
      <c r="D267" s="219" t="str">
        <f ca="1">INDEX(INDIRECT(""&amp;B267&amp;"!F2:F628"),MATCH(A267,INDIRECT(""&amp;B267&amp;"!B2:B628"),0))</f>
        <v>HOU</v>
      </c>
      <c r="E267" s="218" t="str">
        <f ca="1">INDEX(INDIRECT(""&amp;$B267&amp;"!AA2:AA628"),MATCH($A267,INDIRECT(""&amp;$B267&amp;"!B2:B628"),0))</f>
        <v>TE9</v>
      </c>
      <c r="F267" s="159">
        <f ca="1">IF(LeagueInfo!$H$7="Starter/Bench",INDEX(INDIRECT(""&amp;B267&amp;"!T2:T628"),MATCH(A267,INDIRECT(""&amp;B267&amp;"!B2:B628"),0)),INDEX(INDIRECT(""&amp;B267&amp;"!AB2:AB628"),MATCH(A267,INDIRECT(""&amp;B267&amp;"!B2:B628"),0)))</f>
        <v>-4.043366921439155</v>
      </c>
      <c r="G267" s="160">
        <f>IF(H267&gt;0,F267-H267,0)</f>
        <v>0</v>
      </c>
      <c r="H267" s="161"/>
      <c r="I267" s="160">
        <f ca="1">F267*$A$2</f>
        <v>-4.043366921439155</v>
      </c>
      <c r="J267" s="160" t="s">
        <v>76</v>
      </c>
      <c r="K267" s="160">
        <f>IF(LeagueInfo!$F$7="Yahoo",IFERROR(INDEX(DefaultAuctionValues!$B$2:$B$1000,MATCH(A267,DefaultAuctionValues!$A$2:$A$1000,0)),0),IF(LeagueInfo!$F$7="ESPN",IFERROR(INDEX(DefaultAuctionValues!$C$2:$C$1000,MATCH(A267,DefaultAuctionValues!$A$2:$A$1000,0)),0),IF(LeagueInfo!$F$7="Custom",IFERROR(INDEX(DefaultAuctionValues!$D$2:$D$1000,MATCH(A267,DefaultAuctionValues!$A$2:$A$1000,0)),0))))</f>
        <v>0</v>
      </c>
      <c r="L267" s="160">
        <f ca="1">I267-K267</f>
        <v>-4.043366921439155</v>
      </c>
      <c r="M267" s="175"/>
      <c r="N267" s="170">
        <f ca="1">INDEX(INDIRECT(""&amp;$B267&amp;"!Z2:Z628"),MATCH($A267,INDIRECT(""&amp;$B267&amp;"!B2:B628"),0))</f>
        <v>-11.150000000000006</v>
      </c>
      <c r="O267" s="158" t="str">
        <f ca="1">IF(INDEX(INDIRECT(""&amp;$B267&amp;"!W2:W628"),MATCH($A267,INDIRECT(""&amp;$B267&amp;"!B2:B628"),0))=0,"",INDEX(INDIRECT(""&amp;$B267&amp;"!W2:W628"),MATCH($A267,INDIRECT(""&amp;$B267&amp;"!B2:B628"),0)))</f>
        <v/>
      </c>
    </row>
    <row r="268" spans="1:15" x14ac:dyDescent="0.25">
      <c r="A268" s="158" t="s">
        <v>2465</v>
      </c>
      <c r="B268" s="158" t="s">
        <v>28</v>
      </c>
      <c r="C268" s="158">
        <f ca="1">IFERROR(INDEX(BYEs!$B$2:$B$33,MATCH(D268,BYEs!$A$2:$A$33,0)),"N/A")</f>
        <v>8</v>
      </c>
      <c r="D268" s="219" t="str">
        <f ca="1">INDEX(INDIRECT(""&amp;B268&amp;"!F2:F628"),MATCH(A268,INDIRECT(""&amp;B268&amp;"!B2:B628"),0))</f>
        <v>KC</v>
      </c>
      <c r="E268" s="218" t="str">
        <f ca="1">INDEX(INDIRECT(""&amp;$B268&amp;"!AA2:AA628"),MATCH($A268,INDIRECT(""&amp;$B268&amp;"!B2:B628"),0))</f>
        <v>RB9</v>
      </c>
      <c r="F268" s="159">
        <f ca="1">IF(LeagueInfo!$H$7="Starter/Bench",INDEX(INDIRECT(""&amp;B268&amp;"!T2:T628"),MATCH(A268,INDIRECT(""&amp;B268&amp;"!B2:B628"),0)),INDEX(INDIRECT(""&amp;B268&amp;"!AB2:AB628"),MATCH(A268,INDIRECT(""&amp;B268&amp;"!B2:B628"),0)))</f>
        <v>-4.1974862883998405</v>
      </c>
      <c r="G268" s="160">
        <f>IF(H268&gt;0,F268-H268,0)</f>
        <v>0</v>
      </c>
      <c r="H268" s="161"/>
      <c r="I268" s="160">
        <f ca="1">F268*$A$2</f>
        <v>-4.1974862883998405</v>
      </c>
      <c r="J268" s="160" t="s">
        <v>76</v>
      </c>
      <c r="K268" s="160">
        <f>IF(LeagueInfo!$F$7="Yahoo",IFERROR(INDEX(DefaultAuctionValues!$B$2:$B$1000,MATCH(A268,DefaultAuctionValues!$A$2:$A$1000,0)),0),IF(LeagueInfo!$F$7="ESPN",IFERROR(INDEX(DefaultAuctionValues!$C$2:$C$1000,MATCH(A268,DefaultAuctionValues!$A$2:$A$1000,0)),0),IF(LeagueInfo!$F$7="Custom",IFERROR(INDEX(DefaultAuctionValues!$D$2:$D$1000,MATCH(A268,DefaultAuctionValues!$A$2:$A$1000,0)),0))))</f>
        <v>1</v>
      </c>
      <c r="L268" s="160">
        <f ca="1">I268-K268</f>
        <v>-5.1974862883998405</v>
      </c>
      <c r="M268" s="175"/>
      <c r="N268" s="170">
        <f ca="1">INDEX(INDIRECT(""&amp;$B268&amp;"!Z2:Z628"),MATCH($A268,INDIRECT(""&amp;$B268&amp;"!B2:B628"),0))</f>
        <v>-11.575000000000006</v>
      </c>
      <c r="O268" s="158" t="str">
        <f ca="1">IF(INDEX(INDIRECT(""&amp;$B268&amp;"!W2:W628"),MATCH($A268,INDIRECT(""&amp;$B268&amp;"!B2:B628"),0))=0,"",INDEX(INDIRECT(""&amp;$B268&amp;"!W2:W628"),MATCH($A268,INDIRECT(""&amp;$B268&amp;"!B2:B628"),0)))</f>
        <v/>
      </c>
    </row>
    <row r="269" spans="1:15" x14ac:dyDescent="0.25">
      <c r="A269" s="158" t="s">
        <v>165</v>
      </c>
      <c r="B269" s="158" t="s">
        <v>28</v>
      </c>
      <c r="C269" s="158">
        <f ca="1">IFERROR(INDEX(BYEs!$B$2:$B$33,MATCH(D269,BYEs!$A$2:$A$33,0)),"N/A")</f>
        <v>10</v>
      </c>
      <c r="D269" s="219" t="str">
        <f ca="1">INDEX(INDIRECT(""&amp;B269&amp;"!F2:F628"),MATCH(A269,INDIRECT(""&amp;B269&amp;"!B2:B628"),0))</f>
        <v>CIN</v>
      </c>
      <c r="E269" s="218" t="str">
        <f ca="1">INDEX(INDIRECT(""&amp;$B269&amp;"!AA2:AA628"),MATCH($A269,INDIRECT(""&amp;$B269&amp;"!B2:B628"),0))</f>
        <v>RB9</v>
      </c>
      <c r="F269" s="159">
        <f ca="1">IF(LeagueInfo!$H$7="Starter/Bench",INDEX(INDIRECT(""&amp;B269&amp;"!T2:T628"),MATCH(A269,INDIRECT(""&amp;B269&amp;"!B2:B628"),0)),INDEX(INDIRECT(""&amp;B269&amp;"!AB2:AB628"),MATCH(A269,INDIRECT(""&amp;B269&amp;"!B2:B628"),0)))</f>
        <v>-4.2645735422533146</v>
      </c>
      <c r="G269" s="160">
        <f>IF(H269&gt;0,F269-H269,0)</f>
        <v>0</v>
      </c>
      <c r="H269" s="161"/>
      <c r="I269" s="160">
        <f ca="1">F269*$A$2</f>
        <v>-4.2645735422533146</v>
      </c>
      <c r="J269" s="160" t="s">
        <v>76</v>
      </c>
      <c r="K269" s="160">
        <f>IF(LeagueInfo!$F$7="Yahoo",IFERROR(INDEX(DefaultAuctionValues!$B$2:$B$1000,MATCH(A269,DefaultAuctionValues!$A$2:$A$1000,0)),0),IF(LeagueInfo!$F$7="ESPN",IFERROR(INDEX(DefaultAuctionValues!$C$2:$C$1000,MATCH(A269,DefaultAuctionValues!$A$2:$A$1000,0)),0),IF(LeagueInfo!$F$7="Custom",IFERROR(INDEX(DefaultAuctionValues!$D$2:$D$1000,MATCH(A269,DefaultAuctionValues!$A$2:$A$1000,0)),0))))</f>
        <v>0</v>
      </c>
      <c r="L269" s="160">
        <f ca="1">I269-K269</f>
        <v>-4.2645735422533146</v>
      </c>
      <c r="M269" s="175"/>
      <c r="N269" s="170">
        <f ca="1">INDEX(INDIRECT(""&amp;$B269&amp;"!Z2:Z628"),MATCH($A269,INDIRECT(""&amp;$B269&amp;"!B2:B628"),0))</f>
        <v>-11.760000000000005</v>
      </c>
      <c r="O269" s="158" t="str">
        <f ca="1">IF(INDEX(INDIRECT(""&amp;$B269&amp;"!W2:W628"),MATCH($A269,INDIRECT(""&amp;$B269&amp;"!B2:B628"),0))=0,"",INDEX(INDIRECT(""&amp;$B269&amp;"!W2:W628"),MATCH($A269,INDIRECT(""&amp;$B269&amp;"!B2:B628"),0)))</f>
        <v/>
      </c>
    </row>
    <row r="270" spans="1:15" x14ac:dyDescent="0.25">
      <c r="A270" s="158" t="s">
        <v>841</v>
      </c>
      <c r="B270" s="158" t="s">
        <v>35</v>
      </c>
      <c r="C270" s="158">
        <f ca="1">IFERROR(INDEX(BYEs!$B$2:$B$33,MATCH(D270,BYEs!$A$2:$A$33,0)),"N/A")</f>
        <v>9</v>
      </c>
      <c r="D270" s="219" t="str">
        <f ca="1">INDEX(INDIRECT(""&amp;B270&amp;"!F2:F628"),MATCH(A270,INDIRECT(""&amp;B270&amp;"!B2:B628"),0))</f>
        <v>DEN</v>
      </c>
      <c r="E270" s="218" t="str">
        <f ca="1">INDEX(INDIRECT(""&amp;$B270&amp;"!AA2:AA628"),MATCH($A270,INDIRECT(""&amp;$B270&amp;"!B2:B628"),0))</f>
        <v>WR9</v>
      </c>
      <c r="F270" s="159">
        <f ca="1">IF(LeagueInfo!$H$7="Starter/Bench",INDEX(INDIRECT(""&amp;B270&amp;"!T2:T628"),MATCH(A270,INDIRECT(""&amp;B270&amp;"!B2:B628"),0)),INDEX(INDIRECT(""&amp;B270&amp;"!AB2:AB628"),MATCH(A270,INDIRECT(""&amp;B270&amp;"!B2:B628"),0)))</f>
        <v>-4.3280344580606522</v>
      </c>
      <c r="G270" s="160">
        <f>IF(H270&gt;0,F270-H270,0)</f>
        <v>0</v>
      </c>
      <c r="H270" s="161"/>
      <c r="I270" s="160">
        <f ca="1">F270*$A$2</f>
        <v>-4.3280344580606522</v>
      </c>
      <c r="J270" s="160" t="s">
        <v>76</v>
      </c>
      <c r="K270" s="160">
        <f>IF(LeagueInfo!$F$7="Yahoo",IFERROR(INDEX(DefaultAuctionValues!$B$2:$B$1000,MATCH(A270,DefaultAuctionValues!$A$2:$A$1000,0)),0),IF(LeagueInfo!$F$7="ESPN",IFERROR(INDEX(DefaultAuctionValues!$C$2:$C$1000,MATCH(A270,DefaultAuctionValues!$A$2:$A$1000,0)),0),IF(LeagueInfo!$F$7="Custom",IFERROR(INDEX(DefaultAuctionValues!$D$2:$D$1000,MATCH(A270,DefaultAuctionValues!$A$2:$A$1000,0)),0))))</f>
        <v>0</v>
      </c>
      <c r="L270" s="160">
        <f ca="1">I270-K270</f>
        <v>-4.3280344580606522</v>
      </c>
      <c r="M270" s="175"/>
      <c r="N270" s="170">
        <f ca="1">INDEX(INDIRECT(""&amp;$B270&amp;"!Z2:Z628"),MATCH($A270,INDIRECT(""&amp;$B270&amp;"!B2:B628"),0))</f>
        <v>-11.934999999999995</v>
      </c>
      <c r="O270" s="158" t="str">
        <f ca="1">IF(INDEX(INDIRECT(""&amp;$B270&amp;"!W2:W628"),MATCH($A270,INDIRECT(""&amp;$B270&amp;"!B2:B628"),0))=0,"",INDEX(INDIRECT(""&amp;$B270&amp;"!W2:W628"),MATCH($A270,INDIRECT(""&amp;$B270&amp;"!B2:B628"),0)))</f>
        <v/>
      </c>
    </row>
    <row r="271" spans="1:15" x14ac:dyDescent="0.25">
      <c r="A271" s="158" t="s">
        <v>546</v>
      </c>
      <c r="B271" s="158" t="s">
        <v>28</v>
      </c>
      <c r="C271" s="158">
        <f ca="1">IFERROR(INDEX(BYEs!$B$2:$B$33,MATCH(D271,BYEs!$A$2:$A$33,0)),"N/A")</f>
        <v>8</v>
      </c>
      <c r="D271" s="219" t="str">
        <f ca="1">INDEX(INDIRECT(""&amp;B271&amp;"!F2:F628"),MATCH(A271,INDIRECT(""&amp;B271&amp;"!B2:B628"),0))</f>
        <v>LAC</v>
      </c>
      <c r="E271" s="218" t="str">
        <f ca="1">INDEX(INDIRECT(""&amp;$B271&amp;"!AA2:AA628"),MATCH($A271,INDIRECT(""&amp;$B271&amp;"!B2:B628"),0))</f>
        <v>RB9</v>
      </c>
      <c r="F271" s="159">
        <f ca="1">IF(LeagueInfo!$H$7="Starter/Bench",INDEX(INDIRECT(""&amp;B271&amp;"!T2:T628"),MATCH(A271,INDIRECT(""&amp;B271&amp;"!B2:B628"),0)),INDEX(INDIRECT(""&amp;B271&amp;"!AB2:AB628"),MATCH(A271,INDIRECT(""&amp;B271&amp;"!B2:B628"),0)))</f>
        <v>-4.3407266412221244</v>
      </c>
      <c r="G271" s="160">
        <f>IF(H271&gt;0,F271-H271,0)</f>
        <v>0</v>
      </c>
      <c r="H271" s="161"/>
      <c r="I271" s="160">
        <f ca="1">F271*$A$2</f>
        <v>-4.3407266412221244</v>
      </c>
      <c r="J271" s="160" t="s">
        <v>76</v>
      </c>
      <c r="K271" s="160">
        <f>IF(LeagueInfo!$F$7="Yahoo",IFERROR(INDEX(DefaultAuctionValues!$B$2:$B$1000,MATCH(A271,DefaultAuctionValues!$A$2:$A$1000,0)),0),IF(LeagueInfo!$F$7="ESPN",IFERROR(INDEX(DefaultAuctionValues!$C$2:$C$1000,MATCH(A271,DefaultAuctionValues!$A$2:$A$1000,0)),0),IF(LeagueInfo!$F$7="Custom",IFERROR(INDEX(DefaultAuctionValues!$D$2:$D$1000,MATCH(A271,DefaultAuctionValues!$A$2:$A$1000,0)),0))))</f>
        <v>1</v>
      </c>
      <c r="L271" s="160">
        <f ca="1">I271-K271</f>
        <v>-5.3407266412221244</v>
      </c>
      <c r="M271" s="175"/>
      <c r="N271" s="170">
        <f ca="1">INDEX(INDIRECT(""&amp;$B271&amp;"!Z2:Z628"),MATCH($A271,INDIRECT(""&amp;$B271&amp;"!B2:B628"),0))</f>
        <v>-11.970000000000006</v>
      </c>
      <c r="O271" s="158" t="str">
        <f ca="1">IF(INDEX(INDIRECT(""&amp;$B271&amp;"!W2:W628"),MATCH($A271,INDIRECT(""&amp;$B271&amp;"!B2:B628"),0))=0,"",INDEX(INDIRECT(""&amp;$B271&amp;"!W2:W628"),MATCH($A271,INDIRECT(""&amp;$B271&amp;"!B2:B628"),0)))</f>
        <v/>
      </c>
    </row>
    <row r="272" spans="1:15" x14ac:dyDescent="0.25">
      <c r="A272" s="158" t="s">
        <v>2423</v>
      </c>
      <c r="B272" s="158" t="s">
        <v>35</v>
      </c>
      <c r="C272" s="158">
        <f ca="1">IFERROR(INDEX(BYEs!$B$2:$B$33,MATCH(D272,BYEs!$A$2:$A$33,0)),"N/A")</f>
        <v>14</v>
      </c>
      <c r="D272" s="219" t="str">
        <f ca="1">INDEX(INDIRECT(""&amp;B272&amp;"!F2:F628"),MATCH(A272,INDIRECT(""&amp;B272&amp;"!B2:B628"),0))</f>
        <v>IND</v>
      </c>
      <c r="E272" s="218" t="str">
        <f ca="1">INDEX(INDIRECT(""&amp;$B272&amp;"!AA2:AA628"),MATCH($A272,INDIRECT(""&amp;$B272&amp;"!B2:B628"),0))</f>
        <v>WR9</v>
      </c>
      <c r="F272" s="159">
        <f ca="1">IF(LeagueInfo!$H$7="Starter/Bench",INDEX(INDIRECT(""&amp;B272&amp;"!T2:T628"),MATCH(A272,INDIRECT(""&amp;B272&amp;"!B2:B628"),0)),INDEX(INDIRECT(""&amp;B272&amp;"!AB2:AB628"),MATCH(A272,INDIRECT(""&amp;B272&amp;"!B2:B628"),0)))</f>
        <v>-4.5800649522669472</v>
      </c>
      <c r="G272" s="160">
        <f>IF(H272&gt;0,F272-H272,0)</f>
        <v>0</v>
      </c>
      <c r="H272" s="161"/>
      <c r="I272" s="160">
        <f ca="1">F272*$A$2</f>
        <v>-4.5800649522669472</v>
      </c>
      <c r="J272" s="160" t="s">
        <v>76</v>
      </c>
      <c r="K272" s="160">
        <f>IF(LeagueInfo!$F$7="Yahoo",IFERROR(INDEX(DefaultAuctionValues!$B$2:$B$1000,MATCH(A272,DefaultAuctionValues!$A$2:$A$1000,0)),0),IF(LeagueInfo!$F$7="ESPN",IFERROR(INDEX(DefaultAuctionValues!$C$2:$C$1000,MATCH(A272,DefaultAuctionValues!$A$2:$A$1000,0)),0),IF(LeagueInfo!$F$7="Custom",IFERROR(INDEX(DefaultAuctionValues!$D$2:$D$1000,MATCH(A272,DefaultAuctionValues!$A$2:$A$1000,0)),0))))</f>
        <v>0</v>
      </c>
      <c r="L272" s="160">
        <f ca="1">I272-K272</f>
        <v>-4.5800649522669472</v>
      </c>
      <c r="M272" s="175"/>
      <c r="N272" s="170">
        <f ca="1">INDEX(INDIRECT(""&amp;$B272&amp;"!Z2:Z628"),MATCH($A272,INDIRECT(""&amp;$B272&amp;"!B2:B628"),0))</f>
        <v>-12.629999999999988</v>
      </c>
      <c r="O272" s="158" t="str">
        <f ca="1">IF(INDEX(INDIRECT(""&amp;$B272&amp;"!W2:W628"),MATCH($A272,INDIRECT(""&amp;$B272&amp;"!B2:B628"),0))=0,"",INDEX(INDIRECT(""&amp;$B272&amp;"!W2:W628"),MATCH($A272,INDIRECT(""&amp;$B272&amp;"!B2:B628"),0)))</f>
        <v/>
      </c>
    </row>
    <row r="273" spans="1:15" x14ac:dyDescent="0.25">
      <c r="A273" s="158" t="s">
        <v>188</v>
      </c>
      <c r="B273" s="158" t="s">
        <v>35</v>
      </c>
      <c r="C273" s="158">
        <f ca="1">IFERROR(INDEX(BYEs!$B$2:$B$33,MATCH(D273,BYEs!$A$2:$A$33,0)),"N/A")</f>
        <v>14</v>
      </c>
      <c r="D273" s="219" t="str">
        <f ca="1">INDEX(INDIRECT(""&amp;B273&amp;"!F2:F628"),MATCH(A273,INDIRECT(""&amp;B273&amp;"!B2:B628"),0))</f>
        <v>GB</v>
      </c>
      <c r="E273" s="218" t="str">
        <f ca="1">INDEX(INDIRECT(""&amp;$B273&amp;"!AA2:AA628"),MATCH($A273,INDIRECT(""&amp;$B273&amp;"!B2:B628"),0))</f>
        <v>WR9</v>
      </c>
      <c r="F273" s="159">
        <f ca="1">IF(LeagueInfo!$H$7="Starter/Bench",INDEX(INDIRECT(""&amp;B273&amp;"!T2:T628"),MATCH(A273,INDIRECT(""&amp;B273&amp;"!B2:B628"),0)),INDEX(INDIRECT(""&amp;B273&amp;"!AB2:AB628"),MATCH(A273,INDIRECT(""&amp;B273&amp;"!B2:B628"),0)))</f>
        <v>-4.6598443892818917</v>
      </c>
      <c r="G273" s="160">
        <f>IF(H273&gt;0,F273-H273,0)</f>
        <v>0</v>
      </c>
      <c r="H273" s="161"/>
      <c r="I273" s="160">
        <f ca="1">F273*$A$2</f>
        <v>-4.6598443892818917</v>
      </c>
      <c r="J273" s="160" t="s">
        <v>76</v>
      </c>
      <c r="K273" s="160">
        <f>IF(LeagueInfo!$F$7="Yahoo",IFERROR(INDEX(DefaultAuctionValues!$B$2:$B$1000,MATCH(A273,DefaultAuctionValues!$A$2:$A$1000,0)),0),IF(LeagueInfo!$F$7="ESPN",IFERROR(INDEX(DefaultAuctionValues!$C$2:$C$1000,MATCH(A273,DefaultAuctionValues!$A$2:$A$1000,0)),0),IF(LeagueInfo!$F$7="Custom",IFERROR(INDEX(DefaultAuctionValues!$D$2:$D$1000,MATCH(A273,DefaultAuctionValues!$A$2:$A$1000,0)),0))))</f>
        <v>0</v>
      </c>
      <c r="L273" s="160">
        <f ca="1">I273-K273</f>
        <v>-4.6598443892818917</v>
      </c>
      <c r="M273" s="175"/>
      <c r="N273" s="170">
        <f ca="1">INDEX(INDIRECT(""&amp;$B273&amp;"!Z2:Z628"),MATCH($A273,INDIRECT(""&amp;$B273&amp;"!B2:B628"),0))</f>
        <v>-12.849999999999994</v>
      </c>
      <c r="O273" s="158" t="str">
        <f ca="1">IF(INDEX(INDIRECT(""&amp;$B273&amp;"!W2:W628"),MATCH($A273,INDIRECT(""&amp;$B273&amp;"!B2:B628"),0))=0,"",INDEX(INDIRECT(""&amp;$B273&amp;"!W2:W628"),MATCH($A273,INDIRECT(""&amp;$B273&amp;"!B2:B628"),0)))</f>
        <v/>
      </c>
    </row>
    <row r="274" spans="1:15" x14ac:dyDescent="0.25">
      <c r="A274" s="158" t="s">
        <v>578</v>
      </c>
      <c r="B274" s="158" t="s">
        <v>35</v>
      </c>
      <c r="C274" s="158">
        <f ca="1">IFERROR(INDEX(BYEs!$B$2:$B$33,MATCH(D274,BYEs!$A$2:$A$33,0)),"N/A")</f>
        <v>10</v>
      </c>
      <c r="D274" s="219" t="str">
        <f ca="1">INDEX(INDIRECT(""&amp;B274&amp;"!F2:F628"),MATCH(A274,INDIRECT(""&amp;B274&amp;"!B2:B628"),0))</f>
        <v>NE</v>
      </c>
      <c r="E274" s="218" t="str">
        <f ca="1">INDEX(INDIRECT(""&amp;$B274&amp;"!AA2:AA628"),MATCH($A274,INDIRECT(""&amp;$B274&amp;"!B2:B628"),0))</f>
        <v>WR9</v>
      </c>
      <c r="F274" s="159">
        <f ca="1">IF(LeagueInfo!$H$7="Starter/Bench",INDEX(INDIRECT(""&amp;B274&amp;"!T2:T628"),MATCH(A274,INDIRECT(""&amp;B274&amp;"!B2:B628"),0)),INDEX(INDIRECT(""&amp;B274&amp;"!AB2:AB628"),MATCH(A274,INDIRECT(""&amp;B274&amp;"!B2:B628"),0)))</f>
        <v>-4.7523160094583012</v>
      </c>
      <c r="G274" s="160">
        <f>IF(H274&gt;0,F274-H274,0)</f>
        <v>0</v>
      </c>
      <c r="H274" s="161"/>
      <c r="I274" s="160">
        <f ca="1">F274*$A$2</f>
        <v>-4.7523160094583012</v>
      </c>
      <c r="J274" s="160" t="s">
        <v>76</v>
      </c>
      <c r="K274" s="160">
        <f>IF(LeagueInfo!$F$7="Yahoo",IFERROR(INDEX(DefaultAuctionValues!$B$2:$B$1000,MATCH(A274,DefaultAuctionValues!$A$2:$A$1000,0)),0),IF(LeagueInfo!$F$7="ESPN",IFERROR(INDEX(DefaultAuctionValues!$C$2:$C$1000,MATCH(A274,DefaultAuctionValues!$A$2:$A$1000,0)),0),IF(LeagueInfo!$F$7="Custom",IFERROR(INDEX(DefaultAuctionValues!$D$2:$D$1000,MATCH(A274,DefaultAuctionValues!$A$2:$A$1000,0)),0))))</f>
        <v>0</v>
      </c>
      <c r="L274" s="160">
        <f ca="1">I274-K274</f>
        <v>-4.7523160094583012</v>
      </c>
      <c r="M274" s="175"/>
      <c r="N274" s="170">
        <f ca="1">INDEX(INDIRECT(""&amp;$B274&amp;"!Z2:Z628"),MATCH($A274,INDIRECT(""&amp;$B274&amp;"!B2:B628"),0))</f>
        <v>-13.10499999999999</v>
      </c>
      <c r="O274" s="158" t="str">
        <f ca="1">IF(INDEX(INDIRECT(""&amp;$B274&amp;"!W2:W628"),MATCH($A274,INDIRECT(""&amp;$B274&amp;"!B2:B628"),0))=0,"",INDEX(INDIRECT(""&amp;$B274&amp;"!W2:W628"),MATCH($A274,INDIRECT(""&amp;$B274&amp;"!B2:B628"),0)))</f>
        <v/>
      </c>
    </row>
    <row r="275" spans="1:15" x14ac:dyDescent="0.25">
      <c r="A275" s="158" t="s">
        <v>529</v>
      </c>
      <c r="B275" s="158" t="s">
        <v>28</v>
      </c>
      <c r="C275" s="158">
        <f ca="1">IFERROR(INDEX(BYEs!$B$2:$B$33,MATCH(D275,BYEs!$A$2:$A$33,0)),"N/A")</f>
        <v>9</v>
      </c>
      <c r="D275" s="219" t="str">
        <f ca="1">INDEX(INDIRECT(""&amp;B275&amp;"!F2:F628"),MATCH(A275,INDIRECT(""&amp;B275&amp;"!B2:B628"),0))</f>
        <v>NYG</v>
      </c>
      <c r="E275" s="218" t="str">
        <f ca="1">INDEX(INDIRECT(""&amp;$B275&amp;"!AA2:AA628"),MATCH($A275,INDIRECT(""&amp;$B275&amp;"!B2:B628"),0))</f>
        <v>RB9</v>
      </c>
      <c r="F275" s="159">
        <f ca="1">IF(LeagueInfo!$H$7="Starter/Bench",INDEX(INDIRECT(""&amp;B275&amp;"!T2:T628"),MATCH(A275,INDIRECT(""&amp;B275&amp;"!B2:B628"),0)),INDEX(INDIRECT(""&amp;B275&amp;"!AB2:AB628"),MATCH(A275,INDIRECT(""&amp;B275&amp;"!B2:B628"),0)))</f>
        <v>-4.7831398828504437</v>
      </c>
      <c r="G275" s="160">
        <f>IF(H275&gt;0,F275-H275,0)</f>
        <v>0</v>
      </c>
      <c r="H275" s="161"/>
      <c r="I275" s="160">
        <f ca="1">F275*$A$2</f>
        <v>-4.7831398828504437</v>
      </c>
      <c r="J275" s="160" t="s">
        <v>76</v>
      </c>
      <c r="K275" s="160">
        <f>IF(LeagueInfo!$F$7="Yahoo",IFERROR(INDEX(DefaultAuctionValues!$B$2:$B$1000,MATCH(A275,DefaultAuctionValues!$A$2:$A$1000,0)),0),IF(LeagueInfo!$F$7="ESPN",IFERROR(INDEX(DefaultAuctionValues!$C$2:$C$1000,MATCH(A275,DefaultAuctionValues!$A$2:$A$1000,0)),0),IF(LeagueInfo!$F$7="Custom",IFERROR(INDEX(DefaultAuctionValues!$D$2:$D$1000,MATCH(A275,DefaultAuctionValues!$A$2:$A$1000,0)),0))))</f>
        <v>0</v>
      </c>
      <c r="L275" s="160">
        <f ca="1">I275-K275</f>
        <v>-4.7831398828504437</v>
      </c>
      <c r="M275" s="175"/>
      <c r="N275" s="170">
        <f ca="1">INDEX(INDIRECT(""&amp;$B275&amp;"!Z2:Z628"),MATCH($A275,INDIRECT(""&amp;$B275&amp;"!B2:B628"),0))</f>
        <v>-13.190000000000005</v>
      </c>
      <c r="O275" s="158" t="str">
        <f ca="1">IF(INDEX(INDIRECT(""&amp;$B275&amp;"!W2:W628"),MATCH($A275,INDIRECT(""&amp;$B275&amp;"!B2:B628"),0))=0,"",INDEX(INDIRECT(""&amp;$B275&amp;"!W2:W628"),MATCH($A275,INDIRECT(""&amp;$B275&amp;"!B2:B628"),0)))</f>
        <v/>
      </c>
    </row>
    <row r="276" spans="1:15" x14ac:dyDescent="0.25">
      <c r="A276" s="158" t="s">
        <v>559</v>
      </c>
      <c r="B276" s="158" t="s">
        <v>28</v>
      </c>
      <c r="C276" s="158">
        <f ca="1">IFERROR(INDEX(BYEs!$B$2:$B$33,MATCH(D276,BYEs!$A$2:$A$33,0)),"N/A")</f>
        <v>7</v>
      </c>
      <c r="D276" s="219" t="str">
        <f ca="1">INDEX(INDIRECT(""&amp;B276&amp;"!F2:F628"),MATCH(A276,INDIRECT(""&amp;B276&amp;"!B2:B628"),0))</f>
        <v>PHI</v>
      </c>
      <c r="E276" s="218" t="str">
        <f ca="1">INDEX(INDIRECT(""&amp;$B276&amp;"!AA2:AA628"),MATCH($A276,INDIRECT(""&amp;$B276&amp;"!B2:B628"),0))</f>
        <v>RB9</v>
      </c>
      <c r="F276" s="159">
        <f ca="1">IF(LeagueInfo!$H$7="Starter/Bench",INDEX(INDIRECT(""&amp;B276&amp;"!T2:T628"),MATCH(A276,INDIRECT(""&amp;B276&amp;"!B2:B628"),0)),INDEX(INDIRECT(""&amp;B276&amp;"!AB2:AB628"),MATCH(A276,INDIRECT(""&amp;B276&amp;"!B2:B628"),0)))</f>
        <v>-4.9445119259033978</v>
      </c>
      <c r="G276" s="160">
        <f>IF(H276&gt;0,F276-H276,0)</f>
        <v>0</v>
      </c>
      <c r="H276" s="161"/>
      <c r="I276" s="160">
        <f ca="1">F276*$A$2</f>
        <v>-4.9445119259033978</v>
      </c>
      <c r="J276" s="160" t="s">
        <v>76</v>
      </c>
      <c r="K276" s="160">
        <f>IF(LeagueInfo!$F$7="Yahoo",IFERROR(INDEX(DefaultAuctionValues!$B$2:$B$1000,MATCH(A276,DefaultAuctionValues!$A$2:$A$1000,0)),0),IF(LeagueInfo!$F$7="ESPN",IFERROR(INDEX(DefaultAuctionValues!$C$2:$C$1000,MATCH(A276,DefaultAuctionValues!$A$2:$A$1000,0)),0),IF(LeagueInfo!$F$7="Custom",IFERROR(INDEX(DefaultAuctionValues!$D$2:$D$1000,MATCH(A276,DefaultAuctionValues!$A$2:$A$1000,0)),0))))</f>
        <v>0</v>
      </c>
      <c r="L276" s="160">
        <f ca="1">I276-K276</f>
        <v>-4.9445119259033978</v>
      </c>
      <c r="M276" s="175"/>
      <c r="N276" s="170">
        <f ca="1">INDEX(INDIRECT(""&amp;$B276&amp;"!Z2:Z628"),MATCH($A276,INDIRECT(""&amp;$B276&amp;"!B2:B628"),0))</f>
        <v>-13.635000000000009</v>
      </c>
      <c r="O276" s="158" t="str">
        <f ca="1">IF(INDEX(INDIRECT(""&amp;$B276&amp;"!W2:W628"),MATCH($A276,INDIRECT(""&amp;$B276&amp;"!B2:B628"),0))=0,"",INDEX(INDIRECT(""&amp;$B276&amp;"!W2:W628"),MATCH($A276,INDIRECT(""&amp;$B276&amp;"!B2:B628"),0)))</f>
        <v/>
      </c>
    </row>
    <row r="277" spans="1:15" x14ac:dyDescent="0.25">
      <c r="A277" s="158" t="s">
        <v>920</v>
      </c>
      <c r="B277" s="158" t="s">
        <v>29</v>
      </c>
      <c r="C277" s="158">
        <f ca="1">IFERROR(INDEX(BYEs!$B$2:$B$33,MATCH(D277,BYEs!$A$2:$A$33,0)),"N/A")</f>
        <v>6</v>
      </c>
      <c r="D277" s="219" t="str">
        <f ca="1">INDEX(INDIRECT(""&amp;B277&amp;"!F2:F628"),MATCH(A277,INDIRECT(""&amp;B277&amp;"!B2:B628"),0))</f>
        <v>HOU</v>
      </c>
      <c r="E277" s="218" t="str">
        <f ca="1">INDEX(INDIRECT(""&amp;$B277&amp;"!AA2:AA628"),MATCH($A277,INDIRECT(""&amp;$B277&amp;"!B2:B628"),0))</f>
        <v>QB6</v>
      </c>
      <c r="F277" s="159">
        <f ca="1">IF(LeagueInfo!$H$7="Starter/Bench",INDEX(INDIRECT(""&amp;B277&amp;"!T2:T628"),MATCH(A277,INDIRECT(""&amp;B277&amp;"!B2:B628"),0)),INDEX(INDIRECT(""&amp;B277&amp;"!AB2:AB628"),MATCH(A277,INDIRECT(""&amp;B277&amp;"!B2:B628"),0)))</f>
        <v>-5.0101486445384067</v>
      </c>
      <c r="G277" s="160">
        <f>IF(H277&gt;0,F277-H277,0)</f>
        <v>0</v>
      </c>
      <c r="H277" s="161"/>
      <c r="I277" s="160">
        <f ca="1">F277*$A$2</f>
        <v>-5.0101486445384067</v>
      </c>
      <c r="J277" s="160" t="s">
        <v>76</v>
      </c>
      <c r="K277" s="160">
        <f>IF(LeagueInfo!$F$7="Yahoo",IFERROR(INDEX(DefaultAuctionValues!$B$2:$B$1000,MATCH(A277,DefaultAuctionValues!$A$2:$A$1000,0)),0),IF(LeagueInfo!$F$7="ESPN",IFERROR(INDEX(DefaultAuctionValues!$C$2:$C$1000,MATCH(A277,DefaultAuctionValues!$A$2:$A$1000,0)),0),IF(LeagueInfo!$F$7="Custom",IFERROR(INDEX(DefaultAuctionValues!$D$2:$D$1000,MATCH(A277,DefaultAuctionValues!$A$2:$A$1000,0)),0))))</f>
        <v>0</v>
      </c>
      <c r="L277" s="160">
        <f ca="1">I277-K277</f>
        <v>-5.0101486445384067</v>
      </c>
      <c r="M277" s="175"/>
      <c r="N277" s="170">
        <f ca="1">INDEX(INDIRECT(""&amp;$B277&amp;"!Z2:Z628"),MATCH($A277,INDIRECT(""&amp;$B277&amp;"!B2:B628"),0))</f>
        <v>-13.815999999999974</v>
      </c>
      <c r="O277" s="158" t="str">
        <f ca="1">IF(INDEX(INDIRECT(""&amp;$B277&amp;"!W2:W628"),MATCH($A277,INDIRECT(""&amp;$B277&amp;"!B2:B628"),0))=0,"",INDEX(INDIRECT(""&amp;$B277&amp;"!W2:W628"),MATCH($A277,INDIRECT(""&amp;$B277&amp;"!B2:B628"),0)))</f>
        <v/>
      </c>
    </row>
    <row r="278" spans="1:15" x14ac:dyDescent="0.25">
      <c r="A278" s="158" t="s">
        <v>2455</v>
      </c>
      <c r="B278" s="158" t="s">
        <v>28</v>
      </c>
      <c r="C278" s="158">
        <f ca="1">IFERROR(INDEX(BYEs!$B$2:$B$33,MATCH(D278,BYEs!$A$2:$A$33,0)),"N/A")</f>
        <v>7</v>
      </c>
      <c r="D278" s="219" t="str">
        <f ca="1">INDEX(INDIRECT(""&amp;B278&amp;"!F2:F628"),MATCH(A278,INDIRECT(""&amp;B278&amp;"!B2:B628"),0))</f>
        <v>BUF</v>
      </c>
      <c r="E278" s="218" t="str">
        <f ca="1">INDEX(INDIRECT(""&amp;$B278&amp;"!AA2:AA628"),MATCH($A278,INDIRECT(""&amp;$B278&amp;"!B2:B628"),0))</f>
        <v>RB9</v>
      </c>
      <c r="F278" s="159">
        <f ca="1">IF(LeagueInfo!$H$7="Starter/Bench",INDEX(INDIRECT(""&amp;B278&amp;"!T2:T628"),MATCH(A278,INDIRECT(""&amp;B278&amp;"!B2:B628"),0)),INDEX(INDIRECT(""&amp;B278&amp;"!AB2:AB628"),MATCH(A278,INDIRECT(""&amp;B278&amp;"!B2:B628"),0)))</f>
        <v>-5.084125940679546</v>
      </c>
      <c r="G278" s="160">
        <f>IF(H278&gt;0,F278-H278,0)</f>
        <v>0</v>
      </c>
      <c r="H278" s="161"/>
      <c r="I278" s="160">
        <f ca="1">F278*$A$2</f>
        <v>-5.084125940679546</v>
      </c>
      <c r="J278" s="160" t="s">
        <v>76</v>
      </c>
      <c r="K278" s="160">
        <f>IF(LeagueInfo!$F$7="Yahoo",IFERROR(INDEX(DefaultAuctionValues!$B$2:$B$1000,MATCH(A278,DefaultAuctionValues!$A$2:$A$1000,0)),0),IF(LeagueInfo!$F$7="ESPN",IFERROR(INDEX(DefaultAuctionValues!$C$2:$C$1000,MATCH(A278,DefaultAuctionValues!$A$2:$A$1000,0)),0),IF(LeagueInfo!$F$7="Custom",IFERROR(INDEX(DefaultAuctionValues!$D$2:$D$1000,MATCH(A278,DefaultAuctionValues!$A$2:$A$1000,0)),0))))</f>
        <v>0</v>
      </c>
      <c r="L278" s="160">
        <f ca="1">I278-K278</f>
        <v>-5.084125940679546</v>
      </c>
      <c r="M278" s="175"/>
      <c r="N278" s="170">
        <f ca="1">INDEX(INDIRECT(""&amp;$B278&amp;"!Z2:Z628"),MATCH($A278,INDIRECT(""&amp;$B278&amp;"!B2:B628"),0))</f>
        <v>-14.020000000000003</v>
      </c>
      <c r="O278" s="158" t="str">
        <f ca="1">IF(INDEX(INDIRECT(""&amp;$B278&amp;"!W2:W628"),MATCH($A278,INDIRECT(""&amp;$B278&amp;"!B2:B628"),0))=0,"",INDEX(INDIRECT(""&amp;$B278&amp;"!W2:W628"),MATCH($A278,INDIRECT(""&amp;$B278&amp;"!B2:B628"),0)))</f>
        <v/>
      </c>
    </row>
    <row r="279" spans="1:15" x14ac:dyDescent="0.25">
      <c r="A279" s="158" t="s">
        <v>544</v>
      </c>
      <c r="B279" s="158" t="s">
        <v>28</v>
      </c>
      <c r="C279" s="158">
        <f ca="1">IFERROR(INDEX(BYEs!$B$2:$B$33,MATCH(D279,BYEs!$A$2:$A$33,0)),"N/A")</f>
        <v>8</v>
      </c>
      <c r="D279" s="219" t="str">
        <f ca="1">INDEX(INDIRECT(""&amp;B279&amp;"!F2:F628"),MATCH(A279,INDIRECT(""&amp;B279&amp;"!B2:B628"),0))</f>
        <v>KC</v>
      </c>
      <c r="E279" s="218" t="str">
        <f ca="1">INDEX(INDIRECT(""&amp;$B279&amp;"!AA2:AA628"),MATCH($A279,INDIRECT(""&amp;$B279&amp;"!B2:B628"),0))</f>
        <v>RB9</v>
      </c>
      <c r="F279" s="159">
        <f ca="1">IF(LeagueInfo!$H$7="Starter/Bench",INDEX(INDIRECT(""&amp;B279&amp;"!T2:T628"),MATCH(A279,INDIRECT(""&amp;B279&amp;"!B2:B628"),0)),INDEX(INDIRECT(""&amp;B279&amp;"!AB2:AB628"),MATCH(A279,INDIRECT(""&amp;B279&amp;"!B2:B628"),0)))</f>
        <v>-5.4141227028777204</v>
      </c>
      <c r="G279" s="160">
        <f>IF(H279&gt;0,F279-H279,0)</f>
        <v>0</v>
      </c>
      <c r="H279" s="161"/>
      <c r="I279" s="160">
        <f ca="1">F279*$A$2</f>
        <v>-5.4141227028777204</v>
      </c>
      <c r="J279" s="160" t="s">
        <v>76</v>
      </c>
      <c r="K279" s="160">
        <f>IF(LeagueInfo!$F$7="Yahoo",IFERROR(INDEX(DefaultAuctionValues!$B$2:$B$1000,MATCH(A279,DefaultAuctionValues!$A$2:$A$1000,0)),0),IF(LeagueInfo!$F$7="ESPN",IFERROR(INDEX(DefaultAuctionValues!$C$2:$C$1000,MATCH(A279,DefaultAuctionValues!$A$2:$A$1000,0)),0),IF(LeagueInfo!$F$7="Custom",IFERROR(INDEX(DefaultAuctionValues!$D$2:$D$1000,MATCH(A279,DefaultAuctionValues!$A$2:$A$1000,0)),0))))</f>
        <v>1</v>
      </c>
      <c r="L279" s="160">
        <f ca="1">I279-K279</f>
        <v>-6.4141227028777204</v>
      </c>
      <c r="M279" s="175"/>
      <c r="N279" s="170">
        <f ca="1">INDEX(INDIRECT(""&amp;$B279&amp;"!Z2:Z628"),MATCH($A279,INDIRECT(""&amp;$B279&amp;"!B2:B628"),0))</f>
        <v>-14.930000000000007</v>
      </c>
      <c r="O279" s="158" t="str">
        <f ca="1">IF(INDEX(INDIRECT(""&amp;$B279&amp;"!W2:W628"),MATCH($A279,INDIRECT(""&amp;$B279&amp;"!B2:B628"),0))=0,"",INDEX(INDIRECT(""&amp;$B279&amp;"!W2:W628"),MATCH($A279,INDIRECT(""&amp;$B279&amp;"!B2:B628"),0)))</f>
        <v/>
      </c>
    </row>
    <row r="280" spans="1:15" x14ac:dyDescent="0.25">
      <c r="A280" s="158" t="s">
        <v>340</v>
      </c>
      <c r="B280" s="158" t="s">
        <v>28</v>
      </c>
      <c r="C280" s="158">
        <f ca="1">IFERROR(INDEX(BYEs!$B$2:$B$33,MATCH(D280,BYEs!$A$2:$A$33,0)),"N/A")</f>
        <v>10</v>
      </c>
      <c r="D280" s="219" t="str">
        <f ca="1">INDEX(INDIRECT(""&amp;B280&amp;"!F2:F628"),MATCH(A280,INDIRECT(""&amp;B280&amp;"!B2:B628"),0))</f>
        <v>BAL</v>
      </c>
      <c r="E280" s="218" t="str">
        <f ca="1">INDEX(INDIRECT(""&amp;$B280&amp;"!AA2:AA628"),MATCH($A280,INDIRECT(""&amp;$B280&amp;"!B2:B628"),0))</f>
        <v>RB9</v>
      </c>
      <c r="F280" s="159">
        <f ca="1">IF(LeagueInfo!$H$7="Starter/Bench",INDEX(INDIRECT(""&amp;B280&amp;"!T2:T628"),MATCH(A280,INDIRECT(""&amp;B280&amp;"!B2:B628"),0)),INDEX(INDIRECT(""&amp;B280&amp;"!AB2:AB628"),MATCH(A280,INDIRECT(""&amp;B280&amp;"!B2:B628"),0)))</f>
        <v>-5.4558255904082573</v>
      </c>
      <c r="G280" s="160">
        <f>IF(H280&gt;0,F280-H280,0)</f>
        <v>0</v>
      </c>
      <c r="H280" s="161"/>
      <c r="I280" s="160">
        <f ca="1">F280*$A$2</f>
        <v>-5.4558255904082573</v>
      </c>
      <c r="J280" s="160" t="s">
        <v>76</v>
      </c>
      <c r="K280" s="160">
        <f>IF(LeagueInfo!$F$7="Yahoo",IFERROR(INDEX(DefaultAuctionValues!$B$2:$B$1000,MATCH(A280,DefaultAuctionValues!$A$2:$A$1000,0)),0),IF(LeagueInfo!$F$7="ESPN",IFERROR(INDEX(DefaultAuctionValues!$C$2:$C$1000,MATCH(A280,DefaultAuctionValues!$A$2:$A$1000,0)),0),IF(LeagueInfo!$F$7="Custom",IFERROR(INDEX(DefaultAuctionValues!$D$2:$D$1000,MATCH(A280,DefaultAuctionValues!$A$2:$A$1000,0)),0))))</f>
        <v>0</v>
      </c>
      <c r="L280" s="160">
        <f ca="1">I280-K280</f>
        <v>-5.4558255904082573</v>
      </c>
      <c r="M280" s="175"/>
      <c r="N280" s="170">
        <f ca="1">INDEX(INDIRECT(""&amp;$B280&amp;"!Z2:Z628"),MATCH($A280,INDIRECT(""&amp;$B280&amp;"!B2:B628"),0))</f>
        <v>-15.045000000000002</v>
      </c>
      <c r="O280" s="158" t="str">
        <f ca="1">IF(INDEX(INDIRECT(""&amp;$B280&amp;"!W2:W628"),MATCH($A280,INDIRECT(""&amp;$B280&amp;"!B2:B628"),0))=0,"",INDEX(INDIRECT(""&amp;$B280&amp;"!W2:W628"),MATCH($A280,INDIRECT(""&amp;$B280&amp;"!B2:B628"),0)))</f>
        <v/>
      </c>
    </row>
    <row r="281" spans="1:15" x14ac:dyDescent="0.25">
      <c r="A281" s="158" t="s">
        <v>889</v>
      </c>
      <c r="B281" s="158" t="s">
        <v>28</v>
      </c>
      <c r="C281" s="158">
        <f ca="1">IFERROR(INDEX(BYEs!$B$2:$B$33,MATCH(D281,BYEs!$A$2:$A$33,0)),"N/A")</f>
        <v>13</v>
      </c>
      <c r="D281" s="219" t="str">
        <f ca="1">INDEX(INDIRECT(""&amp;B281&amp;"!F2:F628"),MATCH(A281,INDIRECT(""&amp;B281&amp;"!B2:B628"),0))</f>
        <v>ARI</v>
      </c>
      <c r="E281" s="218" t="str">
        <f ca="1">INDEX(INDIRECT(""&amp;$B281&amp;"!AA2:AA628"),MATCH($A281,INDIRECT(""&amp;$B281&amp;"!B2:B628"),0))</f>
        <v>RB9</v>
      </c>
      <c r="F281" s="159">
        <f ca="1">IF(LeagueInfo!$H$7="Starter/Bench",INDEX(INDIRECT(""&amp;B281&amp;"!T2:T628"),MATCH(A281,INDIRECT(""&amp;B281&amp;"!B2:B628"),0)),INDEX(INDIRECT(""&amp;B281&amp;"!AB2:AB628"),MATCH(A281,INDIRECT(""&amp;B281&amp;"!B2:B628"),0)))</f>
        <v>-5.530165520354001</v>
      </c>
      <c r="G281" s="160">
        <f>IF(H281&gt;0,F281-H281,0)</f>
        <v>0</v>
      </c>
      <c r="H281" s="161"/>
      <c r="I281" s="160">
        <f ca="1">F281*$A$2</f>
        <v>-5.530165520354001</v>
      </c>
      <c r="J281" s="160" t="s">
        <v>76</v>
      </c>
      <c r="K281" s="160">
        <f>IF(LeagueInfo!$F$7="Yahoo",IFERROR(INDEX(DefaultAuctionValues!$B$2:$B$1000,MATCH(A281,DefaultAuctionValues!$A$2:$A$1000,0)),0),IF(LeagueInfo!$F$7="ESPN",IFERROR(INDEX(DefaultAuctionValues!$C$2:$C$1000,MATCH(A281,DefaultAuctionValues!$A$2:$A$1000,0)),0),IF(LeagueInfo!$F$7="Custom",IFERROR(INDEX(DefaultAuctionValues!$D$2:$D$1000,MATCH(A281,DefaultAuctionValues!$A$2:$A$1000,0)),0))))</f>
        <v>0</v>
      </c>
      <c r="L281" s="160">
        <f ca="1">I281-K281</f>
        <v>-5.530165520354001</v>
      </c>
      <c r="M281" s="175"/>
      <c r="N281" s="170">
        <f ca="1">INDEX(INDIRECT(""&amp;$B281&amp;"!Z2:Z628"),MATCH($A281,INDIRECT(""&amp;$B281&amp;"!B2:B628"),0))</f>
        <v>-15.250000000000007</v>
      </c>
      <c r="O281" s="158" t="str">
        <f ca="1">IF(INDEX(INDIRECT(""&amp;$B281&amp;"!W2:W628"),MATCH($A281,INDIRECT(""&amp;$B281&amp;"!B2:B628"),0))=0,"",INDEX(INDIRECT(""&amp;$B281&amp;"!W2:W628"),MATCH($A281,INDIRECT(""&amp;$B281&amp;"!B2:B628"),0)))</f>
        <v/>
      </c>
    </row>
    <row r="282" spans="1:15" x14ac:dyDescent="0.25">
      <c r="A282" s="158" t="s">
        <v>218</v>
      </c>
      <c r="B282" s="158" t="s">
        <v>35</v>
      </c>
      <c r="C282" s="158">
        <f ca="1">IFERROR(INDEX(BYEs!$B$2:$B$33,MATCH(D282,BYEs!$A$2:$A$33,0)),"N/A")</f>
        <v>11</v>
      </c>
      <c r="D282" s="219" t="str">
        <f ca="1">INDEX(INDIRECT(""&amp;B282&amp;"!F2:F628"),MATCH(A282,INDIRECT(""&amp;B282&amp;"!B2:B628"),0))</f>
        <v>JAC</v>
      </c>
      <c r="E282" s="218" t="str">
        <f ca="1">INDEX(INDIRECT(""&amp;$B282&amp;"!AA2:AA628"),MATCH($A282,INDIRECT(""&amp;$B282&amp;"!B2:B628"),0))</f>
        <v>WR9</v>
      </c>
      <c r="F282" s="159">
        <f ca="1">IF(LeagueInfo!$H$7="Starter/Bench",INDEX(INDIRECT(""&amp;B282&amp;"!T2:T628"),MATCH(A282,INDIRECT(""&amp;B282&amp;"!B2:B628"),0)),INDEX(INDIRECT(""&amp;B282&amp;"!AB2:AB628"),MATCH(A282,INDIRECT(""&amp;B282&amp;"!B2:B628"),0)))</f>
        <v>-5.8837334798520367</v>
      </c>
      <c r="G282" s="160">
        <f>IF(H282&gt;0,F282-H282,0)</f>
        <v>0</v>
      </c>
      <c r="H282" s="161"/>
      <c r="I282" s="160">
        <f ca="1">F282*$A$2</f>
        <v>-5.8837334798520367</v>
      </c>
      <c r="J282" s="160" t="s">
        <v>76</v>
      </c>
      <c r="K282" s="160">
        <f>IF(LeagueInfo!$F$7="Yahoo",IFERROR(INDEX(DefaultAuctionValues!$B$2:$B$1000,MATCH(A282,DefaultAuctionValues!$A$2:$A$1000,0)),0),IF(LeagueInfo!$F$7="ESPN",IFERROR(INDEX(DefaultAuctionValues!$C$2:$C$1000,MATCH(A282,DefaultAuctionValues!$A$2:$A$1000,0)),0),IF(LeagueInfo!$F$7="Custom",IFERROR(INDEX(DefaultAuctionValues!$D$2:$D$1000,MATCH(A282,DefaultAuctionValues!$A$2:$A$1000,0)),0))))</f>
        <v>0</v>
      </c>
      <c r="L282" s="160">
        <f ca="1">I282-K282</f>
        <v>-5.8837334798520367</v>
      </c>
      <c r="M282" s="175"/>
      <c r="N282" s="170">
        <f ca="1">INDEX(INDIRECT(""&amp;$B282&amp;"!Z2:Z628"),MATCH($A282,INDIRECT(""&amp;$B282&amp;"!B2:B628"),0))</f>
        <v>-16.224999999999987</v>
      </c>
      <c r="O282" s="158" t="str">
        <f ca="1">IF(INDEX(INDIRECT(""&amp;$B282&amp;"!W2:W628"),MATCH($A282,INDIRECT(""&amp;$B282&amp;"!B2:B628"),0))=0,"",INDEX(INDIRECT(""&amp;$B282&amp;"!W2:W628"),MATCH($A282,INDIRECT(""&amp;$B282&amp;"!B2:B628"),0)))</f>
        <v/>
      </c>
    </row>
    <row r="283" spans="1:15" x14ac:dyDescent="0.25">
      <c r="A283" s="158" t="s">
        <v>2453</v>
      </c>
      <c r="B283" s="158" t="s">
        <v>28</v>
      </c>
      <c r="C283" s="158">
        <f ca="1">IFERROR(INDEX(BYEs!$B$2:$B$33,MATCH(D283,BYEs!$A$2:$A$33,0)),"N/A")</f>
        <v>6</v>
      </c>
      <c r="D283" s="219" t="str">
        <f ca="1">INDEX(INDIRECT(""&amp;B283&amp;"!F2:F628"),MATCH(A283,INDIRECT(""&amp;B283&amp;"!B2:B628"),0))</f>
        <v>TEN</v>
      </c>
      <c r="E283" s="218" t="str">
        <f ca="1">INDEX(INDIRECT(""&amp;$B283&amp;"!AA2:AA628"),MATCH($A283,INDIRECT(""&amp;$B283&amp;"!B2:B628"),0))</f>
        <v>RB9</v>
      </c>
      <c r="F283" s="159">
        <f ca="1">IF(LeagueInfo!$H$7="Starter/Bench",INDEX(INDIRECT(""&amp;B283&amp;"!T2:T628"),MATCH(A283,INDIRECT(""&amp;B283&amp;"!B2:B628"),0)),INDEX(INDIRECT(""&amp;B283&amp;"!AB2:AB628"),MATCH(A283,INDIRECT(""&amp;B283&amp;"!B2:B628"),0)))</f>
        <v>-5.949007564682451</v>
      </c>
      <c r="G283" s="160">
        <f>IF(H283&gt;0,F283-H283,0)</f>
        <v>0</v>
      </c>
      <c r="H283" s="161"/>
      <c r="I283" s="160">
        <f ca="1">F283*$A$2</f>
        <v>-5.949007564682451</v>
      </c>
      <c r="J283" s="160" t="s">
        <v>76</v>
      </c>
      <c r="K283" s="160">
        <f>IF(LeagueInfo!$F$7="Yahoo",IFERROR(INDEX(DefaultAuctionValues!$B$2:$B$1000,MATCH(A283,DefaultAuctionValues!$A$2:$A$1000,0)),0),IF(LeagueInfo!$F$7="ESPN",IFERROR(INDEX(DefaultAuctionValues!$C$2:$C$1000,MATCH(A283,DefaultAuctionValues!$A$2:$A$1000,0)),0),IF(LeagueInfo!$F$7="Custom",IFERROR(INDEX(DefaultAuctionValues!$D$2:$D$1000,MATCH(A283,DefaultAuctionValues!$A$2:$A$1000,0)),0))))</f>
        <v>0</v>
      </c>
      <c r="L283" s="160">
        <f ca="1">I283-K283</f>
        <v>-5.949007564682451</v>
      </c>
      <c r="M283" s="175"/>
      <c r="N283" s="170">
        <f ca="1">INDEX(INDIRECT(""&amp;$B283&amp;"!Z2:Z628"),MATCH($A283,INDIRECT(""&amp;$B283&amp;"!B2:B628"),0))</f>
        <v>-16.405000000000005</v>
      </c>
      <c r="O283" s="158" t="str">
        <f ca="1">IF(INDEX(INDIRECT(""&amp;$B283&amp;"!W2:W628"),MATCH($A283,INDIRECT(""&amp;$B283&amp;"!B2:B628"),0))=0,"",INDEX(INDIRECT(""&amp;$B283&amp;"!W2:W628"),MATCH($A283,INDIRECT(""&amp;$B283&amp;"!B2:B628"),0)))</f>
        <v/>
      </c>
    </row>
    <row r="284" spans="1:15" x14ac:dyDescent="0.25">
      <c r="A284" s="158" t="s">
        <v>2424</v>
      </c>
      <c r="B284" s="158" t="s">
        <v>35</v>
      </c>
      <c r="C284" s="158">
        <f ca="1">IFERROR(INDEX(BYEs!$B$2:$B$33,MATCH(D284,BYEs!$A$2:$A$33,0)),"N/A")</f>
        <v>11</v>
      </c>
      <c r="D284" s="219" t="str">
        <f ca="1">INDEX(INDIRECT(""&amp;B284&amp;"!F2:F628"),MATCH(A284,INDIRECT(""&amp;B284&amp;"!B2:B628"),0))</f>
        <v>MIA</v>
      </c>
      <c r="E284" s="218" t="str">
        <f ca="1">INDEX(INDIRECT(""&amp;$B284&amp;"!AA2:AA628"),MATCH($A284,INDIRECT(""&amp;$B284&amp;"!B2:B628"),0))</f>
        <v>WR9</v>
      </c>
      <c r="F284" s="159">
        <f ca="1">IF(LeagueInfo!$H$7="Starter/Bench",INDEX(INDIRECT(""&amp;B284&amp;"!T2:T628"),MATCH(A284,INDIRECT(""&amp;B284&amp;"!B2:B628"),0)),INDEX(INDIRECT(""&amp;B284&amp;"!AB2:AB628"),MATCH(A284,INDIRECT(""&amp;B284&amp;"!B2:B628"),0)))</f>
        <v>-5.9671392549131177</v>
      </c>
      <c r="G284" s="160">
        <f>IF(H284&gt;0,F284-H284,0)</f>
        <v>0</v>
      </c>
      <c r="H284" s="161"/>
      <c r="I284" s="160">
        <f ca="1">F284*$A$2</f>
        <v>-5.9671392549131177</v>
      </c>
      <c r="J284" s="160" t="s">
        <v>76</v>
      </c>
      <c r="K284" s="160">
        <f>IF(LeagueInfo!$F$7="Yahoo",IFERROR(INDEX(DefaultAuctionValues!$B$2:$B$1000,MATCH(A284,DefaultAuctionValues!$A$2:$A$1000,0)),0),IF(LeagueInfo!$F$7="ESPN",IFERROR(INDEX(DefaultAuctionValues!$C$2:$C$1000,MATCH(A284,DefaultAuctionValues!$A$2:$A$1000,0)),0),IF(LeagueInfo!$F$7="Custom",IFERROR(INDEX(DefaultAuctionValues!$D$2:$D$1000,MATCH(A284,DefaultAuctionValues!$A$2:$A$1000,0)),0))))</f>
        <v>0</v>
      </c>
      <c r="L284" s="160">
        <f ca="1">I284-K284</f>
        <v>-5.9671392549131177</v>
      </c>
      <c r="M284" s="175"/>
      <c r="N284" s="170">
        <f ca="1">INDEX(INDIRECT(""&amp;$B284&amp;"!Z2:Z628"),MATCH($A284,INDIRECT(""&amp;$B284&amp;"!B2:B628"),0))</f>
        <v>-16.454999999999998</v>
      </c>
      <c r="O284" s="158" t="str">
        <f ca="1">IF(INDEX(INDIRECT(""&amp;$B284&amp;"!W2:W628"),MATCH($A284,INDIRECT(""&amp;$B284&amp;"!B2:B628"),0))=0,"",INDEX(INDIRECT(""&amp;$B284&amp;"!W2:W628"),MATCH($A284,INDIRECT(""&amp;$B284&amp;"!B2:B628"),0)))</f>
        <v/>
      </c>
    </row>
    <row r="285" spans="1:15" x14ac:dyDescent="0.25">
      <c r="A285" s="158" t="s">
        <v>434</v>
      </c>
      <c r="B285" s="158" t="s">
        <v>43</v>
      </c>
      <c r="C285" s="158">
        <f ca="1">IFERROR(INDEX(BYEs!$B$2:$B$33,MATCH(D285,BYEs!$A$2:$A$33,0)),"N/A")</f>
        <v>10</v>
      </c>
      <c r="D285" s="219" t="str">
        <f ca="1">INDEX(INDIRECT(""&amp;B285&amp;"!F2:F628"),MATCH(A285,INDIRECT(""&amp;B285&amp;"!B2:B628"),0))</f>
        <v>NYJ</v>
      </c>
      <c r="E285" s="218" t="str">
        <f ca="1">INDEX(INDIRECT(""&amp;$B285&amp;"!AA2:AA628"),MATCH($A285,INDIRECT(""&amp;$B285&amp;"!B2:B628"),0))</f>
        <v>TE10</v>
      </c>
      <c r="F285" s="159">
        <f ca="1">IF(LeagueInfo!$H$7="Starter/Bench",INDEX(INDIRECT(""&amp;B285&amp;"!T2:T628"),MATCH(A285,INDIRECT(""&amp;B285&amp;"!B2:B628"),0)),INDEX(INDIRECT(""&amp;B285&amp;"!AB2:AB628"),MATCH(A285,INDIRECT(""&amp;B285&amp;"!B2:B628"),0)))</f>
        <v>-6.0124684804897921</v>
      </c>
      <c r="G285" s="160">
        <f>IF(H285&gt;0,F285-H285,0)</f>
        <v>0</v>
      </c>
      <c r="H285" s="161"/>
      <c r="I285" s="160">
        <f ca="1">F285*$A$2</f>
        <v>-6.0124684804897921</v>
      </c>
      <c r="J285" s="160" t="s">
        <v>76</v>
      </c>
      <c r="K285" s="160">
        <f>IF(LeagueInfo!$F$7="Yahoo",IFERROR(INDEX(DefaultAuctionValues!$B$2:$B$1000,MATCH(A285,DefaultAuctionValues!$A$2:$A$1000,0)),0),IF(LeagueInfo!$F$7="ESPN",IFERROR(INDEX(DefaultAuctionValues!$C$2:$C$1000,MATCH(A285,DefaultAuctionValues!$A$2:$A$1000,0)),0),IF(LeagueInfo!$F$7="Custom",IFERROR(INDEX(DefaultAuctionValues!$D$2:$D$1000,MATCH(A285,DefaultAuctionValues!$A$2:$A$1000,0)),0))))</f>
        <v>0</v>
      </c>
      <c r="L285" s="160">
        <f ca="1">I285-K285</f>
        <v>-6.0124684804897921</v>
      </c>
      <c r="M285" s="175"/>
      <c r="N285" s="170">
        <f ca="1">INDEX(INDIRECT(""&amp;$B285&amp;"!Z2:Z628"),MATCH($A285,INDIRECT(""&amp;$B285&amp;"!B2:B628"),0))</f>
        <v>-16.580000000000005</v>
      </c>
      <c r="O285" s="158" t="str">
        <f ca="1">IF(INDEX(INDIRECT(""&amp;$B285&amp;"!W2:W628"),MATCH($A285,INDIRECT(""&amp;$B285&amp;"!B2:B628"),0))=0,"",INDEX(INDIRECT(""&amp;$B285&amp;"!W2:W628"),MATCH($A285,INDIRECT(""&amp;$B285&amp;"!B2:B628"),0)))</f>
        <v/>
      </c>
    </row>
    <row r="286" spans="1:15" x14ac:dyDescent="0.25">
      <c r="A286" s="158" t="s">
        <v>932</v>
      </c>
      <c r="B286" s="158" t="s">
        <v>28</v>
      </c>
      <c r="C286" s="158">
        <f ca="1">IFERROR(INDEX(BYEs!$B$2:$B$33,MATCH(D286,BYEs!$A$2:$A$33,0)),"N/A")</f>
        <v>13</v>
      </c>
      <c r="D286" s="219" t="str">
        <f ca="1">INDEX(INDIRECT(""&amp;B286&amp;"!F2:F628"),MATCH(A286,INDIRECT(""&amp;B286&amp;"!B2:B628"),0))</f>
        <v>CAR</v>
      </c>
      <c r="E286" s="218" t="str">
        <f ca="1">INDEX(INDIRECT(""&amp;$B286&amp;"!AA2:AA628"),MATCH($A286,INDIRECT(""&amp;$B286&amp;"!B2:B628"),0))</f>
        <v>RB9</v>
      </c>
      <c r="F286" s="159">
        <f ca="1">IF(LeagueInfo!$H$7="Starter/Bench",INDEX(INDIRECT(""&amp;B286&amp;"!T2:T628"),MATCH(A286,INDIRECT(""&amp;B286&amp;"!B2:B628"),0)),INDEX(INDIRECT(""&amp;B286&amp;"!AB2:AB628"),MATCH(A286,INDIRECT(""&amp;B286&amp;"!B2:B628"),0)))</f>
        <v>-6.0577977060664638</v>
      </c>
      <c r="G286" s="160">
        <f>IF(H286&gt;0,F286-H286,0)</f>
        <v>0</v>
      </c>
      <c r="H286" s="161"/>
      <c r="I286" s="160">
        <f ca="1">F286*$A$2</f>
        <v>-6.0577977060664638</v>
      </c>
      <c r="J286" s="160" t="s">
        <v>76</v>
      </c>
      <c r="K286" s="160">
        <f>IF(LeagueInfo!$F$7="Yahoo",IFERROR(INDEX(DefaultAuctionValues!$B$2:$B$1000,MATCH(A286,DefaultAuctionValues!$A$2:$A$1000,0)),0),IF(LeagueInfo!$F$7="ESPN",IFERROR(INDEX(DefaultAuctionValues!$C$2:$C$1000,MATCH(A286,DefaultAuctionValues!$A$2:$A$1000,0)),0),IF(LeagueInfo!$F$7="Custom",IFERROR(INDEX(DefaultAuctionValues!$D$2:$D$1000,MATCH(A286,DefaultAuctionValues!$A$2:$A$1000,0)),0))))</f>
        <v>0</v>
      </c>
      <c r="L286" s="160">
        <f ca="1">I286-K286</f>
        <v>-6.0577977060664638</v>
      </c>
      <c r="M286" s="175"/>
      <c r="N286" s="170">
        <f ca="1">INDEX(INDIRECT(""&amp;$B286&amp;"!Z2:Z628"),MATCH($A286,INDIRECT(""&amp;$B286&amp;"!B2:B628"),0))</f>
        <v>-16.705000000000005</v>
      </c>
      <c r="O286" s="158" t="str">
        <f ca="1">IF(INDEX(INDIRECT(""&amp;$B286&amp;"!W2:W628"),MATCH($A286,INDIRECT(""&amp;$B286&amp;"!B2:B628"),0))=0,"",INDEX(INDIRECT(""&amp;$B286&amp;"!W2:W628"),MATCH($A286,INDIRECT(""&amp;$B286&amp;"!B2:B628"),0)))</f>
        <v/>
      </c>
    </row>
    <row r="287" spans="1:15" x14ac:dyDescent="0.25">
      <c r="A287" s="158" t="s">
        <v>172</v>
      </c>
      <c r="B287" s="158" t="s">
        <v>43</v>
      </c>
      <c r="C287" s="158">
        <f ca="1">IFERROR(INDEX(BYEs!$B$2:$B$33,MATCH(D287,BYEs!$A$2:$A$33,0)),"N/A")</f>
        <v>11</v>
      </c>
      <c r="D287" s="219" t="str">
        <f ca="1">INDEX(INDIRECT(""&amp;B287&amp;"!F2:F628"),MATCH(A287,INDIRECT(""&amp;B287&amp;"!B2:B628"),0))</f>
        <v>TB</v>
      </c>
      <c r="E287" s="218" t="str">
        <f ca="1">INDEX(INDIRECT(""&amp;$B287&amp;"!AA2:AA628"),MATCH($A287,INDIRECT(""&amp;$B287&amp;"!B2:B628"),0))</f>
        <v>TE10</v>
      </c>
      <c r="F287" s="159">
        <f ca="1">IF(LeagueInfo!$H$7="Starter/Bench",INDEX(INDIRECT(""&amp;B287&amp;"!T2:T628"),MATCH(A287,INDIRECT(""&amp;B287&amp;"!B2:B628"),0)),INDEX(INDIRECT(""&amp;B287&amp;"!AB2:AB628"),MATCH(A287,INDIRECT(""&amp;B287&amp;"!B2:B628"),0)))</f>
        <v>-6.150269326242876</v>
      </c>
      <c r="G287" s="160">
        <f>IF(H287&gt;0,F287-H287,0)</f>
        <v>0</v>
      </c>
      <c r="H287" s="161"/>
      <c r="I287" s="160">
        <f ca="1">F287*$A$2</f>
        <v>-6.150269326242876</v>
      </c>
      <c r="J287" s="160" t="s">
        <v>76</v>
      </c>
      <c r="K287" s="160">
        <f>IF(LeagueInfo!$F$7="Yahoo",IFERROR(INDEX(DefaultAuctionValues!$B$2:$B$1000,MATCH(A287,DefaultAuctionValues!$A$2:$A$1000,0)),0),IF(LeagueInfo!$F$7="ESPN",IFERROR(INDEX(DefaultAuctionValues!$C$2:$C$1000,MATCH(A287,DefaultAuctionValues!$A$2:$A$1000,0)),0),IF(LeagueInfo!$F$7="Custom",IFERROR(INDEX(DefaultAuctionValues!$D$2:$D$1000,MATCH(A287,DefaultAuctionValues!$A$2:$A$1000,0)),0))))</f>
        <v>0</v>
      </c>
      <c r="L287" s="160">
        <f ca="1">I287-K287</f>
        <v>-6.150269326242876</v>
      </c>
      <c r="M287" s="175"/>
      <c r="N287" s="170">
        <f ca="1">INDEX(INDIRECT(""&amp;$B287&amp;"!Z2:Z628"),MATCH($A287,INDIRECT(""&amp;$B287&amp;"!B2:B628"),0))</f>
        <v>-16.960000000000008</v>
      </c>
      <c r="O287" s="158" t="str">
        <f ca="1">IF(INDEX(INDIRECT(""&amp;$B287&amp;"!W2:W628"),MATCH($A287,INDIRECT(""&amp;$B287&amp;"!B2:B628"),0))=0,"",INDEX(INDIRECT(""&amp;$B287&amp;"!W2:W628"),MATCH($A287,INDIRECT(""&amp;$B287&amp;"!B2:B628"),0)))</f>
        <v/>
      </c>
    </row>
    <row r="288" spans="1:15" x14ac:dyDescent="0.25">
      <c r="A288" s="158" t="s">
        <v>2486</v>
      </c>
      <c r="B288" s="158" t="s">
        <v>43</v>
      </c>
      <c r="C288" s="158">
        <f ca="1">IFERROR(INDEX(BYEs!$B$2:$B$33,MATCH(D288,BYEs!$A$2:$A$33,0)),"N/A")</f>
        <v>10</v>
      </c>
      <c r="D288" s="219" t="str">
        <f ca="1">INDEX(INDIRECT(""&amp;B288&amp;"!F2:F628"),MATCH(A288,INDIRECT(""&amp;B288&amp;"!B2:B628"),0))</f>
        <v>BAL</v>
      </c>
      <c r="E288" s="218" t="str">
        <f ca="1">INDEX(INDIRECT(""&amp;$B288&amp;"!AA2:AA628"),MATCH($A288,INDIRECT(""&amp;$B288&amp;"!B2:B628"),0))</f>
        <v>TE10</v>
      </c>
      <c r="F288" s="159">
        <f ca="1">IF(LeagueInfo!$H$7="Starter/Bench",INDEX(INDIRECT(""&amp;B288&amp;"!T2:T628"),MATCH(A288,INDIRECT(""&amp;B288&amp;"!B2:B628"),0)),INDEX(INDIRECT(""&amp;B288&amp;"!AB2:AB628"),MATCH(A288,INDIRECT(""&amp;B288&amp;"!B2:B628"),0)))</f>
        <v>-6.2590594676268907</v>
      </c>
      <c r="G288" s="160">
        <f>IF(H288&gt;0,F288-H288,0)</f>
        <v>0</v>
      </c>
      <c r="H288" s="161"/>
      <c r="I288" s="160">
        <f ca="1">F288*$A$2</f>
        <v>-6.2590594676268907</v>
      </c>
      <c r="J288" s="160" t="s">
        <v>76</v>
      </c>
      <c r="K288" s="160">
        <f>IF(LeagueInfo!$F$7="Yahoo",IFERROR(INDEX(DefaultAuctionValues!$B$2:$B$1000,MATCH(A288,DefaultAuctionValues!$A$2:$A$1000,0)),0),IF(LeagueInfo!$F$7="ESPN",IFERROR(INDEX(DefaultAuctionValues!$C$2:$C$1000,MATCH(A288,DefaultAuctionValues!$A$2:$A$1000,0)),0),IF(LeagueInfo!$F$7="Custom",IFERROR(INDEX(DefaultAuctionValues!$D$2:$D$1000,MATCH(A288,DefaultAuctionValues!$A$2:$A$1000,0)),0))))</f>
        <v>0</v>
      </c>
      <c r="L288" s="160">
        <f ca="1">I288-K288</f>
        <v>-6.2590594676268907</v>
      </c>
      <c r="M288" s="175"/>
      <c r="N288" s="170">
        <f ca="1">INDEX(INDIRECT(""&amp;$B288&amp;"!Z2:Z628"),MATCH($A288,INDIRECT(""&amp;$B288&amp;"!B2:B628"),0))</f>
        <v>-17.260000000000012</v>
      </c>
      <c r="O288" s="158" t="str">
        <f ca="1">IF(INDEX(INDIRECT(""&amp;$B288&amp;"!W2:W628"),MATCH($A288,INDIRECT(""&amp;$B288&amp;"!B2:B628"),0))=0,"",INDEX(INDIRECT(""&amp;$B288&amp;"!W2:W628"),MATCH($A288,INDIRECT(""&amp;$B288&amp;"!B2:B628"),0)))</f>
        <v/>
      </c>
    </row>
    <row r="289" spans="1:15" x14ac:dyDescent="0.25">
      <c r="A289" s="158" t="s">
        <v>964</v>
      </c>
      <c r="B289" s="158" t="s">
        <v>35</v>
      </c>
      <c r="C289" s="158">
        <f ca="1">IFERROR(INDEX(BYEs!$B$2:$B$33,MATCH(D289,BYEs!$A$2:$A$33,0)),"N/A")</f>
        <v>6</v>
      </c>
      <c r="D289" s="219" t="str">
        <f ca="1">INDEX(INDIRECT(""&amp;B289&amp;"!F2:F628"),MATCH(A289,INDIRECT(""&amp;B289&amp;"!B2:B628"),0))</f>
        <v>TEN</v>
      </c>
      <c r="E289" s="218" t="str">
        <f ca="1">INDEX(INDIRECT(""&amp;$B289&amp;"!AA2:AA628"),MATCH($A289,INDIRECT(""&amp;$B289&amp;"!B2:B628"),0))</f>
        <v>WR9</v>
      </c>
      <c r="F289" s="159">
        <f ca="1">IF(LeagueInfo!$H$7="Starter/Bench",INDEX(INDIRECT(""&amp;B289&amp;"!T2:T628"),MATCH(A289,INDIRECT(""&amp;B289&amp;"!B2:B628"),0)),INDEX(INDIRECT(""&amp;B289&amp;"!AB2:AB628"),MATCH(A289,INDIRECT(""&amp;B289&amp;"!B2:B628"),0)))</f>
        <v>-6.2681253127422174</v>
      </c>
      <c r="G289" s="160">
        <f>IF(H289&gt;0,F289-H289,0)</f>
        <v>0</v>
      </c>
      <c r="H289" s="161"/>
      <c r="I289" s="160">
        <f ca="1">F289*$A$2</f>
        <v>-6.2681253127422174</v>
      </c>
      <c r="J289" s="160" t="s">
        <v>76</v>
      </c>
      <c r="K289" s="160">
        <f>IF(LeagueInfo!$F$7="Yahoo",IFERROR(INDEX(DefaultAuctionValues!$B$2:$B$1000,MATCH(A289,DefaultAuctionValues!$A$2:$A$1000,0)),0),IF(LeagueInfo!$F$7="ESPN",IFERROR(INDEX(DefaultAuctionValues!$C$2:$C$1000,MATCH(A289,DefaultAuctionValues!$A$2:$A$1000,0)),0),IF(LeagueInfo!$F$7="Custom",IFERROR(INDEX(DefaultAuctionValues!$D$2:$D$1000,MATCH(A289,DefaultAuctionValues!$A$2:$A$1000,0)),0))))</f>
        <v>0</v>
      </c>
      <c r="L289" s="160">
        <f ca="1">I289-K289</f>
        <v>-6.2681253127422174</v>
      </c>
      <c r="M289" s="175"/>
      <c r="N289" s="170">
        <f ca="1">INDEX(INDIRECT(""&amp;$B289&amp;"!Z2:Z628"),MATCH($A289,INDIRECT(""&amp;$B289&amp;"!B2:B628"),0))</f>
        <v>-17.284999999999989</v>
      </c>
      <c r="O289" s="158" t="str">
        <f ca="1">IF(INDEX(INDIRECT(""&amp;$B289&amp;"!W2:W628"),MATCH($A289,INDIRECT(""&amp;$B289&amp;"!B2:B628"),0))=0,"",INDEX(INDIRECT(""&amp;$B289&amp;"!W2:W628"),MATCH($A289,INDIRECT(""&amp;$B289&amp;"!B2:B628"),0)))</f>
        <v/>
      </c>
    </row>
    <row r="290" spans="1:15" x14ac:dyDescent="0.25">
      <c r="A290" s="158" t="s">
        <v>227</v>
      </c>
      <c r="B290" s="158" t="s">
        <v>43</v>
      </c>
      <c r="C290" s="158">
        <f ca="1">IFERROR(INDEX(BYEs!$B$2:$B$33,MATCH(D290,BYEs!$A$2:$A$33,0)),"N/A")</f>
        <v>11</v>
      </c>
      <c r="D290" s="219" t="str">
        <f ca="1">INDEX(INDIRECT(""&amp;B290&amp;"!F2:F628"),MATCH(A290,INDIRECT(""&amp;B290&amp;"!B2:B628"),0))</f>
        <v>TB</v>
      </c>
      <c r="E290" s="218" t="str">
        <f ca="1">INDEX(INDIRECT(""&amp;$B290&amp;"!AA2:AA628"),MATCH($A290,INDIRECT(""&amp;$B290&amp;"!B2:B628"),0))</f>
        <v>TE10</v>
      </c>
      <c r="F290" s="159">
        <f ca="1">IF(LeagueInfo!$H$7="Starter/Bench",INDEX(INDIRECT(""&amp;B290&amp;"!T2:T628"),MATCH(A290,INDIRECT(""&amp;B290&amp;"!B2:B628"),0)),INDEX(INDIRECT(""&amp;B290&amp;"!AB2:AB628"),MATCH(A290,INDIRECT(""&amp;B290&amp;"!B2:B628"),0)))</f>
        <v>-6.4149920036106405</v>
      </c>
      <c r="G290" s="160">
        <f>IF(H290&gt;0,F290-H290,0)</f>
        <v>0</v>
      </c>
      <c r="H290" s="161"/>
      <c r="I290" s="160">
        <f ca="1">F290*$A$2</f>
        <v>-6.4149920036106405</v>
      </c>
      <c r="J290" s="160" t="s">
        <v>76</v>
      </c>
      <c r="K290" s="160">
        <f>IF(LeagueInfo!$F$7="Yahoo",IFERROR(INDEX(DefaultAuctionValues!$B$2:$B$1000,MATCH(A290,DefaultAuctionValues!$A$2:$A$1000,0)),0),IF(LeagueInfo!$F$7="ESPN",IFERROR(INDEX(DefaultAuctionValues!$C$2:$C$1000,MATCH(A290,DefaultAuctionValues!$A$2:$A$1000,0)),0),IF(LeagueInfo!$F$7="Custom",IFERROR(INDEX(DefaultAuctionValues!$D$2:$D$1000,MATCH(A290,DefaultAuctionValues!$A$2:$A$1000,0)),0))))</f>
        <v>1</v>
      </c>
      <c r="L290" s="160">
        <f ca="1">I290-K290</f>
        <v>-7.4149920036106405</v>
      </c>
      <c r="M290" s="175"/>
      <c r="N290" s="170">
        <f ca="1">INDEX(INDIRECT(""&amp;$B290&amp;"!Z2:Z628"),MATCH($A290,INDIRECT(""&amp;$B290&amp;"!B2:B628"),0))</f>
        <v>-17.690000000000005</v>
      </c>
      <c r="O290" s="158" t="str">
        <f ca="1">IF(INDEX(INDIRECT(""&amp;$B290&amp;"!W2:W628"),MATCH($A290,INDIRECT(""&amp;$B290&amp;"!B2:B628"),0))=0,"",INDEX(INDIRECT(""&amp;$B290&amp;"!W2:W628"),MATCH($A290,INDIRECT(""&amp;$B290&amp;"!B2:B628"),0)))</f>
        <v/>
      </c>
    </row>
    <row r="291" spans="1:15" x14ac:dyDescent="0.25">
      <c r="A291" s="158" t="s">
        <v>343</v>
      </c>
      <c r="B291" s="158" t="s">
        <v>28</v>
      </c>
      <c r="C291" s="158">
        <f ca="1">IFERROR(INDEX(BYEs!$B$2:$B$33,MATCH(D291,BYEs!$A$2:$A$33,0)),"N/A")</f>
        <v>9</v>
      </c>
      <c r="D291" s="219" t="str">
        <f ca="1">INDEX(INDIRECT(""&amp;B291&amp;"!F2:F628"),MATCH(A291,INDIRECT(""&amp;B291&amp;"!B2:B628"),0))</f>
        <v>SF</v>
      </c>
      <c r="E291" s="218" t="str">
        <f ca="1">INDEX(INDIRECT(""&amp;$B291&amp;"!AA2:AA628"),MATCH($A291,INDIRECT(""&amp;$B291&amp;"!B2:B628"),0))</f>
        <v>RB9</v>
      </c>
      <c r="F291" s="159">
        <f ca="1">IF(LeagueInfo!$H$7="Starter/Bench",INDEX(INDIRECT(""&amp;B291&amp;"!T2:T628"),MATCH(A291,INDIRECT(""&amp;B291&amp;"!B2:B628"),0)),INDEX(INDIRECT(""&amp;B291&amp;"!AB2:AB628"),MATCH(A291,INDIRECT(""&amp;B291&amp;"!B2:B628"),0)))</f>
        <v>-6.529221652063856</v>
      </c>
      <c r="G291" s="160">
        <f>IF(H291&gt;0,F291-H291,0)</f>
        <v>0</v>
      </c>
      <c r="H291" s="161"/>
      <c r="I291" s="160">
        <f ca="1">F291*$A$2</f>
        <v>-6.529221652063856</v>
      </c>
      <c r="J291" s="160" t="s">
        <v>76</v>
      </c>
      <c r="K291" s="160">
        <f>IF(LeagueInfo!$F$7="Yahoo",IFERROR(INDEX(DefaultAuctionValues!$B$2:$B$1000,MATCH(A291,DefaultAuctionValues!$A$2:$A$1000,0)),0),IF(LeagueInfo!$F$7="ESPN",IFERROR(INDEX(DefaultAuctionValues!$C$2:$C$1000,MATCH(A291,DefaultAuctionValues!$A$2:$A$1000,0)),0),IF(LeagueInfo!$F$7="Custom",IFERROR(INDEX(DefaultAuctionValues!$D$2:$D$1000,MATCH(A291,DefaultAuctionValues!$A$2:$A$1000,0)),0))))</f>
        <v>0</v>
      </c>
      <c r="L291" s="160">
        <f ca="1">I291-K291</f>
        <v>-6.529221652063856</v>
      </c>
      <c r="M291" s="175"/>
      <c r="N291" s="170">
        <f ca="1">INDEX(INDIRECT(""&amp;$B291&amp;"!Z2:Z628"),MATCH($A291,INDIRECT(""&amp;$B291&amp;"!B2:B628"),0))</f>
        <v>-18.00500000000001</v>
      </c>
      <c r="O291" s="158" t="str">
        <f ca="1">IF(INDEX(INDIRECT(""&amp;$B291&amp;"!W2:W628"),MATCH($A291,INDIRECT(""&amp;$B291&amp;"!B2:B628"),0))=0,"",INDEX(INDIRECT(""&amp;$B291&amp;"!W2:W628"),MATCH($A291,INDIRECT(""&amp;$B291&amp;"!B2:B628"),0)))</f>
        <v/>
      </c>
    </row>
    <row r="292" spans="1:15" x14ac:dyDescent="0.25">
      <c r="A292" s="158" t="s">
        <v>101</v>
      </c>
      <c r="B292" s="158" t="s">
        <v>35</v>
      </c>
      <c r="C292" s="158">
        <f ca="1">IFERROR(INDEX(BYEs!$B$2:$B$33,MATCH(D292,BYEs!$A$2:$A$33,0)),"N/A")</f>
        <v>13</v>
      </c>
      <c r="D292" s="219" t="str">
        <f ca="1">INDEX(INDIRECT(""&amp;B292&amp;"!F2:F628"),MATCH(A292,INDIRECT(""&amp;B292&amp;"!B2:B628"),0))</f>
        <v>ARI</v>
      </c>
      <c r="E292" s="218" t="str">
        <f ca="1">INDEX(INDIRECT(""&amp;$B292&amp;"!AA2:AA628"),MATCH($A292,INDIRECT(""&amp;$B292&amp;"!B2:B628"),0))</f>
        <v>WR10</v>
      </c>
      <c r="F292" s="159">
        <f ca="1">IF(LeagueInfo!$H$7="Starter/Bench",INDEX(INDIRECT(""&amp;B292&amp;"!T2:T628"),MATCH(A292,INDIRECT(""&amp;B292&amp;"!B2:B628"),0)),INDEX(INDIRECT(""&amp;B292&amp;"!AB2:AB628"),MATCH(A292,INDIRECT(""&amp;B292&amp;"!B2:B628"),0)))</f>
        <v>-6.5872430608019901</v>
      </c>
      <c r="G292" s="160">
        <f>IF(H292&gt;0,F292-H292,0)</f>
        <v>0</v>
      </c>
      <c r="H292" s="161"/>
      <c r="I292" s="160">
        <f ca="1">F292*$A$2</f>
        <v>-6.5872430608019901</v>
      </c>
      <c r="J292" s="160" t="s">
        <v>76</v>
      </c>
      <c r="K292" s="160">
        <f>IF(LeagueInfo!$F$7="Yahoo",IFERROR(INDEX(DefaultAuctionValues!$B$2:$B$1000,MATCH(A292,DefaultAuctionValues!$A$2:$A$1000,0)),0),IF(LeagueInfo!$F$7="ESPN",IFERROR(INDEX(DefaultAuctionValues!$C$2:$C$1000,MATCH(A292,DefaultAuctionValues!$A$2:$A$1000,0)),0),IF(LeagueInfo!$F$7="Custom",IFERROR(INDEX(DefaultAuctionValues!$D$2:$D$1000,MATCH(A292,DefaultAuctionValues!$A$2:$A$1000,0)),0))))</f>
        <v>0</v>
      </c>
      <c r="L292" s="160">
        <f ca="1">I292-K292</f>
        <v>-6.5872430608019901</v>
      </c>
      <c r="M292" s="175"/>
      <c r="N292" s="170">
        <f ca="1">INDEX(INDIRECT(""&amp;$B292&amp;"!Z2:Z628"),MATCH($A292,INDIRECT(""&amp;$B292&amp;"!B2:B628"),0))</f>
        <v>-18.164999999999992</v>
      </c>
      <c r="O292" s="158" t="str">
        <f ca="1">IF(INDEX(INDIRECT(""&amp;$B292&amp;"!W2:W628"),MATCH($A292,INDIRECT(""&amp;$B292&amp;"!B2:B628"),0))=0,"",INDEX(INDIRECT(""&amp;$B292&amp;"!W2:W628"),MATCH($A292,INDIRECT(""&amp;$B292&amp;"!B2:B628"),0)))</f>
        <v/>
      </c>
    </row>
    <row r="293" spans="1:15" x14ac:dyDescent="0.25">
      <c r="A293" s="158" t="s">
        <v>2454</v>
      </c>
      <c r="B293" s="158" t="s">
        <v>28</v>
      </c>
      <c r="C293" s="158">
        <f ca="1">IFERROR(INDEX(BYEs!$B$2:$B$33,MATCH(D293,BYEs!$A$2:$A$33,0)),"N/A")</f>
        <v>9</v>
      </c>
      <c r="D293" s="219" t="str">
        <f ca="1">INDEX(INDIRECT(""&amp;B293&amp;"!F2:F628"),MATCH(A293,INDIRECT(""&amp;B293&amp;"!B2:B628"),0))</f>
        <v>SF</v>
      </c>
      <c r="E293" s="218" t="str">
        <f ca="1">INDEX(INDIRECT(""&amp;$B293&amp;"!AA2:AA628"),MATCH($A293,INDIRECT(""&amp;$B293&amp;"!B2:B628"),0))</f>
        <v>RB9</v>
      </c>
      <c r="F293" s="159">
        <f ca="1">IF(LeagueInfo!$H$7="Starter/Bench",INDEX(INDIRECT(""&amp;B293&amp;"!T2:T628"),MATCH(A293,INDIRECT(""&amp;B293&amp;"!B2:B628"),0)),INDEX(INDIRECT(""&amp;B293&amp;"!AB2:AB628"),MATCH(A293,INDIRECT(""&amp;B293&amp;"!B2:B628"),0)))</f>
        <v>-6.6815278500014736</v>
      </c>
      <c r="G293" s="160">
        <f>IF(H293&gt;0,F293-H293,0)</f>
        <v>0</v>
      </c>
      <c r="H293" s="161"/>
      <c r="I293" s="160">
        <f ca="1">F293*$A$2</f>
        <v>-6.6815278500014736</v>
      </c>
      <c r="J293" s="160" t="s">
        <v>76</v>
      </c>
      <c r="K293" s="160">
        <f>IF(LeagueInfo!$F$7="Yahoo",IFERROR(INDEX(DefaultAuctionValues!$B$2:$B$1000,MATCH(A293,DefaultAuctionValues!$A$2:$A$1000,0)),0),IF(LeagueInfo!$F$7="ESPN",IFERROR(INDEX(DefaultAuctionValues!$C$2:$C$1000,MATCH(A293,DefaultAuctionValues!$A$2:$A$1000,0)),0),IF(LeagueInfo!$F$7="Custom",IFERROR(INDEX(DefaultAuctionValues!$D$2:$D$1000,MATCH(A293,DefaultAuctionValues!$A$2:$A$1000,0)),0))))</f>
        <v>0</v>
      </c>
      <c r="L293" s="160">
        <f ca="1">I293-K293</f>
        <v>-6.6815278500014736</v>
      </c>
      <c r="M293" s="175"/>
      <c r="N293" s="170">
        <f ca="1">INDEX(INDIRECT(""&amp;$B293&amp;"!Z2:Z628"),MATCH($A293,INDIRECT(""&amp;$B293&amp;"!B2:B628"),0))</f>
        <v>-18.425000000000008</v>
      </c>
      <c r="O293" s="158" t="str">
        <f ca="1">IF(INDEX(INDIRECT(""&amp;$B293&amp;"!W2:W628"),MATCH($A293,INDIRECT(""&amp;$B293&amp;"!B2:B628"),0))=0,"",INDEX(INDIRECT(""&amp;$B293&amp;"!W2:W628"),MATCH($A293,INDIRECT(""&amp;$B293&amp;"!B2:B628"),0)))</f>
        <v/>
      </c>
    </row>
    <row r="294" spans="1:15" x14ac:dyDescent="0.25">
      <c r="A294" s="158" t="s">
        <v>823</v>
      </c>
      <c r="B294" s="158" t="s">
        <v>43</v>
      </c>
      <c r="C294" s="158">
        <f ca="1">IFERROR(INDEX(BYEs!$B$2:$B$33,MATCH(D294,BYEs!$A$2:$A$33,0)),"N/A")</f>
        <v>14</v>
      </c>
      <c r="D294" s="219" t="str">
        <f ca="1">INDEX(INDIRECT(""&amp;B294&amp;"!F2:F628"),MATCH(A294,INDIRECT(""&amp;B294&amp;"!B2:B628"),0))</f>
        <v>NO</v>
      </c>
      <c r="E294" s="218" t="str">
        <f ca="1">INDEX(INDIRECT(""&amp;$B294&amp;"!AA2:AA628"),MATCH($A294,INDIRECT(""&amp;$B294&amp;"!B2:B628"),0))</f>
        <v>TE10</v>
      </c>
      <c r="F294" s="159">
        <f ca="1">IF(LeagueInfo!$H$7="Starter/Bench",INDEX(INDIRECT(""&amp;B294&amp;"!T2:T628"),MATCH(A294,INDIRECT(""&amp;B294&amp;"!B2:B628"),0)),INDEX(INDIRECT(""&amp;B294&amp;"!AB2:AB628"),MATCH(A294,INDIRECT(""&amp;B294&amp;"!B2:B628"),0)))</f>
        <v>-6.7159780614397429</v>
      </c>
      <c r="G294" s="160">
        <f>IF(H294&gt;0,F294-H294,0)</f>
        <v>0</v>
      </c>
      <c r="H294" s="161"/>
      <c r="I294" s="160">
        <f ca="1">F294*$A$2</f>
        <v>-6.7159780614397429</v>
      </c>
      <c r="J294" s="160" t="s">
        <v>76</v>
      </c>
      <c r="K294" s="160">
        <f>IF(LeagueInfo!$F$7="Yahoo",IFERROR(INDEX(DefaultAuctionValues!$B$2:$B$1000,MATCH(A294,DefaultAuctionValues!$A$2:$A$1000,0)),0),IF(LeagueInfo!$F$7="ESPN",IFERROR(INDEX(DefaultAuctionValues!$C$2:$C$1000,MATCH(A294,DefaultAuctionValues!$A$2:$A$1000,0)),0),IF(LeagueInfo!$F$7="Custom",IFERROR(INDEX(DefaultAuctionValues!$D$2:$D$1000,MATCH(A294,DefaultAuctionValues!$A$2:$A$1000,0)),0))))</f>
        <v>0</v>
      </c>
      <c r="L294" s="160">
        <f ca="1">I294-K294</f>
        <v>-6.7159780614397429</v>
      </c>
      <c r="M294" s="175"/>
      <c r="N294" s="170">
        <f ca="1">INDEX(INDIRECT(""&amp;$B294&amp;"!Z2:Z628"),MATCH($A294,INDIRECT(""&amp;$B294&amp;"!B2:B628"),0))</f>
        <v>-18.520000000000003</v>
      </c>
      <c r="O294" s="158" t="str">
        <f ca="1">IF(INDEX(INDIRECT(""&amp;$B294&amp;"!W2:W628"),MATCH($A294,INDIRECT(""&amp;$B294&amp;"!B2:B628"),0))=0,"",INDEX(INDIRECT(""&amp;$B294&amp;"!W2:W628"),MATCH($A294,INDIRECT(""&amp;$B294&amp;"!B2:B628"),0)))</f>
        <v/>
      </c>
    </row>
    <row r="295" spans="1:15" x14ac:dyDescent="0.25">
      <c r="A295" s="158" t="s">
        <v>916</v>
      </c>
      <c r="B295" s="158" t="s">
        <v>29</v>
      </c>
      <c r="C295" s="158">
        <f ca="1">IFERROR(INDEX(BYEs!$B$2:$B$33,MATCH(D295,BYEs!$A$2:$A$33,0)),"N/A")</f>
        <v>10</v>
      </c>
      <c r="D295" s="219" t="str">
        <f ca="1">INDEX(INDIRECT(""&amp;B295&amp;"!F2:F628"),MATCH(A295,INDIRECT(""&amp;B295&amp;"!B2:B628"),0))</f>
        <v>NYJ</v>
      </c>
      <c r="E295" s="218" t="str">
        <f ca="1">INDEX(INDIRECT(""&amp;$B295&amp;"!AA2:AA628"),MATCH($A295,INDIRECT(""&amp;$B295&amp;"!B2:B628"),0))</f>
        <v>QB6</v>
      </c>
      <c r="F295" s="159">
        <f ca="1">IF(LeagueInfo!$H$7="Starter/Bench",INDEX(INDIRECT(""&amp;B295&amp;"!T2:T628"),MATCH(A295,INDIRECT(""&amp;B295&amp;"!B2:B628"),0)),INDEX(INDIRECT(""&amp;B295&amp;"!AB2:AB628"),MATCH(A295,INDIRECT(""&amp;B295&amp;"!B2:B628"),0)))</f>
        <v>-6.7413624277626685</v>
      </c>
      <c r="G295" s="160">
        <f>IF(H295&gt;0,F295-H295,0)</f>
        <v>0</v>
      </c>
      <c r="H295" s="161"/>
      <c r="I295" s="160">
        <f ca="1">F295*$A$2</f>
        <v>-6.7413624277626685</v>
      </c>
      <c r="J295" s="160" t="s">
        <v>76</v>
      </c>
      <c r="K295" s="160">
        <f>IF(LeagueInfo!$F$7="Yahoo",IFERROR(INDEX(DefaultAuctionValues!$B$2:$B$1000,MATCH(A295,DefaultAuctionValues!$A$2:$A$1000,0)),0),IF(LeagueInfo!$F$7="ESPN",IFERROR(INDEX(DefaultAuctionValues!$C$2:$C$1000,MATCH(A295,DefaultAuctionValues!$A$2:$A$1000,0)),0),IF(LeagueInfo!$F$7="Custom",IFERROR(INDEX(DefaultAuctionValues!$D$2:$D$1000,MATCH(A295,DefaultAuctionValues!$A$2:$A$1000,0)),0))))</f>
        <v>0</v>
      </c>
      <c r="L295" s="160">
        <f ca="1">I295-K295</f>
        <v>-6.7413624277626685</v>
      </c>
      <c r="M295" s="175"/>
      <c r="N295" s="170">
        <f ca="1">INDEX(INDIRECT(""&amp;$B295&amp;"!Z2:Z628"),MATCH($A295,INDIRECT(""&amp;$B295&amp;"!B2:B628"),0))</f>
        <v>-18.589999999999975</v>
      </c>
      <c r="O295" s="158" t="str">
        <f ca="1">IF(INDEX(INDIRECT(""&amp;$B295&amp;"!W2:W628"),MATCH($A295,INDIRECT(""&amp;$B295&amp;"!B2:B628"),0))=0,"",INDEX(INDIRECT(""&amp;$B295&amp;"!W2:W628"),MATCH($A295,INDIRECT(""&amp;$B295&amp;"!B2:B628"),0)))</f>
        <v/>
      </c>
    </row>
    <row r="296" spans="1:15" x14ac:dyDescent="0.25">
      <c r="A296" s="158" t="s">
        <v>849</v>
      </c>
      <c r="B296" s="158" t="s">
        <v>35</v>
      </c>
      <c r="C296" s="158">
        <f ca="1">IFERROR(INDEX(BYEs!$B$2:$B$33,MATCH(D296,BYEs!$A$2:$A$33,0)),"N/A")</f>
        <v>14</v>
      </c>
      <c r="D296" s="219" t="str">
        <f ca="1">INDEX(INDIRECT(""&amp;B296&amp;"!F2:F628"),MATCH(A296,INDIRECT(""&amp;B296&amp;"!B2:B628"),0))</f>
        <v>ATL</v>
      </c>
      <c r="E296" s="218" t="str">
        <f ca="1">INDEX(INDIRECT(""&amp;$B296&amp;"!AA2:AA628"),MATCH($A296,INDIRECT(""&amp;$B296&amp;"!B2:B628"),0))</f>
        <v>WR10</v>
      </c>
      <c r="F296" s="159">
        <f ca="1">IF(LeagueInfo!$H$7="Starter/Bench",INDEX(INDIRECT(""&amp;B296&amp;"!T2:T628"),MATCH(A296,INDIRECT(""&amp;B296&amp;"!B2:B628"),0)),INDEX(INDIRECT(""&amp;B296&amp;"!AB2:AB628"),MATCH(A296,INDIRECT(""&amp;B296&amp;"!B2:B628"),0)))</f>
        <v>-6.7703731321317457</v>
      </c>
      <c r="G296" s="160">
        <f>IF(H296&gt;0,F296-H296,0)</f>
        <v>0</v>
      </c>
      <c r="H296" s="161"/>
      <c r="I296" s="160">
        <f ca="1">F296*$A$2</f>
        <v>-6.7703731321317457</v>
      </c>
      <c r="J296" s="160" t="s">
        <v>76</v>
      </c>
      <c r="K296" s="160">
        <f>IF(LeagueInfo!$F$7="Yahoo",IFERROR(INDEX(DefaultAuctionValues!$B$2:$B$1000,MATCH(A296,DefaultAuctionValues!$A$2:$A$1000,0)),0),IF(LeagueInfo!$F$7="ESPN",IFERROR(INDEX(DefaultAuctionValues!$C$2:$C$1000,MATCH(A296,DefaultAuctionValues!$A$2:$A$1000,0)),0),IF(LeagueInfo!$F$7="Custom",IFERROR(INDEX(DefaultAuctionValues!$D$2:$D$1000,MATCH(A296,DefaultAuctionValues!$A$2:$A$1000,0)),0))))</f>
        <v>0</v>
      </c>
      <c r="L296" s="160">
        <f ca="1">I296-K296</f>
        <v>-6.7703731321317457</v>
      </c>
      <c r="M296" s="175"/>
      <c r="N296" s="170">
        <f ca="1">INDEX(INDIRECT(""&amp;$B296&amp;"!Z2:Z628"),MATCH($A296,INDIRECT(""&amp;$B296&amp;"!B2:B628"),0))</f>
        <v>-18.669999999999995</v>
      </c>
      <c r="O296" s="158" t="str">
        <f ca="1">IF(INDEX(INDIRECT(""&amp;$B296&amp;"!W2:W628"),MATCH($A296,INDIRECT(""&amp;$B296&amp;"!B2:B628"),0))=0,"",INDEX(INDIRECT(""&amp;$B296&amp;"!W2:W628"),MATCH($A296,INDIRECT(""&amp;$B296&amp;"!B2:B628"),0)))</f>
        <v/>
      </c>
    </row>
    <row r="297" spans="1:15" x14ac:dyDescent="0.25">
      <c r="A297" s="158" t="s">
        <v>617</v>
      </c>
      <c r="B297" s="158" t="s">
        <v>28</v>
      </c>
      <c r="C297" s="158">
        <f ca="1">IFERROR(INDEX(BYEs!$B$2:$B$33,MATCH(D297,BYEs!$A$2:$A$33,0)),"N/A")</f>
        <v>10</v>
      </c>
      <c r="D297" s="219" t="str">
        <f ca="1">INDEX(INDIRECT(""&amp;B297&amp;"!F2:F628"),MATCH(A297,INDIRECT(""&amp;B297&amp;"!B2:B628"),0))</f>
        <v>BAL</v>
      </c>
      <c r="E297" s="218" t="str">
        <f ca="1">INDEX(INDIRECT(""&amp;$B297&amp;"!AA2:AA628"),MATCH($A297,INDIRECT(""&amp;$B297&amp;"!B2:B628"),0))</f>
        <v>RB9</v>
      </c>
      <c r="F297" s="159">
        <f ca="1">IF(LeagueInfo!$H$7="Starter/Bench",INDEX(INDIRECT(""&amp;B297&amp;"!T2:T628"),MATCH(A297,INDIRECT(""&amp;B297&amp;"!B2:B628"),0)),INDEX(INDIRECT(""&amp;B297&amp;"!AB2:AB628"),MATCH(A297,INDIRECT(""&amp;B297&amp;"!B2:B628"),0)))</f>
        <v>-6.7975706674777525</v>
      </c>
      <c r="G297" s="160">
        <f>IF(H297&gt;0,F297-H297,0)</f>
        <v>0</v>
      </c>
      <c r="H297" s="161"/>
      <c r="I297" s="160">
        <f ca="1">F297*$A$2</f>
        <v>-6.7975706674777525</v>
      </c>
      <c r="J297" s="160" t="s">
        <v>76</v>
      </c>
      <c r="K297" s="160">
        <f>IF(LeagueInfo!$F$7="Yahoo",IFERROR(INDEX(DefaultAuctionValues!$B$2:$B$1000,MATCH(A297,DefaultAuctionValues!$A$2:$A$1000,0)),0),IF(LeagueInfo!$F$7="ESPN",IFERROR(INDEX(DefaultAuctionValues!$C$2:$C$1000,MATCH(A297,DefaultAuctionValues!$A$2:$A$1000,0)),0),IF(LeagueInfo!$F$7="Custom",IFERROR(INDEX(DefaultAuctionValues!$D$2:$D$1000,MATCH(A297,DefaultAuctionValues!$A$2:$A$1000,0)),0))))</f>
        <v>0</v>
      </c>
      <c r="L297" s="160">
        <f ca="1">I297-K297</f>
        <v>-6.7975706674777525</v>
      </c>
      <c r="M297" s="175"/>
      <c r="N297" s="170">
        <f ca="1">INDEX(INDIRECT(""&amp;$B297&amp;"!Z2:Z628"),MATCH($A297,INDIRECT(""&amp;$B297&amp;"!B2:B628"),0))</f>
        <v>-18.745000000000005</v>
      </c>
      <c r="O297" s="158" t="str">
        <f ca="1">IF(INDEX(INDIRECT(""&amp;$B297&amp;"!W2:W628"),MATCH($A297,INDIRECT(""&amp;$B297&amp;"!B2:B628"),0))=0,"",INDEX(INDIRECT(""&amp;$B297&amp;"!W2:W628"),MATCH($A297,INDIRECT(""&amp;$B297&amp;"!B2:B628"),0)))</f>
        <v/>
      </c>
    </row>
    <row r="298" spans="1:15" x14ac:dyDescent="0.25">
      <c r="A298" s="158" t="s">
        <v>408</v>
      </c>
      <c r="B298" s="158" t="s">
        <v>35</v>
      </c>
      <c r="C298" s="158">
        <f ca="1">IFERROR(INDEX(BYEs!$B$2:$B$33,MATCH(D298,BYEs!$A$2:$A$33,0)),"N/A")</f>
        <v>7</v>
      </c>
      <c r="D298" s="219" t="str">
        <f ca="1">INDEX(INDIRECT(""&amp;B298&amp;"!F2:F628"),MATCH(A298,INDIRECT(""&amp;B298&amp;"!B2:B628"),0))</f>
        <v>BUF</v>
      </c>
      <c r="E298" s="218" t="str">
        <f ca="1">INDEX(INDIRECT(""&amp;$B298&amp;"!AA2:AA628"),MATCH($A298,INDIRECT(""&amp;$B298&amp;"!B2:B628"),0))</f>
        <v>WR10</v>
      </c>
      <c r="F298" s="159">
        <f ca="1">IF(LeagueInfo!$H$7="Starter/Bench",INDEX(INDIRECT(""&amp;B298&amp;"!T2:T628"),MATCH(A298,INDIRECT(""&amp;B298&amp;"!B2:B628"),0)),INDEX(INDIRECT(""&amp;B298&amp;"!AB2:AB628"),MATCH(A298,INDIRECT(""&amp;B298&amp;"!B2:B628"),0)))</f>
        <v>-6.8719105974234891</v>
      </c>
      <c r="G298" s="160">
        <f>IF(H298&gt;0,F298-H298,0)</f>
        <v>0</v>
      </c>
      <c r="H298" s="161"/>
      <c r="I298" s="160">
        <f ca="1">F298*$A$2</f>
        <v>-6.8719105974234891</v>
      </c>
      <c r="J298" s="160" t="s">
        <v>76</v>
      </c>
      <c r="K298" s="160">
        <f>IF(LeagueInfo!$F$7="Yahoo",IFERROR(INDEX(DefaultAuctionValues!$B$2:$B$1000,MATCH(A298,DefaultAuctionValues!$A$2:$A$1000,0)),0),IF(LeagueInfo!$F$7="ESPN",IFERROR(INDEX(DefaultAuctionValues!$C$2:$C$1000,MATCH(A298,DefaultAuctionValues!$A$2:$A$1000,0)),0),IF(LeagueInfo!$F$7="Custom",IFERROR(INDEX(DefaultAuctionValues!$D$2:$D$1000,MATCH(A298,DefaultAuctionValues!$A$2:$A$1000,0)),0))))</f>
        <v>1</v>
      </c>
      <c r="L298" s="160">
        <f ca="1">I298-K298</f>
        <v>-7.8719105974234891</v>
      </c>
      <c r="M298" s="175"/>
      <c r="N298" s="170">
        <f ca="1">INDEX(INDIRECT(""&amp;$B298&amp;"!Z2:Z628"),MATCH($A298,INDIRECT(""&amp;$B298&amp;"!B2:B628"),0))</f>
        <v>-18.949999999999989</v>
      </c>
      <c r="O298" s="158" t="str">
        <f ca="1">IF(INDEX(INDIRECT(""&amp;$B298&amp;"!W2:W628"),MATCH($A298,INDIRECT(""&amp;$B298&amp;"!B2:B628"),0))=0,"",INDEX(INDIRECT(""&amp;$B298&amp;"!W2:W628"),MATCH($A298,INDIRECT(""&amp;$B298&amp;"!B2:B628"),0)))</f>
        <v/>
      </c>
    </row>
    <row r="299" spans="1:15" x14ac:dyDescent="0.25">
      <c r="A299" s="158" t="s">
        <v>799</v>
      </c>
      <c r="B299" s="158" t="s">
        <v>28</v>
      </c>
      <c r="C299" s="158">
        <f ca="1">IFERROR(INDEX(BYEs!$B$2:$B$33,MATCH(D299,BYEs!$A$2:$A$33,0)),"N/A")</f>
        <v>9</v>
      </c>
      <c r="D299" s="219" t="str">
        <f ca="1">INDEX(INDIRECT(""&amp;B299&amp;"!F2:F628"),MATCH(A299,INDIRECT(""&amp;B299&amp;"!B2:B628"),0))</f>
        <v>SF</v>
      </c>
      <c r="E299" s="218" t="str">
        <f ca="1">INDEX(INDIRECT(""&amp;$B299&amp;"!AA2:AA628"),MATCH($A299,INDIRECT(""&amp;$B299&amp;"!B2:B628"),0))</f>
        <v>RB9</v>
      </c>
      <c r="F299" s="159">
        <f ca="1">IF(LeagueInfo!$H$7="Starter/Bench",INDEX(INDIRECT(""&amp;B299&amp;"!T2:T628"),MATCH(A299,INDIRECT(""&amp;B299&amp;"!B2:B628"),0)),INDEX(INDIRECT(""&amp;B299&amp;"!AB2:AB628"),MATCH(A299,INDIRECT(""&amp;B299&amp;"!B2:B628"),0)))</f>
        <v>-6.8864159496080291</v>
      </c>
      <c r="G299" s="160">
        <f>IF(H299&gt;0,F299-H299,0)</f>
        <v>0</v>
      </c>
      <c r="H299" s="161"/>
      <c r="I299" s="160">
        <f ca="1">F299*$A$2</f>
        <v>-6.8864159496080291</v>
      </c>
      <c r="J299" s="160" t="s">
        <v>76</v>
      </c>
      <c r="K299" s="160">
        <f>IF(LeagueInfo!$F$7="Yahoo",IFERROR(INDEX(DefaultAuctionValues!$B$2:$B$1000,MATCH(A299,DefaultAuctionValues!$A$2:$A$1000,0)),0),IF(LeagueInfo!$F$7="ESPN",IFERROR(INDEX(DefaultAuctionValues!$C$2:$C$1000,MATCH(A299,DefaultAuctionValues!$A$2:$A$1000,0)),0),IF(LeagueInfo!$F$7="Custom",IFERROR(INDEX(DefaultAuctionValues!$D$2:$D$1000,MATCH(A299,DefaultAuctionValues!$A$2:$A$1000,0)),0))))</f>
        <v>0</v>
      </c>
      <c r="L299" s="160">
        <f ca="1">I299-K299</f>
        <v>-6.8864159496080291</v>
      </c>
      <c r="M299" s="175"/>
      <c r="N299" s="170">
        <f ca="1">INDEX(INDIRECT(""&amp;$B299&amp;"!Z2:Z628"),MATCH($A299,INDIRECT(""&amp;$B299&amp;"!B2:B628"),0))</f>
        <v>-18.990000000000002</v>
      </c>
      <c r="O299" s="158" t="str">
        <f ca="1">IF(INDEX(INDIRECT(""&amp;$B299&amp;"!W2:W628"),MATCH($A299,INDIRECT(""&amp;$B299&amp;"!B2:B628"),0))=0,"",INDEX(INDIRECT(""&amp;$B299&amp;"!W2:W628"),MATCH($A299,INDIRECT(""&amp;$B299&amp;"!B2:B628"),0)))</f>
        <v/>
      </c>
    </row>
    <row r="300" spans="1:15" x14ac:dyDescent="0.25">
      <c r="A300" s="158" t="s">
        <v>2427</v>
      </c>
      <c r="B300" s="158" t="s">
        <v>35</v>
      </c>
      <c r="C300" s="158">
        <f ca="1">IFERROR(INDEX(BYEs!$B$2:$B$33,MATCH(D300,BYEs!$A$2:$A$33,0)),"N/A")</f>
        <v>9</v>
      </c>
      <c r="D300" s="219" t="str">
        <f ca="1">INDEX(INDIRECT(""&amp;B300&amp;"!F2:F628"),MATCH(A300,INDIRECT(""&amp;B300&amp;"!B2:B628"),0))</f>
        <v>NYG</v>
      </c>
      <c r="E300" s="218" t="str">
        <f ca="1">INDEX(INDIRECT(""&amp;$B300&amp;"!AA2:AA628"),MATCH($A300,INDIRECT(""&amp;$B300&amp;"!B2:B628"),0))</f>
        <v>WR10</v>
      </c>
      <c r="F300" s="159">
        <f ca="1">IF(LeagueInfo!$H$7="Starter/Bench",INDEX(INDIRECT(""&amp;B300&amp;"!T2:T628"),MATCH(A300,INDIRECT(""&amp;B300&amp;"!B2:B628"),0)),INDEX(INDIRECT(""&amp;B300&amp;"!AB2:AB628"),MATCH(A300,INDIRECT(""&amp;B300&amp;"!B2:B628"),0)))</f>
        <v>-7.033282640476445</v>
      </c>
      <c r="G300" s="160">
        <f>IF(H300&gt;0,F300-H300,0)</f>
        <v>0</v>
      </c>
      <c r="H300" s="161"/>
      <c r="I300" s="160">
        <f ca="1">F300*$A$2</f>
        <v>-7.033282640476445</v>
      </c>
      <c r="J300" s="160" t="s">
        <v>76</v>
      </c>
      <c r="K300" s="160">
        <f>IF(LeagueInfo!$F$7="Yahoo",IFERROR(INDEX(DefaultAuctionValues!$B$2:$B$1000,MATCH(A300,DefaultAuctionValues!$A$2:$A$1000,0)),0),IF(LeagueInfo!$F$7="ESPN",IFERROR(INDEX(DefaultAuctionValues!$C$2:$C$1000,MATCH(A300,DefaultAuctionValues!$A$2:$A$1000,0)),0),IF(LeagueInfo!$F$7="Custom",IFERROR(INDEX(DefaultAuctionValues!$D$2:$D$1000,MATCH(A300,DefaultAuctionValues!$A$2:$A$1000,0)),0))))</f>
        <v>0</v>
      </c>
      <c r="L300" s="160">
        <f ca="1">I300-K300</f>
        <v>-7.033282640476445</v>
      </c>
      <c r="M300" s="175"/>
      <c r="N300" s="170">
        <f ca="1">INDEX(INDIRECT(""&amp;$B300&amp;"!Z2:Z628"),MATCH($A300,INDIRECT(""&amp;$B300&amp;"!B2:B628"),0))</f>
        <v>-19.394999999999996</v>
      </c>
      <c r="O300" s="158" t="str">
        <f ca="1">IF(INDEX(INDIRECT(""&amp;$B300&amp;"!W2:W628"),MATCH($A300,INDIRECT(""&amp;$B300&amp;"!B2:B628"),0))=0,"",INDEX(INDIRECT(""&amp;$B300&amp;"!W2:W628"),MATCH($A300,INDIRECT(""&amp;$B300&amp;"!B2:B628"),0)))</f>
        <v/>
      </c>
    </row>
    <row r="301" spans="1:15" x14ac:dyDescent="0.25">
      <c r="A301" s="158" t="s">
        <v>427</v>
      </c>
      <c r="B301" s="158" t="s">
        <v>43</v>
      </c>
      <c r="C301" s="158">
        <f ca="1">IFERROR(INDEX(BYEs!$B$2:$B$33,MATCH(D301,BYEs!$A$2:$A$33,0)),"N/A")</f>
        <v>10</v>
      </c>
      <c r="D301" s="219" t="str">
        <f ca="1">INDEX(INDIRECT(""&amp;B301&amp;"!F2:F628"),MATCH(A301,INDIRECT(""&amp;B301&amp;"!B2:B628"),0))</f>
        <v>NE</v>
      </c>
      <c r="E301" s="218" t="str">
        <f ca="1">INDEX(INDIRECT(""&amp;$B301&amp;"!AA2:AA628"),MATCH($A301,INDIRECT(""&amp;$B301&amp;"!B2:B628"),0))</f>
        <v>TE10</v>
      </c>
      <c r="F301" s="159">
        <f ca="1">IF(LeagueInfo!$H$7="Starter/Bench",INDEX(INDIRECT(""&amp;B301&amp;"!T2:T628"),MATCH(A301,INDIRECT(""&amp;B301&amp;"!B2:B628"),0)),INDEX(INDIRECT(""&amp;B301&amp;"!AB2:AB628"),MATCH(A301,INDIRECT(""&amp;B301&amp;"!B2:B628"),0)))</f>
        <v>-7.051414330707118</v>
      </c>
      <c r="G301" s="160">
        <f>IF(H301&gt;0,F301-H301,0)</f>
        <v>0</v>
      </c>
      <c r="H301" s="161"/>
      <c r="I301" s="160">
        <f ca="1">F301*$A$2</f>
        <v>-7.051414330707118</v>
      </c>
      <c r="J301" s="160" t="s">
        <v>76</v>
      </c>
      <c r="K301" s="160">
        <f>IF(LeagueInfo!$F$7="Yahoo",IFERROR(INDEX(DefaultAuctionValues!$B$2:$B$1000,MATCH(A301,DefaultAuctionValues!$A$2:$A$1000,0)),0),IF(LeagueInfo!$F$7="ESPN",IFERROR(INDEX(DefaultAuctionValues!$C$2:$C$1000,MATCH(A301,DefaultAuctionValues!$A$2:$A$1000,0)),0),IF(LeagueInfo!$F$7="Custom",IFERROR(INDEX(DefaultAuctionValues!$D$2:$D$1000,MATCH(A301,DefaultAuctionValues!$A$2:$A$1000,0)),0))))</f>
        <v>0</v>
      </c>
      <c r="L301" s="160">
        <f ca="1">I301-K301</f>
        <v>-7.051414330707118</v>
      </c>
      <c r="M301" s="175"/>
      <c r="N301" s="170">
        <f ca="1">INDEX(INDIRECT(""&amp;$B301&amp;"!Z2:Z628"),MATCH($A301,INDIRECT(""&amp;$B301&amp;"!B2:B628"),0))</f>
        <v>-19.445000000000007</v>
      </c>
      <c r="O301" s="158" t="str">
        <f ca="1">IF(INDEX(INDIRECT(""&amp;$B301&amp;"!W2:W628"),MATCH($A301,INDIRECT(""&amp;$B301&amp;"!B2:B628"),0))=0,"",INDEX(INDIRECT(""&amp;$B301&amp;"!W2:W628"),MATCH($A301,INDIRECT(""&amp;$B301&amp;"!B2:B628"),0)))</f>
        <v/>
      </c>
    </row>
    <row r="302" spans="1:15" x14ac:dyDescent="0.25">
      <c r="A302" s="158" t="s">
        <v>897</v>
      </c>
      <c r="B302" s="158" t="s">
        <v>28</v>
      </c>
      <c r="C302" s="158">
        <f ca="1">IFERROR(INDEX(BYEs!$B$2:$B$33,MATCH(D302,BYEs!$A$2:$A$33,0)),"N/A")</f>
        <v>6</v>
      </c>
      <c r="D302" s="219" t="str">
        <f ca="1">INDEX(INDIRECT(""&amp;B302&amp;"!F2:F628"),MATCH(A302,INDIRECT(""&amp;B302&amp;"!B2:B628"),0))</f>
        <v>DET</v>
      </c>
      <c r="E302" s="218" t="str">
        <f ca="1">INDEX(INDIRECT(""&amp;$B302&amp;"!AA2:AA628"),MATCH($A302,INDIRECT(""&amp;$B302&amp;"!B2:B628"),0))</f>
        <v>RB9</v>
      </c>
      <c r="F302" s="159">
        <f ca="1">IF(LeagueInfo!$H$7="Starter/Bench",INDEX(INDIRECT(""&amp;B302&amp;"!T2:T628"),MATCH(A302,INDIRECT(""&amp;B302&amp;"!B2:B628"),0)),INDEX(INDIRECT(""&amp;B302&amp;"!AB2:AB628"),MATCH(A302,INDIRECT(""&amp;B302&amp;"!B2:B628"),0)))</f>
        <v>-7.2109732047370017</v>
      </c>
      <c r="G302" s="160">
        <f>IF(H302&gt;0,F302-H302,0)</f>
        <v>0</v>
      </c>
      <c r="H302" s="161"/>
      <c r="I302" s="160">
        <f ca="1">F302*$A$2</f>
        <v>-7.2109732047370017</v>
      </c>
      <c r="J302" s="160" t="s">
        <v>76</v>
      </c>
      <c r="K302" s="160">
        <f>IF(LeagueInfo!$F$7="Yahoo",IFERROR(INDEX(DefaultAuctionValues!$B$2:$B$1000,MATCH(A302,DefaultAuctionValues!$A$2:$A$1000,0)),0),IF(LeagueInfo!$F$7="ESPN",IFERROR(INDEX(DefaultAuctionValues!$C$2:$C$1000,MATCH(A302,DefaultAuctionValues!$A$2:$A$1000,0)),0),IF(LeagueInfo!$F$7="Custom",IFERROR(INDEX(DefaultAuctionValues!$D$2:$D$1000,MATCH(A302,DefaultAuctionValues!$A$2:$A$1000,0)),0))))</f>
        <v>0</v>
      </c>
      <c r="L302" s="160">
        <f ca="1">I302-K302</f>
        <v>-7.2109732047370017</v>
      </c>
      <c r="M302" s="175"/>
      <c r="N302" s="170">
        <f ca="1">INDEX(INDIRECT(""&amp;$B302&amp;"!Z2:Z628"),MATCH($A302,INDIRECT(""&amp;$B302&amp;"!B2:B628"),0))</f>
        <v>-19.885000000000002</v>
      </c>
      <c r="O302" s="158" t="str">
        <f ca="1">IF(INDEX(INDIRECT(""&amp;$B302&amp;"!W2:W628"),MATCH($A302,INDIRECT(""&amp;$B302&amp;"!B2:B628"),0))=0,"",INDEX(INDIRECT(""&amp;$B302&amp;"!W2:W628"),MATCH($A302,INDIRECT(""&amp;$B302&amp;"!B2:B628"),0)))</f>
        <v/>
      </c>
    </row>
    <row r="303" spans="1:15" x14ac:dyDescent="0.25">
      <c r="A303" s="158" t="s">
        <v>598</v>
      </c>
      <c r="B303" s="158" t="s">
        <v>43</v>
      </c>
      <c r="C303" s="158">
        <f ca="1">IFERROR(INDEX(BYEs!$B$2:$B$33,MATCH(D303,BYEs!$A$2:$A$33,0)),"N/A")</f>
        <v>10</v>
      </c>
      <c r="D303" s="219" t="str">
        <f ca="1">INDEX(INDIRECT(""&amp;B303&amp;"!F2:F628"),MATCH(A303,INDIRECT(""&amp;B303&amp;"!B2:B628"),0))</f>
        <v>NYJ</v>
      </c>
      <c r="E303" s="218" t="str">
        <f ca="1">INDEX(INDIRECT(""&amp;$B303&amp;"!AA2:AA628"),MATCH($A303,INDIRECT(""&amp;$B303&amp;"!B2:B628"),0))</f>
        <v>TE10</v>
      </c>
      <c r="F303" s="159">
        <f ca="1">IF(LeagueInfo!$H$7="Starter/Bench",INDEX(INDIRECT(""&amp;B303&amp;"!T2:T628"),MATCH(A303,INDIRECT(""&amp;B303&amp;"!B2:B628"),0)),INDEX(INDIRECT(""&amp;B303&amp;"!AB2:AB628"),MATCH(A303,INDIRECT(""&amp;B303&amp;"!B2:B628"),0)))</f>
        <v>-7.3306423602594162</v>
      </c>
      <c r="G303" s="160">
        <f>IF(H303&gt;0,F303-H303,0)</f>
        <v>0</v>
      </c>
      <c r="H303" s="161"/>
      <c r="I303" s="160">
        <f ca="1">F303*$A$2</f>
        <v>-7.3306423602594162</v>
      </c>
      <c r="J303" s="160" t="s">
        <v>76</v>
      </c>
      <c r="K303" s="160">
        <f>IF(LeagueInfo!$F$7="Yahoo",IFERROR(INDEX(DefaultAuctionValues!$B$2:$B$1000,MATCH(A303,DefaultAuctionValues!$A$2:$A$1000,0)),0),IF(LeagueInfo!$F$7="ESPN",IFERROR(INDEX(DefaultAuctionValues!$C$2:$C$1000,MATCH(A303,DefaultAuctionValues!$A$2:$A$1000,0)),0),IF(LeagueInfo!$F$7="Custom",IFERROR(INDEX(DefaultAuctionValues!$D$2:$D$1000,MATCH(A303,DefaultAuctionValues!$A$2:$A$1000,0)),0))))</f>
        <v>0</v>
      </c>
      <c r="L303" s="160">
        <f ca="1">I303-K303</f>
        <v>-7.3306423602594162</v>
      </c>
      <c r="M303" s="175"/>
      <c r="N303" s="170">
        <f ca="1">INDEX(INDIRECT(""&amp;$B303&amp;"!Z2:Z628"),MATCH($A303,INDIRECT(""&amp;$B303&amp;"!B2:B628"),0))</f>
        <v>-20.215000000000003</v>
      </c>
      <c r="O303" s="158" t="str">
        <f ca="1">IF(INDEX(INDIRECT(""&amp;$B303&amp;"!W2:W628"),MATCH($A303,INDIRECT(""&amp;$B303&amp;"!B2:B628"),0))=0,"",INDEX(INDIRECT(""&amp;$B303&amp;"!W2:W628"),MATCH($A303,INDIRECT(""&amp;$B303&amp;"!B2:B628"),0)))</f>
        <v/>
      </c>
    </row>
    <row r="304" spans="1:15" x14ac:dyDescent="0.25">
      <c r="A304" s="158" t="s">
        <v>2472</v>
      </c>
      <c r="B304" s="158" t="s">
        <v>43</v>
      </c>
      <c r="C304" s="158">
        <f ca="1">IFERROR(INDEX(BYEs!$B$2:$B$33,MATCH(D304,BYEs!$A$2:$A$33,0)),"N/A")</f>
        <v>6</v>
      </c>
      <c r="D304" s="219" t="str">
        <f ca="1">INDEX(INDIRECT(""&amp;B304&amp;"!F2:F628"),MATCH(A304,INDIRECT(""&amp;B304&amp;"!B2:B628"),0))</f>
        <v>HOU</v>
      </c>
      <c r="E304" s="218" t="str">
        <f ca="1">INDEX(INDIRECT(""&amp;$B304&amp;"!AA2:AA628"),MATCH($A304,INDIRECT(""&amp;$B304&amp;"!B2:B628"),0))</f>
        <v>TE10</v>
      </c>
      <c r="F304" s="159">
        <f ca="1">IF(LeagueInfo!$H$7="Starter/Bench",INDEX(INDIRECT(""&amp;B304&amp;"!T2:T628"),MATCH(A304,INDIRECT(""&amp;B304&amp;"!B2:B628"),0)),INDEX(INDIRECT(""&amp;B304&amp;"!AB2:AB628"),MATCH(A304,INDIRECT(""&amp;B304&amp;"!B2:B628"),0)))</f>
        <v>-7.3904769380206243</v>
      </c>
      <c r="G304" s="160">
        <f>IF(H304&gt;0,F304-H304,0)</f>
        <v>0</v>
      </c>
      <c r="H304" s="161"/>
      <c r="I304" s="160">
        <f ca="1">F304*$A$2</f>
        <v>-7.3904769380206243</v>
      </c>
      <c r="J304" s="160" t="s">
        <v>76</v>
      </c>
      <c r="K304" s="160">
        <f>IF(LeagueInfo!$F$7="Yahoo",IFERROR(INDEX(DefaultAuctionValues!$B$2:$B$1000,MATCH(A304,DefaultAuctionValues!$A$2:$A$1000,0)),0),IF(LeagueInfo!$F$7="ESPN",IFERROR(INDEX(DefaultAuctionValues!$C$2:$C$1000,MATCH(A304,DefaultAuctionValues!$A$2:$A$1000,0)),0),IF(LeagueInfo!$F$7="Custom",IFERROR(INDEX(DefaultAuctionValues!$D$2:$D$1000,MATCH(A304,DefaultAuctionValues!$A$2:$A$1000,0)),0))))</f>
        <v>0</v>
      </c>
      <c r="L304" s="160">
        <f ca="1">I304-K304</f>
        <v>-7.3904769380206243</v>
      </c>
      <c r="M304" s="175"/>
      <c r="N304" s="170">
        <f ca="1">INDEX(INDIRECT(""&amp;$B304&amp;"!Z2:Z628"),MATCH($A304,INDIRECT(""&amp;$B304&amp;"!B2:B628"),0))</f>
        <v>-20.380000000000006</v>
      </c>
      <c r="O304" s="158" t="str">
        <f ca="1">IF(INDEX(INDIRECT(""&amp;$B304&amp;"!W2:W628"),MATCH($A304,INDIRECT(""&amp;$B304&amp;"!B2:B628"),0))=0,"",INDEX(INDIRECT(""&amp;$B304&amp;"!W2:W628"),MATCH($A304,INDIRECT(""&amp;$B304&amp;"!B2:B628"),0)))</f>
        <v/>
      </c>
    </row>
    <row r="305" spans="1:15" x14ac:dyDescent="0.25">
      <c r="A305" s="158" t="s">
        <v>2429</v>
      </c>
      <c r="B305" s="158" t="s">
        <v>35</v>
      </c>
      <c r="C305" s="158">
        <f ca="1">IFERROR(INDEX(BYEs!$B$2:$B$33,MATCH(D305,BYEs!$A$2:$A$33,0)),"N/A")</f>
        <v>14</v>
      </c>
      <c r="D305" s="219" t="str">
        <f ca="1">INDEX(INDIRECT(""&amp;B305&amp;"!F2:F628"),MATCH(A305,INDIRECT(""&amp;B305&amp;"!B2:B628"),0))</f>
        <v>GB</v>
      </c>
      <c r="E305" s="218" t="str">
        <f ca="1">INDEX(INDIRECT(""&amp;$B305&amp;"!AA2:AA628"),MATCH($A305,INDIRECT(""&amp;$B305&amp;"!B2:B628"),0))</f>
        <v>WR10</v>
      </c>
      <c r="F305" s="159">
        <f ca="1">IF(LeagueInfo!$H$7="Starter/Bench",INDEX(INDIRECT(""&amp;B305&amp;"!T2:T628"),MATCH(A305,INDIRECT(""&amp;B305&amp;"!B2:B628"),0)),INDEX(INDIRECT(""&amp;B305&amp;"!AB2:AB628"),MATCH(A305,INDIRECT(""&amp;B305&amp;"!B2:B628"),0)))</f>
        <v>-7.4285534875050248</v>
      </c>
      <c r="G305" s="160">
        <f>IF(H305&gt;0,F305-H305,0)</f>
        <v>0</v>
      </c>
      <c r="H305" s="161"/>
      <c r="I305" s="160">
        <f ca="1">F305*$A$2</f>
        <v>-7.4285534875050248</v>
      </c>
      <c r="J305" s="160" t="s">
        <v>76</v>
      </c>
      <c r="K305" s="160">
        <f>IF(LeagueInfo!$F$7="Yahoo",IFERROR(INDEX(DefaultAuctionValues!$B$2:$B$1000,MATCH(A305,DefaultAuctionValues!$A$2:$A$1000,0)),0),IF(LeagueInfo!$F$7="ESPN",IFERROR(INDEX(DefaultAuctionValues!$C$2:$C$1000,MATCH(A305,DefaultAuctionValues!$A$2:$A$1000,0)),0),IF(LeagueInfo!$F$7="Custom",IFERROR(INDEX(DefaultAuctionValues!$D$2:$D$1000,MATCH(A305,DefaultAuctionValues!$A$2:$A$1000,0)),0))))</f>
        <v>1</v>
      </c>
      <c r="L305" s="160">
        <f ca="1">I305-K305</f>
        <v>-8.4285534875050239</v>
      </c>
      <c r="M305" s="175"/>
      <c r="N305" s="170">
        <f ca="1">INDEX(INDIRECT(""&amp;$B305&amp;"!Z2:Z628"),MATCH($A305,INDIRECT(""&amp;$B305&amp;"!B2:B628"),0))</f>
        <v>-20.484999999999992</v>
      </c>
      <c r="O305" s="158" t="str">
        <f ca="1">IF(INDEX(INDIRECT(""&amp;$B305&amp;"!W2:W628"),MATCH($A305,INDIRECT(""&amp;$B305&amp;"!B2:B628"),0))=0,"",INDEX(INDIRECT(""&amp;$B305&amp;"!W2:W628"),MATCH($A305,INDIRECT(""&amp;$B305&amp;"!B2:B628"),0)))</f>
        <v/>
      </c>
    </row>
    <row r="306" spans="1:15" x14ac:dyDescent="0.25">
      <c r="A306" s="158" t="s">
        <v>843</v>
      </c>
      <c r="B306" s="158" t="s">
        <v>35</v>
      </c>
      <c r="C306" s="158">
        <f ca="1">IFERROR(INDEX(BYEs!$B$2:$B$33,MATCH(D306,BYEs!$A$2:$A$33,0)),"N/A")</f>
        <v>10</v>
      </c>
      <c r="D306" s="219" t="str">
        <f ca="1">INDEX(INDIRECT(""&amp;B306&amp;"!F2:F628"),MATCH(A306,INDIRECT(""&amp;B306&amp;"!B2:B628"),0))</f>
        <v>BAL</v>
      </c>
      <c r="E306" s="218" t="str">
        <f ca="1">INDEX(INDIRECT(""&amp;$B306&amp;"!AA2:AA628"),MATCH($A306,INDIRECT(""&amp;$B306&amp;"!B2:B628"),0))</f>
        <v>WR10</v>
      </c>
      <c r="F306" s="159">
        <f ca="1">IF(LeagueInfo!$H$7="Starter/Bench",INDEX(INDIRECT(""&amp;B306&amp;"!T2:T628"),MATCH(A306,INDIRECT(""&amp;B306&amp;"!B2:B628"),0)),INDEX(INDIRECT(""&amp;B306&amp;"!AB2:AB628"),MATCH(A306,INDIRECT(""&amp;B306&amp;"!B2:B628"),0)))</f>
        <v>-7.493827572335432</v>
      </c>
      <c r="G306" s="160">
        <f>IF(H306&gt;0,F306-H306,0)</f>
        <v>0</v>
      </c>
      <c r="H306" s="161"/>
      <c r="I306" s="160">
        <f ca="1">F306*$A$2</f>
        <v>-7.493827572335432</v>
      </c>
      <c r="J306" s="160" t="s">
        <v>76</v>
      </c>
      <c r="K306" s="160">
        <f>IF(LeagueInfo!$F$7="Yahoo",IFERROR(INDEX(DefaultAuctionValues!$B$2:$B$1000,MATCH(A306,DefaultAuctionValues!$A$2:$A$1000,0)),0),IF(LeagueInfo!$F$7="ESPN",IFERROR(INDEX(DefaultAuctionValues!$C$2:$C$1000,MATCH(A306,DefaultAuctionValues!$A$2:$A$1000,0)),0),IF(LeagueInfo!$F$7="Custom",IFERROR(INDEX(DefaultAuctionValues!$D$2:$D$1000,MATCH(A306,DefaultAuctionValues!$A$2:$A$1000,0)),0))))</f>
        <v>0</v>
      </c>
      <c r="L306" s="160">
        <f ca="1">I306-K306</f>
        <v>-7.493827572335432</v>
      </c>
      <c r="M306" s="175"/>
      <c r="N306" s="170">
        <f ca="1">INDEX(INDIRECT(""&amp;$B306&amp;"!Z2:Z628"),MATCH($A306,INDIRECT(""&amp;$B306&amp;"!B2:B628"),0))</f>
        <v>-20.664999999999992</v>
      </c>
      <c r="O306" s="158" t="str">
        <f ca="1">IF(INDEX(INDIRECT(""&amp;$B306&amp;"!W2:W628"),MATCH($A306,INDIRECT(""&amp;$B306&amp;"!B2:B628"),0))=0,"",INDEX(INDIRECT(""&amp;$B306&amp;"!W2:W628"),MATCH($A306,INDIRECT(""&amp;$B306&amp;"!B2:B628"),0)))</f>
        <v/>
      </c>
    </row>
    <row r="307" spans="1:15" x14ac:dyDescent="0.25">
      <c r="A307" s="158" t="s">
        <v>818</v>
      </c>
      <c r="B307" s="158" t="s">
        <v>43</v>
      </c>
      <c r="C307" s="158">
        <f ca="1">IFERROR(INDEX(BYEs!$B$2:$B$33,MATCH(D307,BYEs!$A$2:$A$33,0)),"N/A")</f>
        <v>9</v>
      </c>
      <c r="D307" s="219" t="str">
        <f ca="1">INDEX(INDIRECT(""&amp;B307&amp;"!F2:F628"),MATCH(A307,INDIRECT(""&amp;B307&amp;"!B2:B628"),0))</f>
        <v>DEN</v>
      </c>
      <c r="E307" s="218" t="str">
        <f ca="1">INDEX(INDIRECT(""&amp;$B307&amp;"!AA2:AA628"),MATCH($A307,INDIRECT(""&amp;$B307&amp;"!B2:B628"),0))</f>
        <v>TE10</v>
      </c>
      <c r="F307" s="159">
        <f ca="1">IF(LeagueInfo!$H$7="Starter/Bench",INDEX(INDIRECT(""&amp;B307&amp;"!T2:T628"),MATCH(A307,INDIRECT(""&amp;B307&amp;"!B2:B628"),0)),INDEX(INDIRECT(""&amp;B307&amp;"!AB2:AB628"),MATCH(A307,INDIRECT(""&amp;B307&amp;"!B2:B628"),0)))</f>
        <v>-7.5754201783734461</v>
      </c>
      <c r="G307" s="160">
        <f>IF(H307&gt;0,F307-H307,0)</f>
        <v>0</v>
      </c>
      <c r="H307" s="161"/>
      <c r="I307" s="160">
        <f ca="1">F307*$A$2</f>
        <v>-7.5754201783734461</v>
      </c>
      <c r="J307" s="160" t="s">
        <v>76</v>
      </c>
      <c r="K307" s="160">
        <f>IF(LeagueInfo!$F$7="Yahoo",IFERROR(INDEX(DefaultAuctionValues!$B$2:$B$1000,MATCH(A307,DefaultAuctionValues!$A$2:$A$1000,0)),0),IF(LeagueInfo!$F$7="ESPN",IFERROR(INDEX(DefaultAuctionValues!$C$2:$C$1000,MATCH(A307,DefaultAuctionValues!$A$2:$A$1000,0)),0),IF(LeagueInfo!$F$7="Custom",IFERROR(INDEX(DefaultAuctionValues!$D$2:$D$1000,MATCH(A307,DefaultAuctionValues!$A$2:$A$1000,0)),0))))</f>
        <v>0</v>
      </c>
      <c r="L307" s="160">
        <f ca="1">I307-K307</f>
        <v>-7.5754201783734461</v>
      </c>
      <c r="M307" s="175"/>
      <c r="N307" s="170">
        <f ca="1">INDEX(INDIRECT(""&amp;$B307&amp;"!Z2:Z628"),MATCH($A307,INDIRECT(""&amp;$B307&amp;"!B2:B628"),0))</f>
        <v>-20.890000000000004</v>
      </c>
      <c r="O307" s="158" t="str">
        <f ca="1">IF(INDEX(INDIRECT(""&amp;$B307&amp;"!W2:W628"),MATCH($A307,INDIRECT(""&amp;$B307&amp;"!B2:B628"),0))=0,"",INDEX(INDIRECT(""&amp;$B307&amp;"!W2:W628"),MATCH($A307,INDIRECT(""&amp;$B307&amp;"!B2:B628"),0)))</f>
        <v/>
      </c>
    </row>
    <row r="308" spans="1:15" x14ac:dyDescent="0.25">
      <c r="A308" s="158" t="s">
        <v>811</v>
      </c>
      <c r="B308" s="158" t="s">
        <v>28</v>
      </c>
      <c r="C308" s="158">
        <f ca="1">IFERROR(INDEX(BYEs!$B$2:$B$33,MATCH(D308,BYEs!$A$2:$A$33,0)),"N/A")</f>
        <v>9</v>
      </c>
      <c r="D308" s="219" t="str">
        <f ca="1">INDEX(INDIRECT(""&amp;B308&amp;"!F2:F628"),MATCH(A308,INDIRECT(""&amp;B308&amp;"!B2:B628"),0))</f>
        <v>CLE</v>
      </c>
      <c r="E308" s="218" t="str">
        <f ca="1">INDEX(INDIRECT(""&amp;$B308&amp;"!AA2:AA628"),MATCH($A308,INDIRECT(""&amp;$B308&amp;"!B2:B628"),0))</f>
        <v>RB9</v>
      </c>
      <c r="F308" s="159">
        <f ca="1">IF(LeagueInfo!$H$7="Starter/Bench",INDEX(INDIRECT(""&amp;B308&amp;"!T2:T628"),MATCH(A308,INDIRECT(""&amp;B308&amp;"!B2:B628"),0)),INDEX(INDIRECT(""&amp;B308&amp;"!AB2:AB628"),MATCH(A308,INDIRECT(""&amp;B308&amp;"!B2:B628"),0)))</f>
        <v>-7.6533864463653218</v>
      </c>
      <c r="G308" s="160">
        <f>IF(H308&gt;0,F308-H308,0)</f>
        <v>0</v>
      </c>
      <c r="H308" s="161"/>
      <c r="I308" s="160">
        <f ca="1">F308*$A$2</f>
        <v>-7.6533864463653218</v>
      </c>
      <c r="J308" s="160" t="s">
        <v>76</v>
      </c>
      <c r="K308" s="160">
        <f>IF(LeagueInfo!$F$7="Yahoo",IFERROR(INDEX(DefaultAuctionValues!$B$2:$B$1000,MATCH(A308,DefaultAuctionValues!$A$2:$A$1000,0)),0),IF(LeagueInfo!$F$7="ESPN",IFERROR(INDEX(DefaultAuctionValues!$C$2:$C$1000,MATCH(A308,DefaultAuctionValues!$A$2:$A$1000,0)),0),IF(LeagueInfo!$F$7="Custom",IFERROR(INDEX(DefaultAuctionValues!$D$2:$D$1000,MATCH(A308,DefaultAuctionValues!$A$2:$A$1000,0)),0))))</f>
        <v>0</v>
      </c>
      <c r="L308" s="160">
        <f ca="1">I308-K308</f>
        <v>-7.6533864463653218</v>
      </c>
      <c r="M308" s="175"/>
      <c r="N308" s="170">
        <f ca="1">INDEX(INDIRECT(""&amp;$B308&amp;"!Z2:Z628"),MATCH($A308,INDIRECT(""&amp;$B308&amp;"!B2:B628"),0))</f>
        <v>-21.105000000000004</v>
      </c>
      <c r="O308" s="158" t="str">
        <f ca="1">IF(INDEX(INDIRECT(""&amp;$B308&amp;"!W2:W628"),MATCH($A308,INDIRECT(""&amp;$B308&amp;"!B2:B628"),0))=0,"",INDEX(INDIRECT(""&amp;$B308&amp;"!W2:W628"),MATCH($A308,INDIRECT(""&amp;$B308&amp;"!B2:B628"),0)))</f>
        <v/>
      </c>
    </row>
    <row r="309" spans="1:15" x14ac:dyDescent="0.25">
      <c r="A309" s="158" t="s">
        <v>2657</v>
      </c>
      <c r="B309" s="158" t="s">
        <v>28</v>
      </c>
      <c r="C309" s="158">
        <f ca="1">IFERROR(INDEX(BYEs!$B$2:$B$33,MATCH(D309,BYEs!$A$2:$A$33,0)),"N/A")</f>
        <v>14</v>
      </c>
      <c r="D309" s="219" t="str">
        <f ca="1">INDEX(INDIRECT(""&amp;B309&amp;"!F2:F628"),MATCH(A309,INDIRECT(""&amp;B309&amp;"!B2:B628"),0))</f>
        <v>GB</v>
      </c>
      <c r="E309" s="218" t="str">
        <f ca="1">INDEX(INDIRECT(""&amp;$B309&amp;"!AA2:AA628"),MATCH($A309,INDIRECT(""&amp;$B309&amp;"!B2:B628"),0))</f>
        <v>RB10</v>
      </c>
      <c r="F309" s="159">
        <f ca="1">IF(LeagueInfo!$H$7="Starter/Bench",INDEX(INDIRECT(""&amp;B309&amp;"!T2:T628"),MATCH(A309,INDIRECT(""&amp;B309&amp;"!B2:B628"),0)),INDEX(INDIRECT(""&amp;B309&amp;"!AB2:AB628"),MATCH(A309,INDIRECT(""&amp;B309&amp;"!B2:B628"),0)))</f>
        <v>-7.8473955318334792</v>
      </c>
      <c r="G309" s="160">
        <f>IF(H309&gt;0,F309-H309,0)</f>
        <v>0</v>
      </c>
      <c r="H309" s="161"/>
      <c r="I309" s="160">
        <f ca="1">F309*$A$2</f>
        <v>-7.8473955318334792</v>
      </c>
      <c r="J309" s="160" t="s">
        <v>76</v>
      </c>
      <c r="K309" s="160">
        <f>IF(LeagueInfo!$F$7="Yahoo",IFERROR(INDEX(DefaultAuctionValues!$B$2:$B$1000,MATCH(A309,DefaultAuctionValues!$A$2:$A$1000,0)),0),IF(LeagueInfo!$F$7="ESPN",IFERROR(INDEX(DefaultAuctionValues!$C$2:$C$1000,MATCH(A309,DefaultAuctionValues!$A$2:$A$1000,0)),0),IF(LeagueInfo!$F$7="Custom",IFERROR(INDEX(DefaultAuctionValues!$D$2:$D$1000,MATCH(A309,DefaultAuctionValues!$A$2:$A$1000,0)),0))))</f>
        <v>0</v>
      </c>
      <c r="L309" s="160">
        <f ca="1">I309-K309</f>
        <v>-7.8473955318334792</v>
      </c>
      <c r="M309" s="175"/>
      <c r="N309" s="170">
        <f ca="1">INDEX(INDIRECT(""&amp;$B309&amp;"!Z2:Z628"),MATCH($A309,INDIRECT(""&amp;$B309&amp;"!B2:B628"),0))</f>
        <v>-21.640000000000004</v>
      </c>
      <c r="O309" s="158" t="str">
        <f ca="1">IF(INDEX(INDIRECT(""&amp;$B309&amp;"!W2:W628"),MATCH($A309,INDIRECT(""&amp;$B309&amp;"!B2:B628"),0))=0,"",INDEX(INDIRECT(""&amp;$B309&amp;"!W2:W628"),MATCH($A309,INDIRECT(""&amp;$B309&amp;"!B2:B628"),0)))</f>
        <v/>
      </c>
    </row>
    <row r="310" spans="1:15" x14ac:dyDescent="0.25">
      <c r="A310" s="158" t="s">
        <v>842</v>
      </c>
      <c r="B310" s="158" t="s">
        <v>35</v>
      </c>
      <c r="C310" s="158">
        <f ca="1">IFERROR(INDEX(BYEs!$B$2:$B$33,MATCH(D310,BYEs!$A$2:$A$33,0)),"N/A")</f>
        <v>13</v>
      </c>
      <c r="D310" s="219" t="str">
        <f ca="1">INDEX(INDIRECT(""&amp;B310&amp;"!F2:F628"),MATCH(A310,INDIRECT(""&amp;B310&amp;"!B2:B628"),0))</f>
        <v>CAR</v>
      </c>
      <c r="E310" s="218" t="str">
        <f ca="1">INDEX(INDIRECT(""&amp;$B310&amp;"!AA2:AA628"),MATCH($A310,INDIRECT(""&amp;$B310&amp;"!B2:B628"),0))</f>
        <v>WR10</v>
      </c>
      <c r="F310" s="159">
        <f ca="1">IF(LeagueInfo!$H$7="Starter/Bench",INDEX(INDIRECT(""&amp;B310&amp;"!T2:T628"),MATCH(A310,INDIRECT(""&amp;B310&amp;"!B2:B628"),0)),INDEX(INDIRECT(""&amp;B310&amp;"!AB2:AB628"),MATCH(A310,INDIRECT(""&amp;B310&amp;"!B2:B628"),0)))</f>
        <v>-7.8709667291333441</v>
      </c>
      <c r="G310" s="160">
        <f>IF(H310&gt;0,F310-H310,0)</f>
        <v>0</v>
      </c>
      <c r="H310" s="161"/>
      <c r="I310" s="160">
        <f ca="1">F310*$A$2</f>
        <v>-7.8709667291333441</v>
      </c>
      <c r="J310" s="160" t="s">
        <v>76</v>
      </c>
      <c r="K310" s="160">
        <f>IF(LeagueInfo!$F$7="Yahoo",IFERROR(INDEX(DefaultAuctionValues!$B$2:$B$1000,MATCH(A310,DefaultAuctionValues!$A$2:$A$1000,0)),0),IF(LeagueInfo!$F$7="ESPN",IFERROR(INDEX(DefaultAuctionValues!$C$2:$C$1000,MATCH(A310,DefaultAuctionValues!$A$2:$A$1000,0)),0),IF(LeagueInfo!$F$7="Custom",IFERROR(INDEX(DefaultAuctionValues!$D$2:$D$1000,MATCH(A310,DefaultAuctionValues!$A$2:$A$1000,0)),0))))</f>
        <v>0</v>
      </c>
      <c r="L310" s="160">
        <f ca="1">I310-K310</f>
        <v>-7.8709667291333441</v>
      </c>
      <c r="M310" s="175"/>
      <c r="N310" s="170">
        <f ca="1">INDEX(INDIRECT(""&amp;$B310&amp;"!Z2:Z628"),MATCH($A310,INDIRECT(""&amp;$B310&amp;"!B2:B628"),0))</f>
        <v>-21.704999999999991</v>
      </c>
      <c r="O310" s="158" t="str">
        <f ca="1">IF(INDEX(INDIRECT(""&amp;$B310&amp;"!W2:W628"),MATCH($A310,INDIRECT(""&amp;$B310&amp;"!B2:B628"),0))=0,"",INDEX(INDIRECT(""&amp;$B310&amp;"!W2:W628"),MATCH($A310,INDIRECT(""&amp;$B310&amp;"!B2:B628"),0)))</f>
        <v/>
      </c>
    </row>
    <row r="311" spans="1:15" x14ac:dyDescent="0.25">
      <c r="A311" s="158" t="s">
        <v>561</v>
      </c>
      <c r="B311" s="158" t="s">
        <v>28</v>
      </c>
      <c r="C311" s="158">
        <f ca="1">IFERROR(INDEX(BYEs!$B$2:$B$33,MATCH(D311,BYEs!$A$2:$A$33,0)),"N/A")</f>
        <v>14</v>
      </c>
      <c r="D311" s="219" t="str">
        <f ca="1">INDEX(INDIRECT(""&amp;B311&amp;"!F2:F628"),MATCH(A311,INDIRECT(""&amp;B311&amp;"!B2:B628"),0))</f>
        <v>IND</v>
      </c>
      <c r="E311" s="218" t="str">
        <f ca="1">INDEX(INDIRECT(""&amp;$B311&amp;"!AA2:AA628"),MATCH($A311,INDIRECT(""&amp;$B311&amp;"!B2:B628"),0))</f>
        <v>RB10</v>
      </c>
      <c r="F311" s="159">
        <f ca="1">IF(LeagueInfo!$H$7="Starter/Bench",INDEX(INDIRECT(""&amp;B311&amp;"!T2:T628"),MATCH(A311,INDIRECT(""&amp;B311&amp;"!B2:B628"),0)),INDEX(INDIRECT(""&amp;B311&amp;"!AB2:AB628"),MATCH(A311,INDIRECT(""&amp;B311&amp;"!B2:B628"),0)))</f>
        <v>-7.8745930671794833</v>
      </c>
      <c r="G311" s="160">
        <f>IF(H311&gt;0,F311-H311,0)</f>
        <v>0</v>
      </c>
      <c r="H311" s="161"/>
      <c r="I311" s="160">
        <f ca="1">F311*$A$2</f>
        <v>-7.8745930671794833</v>
      </c>
      <c r="J311" s="160" t="s">
        <v>76</v>
      </c>
      <c r="K311" s="160">
        <f>IF(LeagueInfo!$F$7="Yahoo",IFERROR(INDEX(DefaultAuctionValues!$B$2:$B$1000,MATCH(A311,DefaultAuctionValues!$A$2:$A$1000,0)),0),IF(LeagueInfo!$F$7="ESPN",IFERROR(INDEX(DefaultAuctionValues!$C$2:$C$1000,MATCH(A311,DefaultAuctionValues!$A$2:$A$1000,0)),0),IF(LeagueInfo!$F$7="Custom",IFERROR(INDEX(DefaultAuctionValues!$D$2:$D$1000,MATCH(A311,DefaultAuctionValues!$A$2:$A$1000,0)),0))))</f>
        <v>0</v>
      </c>
      <c r="L311" s="160">
        <f ca="1">I311-K311</f>
        <v>-7.8745930671794833</v>
      </c>
      <c r="M311" s="175"/>
      <c r="N311" s="170">
        <f ca="1">INDEX(INDIRECT(""&amp;$B311&amp;"!Z2:Z628"),MATCH($A311,INDIRECT(""&amp;$B311&amp;"!B2:B628"),0))</f>
        <v>-21.715000000000007</v>
      </c>
      <c r="O311" s="158" t="str">
        <f ca="1">IF(INDEX(INDIRECT(""&amp;$B311&amp;"!W2:W628"),MATCH($A311,INDIRECT(""&amp;$B311&amp;"!B2:B628"),0))=0,"",INDEX(INDIRECT(""&amp;$B311&amp;"!W2:W628"),MATCH($A311,INDIRECT(""&amp;$B311&amp;"!B2:B628"),0)))</f>
        <v/>
      </c>
    </row>
    <row r="312" spans="1:15" x14ac:dyDescent="0.25">
      <c r="A312" s="158" t="s">
        <v>884</v>
      </c>
      <c r="B312" s="158" t="s">
        <v>28</v>
      </c>
      <c r="C312" s="158">
        <f ca="1">IFERROR(INDEX(BYEs!$B$2:$B$33,MATCH(D312,BYEs!$A$2:$A$33,0)),"N/A")</f>
        <v>11</v>
      </c>
      <c r="D312" s="219" t="str">
        <f ca="1">INDEX(INDIRECT(""&amp;B312&amp;"!F2:F628"),MATCH(A312,INDIRECT(""&amp;B312&amp;"!B2:B628"),0))</f>
        <v>TB</v>
      </c>
      <c r="E312" s="218" t="str">
        <f ca="1">INDEX(INDIRECT(""&amp;$B312&amp;"!AA2:AA628"),MATCH($A312,INDIRECT(""&amp;$B312&amp;"!B2:B628"),0))</f>
        <v>RB10</v>
      </c>
      <c r="F312" s="159">
        <f ca="1">IF(LeagueInfo!$H$7="Starter/Bench",INDEX(INDIRECT(""&amp;B312&amp;"!T2:T628"),MATCH(A312,INDIRECT(""&amp;B312&amp;"!B2:B628"),0)),INDEX(INDIRECT(""&amp;B312&amp;"!AB2:AB628"),MATCH(A312,INDIRECT(""&amp;B312&amp;"!B2:B628"),0)))</f>
        <v>-7.9670646873558955</v>
      </c>
      <c r="G312" s="160">
        <f>IF(H312&gt;0,F312-H312,0)</f>
        <v>0</v>
      </c>
      <c r="H312" s="161"/>
      <c r="I312" s="160">
        <f ca="1">F312*$A$2</f>
        <v>-7.9670646873558955</v>
      </c>
      <c r="J312" s="160" t="s">
        <v>76</v>
      </c>
      <c r="K312" s="160">
        <f>IF(LeagueInfo!$F$7="Yahoo",IFERROR(INDEX(DefaultAuctionValues!$B$2:$B$1000,MATCH(A312,DefaultAuctionValues!$A$2:$A$1000,0)),0),IF(LeagueInfo!$F$7="ESPN",IFERROR(INDEX(DefaultAuctionValues!$C$2:$C$1000,MATCH(A312,DefaultAuctionValues!$A$2:$A$1000,0)),0),IF(LeagueInfo!$F$7="Custom",IFERROR(INDEX(DefaultAuctionValues!$D$2:$D$1000,MATCH(A312,DefaultAuctionValues!$A$2:$A$1000,0)),0))))</f>
        <v>0</v>
      </c>
      <c r="L312" s="160">
        <f ca="1">I312-K312</f>
        <v>-7.9670646873558955</v>
      </c>
      <c r="M312" s="175"/>
      <c r="N312" s="170">
        <f ca="1">INDEX(INDIRECT(""&amp;$B312&amp;"!Z2:Z628"),MATCH($A312,INDIRECT(""&amp;$B312&amp;"!B2:B628"),0))</f>
        <v>-21.97000000000001</v>
      </c>
      <c r="O312" s="158" t="str">
        <f ca="1">IF(INDEX(INDIRECT(""&amp;$B312&amp;"!W2:W628"),MATCH($A312,INDIRECT(""&amp;$B312&amp;"!B2:B628"),0))=0,"",INDEX(INDIRECT(""&amp;$B312&amp;"!W2:W628"),MATCH($A312,INDIRECT(""&amp;$B312&amp;"!B2:B628"),0)))</f>
        <v/>
      </c>
    </row>
    <row r="313" spans="1:15" x14ac:dyDescent="0.25">
      <c r="A313" s="158" t="s">
        <v>820</v>
      </c>
      <c r="B313" s="158" t="s">
        <v>43</v>
      </c>
      <c r="C313" s="158">
        <f ca="1">IFERROR(INDEX(BYEs!$B$2:$B$33,MATCH(D313,BYEs!$A$2:$A$33,0)),"N/A")</f>
        <v>9</v>
      </c>
      <c r="D313" s="219" t="str">
        <f ca="1">INDEX(INDIRECT(""&amp;B313&amp;"!F2:F628"),MATCH(A313,INDIRECT(""&amp;B313&amp;"!B2:B628"),0))</f>
        <v>CLE</v>
      </c>
      <c r="E313" s="218" t="str">
        <f ca="1">INDEX(INDIRECT(""&amp;$B313&amp;"!AA2:AA628"),MATCH($A313,INDIRECT(""&amp;$B313&amp;"!B2:B628"),0))</f>
        <v>TE10</v>
      </c>
      <c r="F313" s="159">
        <f ca="1">IF(LeagueInfo!$H$7="Starter/Bench",INDEX(INDIRECT(""&amp;B313&amp;"!T2:T628"),MATCH(A313,INDIRECT(""&amp;B313&amp;"!B2:B628"),0)),INDEX(INDIRECT(""&amp;B313&amp;"!AB2:AB628"),MATCH(A313,INDIRECT(""&amp;B313&amp;"!B2:B628"),0)))</f>
        <v>-7.9870095466096283</v>
      </c>
      <c r="G313" s="160">
        <f>IF(H313&gt;0,F313-H313,0)</f>
        <v>0</v>
      </c>
      <c r="H313" s="161"/>
      <c r="I313" s="160">
        <f ca="1">F313*$A$2</f>
        <v>-7.9870095466096283</v>
      </c>
      <c r="J313" s="160" t="s">
        <v>76</v>
      </c>
      <c r="K313" s="160">
        <f>IF(LeagueInfo!$F$7="Yahoo",IFERROR(INDEX(DefaultAuctionValues!$B$2:$B$1000,MATCH(A313,DefaultAuctionValues!$A$2:$A$1000,0)),0),IF(LeagueInfo!$F$7="ESPN",IFERROR(INDEX(DefaultAuctionValues!$C$2:$C$1000,MATCH(A313,DefaultAuctionValues!$A$2:$A$1000,0)),0),IF(LeagueInfo!$F$7="Custom",IFERROR(INDEX(DefaultAuctionValues!$D$2:$D$1000,MATCH(A313,DefaultAuctionValues!$A$2:$A$1000,0)),0))))</f>
        <v>0</v>
      </c>
      <c r="L313" s="160">
        <f ca="1">I313-K313</f>
        <v>-7.9870095466096283</v>
      </c>
      <c r="M313" s="175"/>
      <c r="N313" s="170">
        <f ca="1">INDEX(INDIRECT(""&amp;$B313&amp;"!Z2:Z628"),MATCH($A313,INDIRECT(""&amp;$B313&amp;"!B2:B628"),0))</f>
        <v>-22.025000000000002</v>
      </c>
      <c r="O313" s="158" t="str">
        <f ca="1">IF(INDEX(INDIRECT(""&amp;$B313&amp;"!W2:W628"),MATCH($A313,INDIRECT(""&amp;$B313&amp;"!B2:B628"),0))=0,"",INDEX(INDIRECT(""&amp;$B313&amp;"!W2:W628"),MATCH($A313,INDIRECT(""&amp;$B313&amp;"!B2:B628"),0)))</f>
        <v/>
      </c>
    </row>
    <row r="314" spans="1:15" x14ac:dyDescent="0.25">
      <c r="A314" s="158" t="s">
        <v>2420</v>
      </c>
      <c r="B314" s="158" t="s">
        <v>35</v>
      </c>
      <c r="C314" s="158">
        <f ca="1">IFERROR(INDEX(BYEs!$B$2:$B$33,MATCH(D314,BYEs!$A$2:$A$33,0)),"N/A")</f>
        <v>14</v>
      </c>
      <c r="D314" s="219" t="str">
        <f ca="1">INDEX(INDIRECT(""&amp;B314&amp;"!F2:F628"),MATCH(A314,INDIRECT(""&amp;B314&amp;"!B2:B628"),0))</f>
        <v>GB</v>
      </c>
      <c r="E314" s="218" t="str">
        <f ca="1">INDEX(INDIRECT(""&amp;$B314&amp;"!AA2:AA628"),MATCH($A314,INDIRECT(""&amp;$B314&amp;"!B2:B628"),0))</f>
        <v>WR10</v>
      </c>
      <c r="F314" s="159">
        <f ca="1">IF(LeagueInfo!$H$7="Starter/Bench",INDEX(INDIRECT(""&amp;B314&amp;"!T2:T628"),MATCH(A314,INDIRECT(""&amp;B314&amp;"!B2:B628"),0)),INDEX(INDIRECT(""&amp;B314&amp;"!AB2:AB628"),MATCH(A314,INDIRECT(""&amp;B314&amp;"!B2:B628"),0)))</f>
        <v>-8.012393912932561</v>
      </c>
      <c r="G314" s="160">
        <f>IF(H314&gt;0,F314-H314,0)</f>
        <v>0</v>
      </c>
      <c r="H314" s="161"/>
      <c r="I314" s="160">
        <f ca="1">F314*$A$2</f>
        <v>-8.012393912932561</v>
      </c>
      <c r="J314" s="160" t="s">
        <v>76</v>
      </c>
      <c r="K314" s="160">
        <f>IF(LeagueInfo!$F$7="Yahoo",IFERROR(INDEX(DefaultAuctionValues!$B$2:$B$1000,MATCH(A314,DefaultAuctionValues!$A$2:$A$1000,0)),0),IF(LeagueInfo!$F$7="ESPN",IFERROR(INDEX(DefaultAuctionValues!$C$2:$C$1000,MATCH(A314,DefaultAuctionValues!$A$2:$A$1000,0)),0),IF(LeagueInfo!$F$7="Custom",IFERROR(INDEX(DefaultAuctionValues!$D$2:$D$1000,MATCH(A314,DefaultAuctionValues!$A$2:$A$1000,0)),0))))</f>
        <v>1</v>
      </c>
      <c r="L314" s="160">
        <f ca="1">I314-K314</f>
        <v>-9.012393912932561</v>
      </c>
      <c r="M314" s="175"/>
      <c r="N314" s="170">
        <f ca="1">INDEX(INDIRECT(""&amp;$B314&amp;"!Z2:Z628"),MATCH($A314,INDIRECT(""&amp;$B314&amp;"!B2:B628"),0))</f>
        <v>-22.094999999999992</v>
      </c>
      <c r="O314" s="158" t="str">
        <f ca="1">IF(INDEX(INDIRECT(""&amp;$B314&amp;"!W2:W628"),MATCH($A314,INDIRECT(""&amp;$B314&amp;"!B2:B628"),0))=0,"",INDEX(INDIRECT(""&amp;$B314&amp;"!W2:W628"),MATCH($A314,INDIRECT(""&amp;$B314&amp;"!B2:B628"),0)))</f>
        <v/>
      </c>
    </row>
    <row r="315" spans="1:15" x14ac:dyDescent="0.25">
      <c r="A315" s="158" t="s">
        <v>2421</v>
      </c>
      <c r="B315" s="158" t="s">
        <v>35</v>
      </c>
      <c r="C315" s="158">
        <f ca="1">IFERROR(INDEX(BYEs!$B$2:$B$33,MATCH(D315,BYEs!$A$2:$A$33,0)),"N/A")</f>
        <v>6</v>
      </c>
      <c r="D315" s="219" t="str">
        <f ca="1">INDEX(INDIRECT(""&amp;B315&amp;"!F2:F628"),MATCH(A315,INDIRECT(""&amp;B315&amp;"!B2:B628"),0))</f>
        <v>DET</v>
      </c>
      <c r="E315" s="218" t="str">
        <f ca="1">INDEX(INDIRECT(""&amp;$B315&amp;"!AA2:AA628"),MATCH($A315,INDIRECT(""&amp;$B315&amp;"!B2:B628"),0))</f>
        <v>WR10</v>
      </c>
      <c r="F315" s="159">
        <f ca="1">IF(LeagueInfo!$H$7="Starter/Bench",INDEX(INDIRECT(""&amp;B315&amp;"!T2:T628"),MATCH(A315,INDIRECT(""&amp;B315&amp;"!B2:B628"),0)),INDEX(INDIRECT(""&amp;B315&amp;"!AB2:AB628"),MATCH(A315,INDIRECT(""&amp;B315&amp;"!B2:B628"),0)))</f>
        <v>-8.0450309553477641</v>
      </c>
      <c r="G315" s="160">
        <f>IF(H315&gt;0,F315-H315,0)</f>
        <v>0</v>
      </c>
      <c r="H315" s="161"/>
      <c r="I315" s="160">
        <f ca="1">F315*$A$2</f>
        <v>-8.0450309553477641</v>
      </c>
      <c r="J315" s="160" t="s">
        <v>76</v>
      </c>
      <c r="K315" s="160">
        <f>IF(LeagueInfo!$F$7="Yahoo",IFERROR(INDEX(DefaultAuctionValues!$B$2:$B$1000,MATCH(A315,DefaultAuctionValues!$A$2:$A$1000,0)),0),IF(LeagueInfo!$F$7="ESPN",IFERROR(INDEX(DefaultAuctionValues!$C$2:$C$1000,MATCH(A315,DefaultAuctionValues!$A$2:$A$1000,0)),0),IF(LeagueInfo!$F$7="Custom",IFERROR(INDEX(DefaultAuctionValues!$D$2:$D$1000,MATCH(A315,DefaultAuctionValues!$A$2:$A$1000,0)),0))))</f>
        <v>2</v>
      </c>
      <c r="L315" s="160">
        <f ca="1">I315-K315</f>
        <v>-10.045030955347764</v>
      </c>
      <c r="M315" s="175"/>
      <c r="N315" s="170">
        <f ca="1">INDEX(INDIRECT(""&amp;$B315&amp;"!Z2:Z628"),MATCH($A315,INDIRECT(""&amp;$B315&amp;"!B2:B628"),0))</f>
        <v>-22.184999999999988</v>
      </c>
      <c r="O315" s="158" t="str">
        <f ca="1">IF(INDEX(INDIRECT(""&amp;$B315&amp;"!W2:W628"),MATCH($A315,INDIRECT(""&amp;$B315&amp;"!B2:B628"),0))=0,"",INDEX(INDIRECT(""&amp;$B315&amp;"!W2:W628"),MATCH($A315,INDIRECT(""&amp;$B315&amp;"!B2:B628"),0)))</f>
        <v/>
      </c>
    </row>
    <row r="316" spans="1:15" x14ac:dyDescent="0.25">
      <c r="A316" s="158" t="s">
        <v>120</v>
      </c>
      <c r="B316" s="158" t="s">
        <v>35</v>
      </c>
      <c r="C316" s="158">
        <f ca="1">IFERROR(INDEX(BYEs!$B$2:$B$33,MATCH(D316,BYEs!$A$2:$A$33,0)),"N/A")</f>
        <v>14</v>
      </c>
      <c r="D316" s="219" t="str">
        <f ca="1">INDEX(INDIRECT(""&amp;B316&amp;"!F2:F628"),MATCH(A316,INDIRECT(""&amp;B316&amp;"!B2:B628"),0))</f>
        <v>GB</v>
      </c>
      <c r="E316" s="218" t="str">
        <f ca="1">INDEX(INDIRECT(""&amp;$B316&amp;"!AA2:AA628"),MATCH($A316,INDIRECT(""&amp;$B316&amp;"!B2:B628"),0))</f>
        <v>WR10</v>
      </c>
      <c r="F316" s="159">
        <f ca="1">IF(LeagueInfo!$H$7="Starter/Bench",INDEX(INDIRECT(""&amp;B316&amp;"!T2:T628"),MATCH(A316,INDIRECT(""&amp;B316&amp;"!B2:B628"),0)),INDEX(INDIRECT(""&amp;B316&amp;"!AB2:AB628"),MATCH(A316,INDIRECT(""&amp;B316&amp;"!B2:B628"),0)))</f>
        <v>-8.1610737728240448</v>
      </c>
      <c r="G316" s="160">
        <f>IF(H316&gt;0,F316-H316,0)</f>
        <v>0</v>
      </c>
      <c r="H316" s="161"/>
      <c r="I316" s="160">
        <f ca="1">F316*$A$2</f>
        <v>-8.1610737728240448</v>
      </c>
      <c r="J316" s="160" t="s">
        <v>76</v>
      </c>
      <c r="K316" s="160">
        <f>IF(LeagueInfo!$F$7="Yahoo",IFERROR(INDEX(DefaultAuctionValues!$B$2:$B$1000,MATCH(A316,DefaultAuctionValues!$A$2:$A$1000,0)),0),IF(LeagueInfo!$F$7="ESPN",IFERROR(INDEX(DefaultAuctionValues!$C$2:$C$1000,MATCH(A316,DefaultAuctionValues!$A$2:$A$1000,0)),0),IF(LeagueInfo!$F$7="Custom",IFERROR(INDEX(DefaultAuctionValues!$D$2:$D$1000,MATCH(A316,DefaultAuctionValues!$A$2:$A$1000,0)),0))))</f>
        <v>1</v>
      </c>
      <c r="L316" s="160">
        <f ca="1">I316-K316</f>
        <v>-9.1610737728240448</v>
      </c>
      <c r="M316" s="175"/>
      <c r="N316" s="170">
        <f ca="1">INDEX(INDIRECT(""&amp;$B316&amp;"!Z2:Z628"),MATCH($A316,INDIRECT(""&amp;$B316&amp;"!B2:B628"),0))</f>
        <v>-22.504999999999988</v>
      </c>
      <c r="O316" s="158" t="str">
        <f ca="1">IF(INDEX(INDIRECT(""&amp;$B316&amp;"!W2:W628"),MATCH($A316,INDIRECT(""&amp;$B316&amp;"!B2:B628"),0))=0,"",INDEX(INDIRECT(""&amp;$B316&amp;"!W2:W628"),MATCH($A316,INDIRECT(""&amp;$B316&amp;"!B2:B628"),0)))</f>
        <v/>
      </c>
    </row>
    <row r="317" spans="1:15" x14ac:dyDescent="0.25">
      <c r="A317" s="158" t="s">
        <v>939</v>
      </c>
      <c r="B317" s="158" t="s">
        <v>28</v>
      </c>
      <c r="C317" s="158">
        <f ca="1">IFERROR(INDEX(BYEs!$B$2:$B$33,MATCH(D317,BYEs!$A$2:$A$33,0)),"N/A")</f>
        <v>10</v>
      </c>
      <c r="D317" s="219" t="str">
        <f ca="1">INDEX(INDIRECT(""&amp;B317&amp;"!F2:F628"),MATCH(A317,INDIRECT(""&amp;B317&amp;"!B2:B628"),0))</f>
        <v>CIN</v>
      </c>
      <c r="E317" s="218" t="str">
        <f ca="1">INDEX(INDIRECT(""&amp;$B317&amp;"!AA2:AA628"),MATCH($A317,INDIRECT(""&amp;$B317&amp;"!B2:B628"),0))</f>
        <v>RB10</v>
      </c>
      <c r="F317" s="159">
        <f ca="1">IF(LeagueInfo!$H$7="Starter/Bench",INDEX(INDIRECT(""&amp;B317&amp;"!T2:T628"),MATCH(A317,INDIRECT(""&amp;B317&amp;"!B2:B628"),0)),INDEX(INDIRECT(""&amp;B317&amp;"!AB2:AB628"),MATCH(A317,INDIRECT(""&amp;B317&amp;"!B2:B628"),0)))</f>
        <v>-8.193710815239255</v>
      </c>
      <c r="G317" s="160">
        <f>IF(H317&gt;0,F317-H317,0)</f>
        <v>0</v>
      </c>
      <c r="H317" s="161"/>
      <c r="I317" s="160">
        <f ca="1">F317*$A$2</f>
        <v>-8.193710815239255</v>
      </c>
      <c r="J317" s="160" t="s">
        <v>76</v>
      </c>
      <c r="K317" s="160">
        <f>IF(LeagueInfo!$F$7="Yahoo",IFERROR(INDEX(DefaultAuctionValues!$B$2:$B$1000,MATCH(A317,DefaultAuctionValues!$A$2:$A$1000,0)),0),IF(LeagueInfo!$F$7="ESPN",IFERROR(INDEX(DefaultAuctionValues!$C$2:$C$1000,MATCH(A317,DefaultAuctionValues!$A$2:$A$1000,0)),0),IF(LeagueInfo!$F$7="Custom",IFERROR(INDEX(DefaultAuctionValues!$D$2:$D$1000,MATCH(A317,DefaultAuctionValues!$A$2:$A$1000,0)),0))))</f>
        <v>0</v>
      </c>
      <c r="L317" s="160">
        <f ca="1">I317-K317</f>
        <v>-8.193710815239255</v>
      </c>
      <c r="M317" s="175"/>
      <c r="N317" s="170">
        <f ca="1">INDEX(INDIRECT(""&amp;$B317&amp;"!Z2:Z628"),MATCH($A317,INDIRECT(""&amp;$B317&amp;"!B2:B628"),0))</f>
        <v>-22.595000000000006</v>
      </c>
      <c r="O317" s="158" t="str">
        <f ca="1">IF(INDEX(INDIRECT(""&amp;$B317&amp;"!W2:W628"),MATCH($A317,INDIRECT(""&amp;$B317&amp;"!B2:B628"),0))=0,"",INDEX(INDIRECT(""&amp;$B317&amp;"!W2:W628"),MATCH($A317,INDIRECT(""&amp;$B317&amp;"!B2:B628"),0)))</f>
        <v/>
      </c>
    </row>
    <row r="318" spans="1:15" x14ac:dyDescent="0.25">
      <c r="A318" s="158" t="s">
        <v>678</v>
      </c>
      <c r="B318" s="158" t="s">
        <v>28</v>
      </c>
      <c r="C318" s="158">
        <f ca="1">IFERROR(INDEX(BYEs!$B$2:$B$33,MATCH(D318,BYEs!$A$2:$A$33,0)),"N/A")</f>
        <v>6</v>
      </c>
      <c r="D318" s="219" t="str">
        <f ca="1">INDEX(INDIRECT(""&amp;B318&amp;"!F2:F628"),MATCH(A318,INDIRECT(""&amp;B318&amp;"!B2:B628"),0))</f>
        <v>LV</v>
      </c>
      <c r="E318" s="218" t="str">
        <f ca="1">INDEX(INDIRECT(""&amp;$B318&amp;"!AA2:AA628"),MATCH($A318,INDIRECT(""&amp;$B318&amp;"!B2:B628"),0))</f>
        <v>RB10</v>
      </c>
      <c r="F318" s="159">
        <f ca="1">IF(LeagueInfo!$H$7="Starter/Bench",INDEX(INDIRECT(""&amp;B318&amp;"!T2:T628"),MATCH(A318,INDIRECT(""&amp;B318&amp;"!B2:B628"),0)),INDEX(INDIRECT(""&amp;B318&amp;"!AB2:AB628"),MATCH(A318,INDIRECT(""&amp;B318&amp;"!B2:B628"),0)))</f>
        <v>-8.3296984919692694</v>
      </c>
      <c r="G318" s="160">
        <f>IF(H318&gt;0,F318-H318,0)</f>
        <v>0</v>
      </c>
      <c r="H318" s="161"/>
      <c r="I318" s="160">
        <f ca="1">F318*$A$2</f>
        <v>-8.3296984919692694</v>
      </c>
      <c r="J318" s="160" t="s">
        <v>76</v>
      </c>
      <c r="K318" s="160">
        <f>IF(LeagueInfo!$F$7="Yahoo",IFERROR(INDEX(DefaultAuctionValues!$B$2:$B$1000,MATCH(A318,DefaultAuctionValues!$A$2:$A$1000,0)),0),IF(LeagueInfo!$F$7="ESPN",IFERROR(INDEX(DefaultAuctionValues!$C$2:$C$1000,MATCH(A318,DefaultAuctionValues!$A$2:$A$1000,0)),0),IF(LeagueInfo!$F$7="Custom",IFERROR(INDEX(DefaultAuctionValues!$D$2:$D$1000,MATCH(A318,DefaultAuctionValues!$A$2:$A$1000,0)),0))))</f>
        <v>0</v>
      </c>
      <c r="L318" s="160">
        <f ca="1">I318-K318</f>
        <v>-8.3296984919692694</v>
      </c>
      <c r="M318" s="175"/>
      <c r="N318" s="170">
        <f ca="1">INDEX(INDIRECT(""&amp;$B318&amp;"!Z2:Z628"),MATCH($A318,INDIRECT(""&amp;$B318&amp;"!B2:B628"),0))</f>
        <v>-22.970000000000002</v>
      </c>
      <c r="O318" s="158" t="str">
        <f ca="1">IF(INDEX(INDIRECT(""&amp;$B318&amp;"!W2:W628"),MATCH($A318,INDIRECT(""&amp;$B318&amp;"!B2:B628"),0))=0,"",INDEX(INDIRECT(""&amp;$B318&amp;"!W2:W628"),MATCH($A318,INDIRECT(""&amp;$B318&amp;"!B2:B628"),0)))</f>
        <v/>
      </c>
    </row>
    <row r="319" spans="1:15" x14ac:dyDescent="0.25">
      <c r="A319" s="158" t="s">
        <v>150</v>
      </c>
      <c r="B319" s="158" t="s">
        <v>35</v>
      </c>
      <c r="C319" s="158">
        <f ca="1">IFERROR(INDEX(BYEs!$B$2:$B$33,MATCH(D319,BYEs!$A$2:$A$33,0)),"N/A")</f>
        <v>7</v>
      </c>
      <c r="D319" s="219" t="str">
        <f ca="1">INDEX(INDIRECT(""&amp;B319&amp;"!F2:F628"),MATCH(A319,INDIRECT(""&amp;B319&amp;"!B2:B628"),0))</f>
        <v>BUF</v>
      </c>
      <c r="E319" s="218" t="str">
        <f ca="1">INDEX(INDIRECT(""&amp;$B319&amp;"!AA2:AA628"),MATCH($A319,INDIRECT(""&amp;$B319&amp;"!B2:B628"),0))</f>
        <v>WR10</v>
      </c>
      <c r="F319" s="159">
        <f ca="1">IF(LeagueInfo!$H$7="Starter/Bench",INDEX(INDIRECT(""&amp;B319&amp;"!T2:T628"),MATCH(A319,INDIRECT(""&amp;B319&amp;"!B2:B628"),0)),INDEX(INDIRECT(""&amp;B319&amp;"!AB2:AB628"),MATCH(A319,INDIRECT(""&amp;B319&amp;"!B2:B628"),0)))</f>
        <v>-8.3659618724306011</v>
      </c>
      <c r="G319" s="160">
        <f>IF(H319&gt;0,F319-H319,0)</f>
        <v>0</v>
      </c>
      <c r="H319" s="161"/>
      <c r="I319" s="160">
        <f ca="1">F319*$A$2</f>
        <v>-8.3659618724306011</v>
      </c>
      <c r="J319" s="160" t="s">
        <v>76</v>
      </c>
      <c r="K319" s="160">
        <f>IF(LeagueInfo!$F$7="Yahoo",IFERROR(INDEX(DefaultAuctionValues!$B$2:$B$1000,MATCH(A319,DefaultAuctionValues!$A$2:$A$1000,0)),0),IF(LeagueInfo!$F$7="ESPN",IFERROR(INDEX(DefaultAuctionValues!$C$2:$C$1000,MATCH(A319,DefaultAuctionValues!$A$2:$A$1000,0)),0),IF(LeagueInfo!$F$7="Custom",IFERROR(INDEX(DefaultAuctionValues!$D$2:$D$1000,MATCH(A319,DefaultAuctionValues!$A$2:$A$1000,0)),0))))</f>
        <v>0</v>
      </c>
      <c r="L319" s="160">
        <f ca="1">I319-K319</f>
        <v>-8.3659618724306011</v>
      </c>
      <c r="M319" s="175"/>
      <c r="N319" s="170">
        <f ca="1">INDEX(INDIRECT(""&amp;$B319&amp;"!Z2:Z628"),MATCH($A319,INDIRECT(""&amp;$B319&amp;"!B2:B628"),0))</f>
        <v>-23.069999999999986</v>
      </c>
      <c r="O319" s="158" t="str">
        <f ca="1">IF(INDEX(INDIRECT(""&amp;$B319&amp;"!W2:W628"),MATCH($A319,INDIRECT(""&amp;$B319&amp;"!B2:B628"),0))=0,"",INDEX(INDIRECT(""&amp;$B319&amp;"!W2:W628"),MATCH($A319,INDIRECT(""&amp;$B319&amp;"!B2:B628"),0)))</f>
        <v/>
      </c>
    </row>
    <row r="320" spans="1:15" x14ac:dyDescent="0.25">
      <c r="A320" s="158" t="s">
        <v>555</v>
      </c>
      <c r="B320" s="158" t="s">
        <v>28</v>
      </c>
      <c r="C320" s="158">
        <f ca="1">IFERROR(INDEX(BYEs!$B$2:$B$33,MATCH(D320,BYEs!$A$2:$A$33,0)),"N/A")</f>
        <v>6</v>
      </c>
      <c r="D320" s="219" t="str">
        <f ca="1">INDEX(INDIRECT(""&amp;B320&amp;"!F2:F628"),MATCH(A320,INDIRECT(""&amp;B320&amp;"!B2:B628"),0))</f>
        <v>DET</v>
      </c>
      <c r="E320" s="218" t="str">
        <f ca="1">INDEX(INDIRECT(""&amp;$B320&amp;"!AA2:AA628"),MATCH($A320,INDIRECT(""&amp;$B320&amp;"!B2:B628"),0))</f>
        <v>RB10</v>
      </c>
      <c r="F320" s="159">
        <f ca="1">IF(LeagueInfo!$H$7="Starter/Bench",INDEX(INDIRECT(""&amp;B320&amp;"!T2:T628"),MATCH(A320,INDIRECT(""&amp;B320&amp;"!B2:B628"),0)),INDEX(INDIRECT(""&amp;B320&amp;"!AB2:AB628"),MATCH(A320,INDIRECT(""&amp;B320&amp;"!B2:B628"),0)))</f>
        <v>-8.3714013794998081</v>
      </c>
      <c r="G320" s="160">
        <f>IF(H320&gt;0,F320-H320,0)</f>
        <v>0</v>
      </c>
      <c r="H320" s="161"/>
      <c r="I320" s="160">
        <f ca="1">F320*$A$2</f>
        <v>-8.3714013794998081</v>
      </c>
      <c r="J320" s="160" t="s">
        <v>76</v>
      </c>
      <c r="K320" s="160">
        <f>IF(LeagueInfo!$F$7="Yahoo",IFERROR(INDEX(DefaultAuctionValues!$B$2:$B$1000,MATCH(A320,DefaultAuctionValues!$A$2:$A$1000,0)),0),IF(LeagueInfo!$F$7="ESPN",IFERROR(INDEX(DefaultAuctionValues!$C$2:$C$1000,MATCH(A320,DefaultAuctionValues!$A$2:$A$1000,0)),0),IF(LeagueInfo!$F$7="Custom",IFERROR(INDEX(DefaultAuctionValues!$D$2:$D$1000,MATCH(A320,DefaultAuctionValues!$A$2:$A$1000,0)),0))))</f>
        <v>0</v>
      </c>
      <c r="L320" s="160">
        <f ca="1">I320-K320</f>
        <v>-8.3714013794998081</v>
      </c>
      <c r="M320" s="175"/>
      <c r="N320" s="170">
        <f ca="1">INDEX(INDIRECT(""&amp;$B320&amp;"!Z2:Z628"),MATCH($A320,INDIRECT(""&amp;$B320&amp;"!B2:B628"),0))</f>
        <v>-23.085000000000004</v>
      </c>
      <c r="O320" s="158" t="str">
        <f ca="1">IF(INDEX(INDIRECT(""&amp;$B320&amp;"!W2:W628"),MATCH($A320,INDIRECT(""&amp;$B320&amp;"!B2:B628"),0))=0,"",INDEX(INDIRECT(""&amp;$B320&amp;"!W2:W628"),MATCH($A320,INDIRECT(""&amp;$B320&amp;"!B2:B628"),0)))</f>
        <v/>
      </c>
    </row>
    <row r="321" spans="1:15" x14ac:dyDescent="0.25">
      <c r="A321" s="158" t="s">
        <v>144</v>
      </c>
      <c r="B321" s="158" t="s">
        <v>29</v>
      </c>
      <c r="C321" s="158">
        <f ca="1">IFERROR(INDEX(BYEs!$B$2:$B$33,MATCH(D321,BYEs!$A$2:$A$33,0)),"N/A")</f>
        <v>14</v>
      </c>
      <c r="D321" s="219" t="str">
        <f ca="1">INDEX(INDIRECT(""&amp;B321&amp;"!F2:F628"),MATCH(A321,INDIRECT(""&amp;B321&amp;"!B2:B628"),0))</f>
        <v>ATL</v>
      </c>
      <c r="E321" s="218" t="str">
        <f ca="1">INDEX(INDIRECT(""&amp;$B321&amp;"!AA2:AA628"),MATCH($A321,INDIRECT(""&amp;$B321&amp;"!B2:B628"),0))</f>
        <v>QB7</v>
      </c>
      <c r="F321" s="159">
        <f ca="1">IF(LeagueInfo!$H$7="Starter/Bench",INDEX(INDIRECT(""&amp;B321&amp;"!T2:T628"),MATCH(A321,INDIRECT(""&amp;B321&amp;"!B2:B628"),0)),INDEX(INDIRECT(""&amp;B321&amp;"!AB2:AB628"),MATCH(A321,INDIRECT(""&amp;B321&amp;"!B2:B628"),0)))</f>
        <v>-8.3869946330981726</v>
      </c>
      <c r="G321" s="160">
        <f>IF(H321&gt;0,F321-H321,0)</f>
        <v>0</v>
      </c>
      <c r="H321" s="161"/>
      <c r="I321" s="160">
        <f ca="1">F321*$A$2</f>
        <v>-8.3869946330981726</v>
      </c>
      <c r="J321" s="160" t="s">
        <v>76</v>
      </c>
      <c r="K321" s="160">
        <f>IF(LeagueInfo!$F$7="Yahoo",IFERROR(INDEX(DefaultAuctionValues!$B$2:$B$1000,MATCH(A321,DefaultAuctionValues!$A$2:$A$1000,0)),0),IF(LeagueInfo!$F$7="ESPN",IFERROR(INDEX(DefaultAuctionValues!$C$2:$C$1000,MATCH(A321,DefaultAuctionValues!$A$2:$A$1000,0)),0),IF(LeagueInfo!$F$7="Custom",IFERROR(INDEX(DefaultAuctionValues!$D$2:$D$1000,MATCH(A321,DefaultAuctionValues!$A$2:$A$1000,0)),0))))</f>
        <v>0</v>
      </c>
      <c r="L321" s="160">
        <f ca="1">I321-K321</f>
        <v>-8.3869946330981726</v>
      </c>
      <c r="M321" s="175"/>
      <c r="N321" s="170">
        <f ca="1">INDEX(INDIRECT(""&amp;$B321&amp;"!Z2:Z628"),MATCH($A321,INDIRECT(""&amp;$B321&amp;"!B2:B628"),0))</f>
        <v>-23.127999999999972</v>
      </c>
      <c r="O321" s="158" t="str">
        <f ca="1">IF(INDEX(INDIRECT(""&amp;$B321&amp;"!W2:W628"),MATCH($A321,INDIRECT(""&amp;$B321&amp;"!B2:B628"),0))=0,"",INDEX(INDIRECT(""&amp;$B321&amp;"!W2:W628"),MATCH($A321,INDIRECT(""&amp;$B321&amp;"!B2:B628"),0)))</f>
        <v/>
      </c>
    </row>
    <row r="322" spans="1:15" x14ac:dyDescent="0.25">
      <c r="A322" s="158" t="s">
        <v>677</v>
      </c>
      <c r="B322" s="158" t="s">
        <v>28</v>
      </c>
      <c r="C322" s="158">
        <f ca="1">IFERROR(INDEX(BYEs!$B$2:$B$33,MATCH(D322,BYEs!$A$2:$A$33,0)),"N/A")</f>
        <v>11</v>
      </c>
      <c r="D322" s="219" t="str">
        <f ca="1">INDEX(INDIRECT(""&amp;B322&amp;"!F2:F628"),MATCH(A322,INDIRECT(""&amp;B322&amp;"!B2:B628"),0))</f>
        <v>MIA</v>
      </c>
      <c r="E322" s="218" t="str">
        <f ca="1">INDEX(INDIRECT(""&amp;$B322&amp;"!AA2:AA628"),MATCH($A322,INDIRECT(""&amp;$B322&amp;"!B2:B628"),0))</f>
        <v>RB10</v>
      </c>
      <c r="F322" s="159">
        <f ca="1">IF(LeagueInfo!$H$7="Starter/Bench",INDEX(INDIRECT(""&amp;B322&amp;"!T2:T628"),MATCH(A322,INDIRECT(""&amp;B322&amp;"!B2:B628"),0)),INDEX(INDIRECT(""&amp;B322&amp;"!AB2:AB628"),MATCH(A322,INDIRECT(""&amp;B322&amp;"!B2:B628"),0)))</f>
        <v>-8.4856310279530227</v>
      </c>
      <c r="G322" s="160">
        <f>IF(H322&gt;0,F322-H322,0)</f>
        <v>0</v>
      </c>
      <c r="H322" s="161"/>
      <c r="I322" s="160">
        <f ca="1">F322*$A$2</f>
        <v>-8.4856310279530227</v>
      </c>
      <c r="J322" s="160" t="s">
        <v>76</v>
      </c>
      <c r="K322" s="160">
        <f>IF(LeagueInfo!$F$7="Yahoo",IFERROR(INDEX(DefaultAuctionValues!$B$2:$B$1000,MATCH(A322,DefaultAuctionValues!$A$2:$A$1000,0)),0),IF(LeagueInfo!$F$7="ESPN",IFERROR(INDEX(DefaultAuctionValues!$C$2:$C$1000,MATCH(A322,DefaultAuctionValues!$A$2:$A$1000,0)),0),IF(LeagueInfo!$F$7="Custom",IFERROR(INDEX(DefaultAuctionValues!$D$2:$D$1000,MATCH(A322,DefaultAuctionValues!$A$2:$A$1000,0)),0))))</f>
        <v>0</v>
      </c>
      <c r="L322" s="160">
        <f ca="1">I322-K322</f>
        <v>-8.4856310279530227</v>
      </c>
      <c r="M322" s="175"/>
      <c r="N322" s="170">
        <f ca="1">INDEX(INDIRECT(""&amp;$B322&amp;"!Z2:Z628"),MATCH($A322,INDIRECT(""&amp;$B322&amp;"!B2:B628"),0))</f>
        <v>-23.400000000000006</v>
      </c>
      <c r="O322" s="158" t="str">
        <f ca="1">IF(INDEX(INDIRECT(""&amp;$B322&amp;"!W2:W628"),MATCH($A322,INDIRECT(""&amp;$B322&amp;"!B2:B628"),0))=0,"",INDEX(INDIRECT(""&amp;$B322&amp;"!W2:W628"),MATCH($A322,INDIRECT(""&amp;$B322&amp;"!B2:B628"),0)))</f>
        <v/>
      </c>
    </row>
    <row r="323" spans="1:15" x14ac:dyDescent="0.25">
      <c r="A323" s="158" t="s">
        <v>726</v>
      </c>
      <c r="B323" s="158" t="s">
        <v>35</v>
      </c>
      <c r="C323" s="158">
        <f ca="1">IFERROR(INDEX(BYEs!$B$2:$B$33,MATCH(D323,BYEs!$A$2:$A$33,0)),"N/A")</f>
        <v>14</v>
      </c>
      <c r="D323" s="219" t="str">
        <f ca="1">INDEX(INDIRECT(""&amp;B323&amp;"!F2:F628"),MATCH(A323,INDIRECT(""&amp;B323&amp;"!B2:B628"),0))</f>
        <v>CHI</v>
      </c>
      <c r="E323" s="218" t="str">
        <f ca="1">INDEX(INDIRECT(""&amp;$B323&amp;"!AA2:AA628"),MATCH($A323,INDIRECT(""&amp;$B323&amp;"!B2:B628"),0))</f>
        <v>WR10</v>
      </c>
      <c r="F323" s="159">
        <f ca="1">IF(LeagueInfo!$H$7="Starter/Bench",INDEX(INDIRECT(""&amp;B323&amp;"!T2:T628"),MATCH(A323,INDIRECT(""&amp;B323&amp;"!B2:B628"),0)),INDEX(INDIRECT(""&amp;B323&amp;"!AB2:AB628"),MATCH(A323,INDIRECT(""&amp;B323&amp;"!B2:B628"),0)))</f>
        <v>-8.5092022252528867</v>
      </c>
      <c r="G323" s="160">
        <f>IF(H323&gt;0,F323-H323,0)</f>
        <v>0</v>
      </c>
      <c r="H323" s="161"/>
      <c r="I323" s="160">
        <f ca="1">F323*$A$2</f>
        <v>-8.5092022252528867</v>
      </c>
      <c r="J323" s="160" t="s">
        <v>76</v>
      </c>
      <c r="K323" s="160">
        <f>IF(LeagueInfo!$F$7="Yahoo",IFERROR(INDEX(DefaultAuctionValues!$B$2:$B$1000,MATCH(A323,DefaultAuctionValues!$A$2:$A$1000,0)),0),IF(LeagueInfo!$F$7="ESPN",IFERROR(INDEX(DefaultAuctionValues!$C$2:$C$1000,MATCH(A323,DefaultAuctionValues!$A$2:$A$1000,0)),0),IF(LeagueInfo!$F$7="Custom",IFERROR(INDEX(DefaultAuctionValues!$D$2:$D$1000,MATCH(A323,DefaultAuctionValues!$A$2:$A$1000,0)),0))))</f>
        <v>0</v>
      </c>
      <c r="L323" s="160">
        <f ca="1">I323-K323</f>
        <v>-8.5092022252528867</v>
      </c>
      <c r="M323" s="175"/>
      <c r="N323" s="170">
        <f ca="1">INDEX(INDIRECT(""&amp;$B323&amp;"!Z2:Z628"),MATCH($A323,INDIRECT(""&amp;$B323&amp;"!B2:B628"),0))</f>
        <v>-23.464999999999989</v>
      </c>
      <c r="O323" s="158" t="str">
        <f ca="1">IF(INDEX(INDIRECT(""&amp;$B323&amp;"!W2:W628"),MATCH($A323,INDIRECT(""&amp;$B323&amp;"!B2:B628"),0))=0,"",INDEX(INDIRECT(""&amp;$B323&amp;"!W2:W628"),MATCH($A323,INDIRECT(""&amp;$B323&amp;"!B2:B628"),0)))</f>
        <v/>
      </c>
    </row>
    <row r="324" spans="1:15" x14ac:dyDescent="0.25">
      <c r="A324" s="158" t="s">
        <v>887</v>
      </c>
      <c r="B324" s="158" t="s">
        <v>28</v>
      </c>
      <c r="C324" s="158">
        <f ca="1">IFERROR(INDEX(BYEs!$B$2:$B$33,MATCH(D324,BYEs!$A$2:$A$33,0)),"N/A")</f>
        <v>9</v>
      </c>
      <c r="D324" s="219" t="str">
        <f ca="1">INDEX(INDIRECT(""&amp;B324&amp;"!F2:F628"),MATCH(A324,INDIRECT(""&amp;B324&amp;"!B2:B628"),0))</f>
        <v>PIT</v>
      </c>
      <c r="E324" s="218" t="str">
        <f ca="1">INDEX(INDIRECT(""&amp;$B324&amp;"!AA2:AA628"),MATCH($A324,INDIRECT(""&amp;$B324&amp;"!B2:B628"),0))</f>
        <v>RB10</v>
      </c>
      <c r="F324" s="159">
        <f ca="1">IF(LeagueInfo!$H$7="Starter/Bench",INDEX(INDIRECT(""&amp;B324&amp;"!T2:T628"),MATCH(A324,INDIRECT(""&amp;B324&amp;"!B2:B628"),0)),INDEX(INDIRECT(""&amp;B324&amp;"!AB2:AB628"),MATCH(A324,INDIRECT(""&amp;B324&amp;"!B2:B628"),0)))</f>
        <v>-8.5200812393912937</v>
      </c>
      <c r="G324" s="160">
        <f>IF(H324&gt;0,F324-H324,0)</f>
        <v>0</v>
      </c>
      <c r="H324" s="161"/>
      <c r="I324" s="160">
        <f ca="1">F324*$A$2</f>
        <v>-8.5200812393912937</v>
      </c>
      <c r="J324" s="160" t="s">
        <v>76</v>
      </c>
      <c r="K324" s="160">
        <f>IF(LeagueInfo!$F$7="Yahoo",IFERROR(INDEX(DefaultAuctionValues!$B$2:$B$1000,MATCH(A324,DefaultAuctionValues!$A$2:$A$1000,0)),0),IF(LeagueInfo!$F$7="ESPN",IFERROR(INDEX(DefaultAuctionValues!$C$2:$C$1000,MATCH(A324,DefaultAuctionValues!$A$2:$A$1000,0)),0),IF(LeagueInfo!$F$7="Custom",IFERROR(INDEX(DefaultAuctionValues!$D$2:$D$1000,MATCH(A324,DefaultAuctionValues!$A$2:$A$1000,0)),0))))</f>
        <v>0</v>
      </c>
      <c r="L324" s="160">
        <f ca="1">I324-K324</f>
        <v>-8.5200812393912937</v>
      </c>
      <c r="M324" s="175"/>
      <c r="N324" s="170">
        <f ca="1">INDEX(INDIRECT(""&amp;$B324&amp;"!Z2:Z628"),MATCH($A324,INDIRECT(""&amp;$B324&amp;"!B2:B628"),0))</f>
        <v>-23.495000000000005</v>
      </c>
      <c r="O324" s="158" t="str">
        <f ca="1">IF(INDEX(INDIRECT(""&amp;$B324&amp;"!W2:W628"),MATCH($A324,INDIRECT(""&amp;$B324&amp;"!B2:B628"),0))=0,"",INDEX(INDIRECT(""&amp;$B324&amp;"!W2:W628"),MATCH($A324,INDIRECT(""&amp;$B324&amp;"!B2:B628"),0)))</f>
        <v/>
      </c>
    </row>
    <row r="325" spans="1:15" x14ac:dyDescent="0.25">
      <c r="A325" s="158" t="s">
        <v>569</v>
      </c>
      <c r="B325" s="158" t="s">
        <v>35</v>
      </c>
      <c r="C325" s="158">
        <f ca="1">IFERROR(INDEX(BYEs!$B$2:$B$33,MATCH(D325,BYEs!$A$2:$A$33,0)),"N/A")</f>
        <v>9</v>
      </c>
      <c r="D325" s="219" t="str">
        <f ca="1">INDEX(INDIRECT(""&amp;B325&amp;"!F2:F628"),MATCH(A325,INDIRECT(""&amp;B325&amp;"!B2:B628"),0))</f>
        <v>DAL</v>
      </c>
      <c r="E325" s="218" t="str">
        <f ca="1">INDEX(INDIRECT(""&amp;$B325&amp;"!AA2:AA628"),MATCH($A325,INDIRECT(""&amp;$B325&amp;"!B2:B628"),0))</f>
        <v>WR10</v>
      </c>
      <c r="F325" s="159">
        <f ca="1">IF(LeagueInfo!$H$7="Starter/Bench",INDEX(INDIRECT(""&amp;B325&amp;"!T2:T628"),MATCH(A325,INDIRECT(""&amp;B325&amp;"!B2:B628"),0)),INDEX(INDIRECT(""&amp;B325&amp;"!AB2:AB628"),MATCH(A325,INDIRECT(""&amp;B325&amp;"!B2:B628"),0)))</f>
        <v>-8.5599709578987593</v>
      </c>
      <c r="G325" s="160">
        <f>IF(H325&gt;0,F325-H325,0)</f>
        <v>0</v>
      </c>
      <c r="H325" s="161"/>
      <c r="I325" s="160">
        <f ca="1">F325*$A$2</f>
        <v>-8.5599709578987593</v>
      </c>
      <c r="J325" s="160" t="s">
        <v>76</v>
      </c>
      <c r="K325" s="160">
        <f>IF(LeagueInfo!$F$7="Yahoo",IFERROR(INDEX(DefaultAuctionValues!$B$2:$B$1000,MATCH(A325,DefaultAuctionValues!$A$2:$A$1000,0)),0),IF(LeagueInfo!$F$7="ESPN",IFERROR(INDEX(DefaultAuctionValues!$C$2:$C$1000,MATCH(A325,DefaultAuctionValues!$A$2:$A$1000,0)),0),IF(LeagueInfo!$F$7="Custom",IFERROR(INDEX(DefaultAuctionValues!$D$2:$D$1000,MATCH(A325,DefaultAuctionValues!$A$2:$A$1000,0)),0))))</f>
        <v>0</v>
      </c>
      <c r="L325" s="160">
        <f ca="1">I325-K325</f>
        <v>-8.5599709578987593</v>
      </c>
      <c r="M325" s="175"/>
      <c r="N325" s="170">
        <f ca="1">INDEX(INDIRECT(""&amp;$B325&amp;"!Z2:Z628"),MATCH($A325,INDIRECT(""&amp;$B325&amp;"!B2:B628"),0))</f>
        <v>-23.60499999999999</v>
      </c>
      <c r="O325" s="158" t="str">
        <f ca="1">IF(INDEX(INDIRECT(""&amp;$B325&amp;"!W2:W628"),MATCH($A325,INDIRECT(""&amp;$B325&amp;"!B2:B628"),0))=0,"",INDEX(INDIRECT(""&amp;$B325&amp;"!W2:W628"),MATCH($A325,INDIRECT(""&amp;$B325&amp;"!B2:B628"),0)))</f>
        <v/>
      </c>
    </row>
    <row r="326" spans="1:15" x14ac:dyDescent="0.25">
      <c r="A326" s="158" t="s">
        <v>753</v>
      </c>
      <c r="B326" s="158" t="s">
        <v>43</v>
      </c>
      <c r="C326" s="158">
        <f ca="1">IFERROR(INDEX(BYEs!$B$2:$B$33,MATCH(D326,BYEs!$A$2:$A$33,0)),"N/A")</f>
        <v>6</v>
      </c>
      <c r="D326" s="219" t="str">
        <f ca="1">INDEX(INDIRECT(""&amp;B326&amp;"!F2:F628"),MATCH(A326,INDIRECT(""&amp;B326&amp;"!B2:B628"),0))</f>
        <v>LV</v>
      </c>
      <c r="E326" s="218" t="str">
        <f ca="1">INDEX(INDIRECT(""&amp;$B326&amp;"!AA2:AA628"),MATCH($A326,INDIRECT(""&amp;$B326&amp;"!B2:B628"),0))</f>
        <v>TE10</v>
      </c>
      <c r="F326" s="159">
        <f ca="1">IF(LeagueInfo!$H$7="Starter/Bench",INDEX(INDIRECT(""&amp;B326&amp;"!T2:T628"),MATCH(A326,INDIRECT(""&amp;B326&amp;"!B2:B628"),0)),INDEX(INDIRECT(""&amp;B326&amp;"!AB2:AB628"),MATCH(A326,INDIRECT(""&amp;B326&amp;"!B2:B628"),0)))</f>
        <v>-8.6343108878445083</v>
      </c>
      <c r="G326" s="160">
        <f>IF(H326&gt;0,F326-H326,0)</f>
        <v>0</v>
      </c>
      <c r="H326" s="161"/>
      <c r="I326" s="160">
        <f ca="1">F326*$A$2</f>
        <v>-8.6343108878445083</v>
      </c>
      <c r="J326" s="160" t="s">
        <v>76</v>
      </c>
      <c r="K326" s="160">
        <f>IF(LeagueInfo!$F$7="Yahoo",IFERROR(INDEX(DefaultAuctionValues!$B$2:$B$1000,MATCH(A326,DefaultAuctionValues!$A$2:$A$1000,0)),0),IF(LeagueInfo!$F$7="ESPN",IFERROR(INDEX(DefaultAuctionValues!$C$2:$C$1000,MATCH(A326,DefaultAuctionValues!$A$2:$A$1000,0)),0),IF(LeagueInfo!$F$7="Custom",IFERROR(INDEX(DefaultAuctionValues!$D$2:$D$1000,MATCH(A326,DefaultAuctionValues!$A$2:$A$1000,0)),0))))</f>
        <v>0</v>
      </c>
      <c r="L326" s="160">
        <f ca="1">I326-K326</f>
        <v>-8.6343108878445083</v>
      </c>
      <c r="M326" s="175"/>
      <c r="N326" s="170">
        <f ca="1">INDEX(INDIRECT(""&amp;$B326&amp;"!Z2:Z628"),MATCH($A326,INDIRECT(""&amp;$B326&amp;"!B2:B628"),0))</f>
        <v>-23.810000000000006</v>
      </c>
      <c r="O326" s="158" t="str">
        <f ca="1">IF(INDEX(INDIRECT(""&amp;$B326&amp;"!W2:W628"),MATCH($A326,INDIRECT(""&amp;$B326&amp;"!B2:B628"),0))=0,"",INDEX(INDIRECT(""&amp;$B326&amp;"!W2:W628"),MATCH($A326,INDIRECT(""&amp;$B326&amp;"!B2:B628"),0)))</f>
        <v/>
      </c>
    </row>
    <row r="327" spans="1:15" x14ac:dyDescent="0.25">
      <c r="A327" s="158" t="s">
        <v>982</v>
      </c>
      <c r="B327" s="158" t="s">
        <v>43</v>
      </c>
      <c r="C327" s="158">
        <f ca="1">IFERROR(INDEX(BYEs!$B$2:$B$33,MATCH(D327,BYEs!$A$2:$A$33,0)),"N/A")</f>
        <v>13</v>
      </c>
      <c r="D327" s="219" t="str">
        <f ca="1">INDEX(INDIRECT(""&amp;B327&amp;"!F2:F628"),MATCH(A327,INDIRECT(""&amp;B327&amp;"!B2:B628"),0))</f>
        <v>CAR</v>
      </c>
      <c r="E327" s="218" t="str">
        <f ca="1">INDEX(INDIRECT(""&amp;$B327&amp;"!AA2:AA628"),MATCH($A327,INDIRECT(""&amp;$B327&amp;"!B2:B628"),0))</f>
        <v>TE10</v>
      </c>
      <c r="F327" s="159">
        <f ca="1">IF(LeagueInfo!$H$7="Starter/Bench",INDEX(INDIRECT(""&amp;B327&amp;"!T2:T628"),MATCH(A327,INDIRECT(""&amp;B327&amp;"!B2:B628"),0)),INDEX(INDIRECT(""&amp;B327&amp;"!AB2:AB628"),MATCH(A327,INDIRECT(""&amp;B327&amp;"!B2:B628"),0)))</f>
        <v>-8.7394746911823873</v>
      </c>
      <c r="G327" s="160">
        <f>IF(H327&gt;0,F327-H327,0)</f>
        <v>0</v>
      </c>
      <c r="H327" s="161"/>
      <c r="I327" s="160">
        <f ca="1">F327*$A$2</f>
        <v>-8.7394746911823873</v>
      </c>
      <c r="J327" s="160" t="s">
        <v>76</v>
      </c>
      <c r="K327" s="160">
        <f>IF(LeagueInfo!$F$7="Yahoo",IFERROR(INDEX(DefaultAuctionValues!$B$2:$B$1000,MATCH(A327,DefaultAuctionValues!$A$2:$A$1000,0)),0),IF(LeagueInfo!$F$7="ESPN",IFERROR(INDEX(DefaultAuctionValues!$C$2:$C$1000,MATCH(A327,DefaultAuctionValues!$A$2:$A$1000,0)),0),IF(LeagueInfo!$F$7="Custom",IFERROR(INDEX(DefaultAuctionValues!$D$2:$D$1000,MATCH(A327,DefaultAuctionValues!$A$2:$A$1000,0)),0))))</f>
        <v>0</v>
      </c>
      <c r="L327" s="160">
        <f ca="1">I327-K327</f>
        <v>-8.7394746911823873</v>
      </c>
      <c r="M327" s="175"/>
      <c r="N327" s="170">
        <f ca="1">INDEX(INDIRECT(""&amp;$B327&amp;"!Z2:Z628"),MATCH($A327,INDIRECT(""&amp;$B327&amp;"!B2:B628"),0))</f>
        <v>-24.100000000000005</v>
      </c>
      <c r="O327" s="158" t="str">
        <f ca="1">IF(INDEX(INDIRECT(""&amp;$B327&amp;"!W2:W628"),MATCH($A327,INDIRECT(""&amp;$B327&amp;"!B2:B628"),0))=0,"",INDEX(INDIRECT(""&amp;$B327&amp;"!W2:W628"),MATCH($A327,INDIRECT(""&amp;$B327&amp;"!B2:B628"),0)))</f>
        <v/>
      </c>
    </row>
    <row r="328" spans="1:15" x14ac:dyDescent="0.25">
      <c r="A328" s="158" t="s">
        <v>895</v>
      </c>
      <c r="B328" s="158" t="s">
        <v>28</v>
      </c>
      <c r="C328" s="158">
        <f ca="1">IFERROR(INDEX(BYEs!$B$2:$B$33,MATCH(D328,BYEs!$A$2:$A$33,0)),"N/A")</f>
        <v>10</v>
      </c>
      <c r="D328" s="219" t="str">
        <f ca="1">INDEX(INDIRECT(""&amp;B328&amp;"!F2:F628"),MATCH(A328,INDIRECT(""&amp;B328&amp;"!B2:B628"),0))</f>
        <v>NE</v>
      </c>
      <c r="E328" s="218" t="str">
        <f ca="1">INDEX(INDIRECT(""&amp;$B328&amp;"!AA2:AA628"),MATCH($A328,INDIRECT(""&amp;$B328&amp;"!B2:B628"),0))</f>
        <v>RB10</v>
      </c>
      <c r="F328" s="159">
        <f ca="1">IF(LeagueInfo!$H$7="Starter/Bench",INDEX(INDIRECT(""&amp;B328&amp;"!T2:T628"),MATCH(A328,INDIRECT(""&amp;B328&amp;"!B2:B628"),0)),INDEX(INDIRECT(""&amp;B328&amp;"!AB2:AB628"),MATCH(A328,INDIRECT(""&amp;B328&amp;"!B2:B628"),0)))</f>
        <v>-8.7539800433669228</v>
      </c>
      <c r="G328" s="160">
        <f>IF(H328&gt;0,F328-H328,0)</f>
        <v>0</v>
      </c>
      <c r="H328" s="161"/>
      <c r="I328" s="160">
        <f ca="1">F328*$A$2</f>
        <v>-8.7539800433669228</v>
      </c>
      <c r="J328" s="160" t="s">
        <v>76</v>
      </c>
      <c r="K328" s="160">
        <f>IF(LeagueInfo!$F$7="Yahoo",IFERROR(INDEX(DefaultAuctionValues!$B$2:$B$1000,MATCH(A328,DefaultAuctionValues!$A$2:$A$1000,0)),0),IF(LeagueInfo!$F$7="ESPN",IFERROR(INDEX(DefaultAuctionValues!$C$2:$C$1000,MATCH(A328,DefaultAuctionValues!$A$2:$A$1000,0)),0),IF(LeagueInfo!$F$7="Custom",IFERROR(INDEX(DefaultAuctionValues!$D$2:$D$1000,MATCH(A328,DefaultAuctionValues!$A$2:$A$1000,0)),0))))</f>
        <v>0</v>
      </c>
      <c r="L328" s="160">
        <f ca="1">I328-K328</f>
        <v>-8.7539800433669228</v>
      </c>
      <c r="M328" s="175"/>
      <c r="N328" s="170">
        <f ca="1">INDEX(INDIRECT(""&amp;$B328&amp;"!Z2:Z628"),MATCH($A328,INDIRECT(""&amp;$B328&amp;"!B2:B628"),0))</f>
        <v>-24.140000000000008</v>
      </c>
      <c r="O328" s="158" t="str">
        <f ca="1">IF(INDEX(INDIRECT(""&amp;$B328&amp;"!W2:W628"),MATCH($A328,INDIRECT(""&amp;$B328&amp;"!B2:B628"),0))=0,"",INDEX(INDIRECT(""&amp;$B328&amp;"!W2:W628"),MATCH($A328,INDIRECT(""&amp;$B328&amp;"!B2:B628"),0)))</f>
        <v/>
      </c>
    </row>
    <row r="329" spans="1:15" x14ac:dyDescent="0.25">
      <c r="A329" s="158" t="s">
        <v>886</v>
      </c>
      <c r="B329" s="158" t="s">
        <v>28</v>
      </c>
      <c r="C329" s="158">
        <f ca="1">IFERROR(INDEX(BYEs!$B$2:$B$33,MATCH(D329,BYEs!$A$2:$A$33,0)),"N/A")</f>
        <v>8</v>
      </c>
      <c r="D329" s="219" t="str">
        <f ca="1">INDEX(INDIRECT(""&amp;B329&amp;"!F2:F628"),MATCH(A329,INDIRECT(""&amp;B329&amp;"!B2:B628"),0))</f>
        <v>LAC</v>
      </c>
      <c r="E329" s="218" t="str">
        <f ca="1">INDEX(INDIRECT(""&amp;$B329&amp;"!AA2:AA628"),MATCH($A329,INDIRECT(""&amp;$B329&amp;"!B2:B628"),0))</f>
        <v>RB10</v>
      </c>
      <c r="F329" s="159">
        <f ca="1">IF(LeagueInfo!$H$7="Starter/Bench",INDEX(INDIRECT(""&amp;B329&amp;"!T2:T628"),MATCH(A329,INDIRECT(""&amp;B329&amp;"!B2:B628"),0)),INDEX(INDIRECT(""&amp;B329&amp;"!AB2:AB628"),MATCH(A329,INDIRECT(""&amp;B329&amp;"!B2:B628"),0)))</f>
        <v>-8.8265068042895987</v>
      </c>
      <c r="G329" s="160">
        <f>IF(H329&gt;0,F329-H329,0)</f>
        <v>0</v>
      </c>
      <c r="H329" s="161"/>
      <c r="I329" s="160">
        <f ca="1">F329*$A$2</f>
        <v>-8.8265068042895987</v>
      </c>
      <c r="J329" s="160" t="s">
        <v>76</v>
      </c>
      <c r="K329" s="160">
        <f>IF(LeagueInfo!$F$7="Yahoo",IFERROR(INDEX(DefaultAuctionValues!$B$2:$B$1000,MATCH(A329,DefaultAuctionValues!$A$2:$A$1000,0)),0),IF(LeagueInfo!$F$7="ESPN",IFERROR(INDEX(DefaultAuctionValues!$C$2:$C$1000,MATCH(A329,DefaultAuctionValues!$A$2:$A$1000,0)),0),IF(LeagueInfo!$F$7="Custom",IFERROR(INDEX(DefaultAuctionValues!$D$2:$D$1000,MATCH(A329,DefaultAuctionValues!$A$2:$A$1000,0)),0))))</f>
        <v>0</v>
      </c>
      <c r="L329" s="160">
        <f ca="1">I329-K329</f>
        <v>-8.8265068042895987</v>
      </c>
      <c r="M329" s="175"/>
      <c r="N329" s="170">
        <f ca="1">INDEX(INDIRECT(""&amp;$B329&amp;"!Z2:Z628"),MATCH($A329,INDIRECT(""&amp;$B329&amp;"!B2:B628"),0))</f>
        <v>-24.340000000000007</v>
      </c>
      <c r="O329" s="158" t="str">
        <f ca="1">IF(INDEX(INDIRECT(""&amp;$B329&amp;"!W2:W628"),MATCH($A329,INDIRECT(""&amp;$B329&amp;"!B2:B628"),0))=0,"",INDEX(INDIRECT(""&amp;$B329&amp;"!W2:W628"),MATCH($A329,INDIRECT(""&amp;$B329&amp;"!B2:B628"),0)))</f>
        <v/>
      </c>
    </row>
    <row r="330" spans="1:15" x14ac:dyDescent="0.25">
      <c r="A330" s="158" t="s">
        <v>643</v>
      </c>
      <c r="B330" s="158" t="s">
        <v>43</v>
      </c>
      <c r="C330" s="158">
        <f ca="1">IFERROR(INDEX(BYEs!$B$2:$B$33,MATCH(D330,BYEs!$A$2:$A$33,0)),"N/A")</f>
        <v>11</v>
      </c>
      <c r="D330" s="219" t="str">
        <f ca="1">INDEX(INDIRECT(""&amp;B330&amp;"!F2:F628"),MATCH(A330,INDIRECT(""&amp;B330&amp;"!B2:B628"),0))</f>
        <v>JAC</v>
      </c>
      <c r="E330" s="218" t="str">
        <f ca="1">INDEX(INDIRECT(""&amp;$B330&amp;"!AA2:AA628"),MATCH($A330,INDIRECT(""&amp;$B330&amp;"!B2:B628"),0))</f>
        <v>TE10</v>
      </c>
      <c r="F330" s="159">
        <f ca="1">IF(LeagueInfo!$H$7="Starter/Bench",INDEX(INDIRECT(""&amp;B330&amp;"!T2:T628"),MATCH(A330,INDIRECT(""&amp;B330&amp;"!B2:B628"),0)),INDEX(INDIRECT(""&amp;B330&amp;"!AB2:AB628"),MATCH(A330,INDIRECT(""&amp;B330&amp;"!B2:B628"),0)))</f>
        <v>-8.8373858184279985</v>
      </c>
      <c r="G330" s="160">
        <f>IF(H330&gt;0,F330-H330,0)</f>
        <v>0</v>
      </c>
      <c r="H330" s="161"/>
      <c r="I330" s="160">
        <f ca="1">F330*$A$2</f>
        <v>-8.8373858184279985</v>
      </c>
      <c r="J330" s="160" t="s">
        <v>76</v>
      </c>
      <c r="K330" s="160">
        <f>IF(LeagueInfo!$F$7="Yahoo",IFERROR(INDEX(DefaultAuctionValues!$B$2:$B$1000,MATCH(A330,DefaultAuctionValues!$A$2:$A$1000,0)),0),IF(LeagueInfo!$F$7="ESPN",IFERROR(INDEX(DefaultAuctionValues!$C$2:$C$1000,MATCH(A330,DefaultAuctionValues!$A$2:$A$1000,0)),0),IF(LeagueInfo!$F$7="Custom",IFERROR(INDEX(DefaultAuctionValues!$D$2:$D$1000,MATCH(A330,DefaultAuctionValues!$A$2:$A$1000,0)),0))))</f>
        <v>0</v>
      </c>
      <c r="L330" s="160">
        <f ca="1">I330-K330</f>
        <v>-8.8373858184279985</v>
      </c>
      <c r="M330" s="175"/>
      <c r="N330" s="170">
        <f ca="1">INDEX(INDIRECT(""&amp;$B330&amp;"!Z2:Z628"),MATCH($A330,INDIRECT(""&amp;$B330&amp;"!B2:B628"),0))</f>
        <v>-24.370000000000005</v>
      </c>
      <c r="O330" s="158" t="str">
        <f ca="1">IF(INDEX(INDIRECT(""&amp;$B330&amp;"!W2:W628"),MATCH($A330,INDIRECT(""&amp;$B330&amp;"!B2:B628"),0))=0,"",INDEX(INDIRECT(""&amp;$B330&amp;"!W2:W628"),MATCH($A330,INDIRECT(""&amp;$B330&amp;"!B2:B628"),0)))</f>
        <v/>
      </c>
    </row>
    <row r="331" spans="1:15" x14ac:dyDescent="0.25">
      <c r="A331" s="158" t="s">
        <v>883</v>
      </c>
      <c r="B331" s="158" t="s">
        <v>28</v>
      </c>
      <c r="C331" s="158">
        <f ca="1">IFERROR(INDEX(BYEs!$B$2:$B$33,MATCH(D331,BYEs!$A$2:$A$33,0)),"N/A")</f>
        <v>7</v>
      </c>
      <c r="D331" s="219" t="str">
        <f ca="1">INDEX(INDIRECT(""&amp;B331&amp;"!F2:F628"),MATCH(A331,INDIRECT(""&amp;B331&amp;"!B2:B628"),0))</f>
        <v>BUF</v>
      </c>
      <c r="E331" s="218" t="str">
        <f ca="1">INDEX(INDIRECT(""&amp;$B331&amp;"!AA2:AA628"),MATCH($A331,INDIRECT(""&amp;$B331&amp;"!B2:B628"),0))</f>
        <v>RB10</v>
      </c>
      <c r="F331" s="159">
        <f ca="1">IF(LeagueInfo!$H$7="Starter/Bench",INDEX(INDIRECT(""&amp;B331&amp;"!T2:T628"),MATCH(A331,INDIRECT(""&amp;B331&amp;"!B2:B628"),0)),INDEX(INDIRECT(""&amp;B331&amp;"!AB2:AB628"),MATCH(A331,INDIRECT(""&amp;B331&amp;"!B2:B628"),0)))</f>
        <v>-8.8573306776817358</v>
      </c>
      <c r="G331" s="160">
        <f>IF(H331&gt;0,F331-H331,0)</f>
        <v>0</v>
      </c>
      <c r="H331" s="161"/>
      <c r="I331" s="160">
        <f ca="1">F331*$A$2</f>
        <v>-8.8573306776817358</v>
      </c>
      <c r="J331" s="160" t="s">
        <v>76</v>
      </c>
      <c r="K331" s="160">
        <f>IF(LeagueInfo!$F$7="Yahoo",IFERROR(INDEX(DefaultAuctionValues!$B$2:$B$1000,MATCH(A331,DefaultAuctionValues!$A$2:$A$1000,0)),0),IF(LeagueInfo!$F$7="ESPN",IFERROR(INDEX(DefaultAuctionValues!$C$2:$C$1000,MATCH(A331,DefaultAuctionValues!$A$2:$A$1000,0)),0),IF(LeagueInfo!$F$7="Custom",IFERROR(INDEX(DefaultAuctionValues!$D$2:$D$1000,MATCH(A331,DefaultAuctionValues!$A$2:$A$1000,0)),0))))</f>
        <v>0</v>
      </c>
      <c r="L331" s="160">
        <f ca="1">I331-K331</f>
        <v>-8.8573306776817358</v>
      </c>
      <c r="M331" s="175"/>
      <c r="N331" s="170">
        <f ca="1">INDEX(INDIRECT(""&amp;$B331&amp;"!Z2:Z628"),MATCH($A331,INDIRECT(""&amp;$B331&amp;"!B2:B628"),0))</f>
        <v>-24.425000000000008</v>
      </c>
      <c r="O331" s="158" t="str">
        <f ca="1">IF(INDEX(INDIRECT(""&amp;$B331&amp;"!W2:W628"),MATCH($A331,INDIRECT(""&amp;$B331&amp;"!B2:B628"),0))=0,"",INDEX(INDIRECT(""&amp;$B331&amp;"!W2:W628"),MATCH($A331,INDIRECT(""&amp;$B331&amp;"!B2:B628"),0)))</f>
        <v/>
      </c>
    </row>
    <row r="332" spans="1:15" x14ac:dyDescent="0.25">
      <c r="A332" s="158" t="s">
        <v>388</v>
      </c>
      <c r="B332" s="158" t="s">
        <v>35</v>
      </c>
      <c r="C332" s="158">
        <f ca="1">IFERROR(INDEX(BYEs!$B$2:$B$33,MATCH(D332,BYEs!$A$2:$A$33,0)),"N/A")</f>
        <v>10</v>
      </c>
      <c r="D332" s="219" t="str">
        <f ca="1">INDEX(INDIRECT(""&amp;B332&amp;"!F2:F628"),MATCH(A332,INDIRECT(""&amp;B332&amp;"!B2:B628"),0))</f>
        <v>NE</v>
      </c>
      <c r="E332" s="218" t="str">
        <f ca="1">INDEX(INDIRECT(""&amp;$B332&amp;"!AA2:AA628"),MATCH($A332,INDIRECT(""&amp;$B332&amp;"!B2:B628"),0))</f>
        <v>WR10</v>
      </c>
      <c r="F332" s="159">
        <f ca="1">IF(LeagueInfo!$H$7="Starter/Bench",INDEX(INDIRECT(""&amp;B332&amp;"!T2:T628"),MATCH(A332,INDIRECT(""&amp;B332&amp;"!B2:B628"),0)),INDEX(INDIRECT(""&amp;B332&amp;"!AB2:AB628"),MATCH(A332,INDIRECT(""&amp;B332&amp;"!B2:B628"),0)))</f>
        <v>-9.1039216648188255</v>
      </c>
      <c r="G332" s="160">
        <f>IF(H332&gt;0,F332-H332,0)</f>
        <v>0</v>
      </c>
      <c r="H332" s="161"/>
      <c r="I332" s="160">
        <f ca="1">F332*$A$2</f>
        <v>-9.1039216648188255</v>
      </c>
      <c r="J332" s="160" t="s">
        <v>76</v>
      </c>
      <c r="K332" s="160">
        <f>IF(LeagueInfo!$F$7="Yahoo",IFERROR(INDEX(DefaultAuctionValues!$B$2:$B$1000,MATCH(A332,DefaultAuctionValues!$A$2:$A$1000,0)),0),IF(LeagueInfo!$F$7="ESPN",IFERROR(INDEX(DefaultAuctionValues!$C$2:$C$1000,MATCH(A332,DefaultAuctionValues!$A$2:$A$1000,0)),0),IF(LeagueInfo!$F$7="Custom",IFERROR(INDEX(DefaultAuctionValues!$D$2:$D$1000,MATCH(A332,DefaultAuctionValues!$A$2:$A$1000,0)),0))))</f>
        <v>0</v>
      </c>
      <c r="L332" s="160">
        <f ca="1">I332-K332</f>
        <v>-9.1039216648188255</v>
      </c>
      <c r="M332" s="175"/>
      <c r="N332" s="170">
        <f ca="1">INDEX(INDIRECT(""&amp;$B332&amp;"!Z2:Z628"),MATCH($A332,INDIRECT(""&amp;$B332&amp;"!B2:B628"),0))</f>
        <v>-25.10499999999999</v>
      </c>
      <c r="O332" s="158" t="str">
        <f ca="1">IF(INDEX(INDIRECT(""&amp;$B332&amp;"!W2:W628"),MATCH($A332,INDIRECT(""&amp;$B332&amp;"!B2:B628"),0))=0,"",INDEX(INDIRECT(""&amp;$B332&amp;"!W2:W628"),MATCH($A332,INDIRECT(""&amp;$B332&amp;"!B2:B628"),0)))</f>
        <v/>
      </c>
    </row>
    <row r="333" spans="1:15" x14ac:dyDescent="0.25">
      <c r="A333" s="158" t="s">
        <v>681</v>
      </c>
      <c r="B333" s="158" t="s">
        <v>28</v>
      </c>
      <c r="C333" s="158">
        <f ca="1">IFERROR(INDEX(BYEs!$B$2:$B$33,MATCH(D333,BYEs!$A$2:$A$33,0)),"N/A")</f>
        <v>11</v>
      </c>
      <c r="D333" s="219" t="str">
        <f ca="1">INDEX(INDIRECT(""&amp;B333&amp;"!F2:F628"),MATCH(A333,INDIRECT(""&amp;B333&amp;"!B2:B628"),0))</f>
        <v>SEA</v>
      </c>
      <c r="E333" s="218" t="str">
        <f ca="1">INDEX(INDIRECT(""&amp;$B333&amp;"!AA2:AA628"),MATCH($A333,INDIRECT(""&amp;$B333&amp;"!B2:B628"),0))</f>
        <v>RB10</v>
      </c>
      <c r="F333" s="159">
        <f ca="1">IF(LeagueInfo!$H$7="Starter/Bench",INDEX(INDIRECT(""&amp;B333&amp;"!T2:T628"),MATCH(A333,INDIRECT(""&amp;B333&amp;"!B2:B628"),0)),INDEX(INDIRECT(""&amp;B333&amp;"!AB2:AB628"),MATCH(A333,INDIRECT(""&amp;B333&amp;"!B2:B628"),0)))</f>
        <v>-9.3106229334484549</v>
      </c>
      <c r="G333" s="160">
        <f>IF(H333&gt;0,F333-H333,0)</f>
        <v>0</v>
      </c>
      <c r="H333" s="161"/>
      <c r="I333" s="160">
        <f ca="1">F333*$A$2</f>
        <v>-9.3106229334484549</v>
      </c>
      <c r="J333" s="160" t="s">
        <v>76</v>
      </c>
      <c r="K333" s="160">
        <f>IF(LeagueInfo!$F$7="Yahoo",IFERROR(INDEX(DefaultAuctionValues!$B$2:$B$1000,MATCH(A333,DefaultAuctionValues!$A$2:$A$1000,0)),0),IF(LeagueInfo!$F$7="ESPN",IFERROR(INDEX(DefaultAuctionValues!$C$2:$C$1000,MATCH(A333,DefaultAuctionValues!$A$2:$A$1000,0)),0),IF(LeagueInfo!$F$7="Custom",IFERROR(INDEX(DefaultAuctionValues!$D$2:$D$1000,MATCH(A333,DefaultAuctionValues!$A$2:$A$1000,0)),0))))</f>
        <v>0</v>
      </c>
      <c r="L333" s="160">
        <f ca="1">I333-K333</f>
        <v>-9.3106229334484549</v>
      </c>
      <c r="M333" s="175"/>
      <c r="N333" s="170">
        <f ca="1">INDEX(INDIRECT(""&amp;$B333&amp;"!Z2:Z628"),MATCH($A333,INDIRECT(""&amp;$B333&amp;"!B2:B628"),0))</f>
        <v>-25.675000000000004</v>
      </c>
      <c r="O333" s="158" t="str">
        <f ca="1">IF(INDEX(INDIRECT(""&amp;$B333&amp;"!W2:W628"),MATCH($A333,INDIRECT(""&amp;$B333&amp;"!B2:B628"),0))=0,"",INDEX(INDIRECT(""&amp;$B333&amp;"!W2:W628"),MATCH($A333,INDIRECT(""&amp;$B333&amp;"!B2:B628"),0)))</f>
        <v/>
      </c>
    </row>
    <row r="334" spans="1:15" x14ac:dyDescent="0.25">
      <c r="A334" s="158" t="s">
        <v>725</v>
      </c>
      <c r="B334" s="158" t="s">
        <v>35</v>
      </c>
      <c r="C334" s="158">
        <f ca="1">IFERROR(INDEX(BYEs!$B$2:$B$33,MATCH(D334,BYEs!$A$2:$A$33,0)),"N/A")</f>
        <v>10</v>
      </c>
      <c r="D334" s="219" t="str">
        <f ca="1">INDEX(INDIRECT(""&amp;B334&amp;"!F2:F628"),MATCH(A334,INDIRECT(""&amp;B334&amp;"!B2:B628"),0))</f>
        <v>NYJ</v>
      </c>
      <c r="E334" s="218" t="str">
        <f ca="1">INDEX(INDIRECT(""&amp;$B334&amp;"!AA2:AA628"),MATCH($A334,INDIRECT(""&amp;$B334&amp;"!B2:B628"),0))</f>
        <v>WR10</v>
      </c>
      <c r="F334" s="159">
        <f ca="1">IF(LeagueInfo!$H$7="Starter/Bench",INDEX(INDIRECT(""&amp;B334&amp;"!T2:T628"),MATCH(A334,INDIRECT(""&amp;B334&amp;"!B2:B628"),0)),INDEX(INDIRECT(""&amp;B334&amp;"!AB2:AB628"),MATCH(A334,INDIRECT(""&amp;B334&amp;"!B2:B628"),0)))</f>
        <v>-9.3323809617252511</v>
      </c>
      <c r="G334" s="160">
        <f>IF(H334&gt;0,F334-H334,0)</f>
        <v>0</v>
      </c>
      <c r="H334" s="161"/>
      <c r="I334" s="160">
        <f ca="1">F334*$A$2</f>
        <v>-9.3323809617252511</v>
      </c>
      <c r="J334" s="160" t="s">
        <v>76</v>
      </c>
      <c r="K334" s="160">
        <f>IF(LeagueInfo!$F$7="Yahoo",IFERROR(INDEX(DefaultAuctionValues!$B$2:$B$1000,MATCH(A334,DefaultAuctionValues!$A$2:$A$1000,0)),0),IF(LeagueInfo!$F$7="ESPN",IFERROR(INDEX(DefaultAuctionValues!$C$2:$C$1000,MATCH(A334,DefaultAuctionValues!$A$2:$A$1000,0)),0),IF(LeagueInfo!$F$7="Custom",IFERROR(INDEX(DefaultAuctionValues!$D$2:$D$1000,MATCH(A334,DefaultAuctionValues!$A$2:$A$1000,0)),0))))</f>
        <v>0</v>
      </c>
      <c r="L334" s="160">
        <f ca="1">I334-K334</f>
        <v>-9.3323809617252511</v>
      </c>
      <c r="M334" s="175"/>
      <c r="N334" s="170">
        <f ca="1">INDEX(INDIRECT(""&amp;$B334&amp;"!Z2:Z628"),MATCH($A334,INDIRECT(""&amp;$B334&amp;"!B2:B628"),0))</f>
        <v>-25.734999999999985</v>
      </c>
      <c r="O334" s="158" t="str">
        <f ca="1">IF(INDEX(INDIRECT(""&amp;$B334&amp;"!W2:W628"),MATCH($A334,INDIRECT(""&amp;$B334&amp;"!B2:B628"),0))=0,"",INDEX(INDIRECT(""&amp;$B334&amp;"!W2:W628"),MATCH($A334,INDIRECT(""&amp;$B334&amp;"!B2:B628"),0)))</f>
        <v/>
      </c>
    </row>
    <row r="335" spans="1:15" x14ac:dyDescent="0.25">
      <c r="A335" s="158" t="s">
        <v>327</v>
      </c>
      <c r="B335" s="158" t="s">
        <v>28</v>
      </c>
      <c r="C335" s="158">
        <f ca="1">IFERROR(INDEX(BYEs!$B$2:$B$33,MATCH(D335,BYEs!$A$2:$A$33,0)),"N/A")</f>
        <v>11</v>
      </c>
      <c r="D335" s="219" t="str">
        <f ca="1">INDEX(INDIRECT(""&amp;B335&amp;"!F2:F628"),MATCH(A335,INDIRECT(""&amp;B335&amp;"!B2:B628"),0))</f>
        <v>TB</v>
      </c>
      <c r="E335" s="218" t="str">
        <f ca="1">INDEX(INDIRECT(""&amp;$B335&amp;"!AA2:AA628"),MATCH($A335,INDIRECT(""&amp;$B335&amp;"!B2:B628"),0))</f>
        <v>RB10</v>
      </c>
      <c r="F335" s="159">
        <f ca="1">IF(LeagueInfo!$H$7="Starter/Bench",INDEX(INDIRECT(""&amp;B335&amp;"!T2:T628"),MATCH(A335,INDIRECT(""&amp;B335&amp;"!B2:B628"),0)),INDEX(INDIRECT(""&amp;B335&amp;"!AB2:AB628"),MATCH(A335,INDIRECT(""&amp;B335&amp;"!B2:B628"),0)))</f>
        <v>-9.3505126519559258</v>
      </c>
      <c r="G335" s="160">
        <f>IF(H335&gt;0,F335-H335,0)</f>
        <v>0</v>
      </c>
      <c r="H335" s="161"/>
      <c r="I335" s="160">
        <f ca="1">F335*$A$2</f>
        <v>-9.3505126519559258</v>
      </c>
      <c r="J335" s="160" t="s">
        <v>76</v>
      </c>
      <c r="K335" s="160">
        <f>IF(LeagueInfo!$F$7="Yahoo",IFERROR(INDEX(DefaultAuctionValues!$B$2:$B$1000,MATCH(A335,DefaultAuctionValues!$A$2:$A$1000,0)),0),IF(LeagueInfo!$F$7="ESPN",IFERROR(INDEX(DefaultAuctionValues!$C$2:$C$1000,MATCH(A335,DefaultAuctionValues!$A$2:$A$1000,0)),0),IF(LeagueInfo!$F$7="Custom",IFERROR(INDEX(DefaultAuctionValues!$D$2:$D$1000,MATCH(A335,DefaultAuctionValues!$A$2:$A$1000,0)),0))))</f>
        <v>0</v>
      </c>
      <c r="L335" s="160">
        <f ca="1">I335-K335</f>
        <v>-9.3505126519559258</v>
      </c>
      <c r="M335" s="175"/>
      <c r="N335" s="170">
        <f ca="1">INDEX(INDIRECT(""&amp;$B335&amp;"!Z2:Z628"),MATCH($A335,INDIRECT(""&amp;$B335&amp;"!B2:B628"),0))</f>
        <v>-25.785000000000004</v>
      </c>
      <c r="O335" s="158" t="str">
        <f ca="1">IF(INDEX(INDIRECT(""&amp;$B335&amp;"!W2:W628"),MATCH($A335,INDIRECT(""&amp;$B335&amp;"!B2:B628"),0))=0,"",INDEX(INDIRECT(""&amp;$B335&amp;"!W2:W628"),MATCH($A335,INDIRECT(""&amp;$B335&amp;"!B2:B628"),0)))</f>
        <v/>
      </c>
    </row>
    <row r="336" spans="1:15" x14ac:dyDescent="0.25">
      <c r="A336" s="158" t="s">
        <v>2425</v>
      </c>
      <c r="B336" s="158" t="s">
        <v>35</v>
      </c>
      <c r="C336" s="158">
        <f ca="1">IFERROR(INDEX(BYEs!$B$2:$B$33,MATCH(D336,BYEs!$A$2:$A$33,0)),"N/A")</f>
        <v>9</v>
      </c>
      <c r="D336" s="219" t="str">
        <f ca="1">INDEX(INDIRECT(""&amp;B336&amp;"!F2:F628"),MATCH(A336,INDIRECT(""&amp;B336&amp;"!B2:B628"),0))</f>
        <v>CLE</v>
      </c>
      <c r="E336" s="218" t="str">
        <f ca="1">INDEX(INDIRECT(""&amp;$B336&amp;"!AA2:AA628"),MATCH($A336,INDIRECT(""&amp;$B336&amp;"!B2:B628"),0))</f>
        <v>WR10</v>
      </c>
      <c r="F336" s="159">
        <f ca="1">IF(LeagueInfo!$H$7="Starter/Bench",INDEX(INDIRECT(""&amp;B336&amp;"!T2:T628"),MATCH(A336,INDIRECT(""&amp;B336&amp;"!B2:B628"),0)),INDEX(INDIRECT(""&amp;B336&amp;"!AB2:AB628"),MATCH(A336,INDIRECT(""&amp;B336&amp;"!B2:B628"),0)))</f>
        <v>-9.3958418775325931</v>
      </c>
      <c r="G336" s="160">
        <f>IF(H336&gt;0,F336-H336,0)</f>
        <v>0</v>
      </c>
      <c r="H336" s="161"/>
      <c r="I336" s="160">
        <f ca="1">F336*$A$2</f>
        <v>-9.3958418775325931</v>
      </c>
      <c r="J336" s="160" t="s">
        <v>76</v>
      </c>
      <c r="K336" s="160">
        <f>IF(LeagueInfo!$F$7="Yahoo",IFERROR(INDEX(DefaultAuctionValues!$B$2:$B$1000,MATCH(A336,DefaultAuctionValues!$A$2:$A$1000,0)),0),IF(LeagueInfo!$F$7="ESPN",IFERROR(INDEX(DefaultAuctionValues!$C$2:$C$1000,MATCH(A336,DefaultAuctionValues!$A$2:$A$1000,0)),0),IF(LeagueInfo!$F$7="Custom",IFERROR(INDEX(DefaultAuctionValues!$D$2:$D$1000,MATCH(A336,DefaultAuctionValues!$A$2:$A$1000,0)),0))))</f>
        <v>0</v>
      </c>
      <c r="L336" s="160">
        <f ca="1">I336-K336</f>
        <v>-9.3958418775325931</v>
      </c>
      <c r="M336" s="175"/>
      <c r="N336" s="170">
        <f ca="1">INDEX(INDIRECT(""&amp;$B336&amp;"!Z2:Z628"),MATCH($A336,INDIRECT(""&amp;$B336&amp;"!B2:B628"),0))</f>
        <v>-25.909999999999989</v>
      </c>
      <c r="O336" s="158" t="str">
        <f ca="1">IF(INDEX(INDIRECT(""&amp;$B336&amp;"!W2:W628"),MATCH($A336,INDIRECT(""&amp;$B336&amp;"!B2:B628"),0))=0,"",INDEX(INDIRECT(""&amp;$B336&amp;"!W2:W628"),MATCH($A336,INDIRECT(""&amp;$B336&amp;"!B2:B628"),0)))</f>
        <v/>
      </c>
    </row>
    <row r="337" spans="1:15" x14ac:dyDescent="0.25">
      <c r="A337" s="158" t="s">
        <v>431</v>
      </c>
      <c r="B337" s="158" t="s">
        <v>43</v>
      </c>
      <c r="C337" s="158">
        <f ca="1">IFERROR(INDEX(BYEs!$B$2:$B$33,MATCH(D337,BYEs!$A$2:$A$33,0)),"N/A")</f>
        <v>6</v>
      </c>
      <c r="D337" s="219" t="str">
        <f ca="1">INDEX(INDIRECT(""&amp;B337&amp;"!F2:F628"),MATCH(A337,INDIRECT(""&amp;B337&amp;"!B2:B628"),0))</f>
        <v>TEN</v>
      </c>
      <c r="E337" s="218" t="str">
        <f ca="1">INDEX(INDIRECT(""&amp;$B337&amp;"!AA2:AA628"),MATCH($A337,INDIRECT(""&amp;$B337&amp;"!B2:B628"),0))</f>
        <v>TE10</v>
      </c>
      <c r="F337" s="159">
        <f ca="1">IF(LeagueInfo!$H$7="Starter/Bench",INDEX(INDIRECT(""&amp;B337&amp;"!T2:T628"),MATCH(A337,INDIRECT(""&amp;B337&amp;"!B2:B628"),0)),INDEX(INDIRECT(""&amp;B337&amp;"!AB2:AB628"),MATCH(A337,INDIRECT(""&amp;B337&amp;"!B2:B628"),0)))</f>
        <v>-9.4049077226479341</v>
      </c>
      <c r="G337" s="160">
        <f>IF(H337&gt;0,F337-H337,0)</f>
        <v>0</v>
      </c>
      <c r="H337" s="161"/>
      <c r="I337" s="160">
        <f ca="1">F337*$A$2</f>
        <v>-9.4049077226479341</v>
      </c>
      <c r="J337" s="160" t="s">
        <v>76</v>
      </c>
      <c r="K337" s="160">
        <f>IF(LeagueInfo!$F$7="Yahoo",IFERROR(INDEX(DefaultAuctionValues!$B$2:$B$1000,MATCH(A337,DefaultAuctionValues!$A$2:$A$1000,0)),0),IF(LeagueInfo!$F$7="ESPN",IFERROR(INDEX(DefaultAuctionValues!$C$2:$C$1000,MATCH(A337,DefaultAuctionValues!$A$2:$A$1000,0)),0),IF(LeagueInfo!$F$7="Custom",IFERROR(INDEX(DefaultAuctionValues!$D$2:$D$1000,MATCH(A337,DefaultAuctionValues!$A$2:$A$1000,0)),0))))</f>
        <v>0</v>
      </c>
      <c r="L337" s="160">
        <f ca="1">I337-K337</f>
        <v>-9.4049077226479341</v>
      </c>
      <c r="M337" s="175"/>
      <c r="N337" s="170">
        <f ca="1">INDEX(INDIRECT(""&amp;$B337&amp;"!Z2:Z628"),MATCH($A337,INDIRECT(""&amp;$B337&amp;"!B2:B628"),0))</f>
        <v>-25.935000000000006</v>
      </c>
      <c r="O337" s="158" t="str">
        <f ca="1">IF(INDEX(INDIRECT(""&amp;$B337&amp;"!W2:W628"),MATCH($A337,INDIRECT(""&amp;$B337&amp;"!B2:B628"),0))=0,"",INDEX(INDIRECT(""&amp;$B337&amp;"!W2:W628"),MATCH($A337,INDIRECT(""&amp;$B337&amp;"!B2:B628"),0)))</f>
        <v/>
      </c>
    </row>
    <row r="338" spans="1:15" x14ac:dyDescent="0.25">
      <c r="A338" s="158" t="s">
        <v>134</v>
      </c>
      <c r="B338" s="158" t="s">
        <v>28</v>
      </c>
      <c r="C338" s="158">
        <f ca="1">IFERROR(INDEX(BYEs!$B$2:$B$33,MATCH(D338,BYEs!$A$2:$A$33,0)),"N/A")</f>
        <v>10</v>
      </c>
      <c r="D338" s="219" t="str">
        <f ca="1">INDEX(INDIRECT(""&amp;B338&amp;"!F2:F628"),MATCH(A338,INDIRECT(""&amp;B338&amp;"!B2:B628"),0))</f>
        <v>NE</v>
      </c>
      <c r="E338" s="218" t="str">
        <f ca="1">INDEX(INDIRECT(""&amp;$B338&amp;"!AA2:AA628"),MATCH($A338,INDIRECT(""&amp;$B338&amp;"!B2:B628"),0))</f>
        <v>RB10</v>
      </c>
      <c r="F338" s="159">
        <f ca="1">IF(LeagueInfo!$H$7="Starter/Bench",INDEX(INDIRECT(""&amp;B338&amp;"!T2:T628"),MATCH(A338,INDIRECT(""&amp;B338&amp;"!B2:B628"),0)),INDEX(INDIRECT(""&amp;B338&amp;"!AB2:AB628"),MATCH(A338,INDIRECT(""&amp;B338&amp;"!B2:B628"),0)))</f>
        <v>-9.4919398357551437</v>
      </c>
      <c r="G338" s="160">
        <f>IF(H338&gt;0,F338-H338,0)</f>
        <v>0</v>
      </c>
      <c r="H338" s="161"/>
      <c r="I338" s="160">
        <f ca="1">F338*$A$2</f>
        <v>-9.4919398357551437</v>
      </c>
      <c r="J338" s="160" t="s">
        <v>76</v>
      </c>
      <c r="K338" s="160">
        <f>IF(LeagueInfo!$F$7="Yahoo",IFERROR(INDEX(DefaultAuctionValues!$B$2:$B$1000,MATCH(A338,DefaultAuctionValues!$A$2:$A$1000,0)),0),IF(LeagueInfo!$F$7="ESPN",IFERROR(INDEX(DefaultAuctionValues!$C$2:$C$1000,MATCH(A338,DefaultAuctionValues!$A$2:$A$1000,0)),0),IF(LeagueInfo!$F$7="Custom",IFERROR(INDEX(DefaultAuctionValues!$D$2:$D$1000,MATCH(A338,DefaultAuctionValues!$A$2:$A$1000,0)),0))))</f>
        <v>0</v>
      </c>
      <c r="L338" s="160">
        <f ca="1">I338-K338</f>
        <v>-9.4919398357551437</v>
      </c>
      <c r="M338" s="175"/>
      <c r="N338" s="170">
        <f ca="1">INDEX(INDIRECT(""&amp;$B338&amp;"!Z2:Z628"),MATCH($A338,INDIRECT(""&amp;$B338&amp;"!B2:B628"),0))</f>
        <v>-26.175000000000004</v>
      </c>
      <c r="O338" s="158" t="str">
        <f ca="1">IF(INDEX(INDIRECT(""&amp;$B338&amp;"!W2:W628"),MATCH($A338,INDIRECT(""&amp;$B338&amp;"!B2:B628"),0))=0,"",INDEX(INDIRECT(""&amp;$B338&amp;"!W2:W628"),MATCH($A338,INDIRECT(""&amp;$B338&amp;"!B2:B628"),0)))</f>
        <v/>
      </c>
    </row>
    <row r="339" spans="1:15" x14ac:dyDescent="0.25">
      <c r="A339" s="158" t="s">
        <v>673</v>
      </c>
      <c r="B339" s="158" t="s">
        <v>28</v>
      </c>
      <c r="C339" s="158">
        <f ca="1">IFERROR(INDEX(BYEs!$B$2:$B$33,MATCH(D339,BYEs!$A$2:$A$33,0)),"N/A")</f>
        <v>9</v>
      </c>
      <c r="D339" s="219" t="str">
        <f ca="1">INDEX(INDIRECT(""&amp;B339&amp;"!F2:F628"),MATCH(A339,INDIRECT(""&amp;B339&amp;"!B2:B628"),0))</f>
        <v>PIT</v>
      </c>
      <c r="E339" s="218" t="str">
        <f ca="1">INDEX(INDIRECT(""&amp;$B339&amp;"!AA2:AA628"),MATCH($A339,INDIRECT(""&amp;$B339&amp;"!B2:B628"),0))</f>
        <v>RB10</v>
      </c>
      <c r="F339" s="159">
        <f ca="1">IF(LeagueInfo!$H$7="Starter/Bench",INDEX(INDIRECT(""&amp;B339&amp;"!T2:T628"),MATCH(A339,INDIRECT(""&amp;B339&amp;"!B2:B628"),0)),INDEX(INDIRECT(""&amp;B339&amp;"!AB2:AB628"),MATCH(A339,INDIRECT(""&amp;B339&amp;"!B2:B628"),0)))</f>
        <v>-9.5971036390930227</v>
      </c>
      <c r="G339" s="160">
        <f>IF(H339&gt;0,F339-H339,0)</f>
        <v>0</v>
      </c>
      <c r="H339" s="161"/>
      <c r="I339" s="160">
        <f ca="1">F339*$A$2</f>
        <v>-9.5971036390930227</v>
      </c>
      <c r="J339" s="160" t="s">
        <v>76</v>
      </c>
      <c r="K339" s="160">
        <f>IF(LeagueInfo!$F$7="Yahoo",IFERROR(INDEX(DefaultAuctionValues!$B$2:$B$1000,MATCH(A339,DefaultAuctionValues!$A$2:$A$1000,0)),0),IF(LeagueInfo!$F$7="ESPN",IFERROR(INDEX(DefaultAuctionValues!$C$2:$C$1000,MATCH(A339,DefaultAuctionValues!$A$2:$A$1000,0)),0),IF(LeagueInfo!$F$7="Custom",IFERROR(INDEX(DefaultAuctionValues!$D$2:$D$1000,MATCH(A339,DefaultAuctionValues!$A$2:$A$1000,0)),0))))</f>
        <v>0</v>
      </c>
      <c r="L339" s="160">
        <f ca="1">I339-K339</f>
        <v>-9.5971036390930227</v>
      </c>
      <c r="M339" s="175"/>
      <c r="N339" s="170">
        <f ca="1">INDEX(INDIRECT(""&amp;$B339&amp;"!Z2:Z628"),MATCH($A339,INDIRECT(""&amp;$B339&amp;"!B2:B628"),0))</f>
        <v>-26.465000000000003</v>
      </c>
      <c r="O339" s="158" t="str">
        <f ca="1">IF(INDEX(INDIRECT(""&amp;$B339&amp;"!W2:W628"),MATCH($A339,INDIRECT(""&amp;$B339&amp;"!B2:B628"),0))=0,"",INDEX(INDIRECT(""&amp;$B339&amp;"!W2:W628"),MATCH($A339,INDIRECT(""&amp;$B339&amp;"!B2:B628"),0)))</f>
        <v/>
      </c>
    </row>
    <row r="340" spans="1:15" x14ac:dyDescent="0.25">
      <c r="A340" s="158" t="s">
        <v>2478</v>
      </c>
      <c r="B340" s="158" t="s">
        <v>43</v>
      </c>
      <c r="C340" s="158">
        <f ca="1">IFERROR(INDEX(BYEs!$B$2:$B$33,MATCH(D340,BYEs!$A$2:$A$33,0)),"N/A")</f>
        <v>9</v>
      </c>
      <c r="D340" s="219" t="str">
        <f ca="1">INDEX(INDIRECT(""&amp;B340&amp;"!F2:F628"),MATCH(A340,INDIRECT(""&amp;B340&amp;"!B2:B628"),0))</f>
        <v>NYG</v>
      </c>
      <c r="E340" s="218" t="str">
        <f ca="1">INDEX(INDIRECT(""&amp;$B340&amp;"!AA2:AA628"),MATCH($A340,INDIRECT(""&amp;$B340&amp;"!B2:B628"),0))</f>
        <v>TE10</v>
      </c>
      <c r="F340" s="159">
        <f ca="1">IF(LeagueInfo!$H$7="Starter/Bench",INDEX(INDIRECT(""&amp;B340&amp;"!T2:T628"),MATCH(A340,INDIRECT(""&amp;B340&amp;"!B2:B628"),0)),INDEX(INDIRECT(""&amp;B340&amp;"!AB2:AB628"),MATCH(A340,INDIRECT(""&amp;B340&amp;"!B2:B628"),0)))</f>
        <v>-9.6496855407619613</v>
      </c>
      <c r="G340" s="160">
        <f>IF(H340&gt;0,F340-H340,0)</f>
        <v>0</v>
      </c>
      <c r="H340" s="161"/>
      <c r="I340" s="160">
        <f ca="1">F340*$A$2</f>
        <v>-9.6496855407619613</v>
      </c>
      <c r="J340" s="160" t="s">
        <v>76</v>
      </c>
      <c r="K340" s="160">
        <f>IF(LeagueInfo!$F$7="Yahoo",IFERROR(INDEX(DefaultAuctionValues!$B$2:$B$1000,MATCH(A340,DefaultAuctionValues!$A$2:$A$1000,0)),0),IF(LeagueInfo!$F$7="ESPN",IFERROR(INDEX(DefaultAuctionValues!$C$2:$C$1000,MATCH(A340,DefaultAuctionValues!$A$2:$A$1000,0)),0),IF(LeagueInfo!$F$7="Custom",IFERROR(INDEX(DefaultAuctionValues!$D$2:$D$1000,MATCH(A340,DefaultAuctionValues!$A$2:$A$1000,0)),0))))</f>
        <v>0</v>
      </c>
      <c r="L340" s="160">
        <f ca="1">I340-K340</f>
        <v>-9.6496855407619613</v>
      </c>
      <c r="M340" s="175"/>
      <c r="N340" s="170">
        <f ca="1">INDEX(INDIRECT(""&amp;$B340&amp;"!Z2:Z628"),MATCH($A340,INDIRECT(""&amp;$B340&amp;"!B2:B628"),0))</f>
        <v>-26.610000000000003</v>
      </c>
      <c r="O340" s="158" t="str">
        <f ca="1">IF(INDEX(INDIRECT(""&amp;$B340&amp;"!W2:W628"),MATCH($A340,INDIRECT(""&amp;$B340&amp;"!B2:B628"),0))=0,"",INDEX(INDIRECT(""&amp;$B340&amp;"!W2:W628"),MATCH($A340,INDIRECT(""&amp;$B340&amp;"!B2:B628"),0)))</f>
        <v/>
      </c>
    </row>
    <row r="341" spans="1:15" x14ac:dyDescent="0.25">
      <c r="A341" s="158" t="s">
        <v>2460</v>
      </c>
      <c r="B341" s="158" t="s">
        <v>28</v>
      </c>
      <c r="C341" s="158">
        <f ca="1">IFERROR(INDEX(BYEs!$B$2:$B$33,MATCH(D341,BYEs!$A$2:$A$33,0)),"N/A")</f>
        <v>10</v>
      </c>
      <c r="D341" s="219" t="str">
        <f ca="1">INDEX(INDIRECT(""&amp;B341&amp;"!F2:F628"),MATCH(A341,INDIRECT(""&amp;B341&amp;"!B2:B628"),0))</f>
        <v>BAL</v>
      </c>
      <c r="E341" s="218" t="str">
        <f ca="1">INDEX(INDIRECT(""&amp;$B341&amp;"!AA2:AA628"),MATCH($A341,INDIRECT(""&amp;$B341&amp;"!B2:B628"),0))</f>
        <v>RB10</v>
      </c>
      <c r="F341" s="159">
        <f ca="1">IF(LeagueInfo!$H$7="Starter/Bench",INDEX(INDIRECT(""&amp;B341&amp;"!T2:T628"),MATCH(A341,INDIRECT(""&amp;B341&amp;"!B2:B628"),0)),INDEX(INDIRECT(""&amp;B341&amp;"!AB2:AB628"),MATCH(A341,INDIRECT(""&amp;B341&amp;"!B2:B628"),0)))</f>
        <v>-9.7530361750767742</v>
      </c>
      <c r="G341" s="160">
        <f>IF(H341&gt;0,F341-H341,0)</f>
        <v>0</v>
      </c>
      <c r="H341" s="161"/>
      <c r="I341" s="160">
        <f ca="1">F341*$A$2</f>
        <v>-9.7530361750767742</v>
      </c>
      <c r="J341" s="160" t="s">
        <v>76</v>
      </c>
      <c r="K341" s="160">
        <f>IF(LeagueInfo!$F$7="Yahoo",IFERROR(INDEX(DefaultAuctionValues!$B$2:$B$1000,MATCH(A341,DefaultAuctionValues!$A$2:$A$1000,0)),0),IF(LeagueInfo!$F$7="ESPN",IFERROR(INDEX(DefaultAuctionValues!$C$2:$C$1000,MATCH(A341,DefaultAuctionValues!$A$2:$A$1000,0)),0),IF(LeagueInfo!$F$7="Custom",IFERROR(INDEX(DefaultAuctionValues!$D$2:$D$1000,MATCH(A341,DefaultAuctionValues!$A$2:$A$1000,0)),0))))</f>
        <v>0</v>
      </c>
      <c r="L341" s="160">
        <f ca="1">I341-K341</f>
        <v>-9.7530361750767742</v>
      </c>
      <c r="M341" s="175"/>
      <c r="N341" s="170">
        <f ca="1">INDEX(INDIRECT(""&amp;$B341&amp;"!Z2:Z628"),MATCH($A341,INDIRECT(""&amp;$B341&amp;"!B2:B628"),0))</f>
        <v>-26.895000000000003</v>
      </c>
      <c r="O341" s="158" t="str">
        <f ca="1">IF(INDEX(INDIRECT(""&amp;$B341&amp;"!W2:W628"),MATCH($A341,INDIRECT(""&amp;$B341&amp;"!B2:B628"),0))=0,"",INDEX(INDIRECT(""&amp;$B341&amp;"!W2:W628"),MATCH($A341,INDIRECT(""&amp;$B341&amp;"!B2:B628"),0)))</f>
        <v/>
      </c>
    </row>
    <row r="342" spans="1:15" x14ac:dyDescent="0.25">
      <c r="A342" s="158" t="s">
        <v>2735</v>
      </c>
      <c r="B342" s="158" t="s">
        <v>28</v>
      </c>
      <c r="C342" s="158">
        <f ca="1">IFERROR(INDEX(BYEs!$B$2:$B$33,MATCH(D342,BYEs!$A$2:$A$33,0)),"N/A")</f>
        <v>7</v>
      </c>
      <c r="D342" s="219" t="str">
        <f ca="1">INDEX(INDIRECT(""&amp;B342&amp;"!F2:F628"),MATCH(A342,INDIRECT(""&amp;B342&amp;"!B2:B628"),0))</f>
        <v>PHI</v>
      </c>
      <c r="E342" s="218" t="str">
        <f ca="1">INDEX(INDIRECT(""&amp;$B342&amp;"!AA2:AA628"),MATCH($A342,INDIRECT(""&amp;$B342&amp;"!B2:B628"),0))</f>
        <v>RB10</v>
      </c>
      <c r="F342" s="159">
        <f ca="1">IF(LeagueInfo!$H$7="Starter/Bench",INDEX(INDIRECT(""&amp;B342&amp;"!T2:T628"),MATCH(A342,INDIRECT(""&amp;B342&amp;"!B2:B628"),0)),INDEX(INDIRECT(""&amp;B342&amp;"!AB2:AB628"),MATCH(A342,INDIRECT(""&amp;B342&amp;"!B2:B628"),0)))</f>
        <v>-9.8056180767457146</v>
      </c>
      <c r="G342" s="160">
        <f>IF(H342&gt;0,F342-H342,0)</f>
        <v>0</v>
      </c>
      <c r="H342" s="161"/>
      <c r="I342" s="160">
        <f ca="1">F342*$A$2</f>
        <v>-9.8056180767457146</v>
      </c>
      <c r="J342" s="160" t="s">
        <v>76</v>
      </c>
      <c r="K342" s="160">
        <f>IF(LeagueInfo!$F$7="Yahoo",IFERROR(INDEX(DefaultAuctionValues!$B$2:$B$1000,MATCH(A342,DefaultAuctionValues!$A$2:$A$1000,0)),0),IF(LeagueInfo!$F$7="ESPN",IFERROR(INDEX(DefaultAuctionValues!$C$2:$C$1000,MATCH(A342,DefaultAuctionValues!$A$2:$A$1000,0)),0),IF(LeagueInfo!$F$7="Custom",IFERROR(INDEX(DefaultAuctionValues!$D$2:$D$1000,MATCH(A342,DefaultAuctionValues!$A$2:$A$1000,0)),0))))</f>
        <v>0</v>
      </c>
      <c r="L342" s="160">
        <f ca="1">I342-K342</f>
        <v>-9.8056180767457146</v>
      </c>
      <c r="M342" s="175"/>
      <c r="N342" s="170">
        <f ca="1">INDEX(INDIRECT(""&amp;$B342&amp;"!Z2:Z628"),MATCH($A342,INDIRECT(""&amp;$B342&amp;"!B2:B628"),0))</f>
        <v>-27.040000000000006</v>
      </c>
      <c r="O342" s="158" t="str">
        <f ca="1">IF(INDEX(INDIRECT(""&amp;$B342&amp;"!W2:W628"),MATCH($A342,INDIRECT(""&amp;$B342&amp;"!B2:B628"),0))=0,"",INDEX(INDIRECT(""&amp;$B342&amp;"!W2:W628"),MATCH($A342,INDIRECT(""&amp;$B342&amp;"!B2:B628"),0)))</f>
        <v/>
      </c>
    </row>
    <row r="343" spans="1:15" x14ac:dyDescent="0.25">
      <c r="A343" s="158" t="s">
        <v>2468</v>
      </c>
      <c r="B343" s="158" t="s">
        <v>28</v>
      </c>
      <c r="C343" s="158">
        <f ca="1">IFERROR(INDEX(BYEs!$B$2:$B$33,MATCH(D343,BYEs!$A$2:$A$33,0)),"N/A")</f>
        <v>14</v>
      </c>
      <c r="D343" s="219" t="str">
        <f ca="1">INDEX(INDIRECT(""&amp;B343&amp;"!F2:F628"),MATCH(A343,INDIRECT(""&amp;B343&amp;"!B2:B628"),0))</f>
        <v>IND</v>
      </c>
      <c r="E343" s="218" t="str">
        <f ca="1">INDEX(INDIRECT(""&amp;$B343&amp;"!AA2:AA628"),MATCH($A343,INDIRECT(""&amp;$B343&amp;"!B2:B628"),0))</f>
        <v>RB10</v>
      </c>
      <c r="F343" s="159">
        <f ca="1">IF(LeagueInfo!$H$7="Starter/Bench",INDEX(INDIRECT(""&amp;B343&amp;"!T2:T628"),MATCH(A343,INDIRECT(""&amp;B343&amp;"!B2:B628"),0)),INDEX(INDIRECT(""&amp;B343&amp;"!AB2:AB628"),MATCH(A343,INDIRECT(""&amp;B343&amp;"!B2:B628"),0)))</f>
        <v>-9.8128707528379806</v>
      </c>
      <c r="G343" s="160">
        <f>IF(H343&gt;0,F343-H343,0)</f>
        <v>0</v>
      </c>
      <c r="H343" s="161"/>
      <c r="I343" s="160">
        <f ca="1">F343*$A$2</f>
        <v>-9.8128707528379806</v>
      </c>
      <c r="J343" s="160" t="s">
        <v>76</v>
      </c>
      <c r="K343" s="160">
        <f>IF(LeagueInfo!$F$7="Yahoo",IFERROR(INDEX(DefaultAuctionValues!$B$2:$B$1000,MATCH(A343,DefaultAuctionValues!$A$2:$A$1000,0)),0),IF(LeagueInfo!$F$7="ESPN",IFERROR(INDEX(DefaultAuctionValues!$C$2:$C$1000,MATCH(A343,DefaultAuctionValues!$A$2:$A$1000,0)),0),IF(LeagueInfo!$F$7="Custom",IFERROR(INDEX(DefaultAuctionValues!$D$2:$D$1000,MATCH(A343,DefaultAuctionValues!$A$2:$A$1000,0)),0))))</f>
        <v>0</v>
      </c>
      <c r="L343" s="160">
        <f ca="1">I343-K343</f>
        <v>-9.8128707528379806</v>
      </c>
      <c r="M343" s="175"/>
      <c r="N343" s="170">
        <f ca="1">INDEX(INDIRECT(""&amp;$B343&amp;"!Z2:Z628"),MATCH($A343,INDIRECT(""&amp;$B343&amp;"!B2:B628"),0))</f>
        <v>-27.060000000000002</v>
      </c>
      <c r="O343" s="158" t="str">
        <f ca="1">IF(INDEX(INDIRECT(""&amp;$B343&amp;"!W2:W628"),MATCH($A343,INDIRECT(""&amp;$B343&amp;"!B2:B628"),0))=0,"",INDEX(INDIRECT(""&amp;$B343&amp;"!W2:W628"),MATCH($A343,INDIRECT(""&amp;$B343&amp;"!B2:B628"),0)))</f>
        <v/>
      </c>
    </row>
    <row r="344" spans="1:15" x14ac:dyDescent="0.25">
      <c r="A344" s="158" t="s">
        <v>689</v>
      </c>
      <c r="B344" s="158" t="s">
        <v>28</v>
      </c>
      <c r="C344" s="158">
        <f ca="1">IFERROR(INDEX(BYEs!$B$2:$B$33,MATCH(D344,BYEs!$A$2:$A$33,0)),"N/A")</f>
        <v>6</v>
      </c>
      <c r="D344" s="219" t="str">
        <f ca="1">INDEX(INDIRECT(""&amp;B344&amp;"!F2:F628"),MATCH(A344,INDIRECT(""&amp;B344&amp;"!B2:B628"),0))</f>
        <v>HOU</v>
      </c>
      <c r="E344" s="218" t="str">
        <f ca="1">INDEX(INDIRECT(""&amp;$B344&amp;"!AA2:AA628"),MATCH($A344,INDIRECT(""&amp;$B344&amp;"!B2:B628"),0))</f>
        <v>RB10</v>
      </c>
      <c r="F344" s="159">
        <f ca="1">IF(LeagueInfo!$H$7="Starter/Bench",INDEX(INDIRECT(""&amp;B344&amp;"!T2:T628"),MATCH(A344,INDIRECT(""&amp;B344&amp;"!B2:B628"),0)),INDEX(INDIRECT(""&amp;B344&amp;"!AB2:AB628"),MATCH(A344,INDIRECT(""&amp;B344&amp;"!B2:B628"),0)))</f>
        <v>-9.8708921615761227</v>
      </c>
      <c r="G344" s="160">
        <f>IF(H344&gt;0,F344-H344,0)</f>
        <v>0</v>
      </c>
      <c r="H344" s="161"/>
      <c r="I344" s="160">
        <f ca="1">F344*$A$2</f>
        <v>-9.8708921615761227</v>
      </c>
      <c r="J344" s="160" t="s">
        <v>76</v>
      </c>
      <c r="K344" s="160">
        <f>IF(LeagueInfo!$F$7="Yahoo",IFERROR(INDEX(DefaultAuctionValues!$B$2:$B$1000,MATCH(A344,DefaultAuctionValues!$A$2:$A$1000,0)),0),IF(LeagueInfo!$F$7="ESPN",IFERROR(INDEX(DefaultAuctionValues!$C$2:$C$1000,MATCH(A344,DefaultAuctionValues!$A$2:$A$1000,0)),0),IF(LeagueInfo!$F$7="Custom",IFERROR(INDEX(DefaultAuctionValues!$D$2:$D$1000,MATCH(A344,DefaultAuctionValues!$A$2:$A$1000,0)),0))))</f>
        <v>0</v>
      </c>
      <c r="L344" s="160">
        <f ca="1">I344-K344</f>
        <v>-9.8708921615761227</v>
      </c>
      <c r="M344" s="175"/>
      <c r="N344" s="170">
        <f ca="1">INDEX(INDIRECT(""&amp;$B344&amp;"!Z2:Z628"),MATCH($A344,INDIRECT(""&amp;$B344&amp;"!B2:B628"),0))</f>
        <v>-27.220000000000006</v>
      </c>
      <c r="O344" s="158" t="str">
        <f ca="1">IF(INDEX(INDIRECT(""&amp;$B344&amp;"!W2:W628"),MATCH($A344,INDIRECT(""&amp;$B344&amp;"!B2:B628"),0))=0,"",INDEX(INDIRECT(""&amp;$B344&amp;"!W2:W628"),MATCH($A344,INDIRECT(""&amp;$B344&amp;"!B2:B628"),0)))</f>
        <v/>
      </c>
    </row>
    <row r="345" spans="1:15" x14ac:dyDescent="0.25">
      <c r="A345" s="158" t="s">
        <v>2459</v>
      </c>
      <c r="B345" s="158" t="s">
        <v>28</v>
      </c>
      <c r="C345" s="158">
        <f ca="1">IFERROR(INDEX(BYEs!$B$2:$B$33,MATCH(D345,BYEs!$A$2:$A$33,0)),"N/A")</f>
        <v>7</v>
      </c>
      <c r="D345" s="219" t="str">
        <f ca="1">INDEX(INDIRECT(""&amp;B345&amp;"!F2:F628"),MATCH(A345,INDIRECT(""&amp;B345&amp;"!B2:B628"),0))</f>
        <v>LAR</v>
      </c>
      <c r="E345" s="218" t="str">
        <f ca="1">INDEX(INDIRECT(""&amp;$B345&amp;"!AA2:AA628"),MATCH($A345,INDIRECT(""&amp;$B345&amp;"!B2:B628"),0))</f>
        <v>RB10</v>
      </c>
      <c r="F345" s="159">
        <f ca="1">IF(LeagueInfo!$H$7="Starter/Bench",INDEX(INDIRECT(""&amp;B345&amp;"!T2:T628"),MATCH(A345,INDIRECT(""&amp;B345&amp;"!B2:B628"),0)),INDEX(INDIRECT(""&amp;B345&amp;"!AB2:AB628"),MATCH(A345,INDIRECT(""&amp;B345&amp;"!B2:B628"),0)))</f>
        <v>-9.999627162213871</v>
      </c>
      <c r="G345" s="160">
        <f>IF(H345&gt;0,F345-H345,0)</f>
        <v>0</v>
      </c>
      <c r="H345" s="161"/>
      <c r="I345" s="160">
        <f ca="1">F345*$A$2</f>
        <v>-9.999627162213871</v>
      </c>
      <c r="J345" s="160" t="s">
        <v>76</v>
      </c>
      <c r="K345" s="160">
        <f>IF(LeagueInfo!$F$7="Yahoo",IFERROR(INDEX(DefaultAuctionValues!$B$2:$B$1000,MATCH(A345,DefaultAuctionValues!$A$2:$A$1000,0)),0),IF(LeagueInfo!$F$7="ESPN",IFERROR(INDEX(DefaultAuctionValues!$C$2:$C$1000,MATCH(A345,DefaultAuctionValues!$A$2:$A$1000,0)),0),IF(LeagueInfo!$F$7="Custom",IFERROR(INDEX(DefaultAuctionValues!$D$2:$D$1000,MATCH(A345,DefaultAuctionValues!$A$2:$A$1000,0)),0))))</f>
        <v>0</v>
      </c>
      <c r="L345" s="160">
        <f ca="1">I345-K345</f>
        <v>-9.999627162213871</v>
      </c>
      <c r="M345" s="175"/>
      <c r="N345" s="170">
        <f ca="1">INDEX(INDIRECT(""&amp;$B345&amp;"!Z2:Z628"),MATCH($A345,INDIRECT(""&amp;$B345&amp;"!B2:B628"),0))</f>
        <v>-27.575000000000003</v>
      </c>
      <c r="O345" s="158" t="str">
        <f ca="1">IF(INDEX(INDIRECT(""&amp;$B345&amp;"!W2:W628"),MATCH($A345,INDIRECT(""&amp;$B345&amp;"!B2:B628"),0))=0,"",INDEX(INDIRECT(""&amp;$B345&amp;"!W2:W628"),MATCH($A345,INDIRECT(""&amp;$B345&amp;"!B2:B628"),0)))</f>
        <v/>
      </c>
    </row>
    <row r="346" spans="1:15" x14ac:dyDescent="0.25">
      <c r="A346" s="158" t="s">
        <v>593</v>
      </c>
      <c r="B346" s="158" t="s">
        <v>43</v>
      </c>
      <c r="C346" s="158">
        <f ca="1">IFERROR(INDEX(BYEs!$B$2:$B$33,MATCH(D346,BYEs!$A$2:$A$33,0)),"N/A")</f>
        <v>6</v>
      </c>
      <c r="D346" s="219" t="str">
        <f ca="1">INDEX(INDIRECT(""&amp;B346&amp;"!F2:F628"),MATCH(A346,INDIRECT(""&amp;B346&amp;"!B2:B628"),0))</f>
        <v>HOU</v>
      </c>
      <c r="E346" s="218" t="str">
        <f ca="1">INDEX(INDIRECT(""&amp;$B346&amp;"!AA2:AA628"),MATCH($A346,INDIRECT(""&amp;$B346&amp;"!B2:B628"),0))</f>
        <v>TE11</v>
      </c>
      <c r="F346" s="159">
        <f ca="1">IF(LeagueInfo!$H$7="Starter/Bench",INDEX(INDIRECT(""&amp;B346&amp;"!T2:T628"),MATCH(A346,INDIRECT(""&amp;B346&amp;"!B2:B628"),0)),INDEX(INDIRECT(""&amp;B346&amp;"!AB2:AB628"),MATCH(A346,INDIRECT(""&amp;B346&amp;"!B2:B628"),0)))</f>
        <v>-10.034077373652142</v>
      </c>
      <c r="G346" s="160">
        <f>IF(H346&gt;0,F346-H346,0)</f>
        <v>0</v>
      </c>
      <c r="H346" s="161"/>
      <c r="I346" s="160">
        <f ca="1">F346*$A$2</f>
        <v>-10.034077373652142</v>
      </c>
      <c r="J346" s="160" t="s">
        <v>76</v>
      </c>
      <c r="K346" s="160">
        <f>IF(LeagueInfo!$F$7="Yahoo",IFERROR(INDEX(DefaultAuctionValues!$B$2:$B$1000,MATCH(A346,DefaultAuctionValues!$A$2:$A$1000,0)),0),IF(LeagueInfo!$F$7="ESPN",IFERROR(INDEX(DefaultAuctionValues!$C$2:$C$1000,MATCH(A346,DefaultAuctionValues!$A$2:$A$1000,0)),0),IF(LeagueInfo!$F$7="Custom",IFERROR(INDEX(DefaultAuctionValues!$D$2:$D$1000,MATCH(A346,DefaultAuctionValues!$A$2:$A$1000,0)),0))))</f>
        <v>0</v>
      </c>
      <c r="L346" s="160">
        <f ca="1">I346-K346</f>
        <v>-10.034077373652142</v>
      </c>
      <c r="M346" s="175"/>
      <c r="N346" s="170">
        <f ca="1">INDEX(INDIRECT(""&amp;$B346&amp;"!Z2:Z628"),MATCH($A346,INDIRECT(""&amp;$B346&amp;"!B2:B628"),0))</f>
        <v>-27.67</v>
      </c>
      <c r="O346" s="158" t="str">
        <f ca="1">IF(INDEX(INDIRECT(""&amp;$B346&amp;"!W2:W628"),MATCH($A346,INDIRECT(""&amp;$B346&amp;"!B2:B628"),0))=0,"",INDEX(INDIRECT(""&amp;$B346&amp;"!W2:W628"),MATCH($A346,INDIRECT(""&amp;$B346&amp;"!B2:B628"),0)))</f>
        <v/>
      </c>
    </row>
    <row r="347" spans="1:15" x14ac:dyDescent="0.25">
      <c r="A347" s="158" t="s">
        <v>2456</v>
      </c>
      <c r="B347" s="158" t="s">
        <v>28</v>
      </c>
      <c r="C347" s="158">
        <f ca="1">IFERROR(INDEX(BYEs!$B$2:$B$33,MATCH(D347,BYEs!$A$2:$A$33,0)),"N/A")</f>
        <v>10</v>
      </c>
      <c r="D347" s="219" t="str">
        <f ca="1">INDEX(INDIRECT(""&amp;B347&amp;"!F2:F628"),MATCH(A347,INDIRECT(""&amp;B347&amp;"!B2:B628"),0))</f>
        <v>NE</v>
      </c>
      <c r="E347" s="218" t="str">
        <f ca="1">INDEX(INDIRECT(""&amp;$B347&amp;"!AA2:AA628"),MATCH($A347,INDIRECT(""&amp;$B347&amp;"!B2:B628"),0))</f>
        <v>RB10</v>
      </c>
      <c r="F347" s="159">
        <f ca="1">IF(LeagueInfo!$H$7="Starter/Bench",INDEX(INDIRECT(""&amp;B347&amp;"!T2:T628"),MATCH(A347,INDIRECT(""&amp;B347&amp;"!B2:B628"),0)),INDEX(INDIRECT(""&amp;B347&amp;"!AB2:AB628"),MATCH(A347,INDIRECT(""&amp;B347&amp;"!B2:B628"),0)))</f>
        <v>-10.097538289459484</v>
      </c>
      <c r="G347" s="160">
        <f>IF(H347&gt;0,F347-H347,0)</f>
        <v>0</v>
      </c>
      <c r="H347" s="161"/>
      <c r="I347" s="160">
        <f ca="1">F347*$A$2</f>
        <v>-10.097538289459484</v>
      </c>
      <c r="J347" s="160" t="s">
        <v>76</v>
      </c>
      <c r="K347" s="160">
        <f>IF(LeagueInfo!$F$7="Yahoo",IFERROR(INDEX(DefaultAuctionValues!$B$2:$B$1000,MATCH(A347,DefaultAuctionValues!$A$2:$A$1000,0)),0),IF(LeagueInfo!$F$7="ESPN",IFERROR(INDEX(DefaultAuctionValues!$C$2:$C$1000,MATCH(A347,DefaultAuctionValues!$A$2:$A$1000,0)),0),IF(LeagueInfo!$F$7="Custom",IFERROR(INDEX(DefaultAuctionValues!$D$2:$D$1000,MATCH(A347,DefaultAuctionValues!$A$2:$A$1000,0)),0))))</f>
        <v>0</v>
      </c>
      <c r="L347" s="160">
        <f ca="1">I347-K347</f>
        <v>-10.097538289459484</v>
      </c>
      <c r="M347" s="175"/>
      <c r="N347" s="170">
        <f ca="1">INDEX(INDIRECT(""&amp;$B347&amp;"!Z2:Z628"),MATCH($A347,INDIRECT(""&amp;$B347&amp;"!B2:B628"),0))</f>
        <v>-27.845000000000006</v>
      </c>
      <c r="O347" s="158" t="str">
        <f ca="1">IF(INDEX(INDIRECT(""&amp;$B347&amp;"!W2:W628"),MATCH($A347,INDIRECT(""&amp;$B347&amp;"!B2:B628"),0))=0,"",INDEX(INDIRECT(""&amp;$B347&amp;"!W2:W628"),MATCH($A347,INDIRECT(""&amp;$B347&amp;"!B2:B628"),0)))</f>
        <v/>
      </c>
    </row>
    <row r="348" spans="1:15" x14ac:dyDescent="0.25">
      <c r="A348" s="158" t="s">
        <v>830</v>
      </c>
      <c r="B348" s="158" t="s">
        <v>43</v>
      </c>
      <c r="C348" s="158">
        <f ca="1">IFERROR(INDEX(BYEs!$B$2:$B$33,MATCH(D348,BYEs!$A$2:$A$33,0)),"N/A")</f>
        <v>8</v>
      </c>
      <c r="D348" s="219" t="str">
        <f ca="1">INDEX(INDIRECT(""&amp;B348&amp;"!F2:F628"),MATCH(A348,INDIRECT(""&amp;B348&amp;"!B2:B628"),0))</f>
        <v>KC</v>
      </c>
      <c r="E348" s="218" t="str">
        <f ca="1">INDEX(INDIRECT(""&amp;$B348&amp;"!AA2:AA628"),MATCH($A348,INDIRECT(""&amp;$B348&amp;"!B2:B628"),0))</f>
        <v>TE11</v>
      </c>
      <c r="F348" s="159">
        <f ca="1">IF(LeagueInfo!$H$7="Starter/Bench",INDEX(INDIRECT(""&amp;B348&amp;"!T2:T628"),MATCH(A348,INDIRECT(""&amp;B348&amp;"!B2:B628"),0)),INDEX(INDIRECT(""&amp;B348&amp;"!AB2:AB628"),MATCH(A348,INDIRECT(""&amp;B348&amp;"!B2:B628"),0)))</f>
        <v>-10.119296317736286</v>
      </c>
      <c r="G348" s="160">
        <f>IF(H348&gt;0,F348-H348,0)</f>
        <v>0</v>
      </c>
      <c r="H348" s="161"/>
      <c r="I348" s="160">
        <f ca="1">F348*$A$2</f>
        <v>-10.119296317736286</v>
      </c>
      <c r="J348" s="160" t="s">
        <v>76</v>
      </c>
      <c r="K348" s="160">
        <f>IF(LeagueInfo!$F$7="Yahoo",IFERROR(INDEX(DefaultAuctionValues!$B$2:$B$1000,MATCH(A348,DefaultAuctionValues!$A$2:$A$1000,0)),0),IF(LeagueInfo!$F$7="ESPN",IFERROR(INDEX(DefaultAuctionValues!$C$2:$C$1000,MATCH(A348,DefaultAuctionValues!$A$2:$A$1000,0)),0),IF(LeagueInfo!$F$7="Custom",IFERROR(INDEX(DefaultAuctionValues!$D$2:$D$1000,MATCH(A348,DefaultAuctionValues!$A$2:$A$1000,0)),0))))</f>
        <v>0</v>
      </c>
      <c r="L348" s="160">
        <f ca="1">I348-K348</f>
        <v>-10.119296317736286</v>
      </c>
      <c r="M348" s="175"/>
      <c r="N348" s="170">
        <f ca="1">INDEX(INDIRECT(""&amp;$B348&amp;"!Z2:Z628"),MATCH($A348,INDIRECT(""&amp;$B348&amp;"!B2:B628"),0))</f>
        <v>-27.905000000000005</v>
      </c>
      <c r="O348" s="158" t="str">
        <f ca="1">IF(INDEX(INDIRECT(""&amp;$B348&amp;"!W2:W628"),MATCH($A348,INDIRECT(""&amp;$B348&amp;"!B2:B628"),0))=0,"",INDEX(INDIRECT(""&amp;$B348&amp;"!W2:W628"),MATCH($A348,INDIRECT(""&amp;$B348&amp;"!B2:B628"),0)))</f>
        <v/>
      </c>
    </row>
    <row r="349" spans="1:15" x14ac:dyDescent="0.25">
      <c r="A349" s="158" t="s">
        <v>851</v>
      </c>
      <c r="B349" s="158" t="s">
        <v>35</v>
      </c>
      <c r="C349" s="158">
        <f ca="1">IFERROR(INDEX(BYEs!$B$2:$B$33,MATCH(D349,BYEs!$A$2:$A$33,0)),"N/A")</f>
        <v>14</v>
      </c>
      <c r="D349" s="219" t="str">
        <f ca="1">INDEX(INDIRECT(""&amp;B349&amp;"!F2:F628"),MATCH(A349,INDIRECT(""&amp;B349&amp;"!B2:B628"),0))</f>
        <v>ATL</v>
      </c>
      <c r="E349" s="218" t="str">
        <f ca="1">INDEX(INDIRECT(""&amp;$B349&amp;"!AA2:AA628"),MATCH($A349,INDIRECT(""&amp;$B349&amp;"!B2:B628"),0))</f>
        <v>WR10</v>
      </c>
      <c r="F349" s="159">
        <f ca="1">IF(LeagueInfo!$H$7="Starter/Bench",INDEX(INDIRECT(""&amp;B349&amp;"!T2:T628"),MATCH(A349,INDIRECT(""&amp;B349&amp;"!B2:B628"),0)),INDEX(INDIRECT(""&amp;B349&amp;"!AB2:AB628"),MATCH(A349,INDIRECT(""&amp;B349&amp;"!B2:B628"),0)))</f>
        <v>-10.133801669920818</v>
      </c>
      <c r="G349" s="160">
        <f>IF(H349&gt;0,F349-H349,0)</f>
        <v>0</v>
      </c>
      <c r="H349" s="161"/>
      <c r="I349" s="160">
        <f ca="1">F349*$A$2</f>
        <v>-10.133801669920818</v>
      </c>
      <c r="J349" s="160" t="s">
        <v>76</v>
      </c>
      <c r="K349" s="160">
        <f>IF(LeagueInfo!$F$7="Yahoo",IFERROR(INDEX(DefaultAuctionValues!$B$2:$B$1000,MATCH(A349,DefaultAuctionValues!$A$2:$A$1000,0)),0),IF(LeagueInfo!$F$7="ESPN",IFERROR(INDEX(DefaultAuctionValues!$C$2:$C$1000,MATCH(A349,DefaultAuctionValues!$A$2:$A$1000,0)),0),IF(LeagueInfo!$F$7="Custom",IFERROR(INDEX(DefaultAuctionValues!$D$2:$D$1000,MATCH(A349,DefaultAuctionValues!$A$2:$A$1000,0)),0))))</f>
        <v>0</v>
      </c>
      <c r="L349" s="160">
        <f ca="1">I349-K349</f>
        <v>-10.133801669920818</v>
      </c>
      <c r="M349" s="175"/>
      <c r="N349" s="170">
        <f ca="1">INDEX(INDIRECT(""&amp;$B349&amp;"!Z2:Z628"),MATCH($A349,INDIRECT(""&amp;$B349&amp;"!B2:B628"),0))</f>
        <v>-27.944999999999993</v>
      </c>
      <c r="O349" s="158" t="str">
        <f ca="1">IF(INDEX(INDIRECT(""&amp;$B349&amp;"!W2:W628"),MATCH($A349,INDIRECT(""&amp;$B349&amp;"!B2:B628"),0))=0,"",INDEX(INDIRECT(""&amp;$B349&amp;"!W2:W628"),MATCH($A349,INDIRECT(""&amp;$B349&amp;"!B2:B628"),0)))</f>
        <v/>
      </c>
    </row>
    <row r="350" spans="1:15" x14ac:dyDescent="0.25">
      <c r="A350" s="158" t="s">
        <v>2473</v>
      </c>
      <c r="B350" s="158" t="s">
        <v>43</v>
      </c>
      <c r="C350" s="158">
        <f ca="1">IFERROR(INDEX(BYEs!$B$2:$B$33,MATCH(D350,BYEs!$A$2:$A$33,0)),"N/A")</f>
        <v>14</v>
      </c>
      <c r="D350" s="219" t="str">
        <f ca="1">INDEX(INDIRECT(""&amp;B350&amp;"!F2:F628"),MATCH(A350,INDIRECT(""&amp;B350&amp;"!B2:B628"),0))</f>
        <v>IND</v>
      </c>
      <c r="E350" s="218" t="str">
        <f ca="1">INDEX(INDIRECT(""&amp;$B350&amp;"!AA2:AA628"),MATCH($A350,INDIRECT(""&amp;$B350&amp;"!B2:B628"),0))</f>
        <v>TE11</v>
      </c>
      <c r="F350" s="159">
        <f ca="1">IF(LeagueInfo!$H$7="Starter/Bench",INDEX(INDIRECT(""&amp;B350&amp;"!T2:T628"),MATCH(A350,INDIRECT(""&amp;B350&amp;"!B2:B628"),0)),INDEX(INDIRECT(""&amp;B350&amp;"!AB2:AB628"),MATCH(A350,INDIRECT(""&amp;B350&amp;"!B2:B628"),0)))</f>
        <v>-10.2389654732587</v>
      </c>
      <c r="G350" s="160">
        <f>IF(H350&gt;0,F350-H350,0)</f>
        <v>0</v>
      </c>
      <c r="H350" s="161"/>
      <c r="I350" s="160">
        <f ca="1">F350*$A$2</f>
        <v>-10.2389654732587</v>
      </c>
      <c r="J350" s="160" t="s">
        <v>76</v>
      </c>
      <c r="K350" s="160">
        <f>IF(LeagueInfo!$F$7="Yahoo",IFERROR(INDEX(DefaultAuctionValues!$B$2:$B$1000,MATCH(A350,DefaultAuctionValues!$A$2:$A$1000,0)),0),IF(LeagueInfo!$F$7="ESPN",IFERROR(INDEX(DefaultAuctionValues!$C$2:$C$1000,MATCH(A350,DefaultAuctionValues!$A$2:$A$1000,0)),0),IF(LeagueInfo!$F$7="Custom",IFERROR(INDEX(DefaultAuctionValues!$D$2:$D$1000,MATCH(A350,DefaultAuctionValues!$A$2:$A$1000,0)),0))))</f>
        <v>0</v>
      </c>
      <c r="L350" s="160">
        <f ca="1">I350-K350</f>
        <v>-10.2389654732587</v>
      </c>
      <c r="M350" s="175"/>
      <c r="N350" s="170">
        <f ca="1">INDEX(INDIRECT(""&amp;$B350&amp;"!Z2:Z628"),MATCH($A350,INDIRECT(""&amp;$B350&amp;"!B2:B628"),0))</f>
        <v>-28.235000000000007</v>
      </c>
      <c r="O350" s="158" t="str">
        <f ca="1">IF(INDEX(INDIRECT(""&amp;$B350&amp;"!W2:W628"),MATCH($A350,INDIRECT(""&amp;$B350&amp;"!B2:B628"),0))=0,"",INDEX(INDIRECT(""&amp;$B350&amp;"!W2:W628"),MATCH($A350,INDIRECT(""&amp;$B350&amp;"!B2:B628"),0)))</f>
        <v/>
      </c>
    </row>
    <row r="351" spans="1:15" x14ac:dyDescent="0.25">
      <c r="A351" s="158" t="s">
        <v>934</v>
      </c>
      <c r="B351" s="158" t="s">
        <v>28</v>
      </c>
      <c r="C351" s="158">
        <f ca="1">IFERROR(INDEX(BYEs!$B$2:$B$33,MATCH(D351,BYEs!$A$2:$A$33,0)),"N/A")</f>
        <v>6</v>
      </c>
      <c r="D351" s="219" t="str">
        <f ca="1">INDEX(INDIRECT(""&amp;B351&amp;"!F2:F628"),MATCH(A351,INDIRECT(""&amp;B351&amp;"!B2:B628"),0))</f>
        <v>DET</v>
      </c>
      <c r="E351" s="218" t="str">
        <f ca="1">INDEX(INDIRECT(""&amp;$B351&amp;"!AA2:AA628"),MATCH($A351,INDIRECT(""&amp;$B351&amp;"!B2:B628"),0))</f>
        <v>RB10</v>
      </c>
      <c r="F351" s="159">
        <f ca="1">IF(LeagueInfo!$H$7="Starter/Bench",INDEX(INDIRECT(""&amp;B351&amp;"!T2:T628"),MATCH(A351,INDIRECT(""&amp;B351&amp;"!B2:B628"),0)),INDEX(INDIRECT(""&amp;B351&amp;"!AB2:AB628"),MATCH(A351,INDIRECT(""&amp;B351&amp;"!B2:B628"),0)))</f>
        <v>-10.25709716348937</v>
      </c>
      <c r="G351" s="160">
        <f>IF(H351&gt;0,F351-H351,0)</f>
        <v>0</v>
      </c>
      <c r="H351" s="161"/>
      <c r="I351" s="160">
        <f ca="1">F351*$A$2</f>
        <v>-10.25709716348937</v>
      </c>
      <c r="J351" s="160" t="s">
        <v>76</v>
      </c>
      <c r="K351" s="160">
        <f>IF(LeagueInfo!$F$7="Yahoo",IFERROR(INDEX(DefaultAuctionValues!$B$2:$B$1000,MATCH(A351,DefaultAuctionValues!$A$2:$A$1000,0)),0),IF(LeagueInfo!$F$7="ESPN",IFERROR(INDEX(DefaultAuctionValues!$C$2:$C$1000,MATCH(A351,DefaultAuctionValues!$A$2:$A$1000,0)),0),IF(LeagueInfo!$F$7="Custom",IFERROR(INDEX(DefaultAuctionValues!$D$2:$D$1000,MATCH(A351,DefaultAuctionValues!$A$2:$A$1000,0)),0))))</f>
        <v>0</v>
      </c>
      <c r="L351" s="160">
        <f ca="1">I351-K351</f>
        <v>-10.25709716348937</v>
      </c>
      <c r="M351" s="175"/>
      <c r="N351" s="170">
        <f ca="1">INDEX(INDIRECT(""&amp;$B351&amp;"!Z2:Z628"),MATCH($A351,INDIRECT(""&amp;$B351&amp;"!B2:B628"),0))</f>
        <v>-28.285000000000004</v>
      </c>
      <c r="O351" s="158" t="str">
        <f ca="1">IF(INDEX(INDIRECT(""&amp;$B351&amp;"!W2:W628"),MATCH($A351,INDIRECT(""&amp;$B351&amp;"!B2:B628"),0))=0,"",INDEX(INDIRECT(""&amp;$B351&amp;"!W2:W628"),MATCH($A351,INDIRECT(""&amp;$B351&amp;"!B2:B628"),0)))</f>
        <v/>
      </c>
    </row>
    <row r="352" spans="1:15" x14ac:dyDescent="0.25">
      <c r="A352" s="158" t="s">
        <v>2463</v>
      </c>
      <c r="B352" s="158" t="s">
        <v>28</v>
      </c>
      <c r="C352" s="158">
        <f ca="1">IFERROR(INDEX(BYEs!$B$2:$B$33,MATCH(D352,BYEs!$A$2:$A$33,0)),"N/A")</f>
        <v>11</v>
      </c>
      <c r="D352" s="219" t="str">
        <f ca="1">INDEX(INDIRECT(""&amp;B352&amp;"!F2:F628"),MATCH(A352,INDIRECT(""&amp;B352&amp;"!B2:B628"),0))</f>
        <v>JAC</v>
      </c>
      <c r="E352" s="218" t="str">
        <f ca="1">INDEX(INDIRECT(""&amp;$B352&amp;"!AA2:AA628"),MATCH($A352,INDIRECT(""&amp;$B352&amp;"!B2:B628"),0))</f>
        <v>RB10</v>
      </c>
      <c r="F352" s="159">
        <f ca="1">IF(LeagueInfo!$H$7="Starter/Bench",INDEX(INDIRECT(""&amp;B352&amp;"!T2:T628"),MATCH(A352,INDIRECT(""&amp;B352&amp;"!B2:B628"),0)),INDEX(INDIRECT(""&amp;B352&amp;"!AB2:AB628"),MATCH(A352,INDIRECT(""&amp;B352&amp;"!B2:B628"),0)))</f>
        <v>-10.264349839581635</v>
      </c>
      <c r="G352" s="160">
        <f>IF(H352&gt;0,F352-H352,0)</f>
        <v>0</v>
      </c>
      <c r="H352" s="161"/>
      <c r="I352" s="160">
        <f ca="1">F352*$A$2</f>
        <v>-10.264349839581635</v>
      </c>
      <c r="J352" s="160" t="s">
        <v>76</v>
      </c>
      <c r="K352" s="160">
        <f>IF(LeagueInfo!$F$7="Yahoo",IFERROR(INDEX(DefaultAuctionValues!$B$2:$B$1000,MATCH(A352,DefaultAuctionValues!$A$2:$A$1000,0)),0),IF(LeagueInfo!$F$7="ESPN",IFERROR(INDEX(DefaultAuctionValues!$C$2:$C$1000,MATCH(A352,DefaultAuctionValues!$A$2:$A$1000,0)),0),IF(LeagueInfo!$F$7="Custom",IFERROR(INDEX(DefaultAuctionValues!$D$2:$D$1000,MATCH(A352,DefaultAuctionValues!$A$2:$A$1000,0)),0))))</f>
        <v>0</v>
      </c>
      <c r="L352" s="160">
        <f ca="1">I352-K352</f>
        <v>-10.264349839581635</v>
      </c>
      <c r="M352" s="175"/>
      <c r="N352" s="170">
        <f ca="1">INDEX(INDIRECT(""&amp;$B352&amp;"!Z2:Z628"),MATCH($A352,INDIRECT(""&amp;$B352&amp;"!B2:B628"),0))</f>
        <v>-28.305000000000003</v>
      </c>
      <c r="O352" s="158" t="str">
        <f ca="1">IF(INDEX(INDIRECT(""&amp;$B352&amp;"!W2:W628"),MATCH($A352,INDIRECT(""&amp;$B352&amp;"!B2:B628"),0))=0,"",INDEX(INDIRECT(""&amp;$B352&amp;"!W2:W628"),MATCH($A352,INDIRECT(""&amp;$B352&amp;"!B2:B628"),0)))</f>
        <v/>
      </c>
    </row>
    <row r="353" spans="1:15" x14ac:dyDescent="0.25">
      <c r="A353" s="158" t="s">
        <v>2426</v>
      </c>
      <c r="B353" s="158" t="s">
        <v>35</v>
      </c>
      <c r="C353" s="158">
        <f ca="1">IFERROR(INDEX(BYEs!$B$2:$B$33,MATCH(D353,BYEs!$A$2:$A$33,0)),"N/A")</f>
        <v>14</v>
      </c>
      <c r="D353" s="219" t="str">
        <f ca="1">INDEX(INDIRECT(""&amp;B353&amp;"!F2:F628"),MATCH(A353,INDIRECT(""&amp;B353&amp;"!B2:B628"),0))</f>
        <v>CHI</v>
      </c>
      <c r="E353" s="218" t="str">
        <f ca="1">INDEX(INDIRECT(""&amp;$B353&amp;"!AA2:AA628"),MATCH($A353,INDIRECT(""&amp;$B353&amp;"!B2:B628"),0))</f>
        <v>WR10</v>
      </c>
      <c r="F353" s="159">
        <f ca="1">IF(LeagueInfo!$H$7="Starter/Bench",INDEX(INDIRECT(""&amp;B353&amp;"!T2:T628"),MATCH(A353,INDIRECT(""&amp;B353&amp;"!B2:B628"),0)),INDEX(INDIRECT(""&amp;B353&amp;"!AB2:AB628"),MATCH(A353,INDIRECT(""&amp;B353&amp;"!B2:B628"),0)))</f>
        <v>-10.280668360789235</v>
      </c>
      <c r="G353" s="160">
        <f>IF(H353&gt;0,F353-H353,0)</f>
        <v>0</v>
      </c>
      <c r="H353" s="161"/>
      <c r="I353" s="160">
        <f ca="1">F353*$A$2</f>
        <v>-10.280668360789235</v>
      </c>
      <c r="J353" s="160" t="s">
        <v>76</v>
      </c>
      <c r="K353" s="160">
        <f>IF(LeagueInfo!$F$7="Yahoo",IFERROR(INDEX(DefaultAuctionValues!$B$2:$B$1000,MATCH(A353,DefaultAuctionValues!$A$2:$A$1000,0)),0),IF(LeagueInfo!$F$7="ESPN",IFERROR(INDEX(DefaultAuctionValues!$C$2:$C$1000,MATCH(A353,DefaultAuctionValues!$A$2:$A$1000,0)),0),IF(LeagueInfo!$F$7="Custom",IFERROR(INDEX(DefaultAuctionValues!$D$2:$D$1000,MATCH(A353,DefaultAuctionValues!$A$2:$A$1000,0)),0))))</f>
        <v>0</v>
      </c>
      <c r="L353" s="160">
        <f ca="1">I353-K353</f>
        <v>-10.280668360789235</v>
      </c>
      <c r="M353" s="175"/>
      <c r="N353" s="170">
        <f ca="1">INDEX(INDIRECT(""&amp;$B353&amp;"!Z2:Z628"),MATCH($A353,INDIRECT(""&amp;$B353&amp;"!B2:B628"),0))</f>
        <v>-28.349999999999994</v>
      </c>
      <c r="O353" s="158" t="str">
        <f ca="1">IF(INDEX(INDIRECT(""&amp;$B353&amp;"!W2:W628"),MATCH($A353,INDIRECT(""&amp;$B353&amp;"!B2:B628"),0))=0,"",INDEX(INDIRECT(""&amp;$B353&amp;"!W2:W628"),MATCH($A353,INDIRECT(""&amp;$B353&amp;"!B2:B628"),0)))</f>
        <v/>
      </c>
    </row>
    <row r="354" spans="1:15" x14ac:dyDescent="0.25">
      <c r="A354" s="158" t="s">
        <v>692</v>
      </c>
      <c r="B354" s="158" t="s">
        <v>28</v>
      </c>
      <c r="C354" s="158">
        <f ca="1">IFERROR(INDEX(BYEs!$B$2:$B$33,MATCH(D354,BYEs!$A$2:$A$33,0)),"N/A")</f>
        <v>10</v>
      </c>
      <c r="D354" s="219" t="str">
        <f ca="1">INDEX(INDIRECT(""&amp;B354&amp;"!F2:F628"),MATCH(A354,INDIRECT(""&amp;B354&amp;"!B2:B628"),0))</f>
        <v>NYJ</v>
      </c>
      <c r="E354" s="218" t="str">
        <f ca="1">INDEX(INDIRECT(""&amp;$B354&amp;"!AA2:AA628"),MATCH($A354,INDIRECT(""&amp;$B354&amp;"!B2:B628"),0))</f>
        <v>RB10</v>
      </c>
      <c r="F354" s="159">
        <f ca="1">IF(LeagueInfo!$H$7="Starter/Bench",INDEX(INDIRECT(""&amp;B354&amp;"!T2:T628"),MATCH(A354,INDIRECT(""&amp;B354&amp;"!B2:B628"),0)),INDEX(INDIRECT(""&amp;B354&amp;"!AB2:AB628"),MATCH(A354,INDIRECT(""&amp;B354&amp;"!B2:B628"),0)))</f>
        <v>-10.293360543950707</v>
      </c>
      <c r="G354" s="160">
        <f>IF(H354&gt;0,F354-H354,0)</f>
        <v>0</v>
      </c>
      <c r="H354" s="161"/>
      <c r="I354" s="160">
        <f ca="1">F354*$A$2</f>
        <v>-10.293360543950707</v>
      </c>
      <c r="J354" s="160" t="s">
        <v>76</v>
      </c>
      <c r="K354" s="160">
        <f>IF(LeagueInfo!$F$7="Yahoo",IFERROR(INDEX(DefaultAuctionValues!$B$2:$B$1000,MATCH(A354,DefaultAuctionValues!$A$2:$A$1000,0)),0),IF(LeagueInfo!$F$7="ESPN",IFERROR(INDEX(DefaultAuctionValues!$C$2:$C$1000,MATCH(A354,DefaultAuctionValues!$A$2:$A$1000,0)),0),IF(LeagueInfo!$F$7="Custom",IFERROR(INDEX(DefaultAuctionValues!$D$2:$D$1000,MATCH(A354,DefaultAuctionValues!$A$2:$A$1000,0)),0))))</f>
        <v>0</v>
      </c>
      <c r="L354" s="160">
        <f ca="1">I354-K354</f>
        <v>-10.293360543950707</v>
      </c>
      <c r="M354" s="175"/>
      <c r="N354" s="170">
        <f ca="1">INDEX(INDIRECT(""&amp;$B354&amp;"!Z2:Z628"),MATCH($A354,INDIRECT(""&amp;$B354&amp;"!B2:B628"),0))</f>
        <v>-28.385000000000005</v>
      </c>
      <c r="O354" s="158" t="str">
        <f ca="1">IF(INDEX(INDIRECT(""&amp;$B354&amp;"!W2:W628"),MATCH($A354,INDIRECT(""&amp;$B354&amp;"!B2:B628"),0))=0,"",INDEX(INDIRECT(""&amp;$B354&amp;"!W2:W628"),MATCH($A354,INDIRECT(""&amp;$B354&amp;"!B2:B628"),0)))</f>
        <v/>
      </c>
    </row>
    <row r="355" spans="1:15" x14ac:dyDescent="0.25">
      <c r="A355" s="158" t="s">
        <v>2618</v>
      </c>
      <c r="B355" s="158" t="s">
        <v>28</v>
      </c>
      <c r="C355" s="158">
        <f ca="1">IFERROR(INDEX(BYEs!$B$2:$B$33,MATCH(D355,BYEs!$A$2:$A$33,0)),"N/A")</f>
        <v>9</v>
      </c>
      <c r="D355" s="219" t="str">
        <f ca="1">INDEX(INDIRECT(""&amp;B355&amp;"!F2:F628"),MATCH(A355,INDIRECT(""&amp;B355&amp;"!B2:B628"),0))</f>
        <v>PIT</v>
      </c>
      <c r="E355" s="218" t="str">
        <f ca="1">INDEX(INDIRECT(""&amp;$B355&amp;"!AA2:AA628"),MATCH($A355,INDIRECT(""&amp;$B355&amp;"!B2:B628"),0))</f>
        <v>RB10</v>
      </c>
      <c r="F355" s="159">
        <f ca="1">IF(LeagueInfo!$H$7="Starter/Bench",INDEX(INDIRECT(""&amp;B355&amp;"!T2:T628"),MATCH(A355,INDIRECT(""&amp;B355&amp;"!B2:B628"),0)),INDEX(INDIRECT(""&amp;B355&amp;"!AB2:AB628"),MATCH(A355,INDIRECT(""&amp;B355&amp;"!B2:B628"),0)))</f>
        <v>-10.295173712973774</v>
      </c>
      <c r="G355" s="160">
        <f>IF(H355&gt;0,F355-H355,0)</f>
        <v>0</v>
      </c>
      <c r="H355" s="161"/>
      <c r="I355" s="160">
        <f ca="1">F355*$A$2</f>
        <v>-10.295173712973774</v>
      </c>
      <c r="J355" s="160" t="s">
        <v>76</v>
      </c>
      <c r="K355" s="160">
        <f>IF(LeagueInfo!$F$7="Yahoo",IFERROR(INDEX(DefaultAuctionValues!$B$2:$B$1000,MATCH(A355,DefaultAuctionValues!$A$2:$A$1000,0)),0),IF(LeagueInfo!$F$7="ESPN",IFERROR(INDEX(DefaultAuctionValues!$C$2:$C$1000,MATCH(A355,DefaultAuctionValues!$A$2:$A$1000,0)),0),IF(LeagueInfo!$F$7="Custom",IFERROR(INDEX(DefaultAuctionValues!$D$2:$D$1000,MATCH(A355,DefaultAuctionValues!$A$2:$A$1000,0)),0))))</f>
        <v>0</v>
      </c>
      <c r="L355" s="160">
        <f ca="1">I355-K355</f>
        <v>-10.295173712973774</v>
      </c>
      <c r="M355" s="175"/>
      <c r="N355" s="170">
        <f ca="1">INDEX(INDIRECT(""&amp;$B355&amp;"!Z2:Z628"),MATCH($A355,INDIRECT(""&amp;$B355&amp;"!B2:B628"),0))</f>
        <v>-28.390000000000004</v>
      </c>
      <c r="O355" s="158" t="str">
        <f ca="1">IF(INDEX(INDIRECT(""&amp;$B355&amp;"!W2:W628"),MATCH($A355,INDIRECT(""&amp;$B355&amp;"!B2:B628"),0))=0,"",INDEX(INDIRECT(""&amp;$B355&amp;"!W2:W628"),MATCH($A355,INDIRECT(""&amp;$B355&amp;"!B2:B628"),0)))</f>
        <v/>
      </c>
    </row>
    <row r="356" spans="1:15" x14ac:dyDescent="0.25">
      <c r="A356" s="158" t="s">
        <v>974</v>
      </c>
      <c r="B356" s="158" t="s">
        <v>43</v>
      </c>
      <c r="C356" s="158">
        <f ca="1">IFERROR(INDEX(BYEs!$B$2:$B$33,MATCH(D356,BYEs!$A$2:$A$33,0)),"N/A")</f>
        <v>8</v>
      </c>
      <c r="D356" s="219" t="str">
        <f ca="1">INDEX(INDIRECT(""&amp;B356&amp;"!F2:F628"),MATCH(A356,INDIRECT(""&amp;B356&amp;"!B2:B628"),0))</f>
        <v>LAC</v>
      </c>
      <c r="E356" s="218" t="str">
        <f ca="1">INDEX(INDIRECT(""&amp;$B356&amp;"!AA2:AA628"),MATCH($A356,INDIRECT(""&amp;$B356&amp;"!B2:B628"),0))</f>
        <v>TE11</v>
      </c>
      <c r="F356" s="159">
        <f ca="1">IF(LeagueInfo!$H$7="Starter/Bench",INDEX(INDIRECT(""&amp;B356&amp;"!T2:T628"),MATCH(A356,INDIRECT(""&amp;B356&amp;"!B2:B628"),0)),INDEX(INDIRECT(""&amp;B356&amp;"!AB2:AB628"),MATCH(A356,INDIRECT(""&amp;B356&amp;"!B2:B628"),0)))</f>
        <v>-10.336876600504311</v>
      </c>
      <c r="G356" s="160">
        <f>IF(H356&gt;0,F356-H356,0)</f>
        <v>0</v>
      </c>
      <c r="H356" s="161"/>
      <c r="I356" s="160">
        <f ca="1">F356*$A$2</f>
        <v>-10.336876600504311</v>
      </c>
      <c r="J356" s="160" t="s">
        <v>76</v>
      </c>
      <c r="K356" s="160">
        <f>IF(LeagueInfo!$F$7="Yahoo",IFERROR(INDEX(DefaultAuctionValues!$B$2:$B$1000,MATCH(A356,DefaultAuctionValues!$A$2:$A$1000,0)),0),IF(LeagueInfo!$F$7="ESPN",IFERROR(INDEX(DefaultAuctionValues!$C$2:$C$1000,MATCH(A356,DefaultAuctionValues!$A$2:$A$1000,0)),0),IF(LeagueInfo!$F$7="Custom",IFERROR(INDEX(DefaultAuctionValues!$D$2:$D$1000,MATCH(A356,DefaultAuctionValues!$A$2:$A$1000,0)),0))))</f>
        <v>0</v>
      </c>
      <c r="L356" s="160">
        <f ca="1">I356-K356</f>
        <v>-10.336876600504311</v>
      </c>
      <c r="M356" s="175"/>
      <c r="N356" s="170">
        <f ca="1">INDEX(INDIRECT(""&amp;$B356&amp;"!Z2:Z628"),MATCH($A356,INDIRECT(""&amp;$B356&amp;"!B2:B628"),0))</f>
        <v>-28.505000000000003</v>
      </c>
      <c r="O356" s="158" t="str">
        <f ca="1">IF(INDEX(INDIRECT(""&amp;$B356&amp;"!W2:W628"),MATCH($A356,INDIRECT(""&amp;$B356&amp;"!B2:B628"),0))=0,"",INDEX(INDIRECT(""&amp;$B356&amp;"!W2:W628"),MATCH($A356,INDIRECT(""&amp;$B356&amp;"!B2:B628"),0)))</f>
        <v/>
      </c>
    </row>
    <row r="357" spans="1:15" x14ac:dyDescent="0.25">
      <c r="A357" s="158" t="s">
        <v>2739</v>
      </c>
      <c r="B357" s="158" t="s">
        <v>35</v>
      </c>
      <c r="C357" s="158">
        <f ca="1">IFERROR(INDEX(BYEs!$B$2:$B$33,MATCH(D357,BYEs!$A$2:$A$33,0)),"N/A")</f>
        <v>11</v>
      </c>
      <c r="D357" s="219" t="str">
        <f ca="1">INDEX(INDIRECT(""&amp;B357&amp;"!F2:F628"),MATCH(A357,INDIRECT(""&amp;B357&amp;"!B2:B628"),0))</f>
        <v>MIA</v>
      </c>
      <c r="E357" s="218" t="str">
        <f ca="1">INDEX(INDIRECT(""&amp;$B357&amp;"!AA2:AA628"),MATCH($A357,INDIRECT(""&amp;$B357&amp;"!B2:B628"),0))</f>
        <v>WR10</v>
      </c>
      <c r="F357" s="159">
        <f ca="1">IF(LeagueInfo!$H$7="Starter/Bench",INDEX(INDIRECT(""&amp;B357&amp;"!T2:T628"),MATCH(A357,INDIRECT(""&amp;B357&amp;"!B2:B628"),0)),INDEX(INDIRECT(""&amp;B357&amp;"!AB2:AB628"),MATCH(A357,INDIRECT(""&amp;B357&amp;"!B2:B628"),0)))</f>
        <v>-10.340502938550442</v>
      </c>
      <c r="G357" s="160">
        <f>IF(H357&gt;0,F357-H357,0)</f>
        <v>0</v>
      </c>
      <c r="H357" s="161"/>
      <c r="I357" s="160">
        <f ca="1">F357*$A$2</f>
        <v>-10.340502938550442</v>
      </c>
      <c r="J357" s="160" t="s">
        <v>76</v>
      </c>
      <c r="K357" s="160">
        <f>IF(LeagueInfo!$F$7="Yahoo",IFERROR(INDEX(DefaultAuctionValues!$B$2:$B$1000,MATCH(A357,DefaultAuctionValues!$A$2:$A$1000,0)),0),IF(LeagueInfo!$F$7="ESPN",IFERROR(INDEX(DefaultAuctionValues!$C$2:$C$1000,MATCH(A357,DefaultAuctionValues!$A$2:$A$1000,0)),0),IF(LeagueInfo!$F$7="Custom",IFERROR(INDEX(DefaultAuctionValues!$D$2:$D$1000,MATCH(A357,DefaultAuctionValues!$A$2:$A$1000,0)),0))))</f>
        <v>0</v>
      </c>
      <c r="L357" s="160">
        <f ca="1">I357-K357</f>
        <v>-10.340502938550442</v>
      </c>
      <c r="M357" s="175"/>
      <c r="N357" s="170">
        <f ca="1">INDEX(INDIRECT(""&amp;$B357&amp;"!Z2:Z628"),MATCH($A357,INDIRECT(""&amp;$B357&amp;"!B2:B628"),0))</f>
        <v>-28.514999999999993</v>
      </c>
      <c r="O357" s="158" t="str">
        <f ca="1">IF(INDEX(INDIRECT(""&amp;$B357&amp;"!W2:W628"),MATCH($A357,INDIRECT(""&amp;$B357&amp;"!B2:B628"),0))=0,"",INDEX(INDIRECT(""&amp;$B357&amp;"!W2:W628"),MATCH($A357,INDIRECT(""&amp;$B357&amp;"!B2:B628"),0)))</f>
        <v/>
      </c>
    </row>
    <row r="358" spans="1:15" x14ac:dyDescent="0.25">
      <c r="A358" s="158" t="s">
        <v>542</v>
      </c>
      <c r="B358" s="158" t="s">
        <v>28</v>
      </c>
      <c r="C358" s="158">
        <f ca="1">IFERROR(INDEX(BYEs!$B$2:$B$33,MATCH(D358,BYEs!$A$2:$A$33,0)),"N/A")</f>
        <v>6</v>
      </c>
      <c r="D358" s="219" t="str">
        <f ca="1">INDEX(INDIRECT(""&amp;B358&amp;"!F2:F628"),MATCH(A358,INDIRECT(""&amp;B358&amp;"!B2:B628"),0))</f>
        <v>HOU</v>
      </c>
      <c r="E358" s="218" t="str">
        <f ca="1">INDEX(INDIRECT(""&amp;$B358&amp;"!AA2:AA628"),MATCH($A358,INDIRECT(""&amp;$B358&amp;"!B2:B628"),0))</f>
        <v>RB10</v>
      </c>
      <c r="F358" s="159">
        <f ca="1">IF(LeagueInfo!$H$7="Starter/Bench",INDEX(INDIRECT(""&amp;B358&amp;"!T2:T628"),MATCH(A358,INDIRECT(""&amp;B358&amp;"!B2:B628"),0)),INDEX(INDIRECT(""&amp;B358&amp;"!AB2:AB628"),MATCH(A358,INDIRECT(""&amp;B358&amp;"!B2:B628"),0)))</f>
        <v>-10.347755614642715</v>
      </c>
      <c r="G358" s="160">
        <f>IF(H358&gt;0,F358-H358,0)</f>
        <v>0</v>
      </c>
      <c r="H358" s="161"/>
      <c r="I358" s="160">
        <f ca="1">F358*$A$2</f>
        <v>-10.347755614642715</v>
      </c>
      <c r="J358" s="160" t="s">
        <v>76</v>
      </c>
      <c r="K358" s="160">
        <f>IF(LeagueInfo!$F$7="Yahoo",IFERROR(INDEX(DefaultAuctionValues!$B$2:$B$1000,MATCH(A358,DefaultAuctionValues!$A$2:$A$1000,0)),0),IF(LeagueInfo!$F$7="ESPN",IFERROR(INDEX(DefaultAuctionValues!$C$2:$C$1000,MATCH(A358,DefaultAuctionValues!$A$2:$A$1000,0)),0),IF(LeagueInfo!$F$7="Custom",IFERROR(INDEX(DefaultAuctionValues!$D$2:$D$1000,MATCH(A358,DefaultAuctionValues!$A$2:$A$1000,0)),0))))</f>
        <v>0</v>
      </c>
      <c r="L358" s="160">
        <f ca="1">I358-K358</f>
        <v>-10.347755614642715</v>
      </c>
      <c r="M358" s="175"/>
      <c r="N358" s="170">
        <f ca="1">INDEX(INDIRECT(""&amp;$B358&amp;"!Z2:Z628"),MATCH($A358,INDIRECT(""&amp;$B358&amp;"!B2:B628"),0))</f>
        <v>-28.535000000000007</v>
      </c>
      <c r="O358" s="158" t="str">
        <f ca="1">IF(INDEX(INDIRECT(""&amp;$B358&amp;"!W2:W628"),MATCH($A358,INDIRECT(""&amp;$B358&amp;"!B2:B628"),0))=0,"",INDEX(INDIRECT(""&amp;$B358&amp;"!W2:W628"),MATCH($A358,INDIRECT(""&amp;$B358&amp;"!B2:B628"),0)))</f>
        <v/>
      </c>
    </row>
    <row r="359" spans="1:15" x14ac:dyDescent="0.25">
      <c r="A359" s="158" t="s">
        <v>682</v>
      </c>
      <c r="B359" s="158" t="s">
        <v>28</v>
      </c>
      <c r="C359" s="158">
        <f ca="1">IFERROR(INDEX(BYEs!$B$2:$B$33,MATCH(D359,BYEs!$A$2:$A$33,0)),"N/A")</f>
        <v>9</v>
      </c>
      <c r="D359" s="219" t="str">
        <f ca="1">INDEX(INDIRECT(""&amp;B359&amp;"!F2:F628"),MATCH(A359,INDIRECT(""&amp;B359&amp;"!B2:B628"),0))</f>
        <v>DAL</v>
      </c>
      <c r="E359" s="218" t="str">
        <f ca="1">INDEX(INDIRECT(""&amp;$B359&amp;"!AA2:AA628"),MATCH($A359,INDIRECT(""&amp;$B359&amp;"!B2:B628"),0))</f>
        <v>RB10</v>
      </c>
      <c r="F359" s="159">
        <f ca="1">IF(LeagueInfo!$H$7="Starter/Bench",INDEX(INDIRECT(""&amp;B359&amp;"!T2:T628"),MATCH(A359,INDIRECT(""&amp;B359&amp;"!B2:B628"),0)),INDEX(INDIRECT(""&amp;B359&amp;"!AB2:AB628"),MATCH(A359,INDIRECT(""&amp;B359&amp;"!B2:B628"),0)))</f>
        <v>-10.429348220680723</v>
      </c>
      <c r="G359" s="160">
        <f>IF(H359&gt;0,F359-H359,0)</f>
        <v>0</v>
      </c>
      <c r="H359" s="161"/>
      <c r="I359" s="160">
        <f ca="1">F359*$A$2</f>
        <v>-10.429348220680723</v>
      </c>
      <c r="J359" s="160" t="s">
        <v>76</v>
      </c>
      <c r="K359" s="160">
        <f>IF(LeagueInfo!$F$7="Yahoo",IFERROR(INDEX(DefaultAuctionValues!$B$2:$B$1000,MATCH(A359,DefaultAuctionValues!$A$2:$A$1000,0)),0),IF(LeagueInfo!$F$7="ESPN",IFERROR(INDEX(DefaultAuctionValues!$C$2:$C$1000,MATCH(A359,DefaultAuctionValues!$A$2:$A$1000,0)),0),IF(LeagueInfo!$F$7="Custom",IFERROR(INDEX(DefaultAuctionValues!$D$2:$D$1000,MATCH(A359,DefaultAuctionValues!$A$2:$A$1000,0)),0))))</f>
        <v>0</v>
      </c>
      <c r="L359" s="160">
        <f ca="1">I359-K359</f>
        <v>-10.429348220680723</v>
      </c>
      <c r="M359" s="175"/>
      <c r="N359" s="170">
        <f ca="1">INDEX(INDIRECT(""&amp;$B359&amp;"!Z2:Z628"),MATCH($A359,INDIRECT(""&amp;$B359&amp;"!B2:B628"),0))</f>
        <v>-28.760000000000005</v>
      </c>
      <c r="O359" s="158" t="str">
        <f ca="1">IF(INDEX(INDIRECT(""&amp;$B359&amp;"!W2:W628"),MATCH($A359,INDIRECT(""&amp;$B359&amp;"!B2:B628"),0))=0,"",INDEX(INDIRECT(""&amp;$B359&amp;"!W2:W628"),MATCH($A359,INDIRECT(""&amp;$B359&amp;"!B2:B628"),0)))</f>
        <v/>
      </c>
    </row>
    <row r="360" spans="1:15" x14ac:dyDescent="0.25">
      <c r="A360" s="158" t="s">
        <v>752</v>
      </c>
      <c r="B360" s="158" t="s">
        <v>43</v>
      </c>
      <c r="C360" s="158">
        <f ca="1">IFERROR(INDEX(BYEs!$B$2:$B$33,MATCH(D360,BYEs!$A$2:$A$33,0)),"N/A")</f>
        <v>14</v>
      </c>
      <c r="D360" s="219" t="str">
        <f ca="1">INDEX(INDIRECT(""&amp;B360&amp;"!F2:F628"),MATCH(A360,INDIRECT(""&amp;B360&amp;"!B2:B628"),0))</f>
        <v>ATL</v>
      </c>
      <c r="E360" s="218" t="str">
        <f ca="1">INDEX(INDIRECT(""&amp;$B360&amp;"!AA2:AA628"),MATCH($A360,INDIRECT(""&amp;$B360&amp;"!B2:B628"),0))</f>
        <v>TE11</v>
      </c>
      <c r="F360" s="159">
        <f ca="1">IF(LeagueInfo!$H$7="Starter/Bench",INDEX(INDIRECT(""&amp;B360&amp;"!T2:T628"),MATCH(A360,INDIRECT(""&amp;B360&amp;"!B2:B628"),0)),INDEX(INDIRECT(""&amp;B360&amp;"!AB2:AB628"),MATCH(A360,INDIRECT(""&amp;B360&amp;"!B2:B628"),0)))</f>
        <v>-10.452919417980594</v>
      </c>
      <c r="G360" s="160">
        <f>IF(H360&gt;0,F360-H360,0)</f>
        <v>0</v>
      </c>
      <c r="H360" s="161"/>
      <c r="I360" s="160">
        <f ca="1">F360*$A$2</f>
        <v>-10.452919417980594</v>
      </c>
      <c r="J360" s="160" t="s">
        <v>76</v>
      </c>
      <c r="K360" s="160">
        <f>IF(LeagueInfo!$F$7="Yahoo",IFERROR(INDEX(DefaultAuctionValues!$B$2:$B$1000,MATCH(A360,DefaultAuctionValues!$A$2:$A$1000,0)),0),IF(LeagueInfo!$F$7="ESPN",IFERROR(INDEX(DefaultAuctionValues!$C$2:$C$1000,MATCH(A360,DefaultAuctionValues!$A$2:$A$1000,0)),0),IF(LeagueInfo!$F$7="Custom",IFERROR(INDEX(DefaultAuctionValues!$D$2:$D$1000,MATCH(A360,DefaultAuctionValues!$A$2:$A$1000,0)),0))))</f>
        <v>0</v>
      </c>
      <c r="L360" s="160">
        <f ca="1">I360-K360</f>
        <v>-10.452919417980594</v>
      </c>
      <c r="M360" s="175"/>
      <c r="N360" s="170">
        <f ca="1">INDEX(INDIRECT(""&amp;$B360&amp;"!Z2:Z628"),MATCH($A360,INDIRECT(""&amp;$B360&amp;"!B2:B628"),0))</f>
        <v>-28.825000000000006</v>
      </c>
      <c r="O360" s="158" t="str">
        <f ca="1">IF(INDEX(INDIRECT(""&amp;$B360&amp;"!W2:W628"),MATCH($A360,INDIRECT(""&amp;$B360&amp;"!B2:B628"),0))=0,"",INDEX(INDIRECT(""&amp;$B360&amp;"!W2:W628"),MATCH($A360,INDIRECT(""&amp;$B360&amp;"!B2:B628"),0)))</f>
        <v/>
      </c>
    </row>
    <row r="361" spans="1:15" x14ac:dyDescent="0.25">
      <c r="A361" s="158" t="s">
        <v>862</v>
      </c>
      <c r="B361" s="158" t="s">
        <v>35</v>
      </c>
      <c r="C361" s="158">
        <f ca="1">IFERROR(INDEX(BYEs!$B$2:$B$33,MATCH(D361,BYEs!$A$2:$A$33,0)),"N/A")</f>
        <v>7</v>
      </c>
      <c r="D361" s="219" t="str">
        <f ca="1">INDEX(INDIRECT(""&amp;B361&amp;"!F2:F628"),MATCH(A361,INDIRECT(""&amp;B361&amp;"!B2:B628"),0))</f>
        <v>PHI</v>
      </c>
      <c r="E361" s="218" t="str">
        <f ca="1">INDEX(INDIRECT(""&amp;$B361&amp;"!AA2:AA628"),MATCH($A361,INDIRECT(""&amp;$B361&amp;"!B2:B628"),0))</f>
        <v>WR10</v>
      </c>
      <c r="F361" s="159">
        <f ca="1">IF(LeagueInfo!$H$7="Starter/Bench",INDEX(INDIRECT(""&amp;B361&amp;"!T2:T628"),MATCH(A361,INDIRECT(""&amp;B361&amp;"!B2:B628"),0)),INDEX(INDIRECT(""&amp;B361&amp;"!AB2:AB628"),MATCH(A361,INDIRECT(""&amp;B361&amp;"!B2:B628"),0)))</f>
        <v>-10.49099596746499</v>
      </c>
      <c r="G361" s="160">
        <f>IF(H361&gt;0,F361-H361,0)</f>
        <v>0</v>
      </c>
      <c r="H361" s="161"/>
      <c r="I361" s="160">
        <f ca="1">F361*$A$2</f>
        <v>-10.49099596746499</v>
      </c>
      <c r="J361" s="160" t="s">
        <v>76</v>
      </c>
      <c r="K361" s="160">
        <f>IF(LeagueInfo!$F$7="Yahoo",IFERROR(INDEX(DefaultAuctionValues!$B$2:$B$1000,MATCH(A361,DefaultAuctionValues!$A$2:$A$1000,0)),0),IF(LeagueInfo!$F$7="ESPN",IFERROR(INDEX(DefaultAuctionValues!$C$2:$C$1000,MATCH(A361,DefaultAuctionValues!$A$2:$A$1000,0)),0),IF(LeagueInfo!$F$7="Custom",IFERROR(INDEX(DefaultAuctionValues!$D$2:$D$1000,MATCH(A361,DefaultAuctionValues!$A$2:$A$1000,0)),0))))</f>
        <v>0</v>
      </c>
      <c r="L361" s="160">
        <f ca="1">I361-K361</f>
        <v>-10.49099596746499</v>
      </c>
      <c r="M361" s="175"/>
      <c r="N361" s="170">
        <f ca="1">INDEX(INDIRECT(""&amp;$B361&amp;"!Z2:Z628"),MATCH($A361,INDIRECT(""&amp;$B361&amp;"!B2:B628"),0))</f>
        <v>-28.929999999999986</v>
      </c>
      <c r="O361" s="158" t="str">
        <f ca="1">IF(INDEX(INDIRECT(""&amp;$B361&amp;"!W2:W628"),MATCH($A361,INDIRECT(""&amp;$B361&amp;"!B2:B628"),0))=0,"",INDEX(INDIRECT(""&amp;$B361&amp;"!W2:W628"),MATCH($A361,INDIRECT(""&amp;$B361&amp;"!B2:B628"),0)))</f>
        <v/>
      </c>
    </row>
    <row r="362" spans="1:15" x14ac:dyDescent="0.25">
      <c r="A362" s="158" t="s">
        <v>888</v>
      </c>
      <c r="B362" s="158" t="s">
        <v>28</v>
      </c>
      <c r="C362" s="158">
        <f ca="1">IFERROR(INDEX(BYEs!$B$2:$B$33,MATCH(D362,BYEs!$A$2:$A$33,0)),"N/A")</f>
        <v>11</v>
      </c>
      <c r="D362" s="219" t="str">
        <f ca="1">INDEX(INDIRECT(""&amp;B362&amp;"!F2:F628"),MATCH(A362,INDIRECT(""&amp;B362&amp;"!B2:B628"),0))</f>
        <v>SEA</v>
      </c>
      <c r="E362" s="218" t="str">
        <f ca="1">INDEX(INDIRECT(""&amp;$B362&amp;"!AA2:AA628"),MATCH($A362,INDIRECT(""&amp;$B362&amp;"!B2:B628"),0))</f>
        <v>RB10</v>
      </c>
      <c r="F362" s="159">
        <f ca="1">IF(LeagueInfo!$H$7="Starter/Bench",INDEX(INDIRECT(""&amp;B362&amp;"!T2:T628"),MATCH(A362,INDIRECT(""&amp;B362&amp;"!B2:B628"),0)),INDEX(INDIRECT(""&amp;B362&amp;"!AB2:AB628"),MATCH(A362,INDIRECT(""&amp;B362&amp;"!B2:B628"),0)))</f>
        <v>-10.634236320287282</v>
      </c>
      <c r="G362" s="160">
        <f>IF(H362&gt;0,F362-H362,0)</f>
        <v>0</v>
      </c>
      <c r="H362" s="161"/>
      <c r="I362" s="160">
        <f ca="1">F362*$A$2</f>
        <v>-10.634236320287282</v>
      </c>
      <c r="J362" s="160" t="s">
        <v>76</v>
      </c>
      <c r="K362" s="160">
        <f>IF(LeagueInfo!$F$7="Yahoo",IFERROR(INDEX(DefaultAuctionValues!$B$2:$B$1000,MATCH(A362,DefaultAuctionValues!$A$2:$A$1000,0)),0),IF(LeagueInfo!$F$7="ESPN",IFERROR(INDEX(DefaultAuctionValues!$C$2:$C$1000,MATCH(A362,DefaultAuctionValues!$A$2:$A$1000,0)),0),IF(LeagueInfo!$F$7="Custom",IFERROR(INDEX(DefaultAuctionValues!$D$2:$D$1000,MATCH(A362,DefaultAuctionValues!$A$2:$A$1000,0)),0))))</f>
        <v>0</v>
      </c>
      <c r="L362" s="160">
        <f ca="1">I362-K362</f>
        <v>-10.634236320287282</v>
      </c>
      <c r="M362" s="175"/>
      <c r="N362" s="170">
        <f ca="1">INDEX(INDIRECT(""&amp;$B362&amp;"!Z2:Z628"),MATCH($A362,INDIRECT(""&amp;$B362&amp;"!B2:B628"),0))</f>
        <v>-29.325000000000006</v>
      </c>
      <c r="O362" s="158" t="str">
        <f ca="1">IF(INDEX(INDIRECT(""&amp;$B362&amp;"!W2:W628"),MATCH($A362,INDIRECT(""&amp;$B362&amp;"!B2:B628"),0))=0,"",INDEX(INDIRECT(""&amp;$B362&amp;"!W2:W628"),MATCH($A362,INDIRECT(""&amp;$B362&amp;"!B2:B628"),0)))</f>
        <v/>
      </c>
    </row>
    <row r="363" spans="1:15" x14ac:dyDescent="0.25">
      <c r="A363" s="158" t="s">
        <v>595</v>
      </c>
      <c r="B363" s="158" t="s">
        <v>43</v>
      </c>
      <c r="C363" s="158">
        <f ca="1">IFERROR(INDEX(BYEs!$B$2:$B$33,MATCH(D363,BYEs!$A$2:$A$33,0)),"N/A")</f>
        <v>11</v>
      </c>
      <c r="D363" s="219" t="str">
        <f ca="1">INDEX(INDIRECT(""&amp;B363&amp;"!F2:F628"),MATCH(A363,INDIRECT(""&amp;B363&amp;"!B2:B628"),0))</f>
        <v>MIA</v>
      </c>
      <c r="E363" s="218" t="str">
        <f ca="1">INDEX(INDIRECT(""&amp;$B363&amp;"!AA2:AA628"),MATCH($A363,INDIRECT(""&amp;$B363&amp;"!B2:B628"),0))</f>
        <v>TE11</v>
      </c>
      <c r="F363" s="159">
        <f ca="1">IF(LeagueInfo!$H$7="Starter/Bench",INDEX(INDIRECT(""&amp;B363&amp;"!T2:T628"),MATCH(A363,INDIRECT(""&amp;B363&amp;"!B2:B628"),0)),INDEX(INDIRECT(""&amp;B363&amp;"!AB2:AB628"),MATCH(A363,INDIRECT(""&amp;B363&amp;"!B2:B628"),0)))</f>
        <v>-10.706763081209957</v>
      </c>
      <c r="G363" s="160">
        <f>IF(H363&gt;0,F363-H363,0)</f>
        <v>0</v>
      </c>
      <c r="H363" s="161"/>
      <c r="I363" s="160">
        <f ca="1">F363*$A$2</f>
        <v>-10.706763081209957</v>
      </c>
      <c r="J363" s="160" t="s">
        <v>76</v>
      </c>
      <c r="K363" s="160">
        <f>IF(LeagueInfo!$F$7="Yahoo",IFERROR(INDEX(DefaultAuctionValues!$B$2:$B$1000,MATCH(A363,DefaultAuctionValues!$A$2:$A$1000,0)),0),IF(LeagueInfo!$F$7="ESPN",IFERROR(INDEX(DefaultAuctionValues!$C$2:$C$1000,MATCH(A363,DefaultAuctionValues!$A$2:$A$1000,0)),0),IF(LeagueInfo!$F$7="Custom",IFERROR(INDEX(DefaultAuctionValues!$D$2:$D$1000,MATCH(A363,DefaultAuctionValues!$A$2:$A$1000,0)),0))))</f>
        <v>0</v>
      </c>
      <c r="L363" s="160">
        <f ca="1">I363-K363</f>
        <v>-10.706763081209957</v>
      </c>
      <c r="M363" s="175"/>
      <c r="N363" s="170">
        <f ca="1">INDEX(INDIRECT(""&amp;$B363&amp;"!Z2:Z628"),MATCH($A363,INDIRECT(""&amp;$B363&amp;"!B2:B628"),0))</f>
        <v>-29.525000000000006</v>
      </c>
      <c r="O363" s="158" t="str">
        <f ca="1">IF(INDEX(INDIRECT(""&amp;$B363&amp;"!W2:W628"),MATCH($A363,INDIRECT(""&amp;$B363&amp;"!B2:B628"),0))=0,"",INDEX(INDIRECT(""&amp;$B363&amp;"!W2:W628"),MATCH($A363,INDIRECT(""&amp;$B363&amp;"!B2:B628"),0)))</f>
        <v/>
      </c>
    </row>
    <row r="364" spans="1:15" x14ac:dyDescent="0.25">
      <c r="A364" s="158" t="s">
        <v>937</v>
      </c>
      <c r="B364" s="158" t="s">
        <v>28</v>
      </c>
      <c r="C364" s="158">
        <f ca="1">IFERROR(INDEX(BYEs!$B$2:$B$33,MATCH(D364,BYEs!$A$2:$A$33,0)),"N/A")</f>
        <v>9</v>
      </c>
      <c r="D364" s="219" t="str">
        <f ca="1">INDEX(INDIRECT(""&amp;B364&amp;"!F2:F628"),MATCH(A364,INDIRECT(""&amp;B364&amp;"!B2:B628"),0))</f>
        <v>NYG</v>
      </c>
      <c r="E364" s="218" t="str">
        <f ca="1">INDEX(INDIRECT(""&amp;$B364&amp;"!AA2:AA628"),MATCH($A364,INDIRECT(""&amp;$B364&amp;"!B2:B628"),0))</f>
        <v>RB10</v>
      </c>
      <c r="F364" s="159">
        <f ca="1">IF(LeagueInfo!$H$7="Starter/Bench",INDEX(INDIRECT(""&amp;B364&amp;"!T2:T628"),MATCH(A364,INDIRECT(""&amp;B364&amp;"!B2:B628"),0)),INDEX(INDIRECT(""&amp;B364&amp;"!AB2:AB628"),MATCH(A364,INDIRECT(""&amp;B364&amp;"!B2:B628"),0)))</f>
        <v>-10.782916180178765</v>
      </c>
      <c r="G364" s="160">
        <f>IF(H364&gt;0,F364-H364,0)</f>
        <v>0</v>
      </c>
      <c r="H364" s="161"/>
      <c r="I364" s="160">
        <f ca="1">F364*$A$2</f>
        <v>-10.782916180178765</v>
      </c>
      <c r="J364" s="160" t="s">
        <v>76</v>
      </c>
      <c r="K364" s="160">
        <f>IF(LeagueInfo!$F$7="Yahoo",IFERROR(INDEX(DefaultAuctionValues!$B$2:$B$1000,MATCH(A364,DefaultAuctionValues!$A$2:$A$1000,0)),0),IF(LeagueInfo!$F$7="ESPN",IFERROR(INDEX(DefaultAuctionValues!$C$2:$C$1000,MATCH(A364,DefaultAuctionValues!$A$2:$A$1000,0)),0),IF(LeagueInfo!$F$7="Custom",IFERROR(INDEX(DefaultAuctionValues!$D$2:$D$1000,MATCH(A364,DefaultAuctionValues!$A$2:$A$1000,0)),0))))</f>
        <v>0</v>
      </c>
      <c r="L364" s="160">
        <f ca="1">I364-K364</f>
        <v>-10.782916180178765</v>
      </c>
      <c r="M364" s="175"/>
      <c r="N364" s="170">
        <f ca="1">INDEX(INDIRECT(""&amp;$B364&amp;"!Z2:Z628"),MATCH($A364,INDIRECT(""&amp;$B364&amp;"!B2:B628"),0))</f>
        <v>-29.735000000000003</v>
      </c>
      <c r="O364" s="158" t="str">
        <f ca="1">IF(INDEX(INDIRECT(""&amp;$B364&amp;"!W2:W628"),MATCH($A364,INDIRECT(""&amp;$B364&amp;"!B2:B628"),0))=0,"",INDEX(INDIRECT(""&amp;$B364&amp;"!W2:W628"),MATCH($A364,INDIRECT(""&amp;$B364&amp;"!B2:B628"),0)))</f>
        <v/>
      </c>
    </row>
    <row r="365" spans="1:15" x14ac:dyDescent="0.25">
      <c r="A365" s="158" t="s">
        <v>866</v>
      </c>
      <c r="B365" s="158" t="s">
        <v>35</v>
      </c>
      <c r="C365" s="158">
        <f ca="1">IFERROR(INDEX(BYEs!$B$2:$B$33,MATCH(D365,BYEs!$A$2:$A$33,0)),"N/A")</f>
        <v>9</v>
      </c>
      <c r="D365" s="219" t="str">
        <f ca="1">INDEX(INDIRECT(""&amp;B365&amp;"!F2:F628"),MATCH(A365,INDIRECT(""&amp;B365&amp;"!B2:B628"),0))</f>
        <v>SF</v>
      </c>
      <c r="E365" s="218" t="str">
        <f ca="1">INDEX(INDIRECT(""&amp;$B365&amp;"!AA2:AA628"),MATCH($A365,INDIRECT(""&amp;$B365&amp;"!B2:B628"),0))</f>
        <v>WR10</v>
      </c>
      <c r="F365" s="159">
        <f ca="1">IF(LeagueInfo!$H$7="Starter/Bench",INDEX(INDIRECT(""&amp;B365&amp;"!T2:T628"),MATCH(A365,INDIRECT(""&amp;B365&amp;"!B2:B628"),0)),INDEX(INDIRECT(""&amp;B365&amp;"!AB2:AB628"),MATCH(A365,INDIRECT(""&amp;B365&amp;"!B2:B628"),0)))</f>
        <v>-10.908024842770375</v>
      </c>
      <c r="G365" s="160">
        <f>IF(H365&gt;0,F365-H365,0)</f>
        <v>0</v>
      </c>
      <c r="H365" s="161"/>
      <c r="I365" s="160">
        <f ca="1">F365*$A$2</f>
        <v>-10.908024842770375</v>
      </c>
      <c r="J365" s="160" t="s">
        <v>76</v>
      </c>
      <c r="K365" s="160">
        <f>IF(LeagueInfo!$F$7="Yahoo",IFERROR(INDEX(DefaultAuctionValues!$B$2:$B$1000,MATCH(A365,DefaultAuctionValues!$A$2:$A$1000,0)),0),IF(LeagueInfo!$F$7="ESPN",IFERROR(INDEX(DefaultAuctionValues!$C$2:$C$1000,MATCH(A365,DefaultAuctionValues!$A$2:$A$1000,0)),0),IF(LeagueInfo!$F$7="Custom",IFERROR(INDEX(DefaultAuctionValues!$D$2:$D$1000,MATCH(A365,DefaultAuctionValues!$A$2:$A$1000,0)),0))))</f>
        <v>0</v>
      </c>
      <c r="L365" s="160">
        <f ca="1">I365-K365</f>
        <v>-10.908024842770375</v>
      </c>
      <c r="M365" s="175"/>
      <c r="N365" s="170">
        <f ca="1">INDEX(INDIRECT(""&amp;$B365&amp;"!Z2:Z628"),MATCH($A365,INDIRECT(""&amp;$B365&amp;"!B2:B628"),0))</f>
        <v>-30.079999999999991</v>
      </c>
      <c r="O365" s="158" t="str">
        <f ca="1">IF(INDEX(INDIRECT(""&amp;$B365&amp;"!W2:W628"),MATCH($A365,INDIRECT(""&amp;$B365&amp;"!B2:B628"),0))=0,"",INDEX(INDIRECT(""&amp;$B365&amp;"!W2:W628"),MATCH($A365,INDIRECT(""&amp;$B365&amp;"!B2:B628"),0)))</f>
        <v/>
      </c>
    </row>
    <row r="366" spans="1:15" x14ac:dyDescent="0.25">
      <c r="A366" s="158" t="s">
        <v>2458</v>
      </c>
      <c r="B366" s="158" t="s">
        <v>28</v>
      </c>
      <c r="C366" s="158">
        <f ca="1">IFERROR(INDEX(BYEs!$B$2:$B$33,MATCH(D366,BYEs!$A$2:$A$33,0)),"N/A")</f>
        <v>9</v>
      </c>
      <c r="D366" s="219" t="str">
        <f ca="1">INDEX(INDIRECT(""&amp;B366&amp;"!F2:F628"),MATCH(A366,INDIRECT(""&amp;B366&amp;"!B2:B628"),0))</f>
        <v>CLE</v>
      </c>
      <c r="E366" s="218" t="str">
        <f ca="1">INDEX(INDIRECT(""&amp;$B366&amp;"!AA2:AA628"),MATCH($A366,INDIRECT(""&amp;$B366&amp;"!B2:B628"),0))</f>
        <v>RB10</v>
      </c>
      <c r="F366" s="159">
        <f ca="1">IF(LeagueInfo!$H$7="Starter/Bench",INDEX(INDIRECT(""&amp;B366&amp;"!T2:T628"),MATCH(A366,INDIRECT(""&amp;B366&amp;"!B2:B628"),0)),INDEX(INDIRECT(""&amp;B366&amp;"!AB2:AB628"),MATCH(A366,INDIRECT(""&amp;B366&amp;"!B2:B628"),0)))</f>
        <v>-11.105660266284673</v>
      </c>
      <c r="G366" s="160">
        <f>IF(H366&gt;0,F366-H366,0)</f>
        <v>0</v>
      </c>
      <c r="H366" s="161"/>
      <c r="I366" s="160">
        <f ca="1">F366*$A$2</f>
        <v>-11.105660266284673</v>
      </c>
      <c r="J366" s="160" t="s">
        <v>76</v>
      </c>
      <c r="K366" s="160">
        <f>IF(LeagueInfo!$F$7="Yahoo",IFERROR(INDEX(DefaultAuctionValues!$B$2:$B$1000,MATCH(A366,DefaultAuctionValues!$A$2:$A$1000,0)),0),IF(LeagueInfo!$F$7="ESPN",IFERROR(INDEX(DefaultAuctionValues!$C$2:$C$1000,MATCH(A366,DefaultAuctionValues!$A$2:$A$1000,0)),0),IF(LeagueInfo!$F$7="Custom",IFERROR(INDEX(DefaultAuctionValues!$D$2:$D$1000,MATCH(A366,DefaultAuctionValues!$A$2:$A$1000,0)),0))))</f>
        <v>0</v>
      </c>
      <c r="L366" s="160">
        <f ca="1">I366-K366</f>
        <v>-11.105660266284673</v>
      </c>
      <c r="M366" s="175"/>
      <c r="N366" s="170">
        <f ca="1">INDEX(INDIRECT(""&amp;$B366&amp;"!Z2:Z628"),MATCH($A366,INDIRECT(""&amp;$B366&amp;"!B2:B628"),0))</f>
        <v>-30.625000000000007</v>
      </c>
      <c r="O366" s="158" t="str">
        <f ca="1">IF(INDEX(INDIRECT(""&amp;$B366&amp;"!W2:W628"),MATCH($A366,INDIRECT(""&amp;$B366&amp;"!B2:B628"),0))=0,"",INDEX(INDIRECT(""&amp;$B366&amp;"!W2:W628"),MATCH($A366,INDIRECT(""&amp;$B366&amp;"!B2:B628"),0)))</f>
        <v/>
      </c>
    </row>
    <row r="367" spans="1:15" x14ac:dyDescent="0.25">
      <c r="A367" s="158" t="s">
        <v>2461</v>
      </c>
      <c r="B367" s="158" t="s">
        <v>28</v>
      </c>
      <c r="C367" s="158">
        <f ca="1">IFERROR(INDEX(BYEs!$B$2:$B$33,MATCH(D367,BYEs!$A$2:$A$33,0)),"N/A")</f>
        <v>9</v>
      </c>
      <c r="D367" s="219" t="str">
        <f ca="1">INDEX(INDIRECT(""&amp;B367&amp;"!F2:F628"),MATCH(A367,INDIRECT(""&amp;B367&amp;"!B2:B628"),0))</f>
        <v>CLE</v>
      </c>
      <c r="E367" s="218" t="str">
        <f ca="1">INDEX(INDIRECT(""&amp;$B367&amp;"!AA2:AA628"),MATCH($A367,INDIRECT(""&amp;$B367&amp;"!B2:B628"),0))</f>
        <v>RB10</v>
      </c>
      <c r="F367" s="159">
        <f ca="1">IF(LeagueInfo!$H$7="Starter/Bench",INDEX(INDIRECT(""&amp;B367&amp;"!T2:T628"),MATCH(A367,INDIRECT(""&amp;B367&amp;"!B2:B628"),0)),INDEX(INDIRECT(""&amp;B367&amp;"!AB2:AB628"),MATCH(A367,INDIRECT(""&amp;B367&amp;"!B2:B628"),0)))</f>
        <v>-11.114726111400007</v>
      </c>
      <c r="G367" s="160">
        <f>IF(H367&gt;0,F367-H367,0)</f>
        <v>0</v>
      </c>
      <c r="H367" s="161"/>
      <c r="I367" s="160">
        <f ca="1">F367*$A$2</f>
        <v>-11.114726111400007</v>
      </c>
      <c r="J367" s="160" t="s">
        <v>76</v>
      </c>
      <c r="K367" s="160">
        <f>IF(LeagueInfo!$F$7="Yahoo",IFERROR(INDEX(DefaultAuctionValues!$B$2:$B$1000,MATCH(A367,DefaultAuctionValues!$A$2:$A$1000,0)),0),IF(LeagueInfo!$F$7="ESPN",IFERROR(INDEX(DefaultAuctionValues!$C$2:$C$1000,MATCH(A367,DefaultAuctionValues!$A$2:$A$1000,0)),0),IF(LeagueInfo!$F$7="Custom",IFERROR(INDEX(DefaultAuctionValues!$D$2:$D$1000,MATCH(A367,DefaultAuctionValues!$A$2:$A$1000,0)),0))))</f>
        <v>0</v>
      </c>
      <c r="L367" s="160">
        <f ca="1">I367-K367</f>
        <v>-11.114726111400007</v>
      </c>
      <c r="M367" s="175"/>
      <c r="N367" s="170">
        <f ca="1">INDEX(INDIRECT(""&amp;$B367&amp;"!Z2:Z628"),MATCH($A367,INDIRECT(""&amp;$B367&amp;"!B2:B628"),0))</f>
        <v>-30.650000000000006</v>
      </c>
      <c r="O367" s="158" t="str">
        <f ca="1">IF(INDEX(INDIRECT(""&amp;$B367&amp;"!W2:W628"),MATCH($A367,INDIRECT(""&amp;$B367&amp;"!B2:B628"),0))=0,"",INDEX(INDIRECT(""&amp;$B367&amp;"!W2:W628"),MATCH($A367,INDIRECT(""&amp;$B367&amp;"!B2:B628"),0)))</f>
        <v/>
      </c>
    </row>
    <row r="368" spans="1:15" x14ac:dyDescent="0.25">
      <c r="A368" s="158" t="s">
        <v>2469</v>
      </c>
      <c r="B368" s="158" t="s">
        <v>28</v>
      </c>
      <c r="C368" s="158">
        <f ca="1">IFERROR(INDEX(BYEs!$B$2:$B$33,MATCH(D368,BYEs!$A$2:$A$33,0)),"N/A")</f>
        <v>14</v>
      </c>
      <c r="D368" s="219" t="str">
        <f ca="1">INDEX(INDIRECT(""&amp;B368&amp;"!F2:F628"),MATCH(A368,INDIRECT(""&amp;B368&amp;"!B2:B628"),0))</f>
        <v>GB</v>
      </c>
      <c r="E368" s="218" t="str">
        <f ca="1">INDEX(INDIRECT(""&amp;$B368&amp;"!AA2:AA628"),MATCH($A368,INDIRECT(""&amp;$B368&amp;"!B2:B628"),0))</f>
        <v>RB10</v>
      </c>
      <c r="F368" s="159">
        <f ca="1">IF(LeagueInfo!$H$7="Starter/Bench",INDEX(INDIRECT(""&amp;B368&amp;"!T2:T628"),MATCH(A368,INDIRECT(""&amp;B368&amp;"!B2:B628"),0)),INDEX(INDIRECT(""&amp;B368&amp;"!AB2:AB628"),MATCH(A368,INDIRECT(""&amp;B368&amp;"!B2:B628"),0)))</f>
        <v>-11.127418294561474</v>
      </c>
      <c r="G368" s="160">
        <f>IF(H368&gt;0,F368-H368,0)</f>
        <v>0</v>
      </c>
      <c r="H368" s="161"/>
      <c r="I368" s="160">
        <f ca="1">F368*$A$2</f>
        <v>-11.127418294561474</v>
      </c>
      <c r="J368" s="160" t="s">
        <v>76</v>
      </c>
      <c r="K368" s="160">
        <f>IF(LeagueInfo!$F$7="Yahoo",IFERROR(INDEX(DefaultAuctionValues!$B$2:$B$1000,MATCH(A368,DefaultAuctionValues!$A$2:$A$1000,0)),0),IF(LeagueInfo!$F$7="ESPN",IFERROR(INDEX(DefaultAuctionValues!$C$2:$C$1000,MATCH(A368,DefaultAuctionValues!$A$2:$A$1000,0)),0),IF(LeagueInfo!$F$7="Custom",IFERROR(INDEX(DefaultAuctionValues!$D$2:$D$1000,MATCH(A368,DefaultAuctionValues!$A$2:$A$1000,0)),0))))</f>
        <v>0</v>
      </c>
      <c r="L368" s="160">
        <f ca="1">I368-K368</f>
        <v>-11.127418294561474</v>
      </c>
      <c r="M368" s="175"/>
      <c r="N368" s="170">
        <f ca="1">INDEX(INDIRECT(""&amp;$B368&amp;"!Z2:Z628"),MATCH($A368,INDIRECT(""&amp;$B368&amp;"!B2:B628"),0))</f>
        <v>-30.685000000000006</v>
      </c>
      <c r="O368" s="158" t="str">
        <f ca="1">IF(INDEX(INDIRECT(""&amp;$B368&amp;"!W2:W628"),MATCH($A368,INDIRECT(""&amp;$B368&amp;"!B2:B628"),0))=0,"",INDEX(INDIRECT(""&amp;$B368&amp;"!W2:W628"),MATCH($A368,INDIRECT(""&amp;$B368&amp;"!B2:B628"),0)))</f>
        <v/>
      </c>
    </row>
    <row r="369" spans="1:15" x14ac:dyDescent="0.25">
      <c r="A369" s="158" t="s">
        <v>2428</v>
      </c>
      <c r="B369" s="158" t="s">
        <v>35</v>
      </c>
      <c r="C369" s="158">
        <f ca="1">IFERROR(INDEX(BYEs!$B$2:$B$33,MATCH(D369,BYEs!$A$2:$A$33,0)),"N/A")</f>
        <v>11</v>
      </c>
      <c r="D369" s="219" t="str">
        <f ca="1">INDEX(INDIRECT(""&amp;B369&amp;"!F2:F628"),MATCH(A369,INDIRECT(""&amp;B369&amp;"!B2:B628"),0))</f>
        <v>SEA</v>
      </c>
      <c r="E369" s="218" t="str">
        <f ca="1">INDEX(INDIRECT(""&amp;$B369&amp;"!AA2:AA628"),MATCH($A369,INDIRECT(""&amp;$B369&amp;"!B2:B628"),0))</f>
        <v>WR10</v>
      </c>
      <c r="F369" s="159">
        <f ca="1">IF(LeagueInfo!$H$7="Starter/Bench",INDEX(INDIRECT(""&amp;B369&amp;"!T2:T628"),MATCH(A369,INDIRECT(""&amp;B369&amp;"!B2:B628"),0)),INDEX(INDIRECT(""&amp;B369&amp;"!AB2:AB628"),MATCH(A369,INDIRECT(""&amp;B369&amp;"!B2:B628"),0)))</f>
        <v>-11.234395266922414</v>
      </c>
      <c r="G369" s="160">
        <f>IF(H369&gt;0,F369-H369,0)</f>
        <v>0</v>
      </c>
      <c r="H369" s="161"/>
      <c r="I369" s="160">
        <f ca="1">F369*$A$2</f>
        <v>-11.234395266922414</v>
      </c>
      <c r="J369" s="160" t="s">
        <v>76</v>
      </c>
      <c r="K369" s="160">
        <f>IF(LeagueInfo!$F$7="Yahoo",IFERROR(INDEX(DefaultAuctionValues!$B$2:$B$1000,MATCH(A369,DefaultAuctionValues!$A$2:$A$1000,0)),0),IF(LeagueInfo!$F$7="ESPN",IFERROR(INDEX(DefaultAuctionValues!$C$2:$C$1000,MATCH(A369,DefaultAuctionValues!$A$2:$A$1000,0)),0),IF(LeagueInfo!$F$7="Custom",IFERROR(INDEX(DefaultAuctionValues!$D$2:$D$1000,MATCH(A369,DefaultAuctionValues!$A$2:$A$1000,0)),0))))</f>
        <v>0</v>
      </c>
      <c r="L369" s="160">
        <f ca="1">I369-K369</f>
        <v>-11.234395266922414</v>
      </c>
      <c r="M369" s="175"/>
      <c r="N369" s="170">
        <f ca="1">INDEX(INDIRECT(""&amp;$B369&amp;"!Z2:Z628"),MATCH($A369,INDIRECT(""&amp;$B369&amp;"!B2:B628"),0))</f>
        <v>-30.97999999999999</v>
      </c>
      <c r="O369" s="158" t="str">
        <f ca="1">IF(INDEX(INDIRECT(""&amp;$B369&amp;"!W2:W628"),MATCH($A369,INDIRECT(""&amp;$B369&amp;"!B2:B628"),0))=0,"",INDEX(INDIRECT(""&amp;$B369&amp;"!W2:W628"),MATCH($A369,INDIRECT(""&amp;$B369&amp;"!B2:B628"),0)))</f>
        <v/>
      </c>
    </row>
    <row r="370" spans="1:15" x14ac:dyDescent="0.25">
      <c r="A370" s="158" t="s">
        <v>825</v>
      </c>
      <c r="B370" s="158" t="s">
        <v>43</v>
      </c>
      <c r="C370" s="158">
        <f ca="1">IFERROR(INDEX(BYEs!$B$2:$B$33,MATCH(D370,BYEs!$A$2:$A$33,0)),"N/A")</f>
        <v>6</v>
      </c>
      <c r="D370" s="219" t="str">
        <f ca="1">INDEX(INDIRECT(""&amp;B370&amp;"!F2:F628"),MATCH(A370,INDIRECT(""&amp;B370&amp;"!B2:B628"),0))</f>
        <v>HOU</v>
      </c>
      <c r="E370" s="218" t="str">
        <f ca="1">INDEX(INDIRECT(""&amp;$B370&amp;"!AA2:AA628"),MATCH($A370,INDIRECT(""&amp;$B370&amp;"!B2:B628"),0))</f>
        <v>TE11</v>
      </c>
      <c r="F370" s="159">
        <f ca="1">IF(LeagueInfo!$H$7="Starter/Bench",INDEX(INDIRECT(""&amp;B370&amp;"!T2:T628"),MATCH(A370,INDIRECT(""&amp;B370&amp;"!B2:B628"),0)),INDEX(INDIRECT(""&amp;B370&amp;"!AB2:AB628"),MATCH(A370,INDIRECT(""&amp;B370&amp;"!B2:B628"),0)))</f>
        <v>-11.238021604968553</v>
      </c>
      <c r="G370" s="160">
        <f>IF(H370&gt;0,F370-H370,0)</f>
        <v>0</v>
      </c>
      <c r="H370" s="161"/>
      <c r="I370" s="160">
        <f ca="1">F370*$A$2</f>
        <v>-11.238021604968553</v>
      </c>
      <c r="J370" s="160" t="s">
        <v>76</v>
      </c>
      <c r="K370" s="160">
        <f>IF(LeagueInfo!$F$7="Yahoo",IFERROR(INDEX(DefaultAuctionValues!$B$2:$B$1000,MATCH(A370,DefaultAuctionValues!$A$2:$A$1000,0)),0),IF(LeagueInfo!$F$7="ESPN",IFERROR(INDEX(DefaultAuctionValues!$C$2:$C$1000,MATCH(A370,DefaultAuctionValues!$A$2:$A$1000,0)),0),IF(LeagueInfo!$F$7="Custom",IFERROR(INDEX(DefaultAuctionValues!$D$2:$D$1000,MATCH(A370,DefaultAuctionValues!$A$2:$A$1000,0)),0))))</f>
        <v>0</v>
      </c>
      <c r="L370" s="160">
        <f ca="1">I370-K370</f>
        <v>-11.238021604968553</v>
      </c>
      <c r="M370" s="175"/>
      <c r="N370" s="170">
        <f ca="1">INDEX(INDIRECT(""&amp;$B370&amp;"!Z2:Z628"),MATCH($A370,INDIRECT(""&amp;$B370&amp;"!B2:B628"),0))</f>
        <v>-30.990000000000002</v>
      </c>
      <c r="O370" s="158" t="str">
        <f ca="1">IF(INDEX(INDIRECT(""&amp;$B370&amp;"!W2:W628"),MATCH($A370,INDIRECT(""&amp;$B370&amp;"!B2:B628"),0))=0,"",INDEX(INDIRECT(""&amp;$B370&amp;"!W2:W628"),MATCH($A370,INDIRECT(""&amp;$B370&amp;"!B2:B628"),0)))</f>
        <v/>
      </c>
    </row>
    <row r="371" spans="1:15" x14ac:dyDescent="0.25">
      <c r="A371" s="158" t="s">
        <v>2466</v>
      </c>
      <c r="B371" s="158" t="s">
        <v>28</v>
      </c>
      <c r="C371" s="158">
        <f ca="1">IFERROR(INDEX(BYEs!$B$2:$B$33,MATCH(D371,BYEs!$A$2:$A$33,0)),"N/A")</f>
        <v>14</v>
      </c>
      <c r="D371" s="219" t="str">
        <f ca="1">INDEX(INDIRECT(""&amp;B371&amp;"!F2:F628"),MATCH(A371,INDIRECT(""&amp;B371&amp;"!B2:B628"),0))</f>
        <v>CHI</v>
      </c>
      <c r="E371" s="218" t="str">
        <f ca="1">INDEX(INDIRECT(""&amp;$B371&amp;"!AA2:AA628"),MATCH($A371,INDIRECT(""&amp;$B371&amp;"!B2:B628"),0))</f>
        <v>RB10</v>
      </c>
      <c r="F371" s="159">
        <f ca="1">IF(LeagueInfo!$H$7="Starter/Bench",INDEX(INDIRECT(""&amp;B371&amp;"!T2:T628"),MATCH(A371,INDIRECT(""&amp;B371&amp;"!B2:B628"),0)),INDEX(INDIRECT(""&amp;B371&amp;"!AB2:AB628"),MATCH(A371,INDIRECT(""&amp;B371&amp;"!B2:B628"),0)))</f>
        <v>-11.326866887098832</v>
      </c>
      <c r="G371" s="160">
        <f>IF(H371&gt;0,F371-H371,0)</f>
        <v>0</v>
      </c>
      <c r="H371" s="161"/>
      <c r="I371" s="160">
        <f ca="1">F371*$A$2</f>
        <v>-11.326866887098832</v>
      </c>
      <c r="J371" s="160" t="s">
        <v>76</v>
      </c>
      <c r="K371" s="160">
        <f>IF(LeagueInfo!$F$7="Yahoo",IFERROR(INDEX(DefaultAuctionValues!$B$2:$B$1000,MATCH(A371,DefaultAuctionValues!$A$2:$A$1000,0)),0),IF(LeagueInfo!$F$7="ESPN",IFERROR(INDEX(DefaultAuctionValues!$C$2:$C$1000,MATCH(A371,DefaultAuctionValues!$A$2:$A$1000,0)),0),IF(LeagueInfo!$F$7="Custom",IFERROR(INDEX(DefaultAuctionValues!$D$2:$D$1000,MATCH(A371,DefaultAuctionValues!$A$2:$A$1000,0)),0))))</f>
        <v>0</v>
      </c>
      <c r="L371" s="160">
        <f ca="1">I371-K371</f>
        <v>-11.326866887098832</v>
      </c>
      <c r="M371" s="175"/>
      <c r="N371" s="170">
        <f ca="1">INDEX(INDIRECT(""&amp;$B371&amp;"!Z2:Z628"),MATCH($A371,INDIRECT(""&amp;$B371&amp;"!B2:B628"),0))</f>
        <v>-31.235000000000007</v>
      </c>
      <c r="O371" s="158" t="str">
        <f ca="1">IF(INDEX(INDIRECT(""&amp;$B371&amp;"!W2:W628"),MATCH($A371,INDIRECT(""&amp;$B371&amp;"!B2:B628"),0))=0,"",INDEX(INDIRECT(""&amp;$B371&amp;"!W2:W628"),MATCH($A371,INDIRECT(""&amp;$B371&amp;"!B2:B628"),0)))</f>
        <v/>
      </c>
    </row>
    <row r="372" spans="1:15" x14ac:dyDescent="0.25">
      <c r="A372" s="158" t="s">
        <v>885</v>
      </c>
      <c r="B372" s="158" t="s">
        <v>28</v>
      </c>
      <c r="C372" s="158">
        <f ca="1">IFERROR(INDEX(BYEs!$B$2:$B$33,MATCH(D372,BYEs!$A$2:$A$33,0)),"N/A")</f>
        <v>14</v>
      </c>
      <c r="D372" s="219" t="str">
        <f ca="1">INDEX(INDIRECT(""&amp;B372&amp;"!F2:F628"),MATCH(A372,INDIRECT(""&amp;B372&amp;"!B2:B628"),0))</f>
        <v>CHI</v>
      </c>
      <c r="E372" s="218" t="str">
        <f ca="1">INDEX(INDIRECT(""&amp;$B372&amp;"!AA2:AA628"),MATCH($A372,INDIRECT(""&amp;$B372&amp;"!B2:B628"),0))</f>
        <v>RB10</v>
      </c>
      <c r="F372" s="159">
        <f ca="1">IF(LeagueInfo!$H$7="Starter/Bench",INDEX(INDIRECT(""&amp;B372&amp;"!T2:T628"),MATCH(A372,INDIRECT(""&amp;B372&amp;"!B2:B628"),0)),INDEX(INDIRECT(""&amp;B372&amp;"!AB2:AB628"),MATCH(A372,INDIRECT(""&amp;B372&amp;"!B2:B628"),0)))</f>
        <v>-11.3504380843987</v>
      </c>
      <c r="G372" s="160">
        <f>IF(H372&gt;0,F372-H372,0)</f>
        <v>0</v>
      </c>
      <c r="H372" s="161"/>
      <c r="I372" s="160">
        <f ca="1">F372*$A$2</f>
        <v>-11.3504380843987</v>
      </c>
      <c r="J372" s="160" t="s">
        <v>76</v>
      </c>
      <c r="K372" s="160">
        <f>IF(LeagueInfo!$F$7="Yahoo",IFERROR(INDEX(DefaultAuctionValues!$B$2:$B$1000,MATCH(A372,DefaultAuctionValues!$A$2:$A$1000,0)),0),IF(LeagueInfo!$F$7="ESPN",IFERROR(INDEX(DefaultAuctionValues!$C$2:$C$1000,MATCH(A372,DefaultAuctionValues!$A$2:$A$1000,0)),0),IF(LeagueInfo!$F$7="Custom",IFERROR(INDEX(DefaultAuctionValues!$D$2:$D$1000,MATCH(A372,DefaultAuctionValues!$A$2:$A$1000,0)),0))))</f>
        <v>0</v>
      </c>
      <c r="L372" s="160">
        <f ca="1">I372-K372</f>
        <v>-11.3504380843987</v>
      </c>
      <c r="M372" s="175"/>
      <c r="N372" s="170">
        <f ca="1">INDEX(INDIRECT(""&amp;$B372&amp;"!Z2:Z628"),MATCH($A372,INDIRECT(""&amp;$B372&amp;"!B2:B628"),0))</f>
        <v>-31.300000000000004</v>
      </c>
      <c r="O372" s="158" t="str">
        <f ca="1">IF(INDEX(INDIRECT(""&amp;$B372&amp;"!W2:W628"),MATCH($A372,INDIRECT(""&amp;$B372&amp;"!B2:B628"),0))=0,"",INDEX(INDIRECT(""&amp;$B372&amp;"!W2:W628"),MATCH($A372,INDIRECT(""&amp;$B372&amp;"!B2:B628"),0)))</f>
        <v/>
      </c>
    </row>
    <row r="373" spans="1:15" x14ac:dyDescent="0.25">
      <c r="A373" s="158" t="s">
        <v>693</v>
      </c>
      <c r="B373" s="158" t="s">
        <v>28</v>
      </c>
      <c r="C373" s="158">
        <f ca="1">IFERROR(INDEX(BYEs!$B$2:$B$33,MATCH(D373,BYEs!$A$2:$A$33,0)),"N/A")</f>
        <v>14</v>
      </c>
      <c r="D373" s="219" t="str">
        <f ca="1">INDEX(INDIRECT(""&amp;B373&amp;"!F2:F628"),MATCH(A373,INDIRECT(""&amp;B373&amp;"!B2:B628"),0))</f>
        <v>WAS</v>
      </c>
      <c r="E373" s="218" t="str">
        <f ca="1">INDEX(INDIRECT(""&amp;$B373&amp;"!AA2:AA628"),MATCH($A373,INDIRECT(""&amp;$B373&amp;"!B2:B628"),0))</f>
        <v>RB10</v>
      </c>
      <c r="F373" s="159">
        <f ca="1">IF(LeagueInfo!$H$7="Starter/Bench",INDEX(INDIRECT(""&amp;B373&amp;"!T2:T628"),MATCH(A373,INDIRECT(""&amp;B373&amp;"!B2:B628"),0)),INDEX(INDIRECT(""&amp;B373&amp;"!AB2:AB628"),MATCH(A373,INDIRECT(""&amp;B373&amp;"!B2:B628"),0)))</f>
        <v>-11.359503929514034</v>
      </c>
      <c r="G373" s="160">
        <f>IF(H373&gt;0,F373-H373,0)</f>
        <v>0</v>
      </c>
      <c r="H373" s="161"/>
      <c r="I373" s="160">
        <f ca="1">F373*$A$2</f>
        <v>-11.359503929514034</v>
      </c>
      <c r="J373" s="160" t="s">
        <v>76</v>
      </c>
      <c r="K373" s="160">
        <f>IF(LeagueInfo!$F$7="Yahoo",IFERROR(INDEX(DefaultAuctionValues!$B$2:$B$1000,MATCH(A373,DefaultAuctionValues!$A$2:$A$1000,0)),0),IF(LeagueInfo!$F$7="ESPN",IFERROR(INDEX(DefaultAuctionValues!$C$2:$C$1000,MATCH(A373,DefaultAuctionValues!$A$2:$A$1000,0)),0),IF(LeagueInfo!$F$7="Custom",IFERROR(INDEX(DefaultAuctionValues!$D$2:$D$1000,MATCH(A373,DefaultAuctionValues!$A$2:$A$1000,0)),0))))</f>
        <v>0</v>
      </c>
      <c r="L373" s="160">
        <f ca="1">I373-K373</f>
        <v>-11.359503929514034</v>
      </c>
      <c r="M373" s="175"/>
      <c r="N373" s="170">
        <f ca="1">INDEX(INDIRECT(""&amp;$B373&amp;"!Z2:Z628"),MATCH($A373,INDIRECT(""&amp;$B373&amp;"!B2:B628"),0))</f>
        <v>-31.325000000000003</v>
      </c>
      <c r="O373" s="158" t="str">
        <f ca="1">IF(INDEX(INDIRECT(""&amp;$B373&amp;"!W2:W628"),MATCH($A373,INDIRECT(""&amp;$B373&amp;"!B2:B628"),0))=0,"",INDEX(INDIRECT(""&amp;$B373&amp;"!W2:W628"),MATCH($A373,INDIRECT(""&amp;$B373&amp;"!B2:B628"),0)))</f>
        <v/>
      </c>
    </row>
    <row r="374" spans="1:15" x14ac:dyDescent="0.25">
      <c r="A374" s="158" t="s">
        <v>2462</v>
      </c>
      <c r="B374" s="158" t="s">
        <v>28</v>
      </c>
      <c r="C374" s="158">
        <f ca="1">IFERROR(INDEX(BYEs!$B$2:$B$33,MATCH(D374,BYEs!$A$2:$A$33,0)),"N/A")</f>
        <v>6</v>
      </c>
      <c r="D374" s="219" t="str">
        <f ca="1">INDEX(INDIRECT(""&amp;B374&amp;"!F2:F628"),MATCH(A374,INDIRECT(""&amp;B374&amp;"!B2:B628"),0))</f>
        <v>TEN</v>
      </c>
      <c r="E374" s="218" t="str">
        <f ca="1">INDEX(INDIRECT(""&amp;$B374&amp;"!AA2:AA628"),MATCH($A374,INDIRECT(""&amp;$B374&amp;"!B2:B628"),0))</f>
        <v>RB10</v>
      </c>
      <c r="F374" s="159">
        <f ca="1">IF(LeagueInfo!$H$7="Starter/Bench",INDEX(INDIRECT(""&amp;B374&amp;"!T2:T628"),MATCH(A374,INDIRECT(""&amp;B374&amp;"!B2:B628"),0)),INDEX(INDIRECT(""&amp;B374&amp;"!AB2:AB628"),MATCH(A374,INDIRECT(""&amp;B374&amp;"!B2:B628"),0)))</f>
        <v>-11.372196112675503</v>
      </c>
      <c r="G374" s="160">
        <f>IF(H374&gt;0,F374-H374,0)</f>
        <v>0</v>
      </c>
      <c r="H374" s="161"/>
      <c r="I374" s="160">
        <f ca="1">F374*$A$2</f>
        <v>-11.372196112675503</v>
      </c>
      <c r="J374" s="160" t="s">
        <v>76</v>
      </c>
      <c r="K374" s="160">
        <f>IF(LeagueInfo!$F$7="Yahoo",IFERROR(INDEX(DefaultAuctionValues!$B$2:$B$1000,MATCH(A374,DefaultAuctionValues!$A$2:$A$1000,0)),0),IF(LeagueInfo!$F$7="ESPN",IFERROR(INDEX(DefaultAuctionValues!$C$2:$C$1000,MATCH(A374,DefaultAuctionValues!$A$2:$A$1000,0)),0),IF(LeagueInfo!$F$7="Custom",IFERROR(INDEX(DefaultAuctionValues!$D$2:$D$1000,MATCH(A374,DefaultAuctionValues!$A$2:$A$1000,0)),0))))</f>
        <v>0</v>
      </c>
      <c r="L374" s="160">
        <f ca="1">I374-K374</f>
        <v>-11.372196112675503</v>
      </c>
      <c r="M374" s="175"/>
      <c r="N374" s="170">
        <f ca="1">INDEX(INDIRECT(""&amp;$B374&amp;"!Z2:Z628"),MATCH($A374,INDIRECT(""&amp;$B374&amp;"!B2:B628"),0))</f>
        <v>-31.360000000000007</v>
      </c>
      <c r="O374" s="158" t="str">
        <f ca="1">IF(INDEX(INDIRECT(""&amp;$B374&amp;"!W2:W628"),MATCH($A374,INDIRECT(""&amp;$B374&amp;"!B2:B628"),0))=0,"",INDEX(INDIRECT(""&amp;$B374&amp;"!W2:W628"),MATCH($A374,INDIRECT(""&amp;$B374&amp;"!B2:B628"),0)))</f>
        <v/>
      </c>
    </row>
    <row r="375" spans="1:15" x14ac:dyDescent="0.25">
      <c r="A375" s="158" t="s">
        <v>943</v>
      </c>
      <c r="B375" s="158" t="s">
        <v>28</v>
      </c>
      <c r="C375" s="158">
        <f ca="1">IFERROR(INDEX(BYEs!$B$2:$B$33,MATCH(D375,BYEs!$A$2:$A$33,0)),"N/A")</f>
        <v>14</v>
      </c>
      <c r="D375" s="219" t="str">
        <f ca="1">INDEX(INDIRECT(""&amp;B375&amp;"!F2:F628"),MATCH(A375,INDIRECT(""&amp;B375&amp;"!B2:B628"),0))</f>
        <v>NO</v>
      </c>
      <c r="E375" s="218" t="str">
        <f ca="1">INDEX(INDIRECT(""&amp;$B375&amp;"!AA2:AA628"),MATCH($A375,INDIRECT(""&amp;$B375&amp;"!B2:B628"),0))</f>
        <v>RB10</v>
      </c>
      <c r="F375" s="159">
        <f ca="1">IF(LeagueInfo!$H$7="Starter/Bench",INDEX(INDIRECT(""&amp;B375&amp;"!T2:T628"),MATCH(A375,INDIRECT(""&amp;B375&amp;"!B2:B628"),0)),INDEX(INDIRECT(""&amp;B375&amp;"!AB2:AB628"),MATCH(A375,INDIRECT(""&amp;B375&amp;"!B2:B628"),0)))</f>
        <v>-11.388514633883105</v>
      </c>
      <c r="G375" s="160">
        <f>IF(H375&gt;0,F375-H375,0)</f>
        <v>0</v>
      </c>
      <c r="H375" s="161"/>
      <c r="I375" s="160">
        <f ca="1">F375*$A$2</f>
        <v>-11.388514633883105</v>
      </c>
      <c r="J375" s="160" t="s">
        <v>76</v>
      </c>
      <c r="K375" s="160">
        <f>IF(LeagueInfo!$F$7="Yahoo",IFERROR(INDEX(DefaultAuctionValues!$B$2:$B$1000,MATCH(A375,DefaultAuctionValues!$A$2:$A$1000,0)),0),IF(LeagueInfo!$F$7="ESPN",IFERROR(INDEX(DefaultAuctionValues!$C$2:$C$1000,MATCH(A375,DefaultAuctionValues!$A$2:$A$1000,0)),0),IF(LeagueInfo!$F$7="Custom",IFERROR(INDEX(DefaultAuctionValues!$D$2:$D$1000,MATCH(A375,DefaultAuctionValues!$A$2:$A$1000,0)),0))))</f>
        <v>0</v>
      </c>
      <c r="L375" s="160">
        <f ca="1">I375-K375</f>
        <v>-11.388514633883105</v>
      </c>
      <c r="M375" s="175"/>
      <c r="N375" s="170">
        <f ca="1">INDEX(INDIRECT(""&amp;$B375&amp;"!Z2:Z628"),MATCH($A375,INDIRECT(""&amp;$B375&amp;"!B2:B628"),0))</f>
        <v>-31.405000000000005</v>
      </c>
      <c r="O375" s="158" t="str">
        <f ca="1">IF(INDEX(INDIRECT(""&amp;$B375&amp;"!W2:W628"),MATCH($A375,INDIRECT(""&amp;$B375&amp;"!B2:B628"),0))=0,"",INDEX(INDIRECT(""&amp;$B375&amp;"!W2:W628"),MATCH($A375,INDIRECT(""&amp;$B375&amp;"!B2:B628"),0)))</f>
        <v/>
      </c>
    </row>
    <row r="376" spans="1:15" x14ac:dyDescent="0.25">
      <c r="A376" s="158" t="s">
        <v>539</v>
      </c>
      <c r="B376" s="158" t="s">
        <v>43</v>
      </c>
      <c r="C376" s="158">
        <f ca="1">IFERROR(INDEX(BYEs!$B$2:$B$33,MATCH(D376,BYEs!$A$2:$A$33,0)),"N/A")</f>
        <v>14</v>
      </c>
      <c r="D376" s="219" t="str">
        <f ca="1">INDEX(INDIRECT(""&amp;B376&amp;"!F2:F628"),MATCH(A376,INDIRECT(""&amp;B376&amp;"!B2:B628"),0))</f>
        <v>NO</v>
      </c>
      <c r="E376" s="218" t="str">
        <f ca="1">INDEX(INDIRECT(""&amp;$B376&amp;"!AA2:AA628"),MATCH($A376,INDIRECT(""&amp;$B376&amp;"!B2:B628"),0))</f>
        <v>TE11</v>
      </c>
      <c r="F376" s="159">
        <f ca="1">IF(LeagueInfo!$H$7="Starter/Bench",INDEX(INDIRECT(""&amp;B376&amp;"!T2:T628"),MATCH(A376,INDIRECT(""&amp;B376&amp;"!B2:B628"),0)),INDEX(INDIRECT(""&amp;B376&amp;"!AB2:AB628"),MATCH(A376,INDIRECT(""&amp;B376&amp;"!B2:B628"),0)))</f>
        <v>-11.415712169229108</v>
      </c>
      <c r="G376" s="160">
        <f>IF(H376&gt;0,F376-H376,0)</f>
        <v>0</v>
      </c>
      <c r="H376" s="161"/>
      <c r="I376" s="160">
        <f ca="1">F376*$A$2</f>
        <v>-11.415712169229108</v>
      </c>
      <c r="J376" s="160" t="s">
        <v>76</v>
      </c>
      <c r="K376" s="160">
        <f>IF(LeagueInfo!$F$7="Yahoo",IFERROR(INDEX(DefaultAuctionValues!$B$2:$B$1000,MATCH(A376,DefaultAuctionValues!$A$2:$A$1000,0)),0),IF(LeagueInfo!$F$7="ESPN",IFERROR(INDEX(DefaultAuctionValues!$C$2:$C$1000,MATCH(A376,DefaultAuctionValues!$A$2:$A$1000,0)),0),IF(LeagueInfo!$F$7="Custom",IFERROR(INDEX(DefaultAuctionValues!$D$2:$D$1000,MATCH(A376,DefaultAuctionValues!$A$2:$A$1000,0)),0))))</f>
        <v>1</v>
      </c>
      <c r="L376" s="160">
        <f ca="1">I376-K376</f>
        <v>-12.415712169229108</v>
      </c>
      <c r="M376" s="175"/>
      <c r="N376" s="170">
        <f ca="1">INDEX(INDIRECT(""&amp;$B376&amp;"!Z2:Z628"),MATCH($A376,INDIRECT(""&amp;$B376&amp;"!B2:B628"),0))</f>
        <v>-31.480000000000004</v>
      </c>
      <c r="O376" s="158" t="str">
        <f ca="1">IF(INDEX(INDIRECT(""&amp;$B376&amp;"!W2:W628"),MATCH($A376,INDIRECT(""&amp;$B376&amp;"!B2:B628"),0))=0,"",INDEX(INDIRECT(""&amp;$B376&amp;"!W2:W628"),MATCH($A376,INDIRECT(""&amp;$B376&amp;"!B2:B628"),0)))</f>
        <v/>
      </c>
    </row>
    <row r="377" spans="1:15" x14ac:dyDescent="0.25">
      <c r="A377" s="158" t="s">
        <v>2474</v>
      </c>
      <c r="B377" s="158" t="s">
        <v>43</v>
      </c>
      <c r="C377" s="158">
        <f ca="1">IFERROR(INDEX(BYEs!$B$2:$B$33,MATCH(D377,BYEs!$A$2:$A$33,0)),"N/A")</f>
        <v>11</v>
      </c>
      <c r="D377" s="219" t="str">
        <f ca="1">INDEX(INDIRECT(""&amp;B377&amp;"!F2:F628"),MATCH(A377,INDIRECT(""&amp;B377&amp;"!B2:B628"),0))</f>
        <v>TB</v>
      </c>
      <c r="E377" s="218" t="str">
        <f ca="1">INDEX(INDIRECT(""&amp;$B377&amp;"!AA2:AA628"),MATCH($A377,INDIRECT(""&amp;$B377&amp;"!B2:B628"),0))</f>
        <v>TE11</v>
      </c>
      <c r="F377" s="159">
        <f ca="1">IF(LeagueInfo!$H$7="Starter/Bench",INDEX(INDIRECT(""&amp;B377&amp;"!T2:T628"),MATCH(A377,INDIRECT(""&amp;B377&amp;"!B2:B628"),0)),INDEX(INDIRECT(""&amp;B377&amp;"!AB2:AB628"),MATCH(A377,INDIRECT(""&amp;B377&amp;"!B2:B628"),0)))</f>
        <v>-11.422964845321378</v>
      </c>
      <c r="G377" s="160">
        <f>IF(H377&gt;0,F377-H377,0)</f>
        <v>0</v>
      </c>
      <c r="H377" s="161"/>
      <c r="I377" s="160">
        <f ca="1">F377*$A$2</f>
        <v>-11.422964845321378</v>
      </c>
      <c r="J377" s="160" t="s">
        <v>76</v>
      </c>
      <c r="K377" s="160">
        <f>IF(LeagueInfo!$F$7="Yahoo",IFERROR(INDEX(DefaultAuctionValues!$B$2:$B$1000,MATCH(A377,DefaultAuctionValues!$A$2:$A$1000,0)),0),IF(LeagueInfo!$F$7="ESPN",IFERROR(INDEX(DefaultAuctionValues!$C$2:$C$1000,MATCH(A377,DefaultAuctionValues!$A$2:$A$1000,0)),0),IF(LeagueInfo!$F$7="Custom",IFERROR(INDEX(DefaultAuctionValues!$D$2:$D$1000,MATCH(A377,DefaultAuctionValues!$A$2:$A$1000,0)),0))))</f>
        <v>0</v>
      </c>
      <c r="L377" s="160">
        <f ca="1">I377-K377</f>
        <v>-11.422964845321378</v>
      </c>
      <c r="M377" s="175"/>
      <c r="N377" s="170">
        <f ca="1">INDEX(INDIRECT(""&amp;$B377&amp;"!Z2:Z628"),MATCH($A377,INDIRECT(""&amp;$B377&amp;"!B2:B628"),0))</f>
        <v>-31.500000000000007</v>
      </c>
      <c r="O377" s="158" t="str">
        <f ca="1">IF(INDEX(INDIRECT(""&amp;$B377&amp;"!W2:W628"),MATCH($A377,INDIRECT(""&amp;$B377&amp;"!B2:B628"),0))=0,"",INDEX(INDIRECT(""&amp;$B377&amp;"!W2:W628"),MATCH($A377,INDIRECT(""&amp;$B377&amp;"!B2:B628"),0)))</f>
        <v/>
      </c>
    </row>
    <row r="378" spans="1:15" x14ac:dyDescent="0.25">
      <c r="A378" s="158" t="s">
        <v>196</v>
      </c>
      <c r="B378" s="158" t="s">
        <v>43</v>
      </c>
      <c r="C378" s="158">
        <f ca="1">IFERROR(INDEX(BYEs!$B$2:$B$33,MATCH(D378,BYEs!$A$2:$A$33,0)),"N/A")</f>
        <v>6</v>
      </c>
      <c r="D378" s="219" t="str">
        <f ca="1">INDEX(INDIRECT(""&amp;B378&amp;"!F2:F628"),MATCH(A378,INDIRECT(""&amp;B378&amp;"!B2:B628"),0))</f>
        <v>HOU</v>
      </c>
      <c r="E378" s="218" t="str">
        <f ca="1">INDEX(INDIRECT(""&amp;$B378&amp;"!AA2:AA628"),MATCH($A378,INDIRECT(""&amp;$B378&amp;"!B2:B628"),0))</f>
        <v>TE11</v>
      </c>
      <c r="F378" s="159">
        <f ca="1">IF(LeagueInfo!$H$7="Starter/Bench",INDEX(INDIRECT(""&amp;B378&amp;"!T2:T628"),MATCH(A378,INDIRECT(""&amp;B378&amp;"!B2:B628"),0)),INDEX(INDIRECT(""&amp;B378&amp;"!AB2:AB628"),MATCH(A378,INDIRECT(""&amp;B378&amp;"!B2:B628"),0)))</f>
        <v>-11.490052099174852</v>
      </c>
      <c r="G378" s="160">
        <f>IF(H378&gt;0,F378-H378,0)</f>
        <v>0</v>
      </c>
      <c r="H378" s="161"/>
      <c r="I378" s="160">
        <f ca="1">F378*$A$2</f>
        <v>-11.490052099174852</v>
      </c>
      <c r="J378" s="160" t="s">
        <v>76</v>
      </c>
      <c r="K378" s="160">
        <f>IF(LeagueInfo!$F$7="Yahoo",IFERROR(INDEX(DefaultAuctionValues!$B$2:$B$1000,MATCH(A378,DefaultAuctionValues!$A$2:$A$1000,0)),0),IF(LeagueInfo!$F$7="ESPN",IFERROR(INDEX(DefaultAuctionValues!$C$2:$C$1000,MATCH(A378,DefaultAuctionValues!$A$2:$A$1000,0)),0),IF(LeagueInfo!$F$7="Custom",IFERROR(INDEX(DefaultAuctionValues!$D$2:$D$1000,MATCH(A378,DefaultAuctionValues!$A$2:$A$1000,0)),0))))</f>
        <v>0</v>
      </c>
      <c r="L378" s="160">
        <f ca="1">I378-K378</f>
        <v>-11.490052099174852</v>
      </c>
      <c r="M378" s="175"/>
      <c r="N378" s="170">
        <f ca="1">INDEX(INDIRECT(""&amp;$B378&amp;"!Z2:Z628"),MATCH($A378,INDIRECT(""&amp;$B378&amp;"!B2:B628"),0))</f>
        <v>-31.685000000000006</v>
      </c>
      <c r="O378" s="158" t="str">
        <f ca="1">IF(INDEX(INDIRECT(""&amp;$B378&amp;"!W2:W628"),MATCH($A378,INDIRECT(""&amp;$B378&amp;"!B2:B628"),0))=0,"",INDEX(INDIRECT(""&amp;$B378&amp;"!W2:W628"),MATCH($A378,INDIRECT(""&amp;$B378&amp;"!B2:B628"),0)))</f>
        <v/>
      </c>
    </row>
    <row r="379" spans="1:15" x14ac:dyDescent="0.25">
      <c r="A379" s="158" t="s">
        <v>941</v>
      </c>
      <c r="B379" s="158" t="s">
        <v>28</v>
      </c>
      <c r="C379" s="158">
        <f ca="1">IFERROR(INDEX(BYEs!$B$2:$B$33,MATCH(D379,BYEs!$A$2:$A$33,0)),"N/A")</f>
        <v>9</v>
      </c>
      <c r="D379" s="219" t="str">
        <f ca="1">INDEX(INDIRECT(""&amp;B379&amp;"!F2:F628"),MATCH(A379,INDIRECT(""&amp;B379&amp;"!B2:B628"),0))</f>
        <v>NYG</v>
      </c>
      <c r="E379" s="218" t="str">
        <f ca="1">INDEX(INDIRECT(""&amp;$B379&amp;"!AA2:AA628"),MATCH($A379,INDIRECT(""&amp;$B379&amp;"!B2:B628"),0))</f>
        <v>RB10</v>
      </c>
      <c r="F379" s="159">
        <f ca="1">IF(LeagueInfo!$H$7="Starter/Bench",INDEX(INDIRECT(""&amp;B379&amp;"!T2:T628"),MATCH(A379,INDIRECT(""&amp;B379&amp;"!B2:B628"),0)),INDEX(INDIRECT(""&amp;B379&amp;"!AB2:AB628"),MATCH(A379,INDIRECT(""&amp;B379&amp;"!B2:B628"),0)))</f>
        <v>-11.524502310613121</v>
      </c>
      <c r="G379" s="160">
        <f>IF(H379&gt;0,F379-H379,0)</f>
        <v>0</v>
      </c>
      <c r="H379" s="161"/>
      <c r="I379" s="160">
        <f ca="1">F379*$A$2</f>
        <v>-11.524502310613121</v>
      </c>
      <c r="J379" s="160" t="s">
        <v>76</v>
      </c>
      <c r="K379" s="160">
        <f>IF(LeagueInfo!$F$7="Yahoo",IFERROR(INDEX(DefaultAuctionValues!$B$2:$B$1000,MATCH(A379,DefaultAuctionValues!$A$2:$A$1000,0)),0),IF(LeagueInfo!$F$7="ESPN",IFERROR(INDEX(DefaultAuctionValues!$C$2:$C$1000,MATCH(A379,DefaultAuctionValues!$A$2:$A$1000,0)),0),IF(LeagueInfo!$F$7="Custom",IFERROR(INDEX(DefaultAuctionValues!$D$2:$D$1000,MATCH(A379,DefaultAuctionValues!$A$2:$A$1000,0)),0))))</f>
        <v>0</v>
      </c>
      <c r="L379" s="160">
        <f ca="1">I379-K379</f>
        <v>-11.524502310613121</v>
      </c>
      <c r="M379" s="175"/>
      <c r="N379" s="170">
        <f ca="1">INDEX(INDIRECT(""&amp;$B379&amp;"!Z2:Z628"),MATCH($A379,INDIRECT(""&amp;$B379&amp;"!B2:B628"),0))</f>
        <v>-31.780000000000005</v>
      </c>
      <c r="O379" s="158" t="str">
        <f ca="1">IF(INDEX(INDIRECT(""&amp;$B379&amp;"!W2:W628"),MATCH($A379,INDIRECT(""&amp;$B379&amp;"!B2:B628"),0))=0,"",INDEX(INDIRECT(""&amp;$B379&amp;"!W2:W628"),MATCH($A379,INDIRECT(""&amp;$B379&amp;"!B2:B628"),0)))</f>
        <v/>
      </c>
    </row>
    <row r="380" spans="1:15" x14ac:dyDescent="0.25">
      <c r="A380" s="158" t="s">
        <v>2475</v>
      </c>
      <c r="B380" s="158" t="s">
        <v>43</v>
      </c>
      <c r="C380" s="158">
        <f ca="1">IFERROR(INDEX(BYEs!$B$2:$B$33,MATCH(D380,BYEs!$A$2:$A$33,0)),"N/A")</f>
        <v>13</v>
      </c>
      <c r="D380" s="219" t="str">
        <f ca="1">INDEX(INDIRECT(""&amp;B380&amp;"!F2:F628"),MATCH(A380,INDIRECT(""&amp;B380&amp;"!B2:B628"),0))</f>
        <v>ARI</v>
      </c>
      <c r="E380" s="218" t="str">
        <f ca="1">INDEX(INDIRECT(""&amp;$B380&amp;"!AA2:AA628"),MATCH($A380,INDIRECT(""&amp;$B380&amp;"!B2:B628"),0))</f>
        <v>TE11</v>
      </c>
      <c r="F380" s="159">
        <f ca="1">IF(LeagueInfo!$H$7="Starter/Bench",INDEX(INDIRECT(""&amp;B380&amp;"!T2:T628"),MATCH(A380,INDIRECT(""&amp;B380&amp;"!B2:B628"),0)),INDEX(INDIRECT(""&amp;B380&amp;"!AB2:AB628"),MATCH(A380,INDIRECT(""&amp;B380&amp;"!B2:B628"),0)))</f>
        <v>-11.531754986705389</v>
      </c>
      <c r="G380" s="160">
        <f>IF(H380&gt;0,F380-H380,0)</f>
        <v>0</v>
      </c>
      <c r="H380" s="161"/>
      <c r="I380" s="160">
        <f ca="1">F380*$A$2</f>
        <v>-11.531754986705389</v>
      </c>
      <c r="J380" s="160" t="s">
        <v>76</v>
      </c>
      <c r="K380" s="160">
        <f>IF(LeagueInfo!$F$7="Yahoo",IFERROR(INDEX(DefaultAuctionValues!$B$2:$B$1000,MATCH(A380,DefaultAuctionValues!$A$2:$A$1000,0)),0),IF(LeagueInfo!$F$7="ESPN",IFERROR(INDEX(DefaultAuctionValues!$C$2:$C$1000,MATCH(A380,DefaultAuctionValues!$A$2:$A$1000,0)),0),IF(LeagueInfo!$F$7="Custom",IFERROR(INDEX(DefaultAuctionValues!$D$2:$D$1000,MATCH(A380,DefaultAuctionValues!$A$2:$A$1000,0)),0))))</f>
        <v>0</v>
      </c>
      <c r="L380" s="160">
        <f ca="1">I380-K380</f>
        <v>-11.531754986705389</v>
      </c>
      <c r="M380" s="175"/>
      <c r="N380" s="170">
        <f ca="1">INDEX(INDIRECT(""&amp;$B380&amp;"!Z2:Z628"),MATCH($A380,INDIRECT(""&amp;$B380&amp;"!B2:B628"),0))</f>
        <v>-31.800000000000004</v>
      </c>
      <c r="O380" s="158" t="str">
        <f ca="1">IF(INDEX(INDIRECT(""&amp;$B380&amp;"!W2:W628"),MATCH($A380,INDIRECT(""&amp;$B380&amp;"!B2:B628"),0))=0,"",INDEX(INDIRECT(""&amp;$B380&amp;"!W2:W628"),MATCH($A380,INDIRECT(""&amp;$B380&amp;"!B2:B628"),0)))</f>
        <v/>
      </c>
    </row>
    <row r="381" spans="1:15" x14ac:dyDescent="0.25">
      <c r="A381" s="158" t="s">
        <v>2670</v>
      </c>
      <c r="B381" s="158" t="s">
        <v>28</v>
      </c>
      <c r="C381" s="158">
        <f ca="1">IFERROR(INDEX(BYEs!$B$2:$B$33,MATCH(D381,BYEs!$A$2:$A$33,0)),"N/A")</f>
        <v>9</v>
      </c>
      <c r="D381" s="219" t="str">
        <f ca="1">INDEX(INDIRECT(""&amp;B381&amp;"!F2:F628"),MATCH(A381,INDIRECT(""&amp;B381&amp;"!B2:B628"),0))</f>
        <v>SF</v>
      </c>
      <c r="E381" s="218" t="str">
        <f ca="1">INDEX(INDIRECT(""&amp;$B381&amp;"!AA2:AA628"),MATCH($A381,INDIRECT(""&amp;$B381&amp;"!B2:B628"),0))</f>
        <v>RB10</v>
      </c>
      <c r="F381" s="159">
        <f ca="1">IF(LeagueInfo!$H$7="Starter/Bench",INDEX(INDIRECT(""&amp;B381&amp;"!T2:T628"),MATCH(A381,INDIRECT(""&amp;B381&amp;"!B2:B628"),0)),INDEX(INDIRECT(""&amp;B381&amp;"!AB2:AB628"),MATCH(A381,INDIRECT(""&amp;B381&amp;"!B2:B628"),0)))</f>
        <v>-11.616973930789532</v>
      </c>
      <c r="G381" s="160">
        <f>IF(H381&gt;0,F381-H381,0)</f>
        <v>0</v>
      </c>
      <c r="H381" s="161"/>
      <c r="I381" s="160">
        <f ca="1">F381*$A$2</f>
        <v>-11.616973930789532</v>
      </c>
      <c r="J381" s="160" t="s">
        <v>76</v>
      </c>
      <c r="K381" s="160">
        <f>IF(LeagueInfo!$F$7="Yahoo",IFERROR(INDEX(DefaultAuctionValues!$B$2:$B$1000,MATCH(A381,DefaultAuctionValues!$A$2:$A$1000,0)),0),IF(LeagueInfo!$F$7="ESPN",IFERROR(INDEX(DefaultAuctionValues!$C$2:$C$1000,MATCH(A381,DefaultAuctionValues!$A$2:$A$1000,0)),0),IF(LeagueInfo!$F$7="Custom",IFERROR(INDEX(DefaultAuctionValues!$D$2:$D$1000,MATCH(A381,DefaultAuctionValues!$A$2:$A$1000,0)),0))))</f>
        <v>0</v>
      </c>
      <c r="L381" s="160">
        <f ca="1">I381-K381</f>
        <v>-11.616973930789532</v>
      </c>
      <c r="M381" s="175"/>
      <c r="N381" s="170">
        <f ca="1">INDEX(INDIRECT(""&amp;$B381&amp;"!Z2:Z628"),MATCH($A381,INDIRECT(""&amp;$B381&amp;"!B2:B628"),0))</f>
        <v>-32.035000000000004</v>
      </c>
      <c r="O381" s="158" t="str">
        <f ca="1">IF(INDEX(INDIRECT(""&amp;$B381&amp;"!W2:W628"),MATCH($A381,INDIRECT(""&amp;$B381&amp;"!B2:B628"),0))=0,"",INDEX(INDIRECT(""&amp;$B381&amp;"!W2:W628"),MATCH($A381,INDIRECT(""&amp;$B381&amp;"!B2:B628"),0)))</f>
        <v/>
      </c>
    </row>
    <row r="382" spans="1:15" x14ac:dyDescent="0.25">
      <c r="A382" s="158" t="s">
        <v>985</v>
      </c>
      <c r="B382" s="158" t="s">
        <v>43</v>
      </c>
      <c r="C382" s="158">
        <f ca="1">IFERROR(INDEX(BYEs!$B$2:$B$33,MATCH(D382,BYEs!$A$2:$A$33,0)),"N/A")</f>
        <v>14</v>
      </c>
      <c r="D382" s="219" t="str">
        <f ca="1">INDEX(INDIRECT(""&amp;B382&amp;"!F2:F628"),MATCH(A382,INDIRECT(""&amp;B382&amp;"!B2:B628"),0))</f>
        <v>IND</v>
      </c>
      <c r="E382" s="218" t="str">
        <f ca="1">INDEX(INDIRECT(""&amp;$B382&amp;"!AA2:AA628"),MATCH($A382,INDIRECT(""&amp;$B382&amp;"!B2:B628"),0))</f>
        <v>TE11</v>
      </c>
      <c r="F382" s="159">
        <f ca="1">IF(LeagueInfo!$H$7="Starter/Bench",INDEX(INDIRECT(""&amp;B382&amp;"!T2:T628"),MATCH(A382,INDIRECT(""&amp;B382&amp;"!B2:B628"),0)),INDEX(INDIRECT(""&amp;B382&amp;"!AB2:AB628"),MATCH(A382,INDIRECT(""&amp;B382&amp;"!B2:B628"),0)))</f>
        <v>-11.689500691712208</v>
      </c>
      <c r="G382" s="160">
        <f>IF(H382&gt;0,F382-H382,0)</f>
        <v>0</v>
      </c>
      <c r="H382" s="161"/>
      <c r="I382" s="160">
        <f ca="1">F382*$A$2</f>
        <v>-11.689500691712208</v>
      </c>
      <c r="J382" s="160" t="s">
        <v>76</v>
      </c>
      <c r="K382" s="160">
        <f>IF(LeagueInfo!$F$7="Yahoo",IFERROR(INDEX(DefaultAuctionValues!$B$2:$B$1000,MATCH(A382,DefaultAuctionValues!$A$2:$A$1000,0)),0),IF(LeagueInfo!$F$7="ESPN",IFERROR(INDEX(DefaultAuctionValues!$C$2:$C$1000,MATCH(A382,DefaultAuctionValues!$A$2:$A$1000,0)),0),IF(LeagueInfo!$F$7="Custom",IFERROR(INDEX(DefaultAuctionValues!$D$2:$D$1000,MATCH(A382,DefaultAuctionValues!$A$2:$A$1000,0)),0))))</f>
        <v>0</v>
      </c>
      <c r="L382" s="160">
        <f ca="1">I382-K382</f>
        <v>-11.689500691712208</v>
      </c>
      <c r="M382" s="175"/>
      <c r="N382" s="170">
        <f ca="1">INDEX(INDIRECT(""&amp;$B382&amp;"!Z2:Z628"),MATCH($A382,INDIRECT(""&amp;$B382&amp;"!B2:B628"),0))</f>
        <v>-32.235000000000007</v>
      </c>
      <c r="O382" s="158" t="str">
        <f ca="1">IF(INDEX(INDIRECT(""&amp;$B382&amp;"!W2:W628"),MATCH($A382,INDIRECT(""&amp;$B382&amp;"!B2:B628"),0))=0,"",INDEX(INDIRECT(""&amp;$B382&amp;"!W2:W628"),MATCH($A382,INDIRECT(""&amp;$B382&amp;"!B2:B628"),0)))</f>
        <v/>
      </c>
    </row>
    <row r="383" spans="1:15" x14ac:dyDescent="0.25">
      <c r="A383" s="158" t="s">
        <v>2464</v>
      </c>
      <c r="B383" s="158" t="s">
        <v>28</v>
      </c>
      <c r="C383" s="158">
        <f ca="1">IFERROR(INDEX(BYEs!$B$2:$B$33,MATCH(D383,BYEs!$A$2:$A$33,0)),"N/A")</f>
        <v>7</v>
      </c>
      <c r="D383" s="219" t="str">
        <f ca="1">INDEX(INDIRECT(""&amp;B383&amp;"!F2:F628"),MATCH(A383,INDIRECT(""&amp;B383&amp;"!B2:B628"),0))</f>
        <v>MIN</v>
      </c>
      <c r="E383" s="218" t="str">
        <f ca="1">INDEX(INDIRECT(""&amp;$B383&amp;"!AA2:AA628"),MATCH($A383,INDIRECT(""&amp;$B383&amp;"!B2:B628"),0))</f>
        <v>RB10</v>
      </c>
      <c r="F383" s="159">
        <f ca="1">IF(LeagueInfo!$H$7="Starter/Bench",INDEX(INDIRECT(""&amp;B383&amp;"!T2:T628"),MATCH(A383,INDIRECT(""&amp;B383&amp;"!B2:B628"),0)),INDEX(INDIRECT(""&amp;B383&amp;"!AB2:AB628"),MATCH(A383,INDIRECT(""&amp;B383&amp;"!B2:B628"),0)))</f>
        <v>-11.731203579242745</v>
      </c>
      <c r="G383" s="160">
        <f>IF(H383&gt;0,F383-H383,0)</f>
        <v>0</v>
      </c>
      <c r="H383" s="161"/>
      <c r="I383" s="160">
        <f ca="1">F383*$A$2</f>
        <v>-11.731203579242745</v>
      </c>
      <c r="J383" s="160" t="s">
        <v>76</v>
      </c>
      <c r="K383" s="160">
        <f>IF(LeagueInfo!$F$7="Yahoo",IFERROR(INDEX(DefaultAuctionValues!$B$2:$B$1000,MATCH(A383,DefaultAuctionValues!$A$2:$A$1000,0)),0),IF(LeagueInfo!$F$7="ESPN",IFERROR(INDEX(DefaultAuctionValues!$C$2:$C$1000,MATCH(A383,DefaultAuctionValues!$A$2:$A$1000,0)),0),IF(LeagueInfo!$F$7="Custom",IFERROR(INDEX(DefaultAuctionValues!$D$2:$D$1000,MATCH(A383,DefaultAuctionValues!$A$2:$A$1000,0)),0))))</f>
        <v>0</v>
      </c>
      <c r="L383" s="160">
        <f ca="1">I383-K383</f>
        <v>-11.731203579242745</v>
      </c>
      <c r="M383" s="175"/>
      <c r="N383" s="170">
        <f ca="1">INDEX(INDIRECT(""&amp;$B383&amp;"!Z2:Z628"),MATCH($A383,INDIRECT(""&amp;$B383&amp;"!B2:B628"),0))</f>
        <v>-32.35</v>
      </c>
      <c r="O383" s="158" t="str">
        <f ca="1">IF(INDEX(INDIRECT(""&amp;$B383&amp;"!W2:W628"),MATCH($A383,INDIRECT(""&amp;$B383&amp;"!B2:B628"),0))=0,"",INDEX(INDIRECT(""&amp;$B383&amp;"!W2:W628"),MATCH($A383,INDIRECT(""&amp;$B383&amp;"!B2:B628"),0)))</f>
        <v/>
      </c>
    </row>
    <row r="384" spans="1:15" x14ac:dyDescent="0.25">
      <c r="A384" s="158" t="s">
        <v>686</v>
      </c>
      <c r="B384" s="158" t="s">
        <v>28</v>
      </c>
      <c r="C384" s="158">
        <f ca="1">IFERROR(INDEX(BYEs!$B$2:$B$33,MATCH(D384,BYEs!$A$2:$A$33,0)),"N/A")</f>
        <v>10</v>
      </c>
      <c r="D384" s="219" t="str">
        <f ca="1">INDEX(INDIRECT(""&amp;B384&amp;"!F2:F628"),MATCH(A384,INDIRECT(""&amp;B384&amp;"!B2:B628"),0))</f>
        <v>BAL</v>
      </c>
      <c r="E384" s="218" t="str">
        <f ca="1">INDEX(INDIRECT(""&amp;$B384&amp;"!AA2:AA628"),MATCH($A384,INDIRECT(""&amp;$B384&amp;"!B2:B628"),0))</f>
        <v>RB10</v>
      </c>
      <c r="F384" s="159">
        <f ca="1">IF(LeagueInfo!$H$7="Starter/Bench",INDEX(INDIRECT(""&amp;B384&amp;"!T2:T628"),MATCH(A384,INDIRECT(""&amp;B384&amp;"!B2:B628"),0)),INDEX(INDIRECT(""&amp;B384&amp;"!AB2:AB628"),MATCH(A384,INDIRECT(""&amp;B384&amp;"!B2:B628"),0)))</f>
        <v>-11.74208259338115</v>
      </c>
      <c r="G384" s="160">
        <f>IF(H384&gt;0,F384-H384,0)</f>
        <v>0</v>
      </c>
      <c r="H384" s="161"/>
      <c r="I384" s="160">
        <f ca="1">F384*$A$2</f>
        <v>-11.74208259338115</v>
      </c>
      <c r="J384" s="160" t="s">
        <v>76</v>
      </c>
      <c r="K384" s="160">
        <f>IF(LeagueInfo!$F$7="Yahoo",IFERROR(INDEX(DefaultAuctionValues!$B$2:$B$1000,MATCH(A384,DefaultAuctionValues!$A$2:$A$1000,0)),0),IF(LeagueInfo!$F$7="ESPN",IFERROR(INDEX(DefaultAuctionValues!$C$2:$C$1000,MATCH(A384,DefaultAuctionValues!$A$2:$A$1000,0)),0),IF(LeagueInfo!$F$7="Custom",IFERROR(INDEX(DefaultAuctionValues!$D$2:$D$1000,MATCH(A384,DefaultAuctionValues!$A$2:$A$1000,0)),0))))</f>
        <v>0</v>
      </c>
      <c r="L384" s="160">
        <f ca="1">I384-K384</f>
        <v>-11.74208259338115</v>
      </c>
      <c r="M384" s="175"/>
      <c r="N384" s="170">
        <f ca="1">INDEX(INDIRECT(""&amp;$B384&amp;"!Z2:Z628"),MATCH($A384,INDIRECT(""&amp;$B384&amp;"!B2:B628"),0))</f>
        <v>-32.38000000000001</v>
      </c>
      <c r="O384" s="158" t="str">
        <f ca="1">IF(INDEX(INDIRECT(""&amp;$B384&amp;"!W2:W628"),MATCH($A384,INDIRECT(""&amp;$B384&amp;"!B2:B628"),0))=0,"",INDEX(INDIRECT(""&amp;$B384&amp;"!W2:W628"),MATCH($A384,INDIRECT(""&amp;$B384&amp;"!B2:B628"),0)))</f>
        <v/>
      </c>
    </row>
    <row r="385" spans="1:15" x14ac:dyDescent="0.25">
      <c r="A385" s="158" t="s">
        <v>2457</v>
      </c>
      <c r="B385" s="158" t="s">
        <v>28</v>
      </c>
      <c r="C385" s="158">
        <f ca="1">IFERROR(INDEX(BYEs!$B$2:$B$33,MATCH(D385,BYEs!$A$2:$A$33,0)),"N/A")</f>
        <v>13</v>
      </c>
      <c r="D385" s="219" t="str">
        <f ca="1">INDEX(INDIRECT(""&amp;B385&amp;"!F2:F628"),MATCH(A385,INDIRECT(""&amp;B385&amp;"!B2:B628"),0))</f>
        <v>ARI</v>
      </c>
      <c r="E385" s="218" t="str">
        <f ca="1">INDEX(INDIRECT(""&amp;$B385&amp;"!AA2:AA628"),MATCH($A385,INDIRECT(""&amp;$B385&amp;"!B2:B628"),0))</f>
        <v>RB10</v>
      </c>
      <c r="F385" s="159">
        <f ca="1">IF(LeagueInfo!$H$7="Starter/Bench",INDEX(INDIRECT(""&amp;B385&amp;"!T2:T628"),MATCH(A385,INDIRECT(""&amp;B385&amp;"!B2:B628"),0)),INDEX(INDIRECT(""&amp;B385&amp;"!AB2:AB628"),MATCH(A385,INDIRECT(""&amp;B385&amp;"!B2:B628"),0)))</f>
        <v>-11.749335269473416</v>
      </c>
      <c r="G385" s="160">
        <f>IF(H385&gt;0,F385-H385,0)</f>
        <v>0</v>
      </c>
      <c r="H385" s="161"/>
      <c r="I385" s="160">
        <f ca="1">F385*$A$2</f>
        <v>-11.749335269473416</v>
      </c>
      <c r="J385" s="160" t="s">
        <v>76</v>
      </c>
      <c r="K385" s="160">
        <f>IF(LeagueInfo!$F$7="Yahoo",IFERROR(INDEX(DefaultAuctionValues!$B$2:$B$1000,MATCH(A385,DefaultAuctionValues!$A$2:$A$1000,0)),0),IF(LeagueInfo!$F$7="ESPN",IFERROR(INDEX(DefaultAuctionValues!$C$2:$C$1000,MATCH(A385,DefaultAuctionValues!$A$2:$A$1000,0)),0),IF(LeagueInfo!$F$7="Custom",IFERROR(INDEX(DefaultAuctionValues!$D$2:$D$1000,MATCH(A385,DefaultAuctionValues!$A$2:$A$1000,0)),0))))</f>
        <v>0</v>
      </c>
      <c r="L385" s="160">
        <f ca="1">I385-K385</f>
        <v>-11.749335269473416</v>
      </c>
      <c r="M385" s="175"/>
      <c r="N385" s="170">
        <f ca="1">INDEX(INDIRECT(""&amp;$B385&amp;"!Z2:Z628"),MATCH($A385,INDIRECT(""&amp;$B385&amp;"!B2:B628"),0))</f>
        <v>-32.400000000000006</v>
      </c>
      <c r="O385" s="158" t="str">
        <f ca="1">IF(INDEX(INDIRECT(""&amp;$B385&amp;"!W2:W628"),MATCH($A385,INDIRECT(""&amp;$B385&amp;"!B2:B628"),0))=0,"",INDEX(INDIRECT(""&amp;$B385&amp;"!W2:W628"),MATCH($A385,INDIRECT(""&amp;$B385&amp;"!B2:B628"),0)))</f>
        <v/>
      </c>
    </row>
    <row r="386" spans="1:15" x14ac:dyDescent="0.25">
      <c r="A386" s="158" t="s">
        <v>822</v>
      </c>
      <c r="B386" s="158" t="s">
        <v>43</v>
      </c>
      <c r="C386" s="158">
        <f ca="1">IFERROR(INDEX(BYEs!$B$2:$B$33,MATCH(D386,BYEs!$A$2:$A$33,0)),"N/A")</f>
        <v>14</v>
      </c>
      <c r="D386" s="219" t="str">
        <f ca="1">INDEX(INDIRECT(""&amp;B386&amp;"!F2:F628"),MATCH(A386,INDIRECT(""&amp;B386&amp;"!B2:B628"),0))</f>
        <v>GB</v>
      </c>
      <c r="E386" s="218" t="str">
        <f ca="1">INDEX(INDIRECT(""&amp;$B386&amp;"!AA2:AA628"),MATCH($A386,INDIRECT(""&amp;$B386&amp;"!B2:B628"),0))</f>
        <v>TE11</v>
      </c>
      <c r="F386" s="159">
        <f ca="1">IF(LeagueInfo!$H$7="Starter/Bench",INDEX(INDIRECT(""&amp;B386&amp;"!T2:T628"),MATCH(A386,INDIRECT(""&amp;B386&amp;"!B2:B628"),0)),INDEX(INDIRECT(""&amp;B386&amp;"!AB2:AB628"),MATCH(A386,INDIRECT(""&amp;B386&amp;"!B2:B628"),0)))</f>
        <v>-11.783785480911686</v>
      </c>
      <c r="G386" s="160">
        <f>IF(H386&gt;0,F386-H386,0)</f>
        <v>0</v>
      </c>
      <c r="H386" s="161"/>
      <c r="I386" s="160">
        <f ca="1">F386*$A$2</f>
        <v>-11.783785480911686</v>
      </c>
      <c r="J386" s="160" t="s">
        <v>76</v>
      </c>
      <c r="K386" s="160">
        <f>IF(LeagueInfo!$F$7="Yahoo",IFERROR(INDEX(DefaultAuctionValues!$B$2:$B$1000,MATCH(A386,DefaultAuctionValues!$A$2:$A$1000,0)),0),IF(LeagueInfo!$F$7="ESPN",IFERROR(INDEX(DefaultAuctionValues!$C$2:$C$1000,MATCH(A386,DefaultAuctionValues!$A$2:$A$1000,0)),0),IF(LeagueInfo!$F$7="Custom",IFERROR(INDEX(DefaultAuctionValues!$D$2:$D$1000,MATCH(A386,DefaultAuctionValues!$A$2:$A$1000,0)),0))))</f>
        <v>0</v>
      </c>
      <c r="L386" s="160">
        <f ca="1">I386-K386</f>
        <v>-11.783785480911686</v>
      </c>
      <c r="M386" s="175"/>
      <c r="N386" s="170">
        <f ca="1">INDEX(INDIRECT(""&amp;$B386&amp;"!Z2:Z628"),MATCH($A386,INDIRECT(""&amp;$B386&amp;"!B2:B628"),0))</f>
        <v>-32.495000000000005</v>
      </c>
      <c r="O386" s="158" t="str">
        <f ca="1">IF(INDEX(INDIRECT(""&amp;$B386&amp;"!W2:W628"),MATCH($A386,INDIRECT(""&amp;$B386&amp;"!B2:B628"),0))=0,"",INDEX(INDIRECT(""&amp;$B386&amp;"!W2:W628"),MATCH($A386,INDIRECT(""&amp;$B386&amp;"!B2:B628"),0)))</f>
        <v/>
      </c>
    </row>
    <row r="387" spans="1:15" x14ac:dyDescent="0.25">
      <c r="A387" s="158" t="s">
        <v>685</v>
      </c>
      <c r="B387" s="158" t="s">
        <v>28</v>
      </c>
      <c r="C387" s="158">
        <f ca="1">IFERROR(INDEX(BYEs!$B$2:$B$33,MATCH(D387,BYEs!$A$2:$A$33,0)),"N/A")</f>
        <v>14</v>
      </c>
      <c r="D387" s="219" t="str">
        <f ca="1">INDEX(INDIRECT(""&amp;B387&amp;"!F2:F628"),MATCH(A387,INDIRECT(""&amp;B387&amp;"!B2:B628"),0))</f>
        <v>NO</v>
      </c>
      <c r="E387" s="218" t="str">
        <f ca="1">INDEX(INDIRECT(""&amp;$B387&amp;"!AA2:AA628"),MATCH($A387,INDIRECT(""&amp;$B387&amp;"!B2:B628"),0))</f>
        <v>RB10</v>
      </c>
      <c r="F387" s="159">
        <f ca="1">IF(LeagueInfo!$H$7="Starter/Bench",INDEX(INDIRECT(""&amp;B387&amp;"!T2:T628"),MATCH(A387,INDIRECT(""&amp;B387&amp;"!B2:B628"),0)),INDEX(INDIRECT(""&amp;B387&amp;"!AB2:AB628"),MATCH(A387,INDIRECT(""&amp;B387&amp;"!B2:B628"),0)))</f>
        <v>-11.798290833096221</v>
      </c>
      <c r="G387" s="160">
        <f>IF(H387&gt;0,F387-H387,0)</f>
        <v>0</v>
      </c>
      <c r="H387" s="161"/>
      <c r="I387" s="160">
        <f ca="1">F387*$A$2</f>
        <v>-11.798290833096221</v>
      </c>
      <c r="J387" s="160" t="s">
        <v>76</v>
      </c>
      <c r="K387" s="160">
        <f>IF(LeagueInfo!$F$7="Yahoo",IFERROR(INDEX(DefaultAuctionValues!$B$2:$B$1000,MATCH(A387,DefaultAuctionValues!$A$2:$A$1000,0)),0),IF(LeagueInfo!$F$7="ESPN",IFERROR(INDEX(DefaultAuctionValues!$C$2:$C$1000,MATCH(A387,DefaultAuctionValues!$A$2:$A$1000,0)),0),IF(LeagueInfo!$F$7="Custom",IFERROR(INDEX(DefaultAuctionValues!$D$2:$D$1000,MATCH(A387,DefaultAuctionValues!$A$2:$A$1000,0)),0))))</f>
        <v>0</v>
      </c>
      <c r="L387" s="160">
        <f ca="1">I387-K387</f>
        <v>-11.798290833096221</v>
      </c>
      <c r="M387" s="175"/>
      <c r="N387" s="170">
        <f ca="1">INDEX(INDIRECT(""&amp;$B387&amp;"!Z2:Z628"),MATCH($A387,INDIRECT(""&amp;$B387&amp;"!B2:B628"),0))</f>
        <v>-32.535000000000004</v>
      </c>
      <c r="O387" s="158" t="str">
        <f ca="1">IF(INDEX(INDIRECT(""&amp;$B387&amp;"!W2:W628"),MATCH($A387,INDIRECT(""&amp;$B387&amp;"!B2:B628"),0))=0,"",INDEX(INDIRECT(""&amp;$B387&amp;"!W2:W628"),MATCH($A387,INDIRECT(""&amp;$B387&amp;"!B2:B628"),0)))</f>
        <v/>
      </c>
    </row>
    <row r="388" spans="1:15" x14ac:dyDescent="0.25">
      <c r="A388" s="158" t="s">
        <v>669</v>
      </c>
      <c r="B388" s="158" t="s">
        <v>28</v>
      </c>
      <c r="C388" s="158">
        <f ca="1">IFERROR(INDEX(BYEs!$B$2:$B$33,MATCH(D388,BYEs!$A$2:$A$33,0)),"N/A")</f>
        <v>11</v>
      </c>
      <c r="D388" s="219" t="str">
        <f ca="1">INDEX(INDIRECT(""&amp;B388&amp;"!F2:F628"),MATCH(A388,INDIRECT(""&amp;B388&amp;"!B2:B628"),0))</f>
        <v>SEA</v>
      </c>
      <c r="E388" s="218" t="str">
        <f ca="1">INDEX(INDIRECT(""&amp;$B388&amp;"!AA2:AA628"),MATCH($A388,INDIRECT(""&amp;$B388&amp;"!B2:B628"),0))</f>
        <v>RB10</v>
      </c>
      <c r="F388" s="159">
        <f ca="1">IF(LeagueInfo!$H$7="Starter/Bench",INDEX(INDIRECT(""&amp;B388&amp;"!T2:T628"),MATCH(A388,INDIRECT(""&amp;B388&amp;"!B2:B628"),0)),INDEX(INDIRECT(""&amp;B388&amp;"!AB2:AB628"),MATCH(A388,INDIRECT(""&amp;B388&amp;"!B2:B628"),0)))</f>
        <v>-11.830927875511426</v>
      </c>
      <c r="G388" s="160">
        <f>IF(H388&gt;0,F388-H388,0)</f>
        <v>0</v>
      </c>
      <c r="H388" s="161"/>
      <c r="I388" s="160">
        <f ca="1">F388*$A$2</f>
        <v>-11.830927875511426</v>
      </c>
      <c r="J388" s="160" t="s">
        <v>76</v>
      </c>
      <c r="K388" s="160">
        <f>IF(LeagueInfo!$F$7="Yahoo",IFERROR(INDEX(DefaultAuctionValues!$B$2:$B$1000,MATCH(A388,DefaultAuctionValues!$A$2:$A$1000,0)),0),IF(LeagueInfo!$F$7="ESPN",IFERROR(INDEX(DefaultAuctionValues!$C$2:$C$1000,MATCH(A388,DefaultAuctionValues!$A$2:$A$1000,0)),0),IF(LeagueInfo!$F$7="Custom",IFERROR(INDEX(DefaultAuctionValues!$D$2:$D$1000,MATCH(A388,DefaultAuctionValues!$A$2:$A$1000,0)),0))))</f>
        <v>0</v>
      </c>
      <c r="L388" s="160">
        <f ca="1">I388-K388</f>
        <v>-11.830927875511426</v>
      </c>
      <c r="M388" s="175"/>
      <c r="N388" s="170">
        <f ca="1">INDEX(INDIRECT(""&amp;$B388&amp;"!Z2:Z628"),MATCH($A388,INDIRECT(""&amp;$B388&amp;"!B2:B628"),0))</f>
        <v>-32.625000000000007</v>
      </c>
      <c r="O388" s="158" t="str">
        <f ca="1">IF(INDEX(INDIRECT(""&amp;$B388&amp;"!W2:W628"),MATCH($A388,INDIRECT(""&amp;$B388&amp;"!B2:B628"),0))=0,"",INDEX(INDIRECT(""&amp;$B388&amp;"!W2:W628"),MATCH($A388,INDIRECT(""&amp;$B388&amp;"!B2:B628"),0)))</f>
        <v/>
      </c>
    </row>
    <row r="389" spans="1:15" x14ac:dyDescent="0.25">
      <c r="A389" s="158" t="s">
        <v>892</v>
      </c>
      <c r="B389" s="158" t="s">
        <v>28</v>
      </c>
      <c r="C389" s="158">
        <f ca="1">IFERROR(INDEX(BYEs!$B$2:$B$33,MATCH(D389,BYEs!$A$2:$A$33,0)),"N/A")</f>
        <v>11</v>
      </c>
      <c r="D389" s="219" t="str">
        <f ca="1">INDEX(INDIRECT(""&amp;B389&amp;"!F2:F628"),MATCH(A389,INDIRECT(""&amp;B389&amp;"!B2:B628"),0))</f>
        <v>JAC</v>
      </c>
      <c r="E389" s="218" t="str">
        <f ca="1">INDEX(INDIRECT(""&amp;$B389&amp;"!AA2:AA628"),MATCH($A389,INDIRECT(""&amp;$B389&amp;"!B2:B628"),0))</f>
        <v>RB10</v>
      </c>
      <c r="F389" s="159">
        <f ca="1">IF(LeagueInfo!$H$7="Starter/Bench",INDEX(INDIRECT(""&amp;B389&amp;"!T2:T628"),MATCH(A389,INDIRECT(""&amp;B389&amp;"!B2:B628"),0)),INDEX(INDIRECT(""&amp;B389&amp;"!AB2:AB628"),MATCH(A389,INDIRECT(""&amp;B389&amp;"!B2:B628"),0)))</f>
        <v>-11.850872734765161</v>
      </c>
      <c r="G389" s="160">
        <f>IF(H389&gt;0,F389-H389,0)</f>
        <v>0</v>
      </c>
      <c r="H389" s="161"/>
      <c r="I389" s="160">
        <f ca="1">F389*$A$2</f>
        <v>-11.850872734765161</v>
      </c>
      <c r="J389" s="160" t="s">
        <v>76</v>
      </c>
      <c r="K389" s="160">
        <f>IF(LeagueInfo!$F$7="Yahoo",IFERROR(INDEX(DefaultAuctionValues!$B$2:$B$1000,MATCH(A389,DefaultAuctionValues!$A$2:$A$1000,0)),0),IF(LeagueInfo!$F$7="ESPN",IFERROR(INDEX(DefaultAuctionValues!$C$2:$C$1000,MATCH(A389,DefaultAuctionValues!$A$2:$A$1000,0)),0),IF(LeagueInfo!$F$7="Custom",IFERROR(INDEX(DefaultAuctionValues!$D$2:$D$1000,MATCH(A389,DefaultAuctionValues!$A$2:$A$1000,0)),0))))</f>
        <v>0</v>
      </c>
      <c r="L389" s="160">
        <f ca="1">I389-K389</f>
        <v>-11.850872734765161</v>
      </c>
      <c r="M389" s="175"/>
      <c r="N389" s="170">
        <f ca="1">INDEX(INDIRECT(""&amp;$B389&amp;"!Z2:Z628"),MATCH($A389,INDIRECT(""&amp;$B389&amp;"!B2:B628"),0))</f>
        <v>-32.680000000000007</v>
      </c>
      <c r="O389" s="158" t="str">
        <f ca="1">IF(INDEX(INDIRECT(""&amp;$B389&amp;"!W2:W628"),MATCH($A389,INDIRECT(""&amp;$B389&amp;"!B2:B628"),0))=0,"",INDEX(INDIRECT(""&amp;$B389&amp;"!W2:W628"),MATCH($A389,INDIRECT(""&amp;$B389&amp;"!B2:B628"),0)))</f>
        <v/>
      </c>
    </row>
    <row r="390" spans="1:15" x14ac:dyDescent="0.25">
      <c r="A390" s="158" t="s">
        <v>562</v>
      </c>
      <c r="B390" s="158" t="s">
        <v>28</v>
      </c>
      <c r="C390" s="158">
        <f ca="1">IFERROR(INDEX(BYEs!$B$2:$B$33,MATCH(D390,BYEs!$A$2:$A$33,0)),"N/A")</f>
        <v>6</v>
      </c>
      <c r="D390" s="219" t="str">
        <f ca="1">INDEX(INDIRECT(""&amp;B390&amp;"!F2:F628"),MATCH(A390,INDIRECT(""&amp;B390&amp;"!B2:B628"),0))</f>
        <v>TEN</v>
      </c>
      <c r="E390" s="218" t="str">
        <f ca="1">INDEX(INDIRECT(""&amp;$B390&amp;"!AA2:AA628"),MATCH($A390,INDIRECT(""&amp;$B390&amp;"!B2:B628"),0))</f>
        <v>RB10</v>
      </c>
      <c r="F390" s="159">
        <f ca="1">IF(LeagueInfo!$H$7="Starter/Bench",INDEX(INDIRECT(""&amp;B390&amp;"!T2:T628"),MATCH(A390,INDIRECT(""&amp;B390&amp;"!B2:B628"),0)),INDEX(INDIRECT(""&amp;B390&amp;"!AB2:AB628"),MATCH(A390,INDIRECT(""&amp;B390&amp;"!B2:B628"),0)))</f>
        <v>-11.874443932065031</v>
      </c>
      <c r="G390" s="160">
        <f>IF(H390&gt;0,F390-H390,0)</f>
        <v>0</v>
      </c>
      <c r="H390" s="161"/>
      <c r="I390" s="160">
        <f ca="1">F390*$A$2</f>
        <v>-11.874443932065031</v>
      </c>
      <c r="J390" s="160" t="s">
        <v>76</v>
      </c>
      <c r="K390" s="160">
        <f>IF(LeagueInfo!$F$7="Yahoo",IFERROR(INDEX(DefaultAuctionValues!$B$2:$B$1000,MATCH(A390,DefaultAuctionValues!$A$2:$A$1000,0)),0),IF(LeagueInfo!$F$7="ESPN",IFERROR(INDEX(DefaultAuctionValues!$C$2:$C$1000,MATCH(A390,DefaultAuctionValues!$A$2:$A$1000,0)),0),IF(LeagueInfo!$F$7="Custom",IFERROR(INDEX(DefaultAuctionValues!$D$2:$D$1000,MATCH(A390,DefaultAuctionValues!$A$2:$A$1000,0)),0))))</f>
        <v>0</v>
      </c>
      <c r="L390" s="160">
        <f ca="1">I390-K390</f>
        <v>-11.874443932065031</v>
      </c>
      <c r="M390" s="175"/>
      <c r="N390" s="170">
        <f ca="1">INDEX(INDIRECT(""&amp;$B390&amp;"!Z2:Z628"),MATCH($A390,INDIRECT(""&amp;$B390&amp;"!B2:B628"),0))</f>
        <v>-32.745000000000005</v>
      </c>
      <c r="O390" s="158" t="str">
        <f ca="1">IF(INDEX(INDIRECT(""&amp;$B390&amp;"!W2:W628"),MATCH($A390,INDIRECT(""&amp;$B390&amp;"!B2:B628"),0))=0,"",INDEX(INDIRECT(""&amp;$B390&amp;"!W2:W628"),MATCH($A390,INDIRECT(""&amp;$B390&amp;"!B2:B628"),0)))</f>
        <v/>
      </c>
    </row>
    <row r="391" spans="1:15" x14ac:dyDescent="0.25">
      <c r="A391" s="158" t="s">
        <v>936</v>
      </c>
      <c r="B391" s="158" t="s">
        <v>28</v>
      </c>
      <c r="C391" s="158">
        <f ca="1">IFERROR(INDEX(BYEs!$B$2:$B$33,MATCH(D391,BYEs!$A$2:$A$33,0)),"N/A")</f>
        <v>7</v>
      </c>
      <c r="D391" s="219" t="str">
        <f ca="1">INDEX(INDIRECT(""&amp;B391&amp;"!F2:F628"),MATCH(A391,INDIRECT(""&amp;B391&amp;"!B2:B628"),0))</f>
        <v>MIN</v>
      </c>
      <c r="E391" s="218" t="str">
        <f ca="1">INDEX(INDIRECT(""&amp;$B391&amp;"!AA2:AA628"),MATCH($A391,INDIRECT(""&amp;$B391&amp;"!B2:B628"),0))</f>
        <v>RB10</v>
      </c>
      <c r="F391" s="159">
        <f ca="1">IF(LeagueInfo!$H$7="Starter/Bench",INDEX(INDIRECT(""&amp;B391&amp;"!T2:T628"),MATCH(A391,INDIRECT(""&amp;B391&amp;"!B2:B628"),0)),INDEX(INDIRECT(""&amp;B391&amp;"!AB2:AB628"),MATCH(A391,INDIRECT(""&amp;B391&amp;"!B2:B628"),0)))</f>
        <v>-11.888949284249565</v>
      </c>
      <c r="G391" s="160">
        <f>IF(H391&gt;0,F391-H391,0)</f>
        <v>0</v>
      </c>
      <c r="H391" s="161"/>
      <c r="I391" s="160">
        <f ca="1">F391*$A$2</f>
        <v>-11.888949284249565</v>
      </c>
      <c r="J391" s="160" t="s">
        <v>76</v>
      </c>
      <c r="K391" s="160">
        <f>IF(LeagueInfo!$F$7="Yahoo",IFERROR(INDEX(DefaultAuctionValues!$B$2:$B$1000,MATCH(A391,DefaultAuctionValues!$A$2:$A$1000,0)),0),IF(LeagueInfo!$F$7="ESPN",IFERROR(INDEX(DefaultAuctionValues!$C$2:$C$1000,MATCH(A391,DefaultAuctionValues!$A$2:$A$1000,0)),0),IF(LeagueInfo!$F$7="Custom",IFERROR(INDEX(DefaultAuctionValues!$D$2:$D$1000,MATCH(A391,DefaultAuctionValues!$A$2:$A$1000,0)),0))))</f>
        <v>0</v>
      </c>
      <c r="L391" s="160">
        <f ca="1">I391-K391</f>
        <v>-11.888949284249565</v>
      </c>
      <c r="M391" s="175"/>
      <c r="N391" s="170">
        <f ca="1">INDEX(INDIRECT(""&amp;$B391&amp;"!Z2:Z628"),MATCH($A391,INDIRECT(""&amp;$B391&amp;"!B2:B628"),0))</f>
        <v>-32.785000000000004</v>
      </c>
      <c r="O391" s="158" t="str">
        <f ca="1">IF(INDEX(INDIRECT(""&amp;$B391&amp;"!W2:W628"),MATCH($A391,INDIRECT(""&amp;$B391&amp;"!B2:B628"),0))=0,"",INDEX(INDIRECT(""&amp;$B391&amp;"!W2:W628"),MATCH($A391,INDIRECT(""&amp;$B391&amp;"!B2:B628"),0)))</f>
        <v/>
      </c>
    </row>
    <row r="392" spans="1:15" x14ac:dyDescent="0.25">
      <c r="A392" s="158" t="s">
        <v>638</v>
      </c>
      <c r="B392" s="158" t="s">
        <v>28</v>
      </c>
      <c r="C392" s="158">
        <f ca="1">IFERROR(INDEX(BYEs!$B$2:$B$33,MATCH(D392,BYEs!$A$2:$A$33,0)),"N/A")</f>
        <v>9</v>
      </c>
      <c r="D392" s="219" t="str">
        <f ca="1">INDEX(INDIRECT(""&amp;B392&amp;"!F2:F628"),MATCH(A392,INDIRECT(""&amp;B392&amp;"!B2:B628"),0))</f>
        <v>DEN</v>
      </c>
      <c r="E392" s="218" t="str">
        <f ca="1">INDEX(INDIRECT(""&amp;$B392&amp;"!AA2:AA628"),MATCH($A392,INDIRECT(""&amp;$B392&amp;"!B2:B628"),0))</f>
        <v>RB10</v>
      </c>
      <c r="F392" s="159">
        <f ca="1">IF(LeagueInfo!$H$7="Starter/Bench",INDEX(INDIRECT(""&amp;B392&amp;"!T2:T628"),MATCH(A392,INDIRECT(""&amp;B392&amp;"!B2:B628"),0)),INDEX(INDIRECT(""&amp;B392&amp;"!AB2:AB628"),MATCH(A392,INDIRECT(""&amp;B392&amp;"!B2:B628"),0)))</f>
        <v>-11.896201960341834</v>
      </c>
      <c r="G392" s="160">
        <f>IF(H392&gt;0,F392-H392,0)</f>
        <v>0</v>
      </c>
      <c r="H392" s="161"/>
      <c r="I392" s="160">
        <f ca="1">F392*$A$2</f>
        <v>-11.896201960341834</v>
      </c>
      <c r="J392" s="160" t="s">
        <v>76</v>
      </c>
      <c r="K392" s="160">
        <f>IF(LeagueInfo!$F$7="Yahoo",IFERROR(INDEX(DefaultAuctionValues!$B$2:$B$1000,MATCH(A392,DefaultAuctionValues!$A$2:$A$1000,0)),0),IF(LeagueInfo!$F$7="ESPN",IFERROR(INDEX(DefaultAuctionValues!$C$2:$C$1000,MATCH(A392,DefaultAuctionValues!$A$2:$A$1000,0)),0),IF(LeagueInfo!$F$7="Custom",IFERROR(INDEX(DefaultAuctionValues!$D$2:$D$1000,MATCH(A392,DefaultAuctionValues!$A$2:$A$1000,0)),0))))</f>
        <v>0</v>
      </c>
      <c r="L392" s="160">
        <f ca="1">I392-K392</f>
        <v>-11.896201960341834</v>
      </c>
      <c r="M392" s="175"/>
      <c r="N392" s="170">
        <f ca="1">INDEX(INDIRECT(""&amp;$B392&amp;"!Z2:Z628"),MATCH($A392,INDIRECT(""&amp;$B392&amp;"!B2:B628"),0))</f>
        <v>-32.805000000000007</v>
      </c>
      <c r="O392" s="158" t="str">
        <f ca="1">IF(INDEX(INDIRECT(""&amp;$B392&amp;"!W2:W628"),MATCH($A392,INDIRECT(""&amp;$B392&amp;"!B2:B628"),0))=0,"",INDEX(INDIRECT(""&amp;$B392&amp;"!W2:W628"),MATCH($A392,INDIRECT(""&amp;$B392&amp;"!B2:B628"),0)))</f>
        <v/>
      </c>
    </row>
    <row r="393" spans="1:15" x14ac:dyDescent="0.25">
      <c r="A393" s="158" t="s">
        <v>938</v>
      </c>
      <c r="B393" s="158" t="s">
        <v>28</v>
      </c>
      <c r="C393" s="158">
        <f ca="1">IFERROR(INDEX(BYEs!$B$2:$B$33,MATCH(D393,BYEs!$A$2:$A$33,0)),"N/A")</f>
        <v>14</v>
      </c>
      <c r="D393" s="219" t="str">
        <f ca="1">INDEX(INDIRECT(""&amp;B393&amp;"!F2:F628"),MATCH(A393,INDIRECT(""&amp;B393&amp;"!B2:B628"),0))</f>
        <v>GB</v>
      </c>
      <c r="E393" s="218" t="str">
        <f ca="1">INDEX(INDIRECT(""&amp;$B393&amp;"!AA2:AA628"),MATCH($A393,INDIRECT(""&amp;$B393&amp;"!B2:B628"),0))</f>
        <v>RB10</v>
      </c>
      <c r="F393" s="159">
        <f ca="1">IF(LeagueInfo!$H$7="Starter/Bench",INDEX(INDIRECT(""&amp;B393&amp;"!T2:T628"),MATCH(A393,INDIRECT(""&amp;B393&amp;"!B2:B628"),0)),INDEX(INDIRECT(""&amp;B393&amp;"!AB2:AB628"),MATCH(A393,INDIRECT(""&amp;B393&amp;"!B2:B628"),0)))</f>
        <v>-11.965102383218374</v>
      </c>
      <c r="G393" s="160">
        <f>IF(H393&gt;0,F393-H393,0)</f>
        <v>0</v>
      </c>
      <c r="H393" s="161"/>
      <c r="I393" s="160">
        <f ca="1">F393*$A$2</f>
        <v>-11.965102383218374</v>
      </c>
      <c r="J393" s="160" t="s">
        <v>76</v>
      </c>
      <c r="K393" s="160">
        <f>IF(LeagueInfo!$F$7="Yahoo",IFERROR(INDEX(DefaultAuctionValues!$B$2:$B$1000,MATCH(A393,DefaultAuctionValues!$A$2:$A$1000,0)),0),IF(LeagueInfo!$F$7="ESPN",IFERROR(INDEX(DefaultAuctionValues!$C$2:$C$1000,MATCH(A393,DefaultAuctionValues!$A$2:$A$1000,0)),0),IF(LeagueInfo!$F$7="Custom",IFERROR(INDEX(DefaultAuctionValues!$D$2:$D$1000,MATCH(A393,DefaultAuctionValues!$A$2:$A$1000,0)),0))))</f>
        <v>0</v>
      </c>
      <c r="L393" s="160">
        <f ca="1">I393-K393</f>
        <v>-11.965102383218374</v>
      </c>
      <c r="M393" s="175"/>
      <c r="N393" s="170">
        <f ca="1">INDEX(INDIRECT(""&amp;$B393&amp;"!Z2:Z628"),MATCH($A393,INDIRECT(""&amp;$B393&amp;"!B2:B628"),0))</f>
        <v>-32.995000000000005</v>
      </c>
      <c r="O393" s="158" t="str">
        <f ca="1">IF(INDEX(INDIRECT(""&amp;$B393&amp;"!W2:W628"),MATCH($A393,INDIRECT(""&amp;$B393&amp;"!B2:B628"),0))=0,"",INDEX(INDIRECT(""&amp;$B393&amp;"!W2:W628"),MATCH($A393,INDIRECT(""&amp;$B393&amp;"!B2:B628"),0)))</f>
        <v/>
      </c>
    </row>
    <row r="394" spans="1:15" x14ac:dyDescent="0.25">
      <c r="A394" s="158" t="s">
        <v>594</v>
      </c>
      <c r="B394" s="158" t="s">
        <v>43</v>
      </c>
      <c r="C394" s="158">
        <f ca="1">IFERROR(INDEX(BYEs!$B$2:$B$33,MATCH(D394,BYEs!$A$2:$A$33,0)),"N/A")</f>
        <v>11</v>
      </c>
      <c r="D394" s="219" t="str">
        <f ca="1">INDEX(INDIRECT(""&amp;B394&amp;"!F2:F628"),MATCH(A394,INDIRECT(""&amp;B394&amp;"!B2:B628"),0))</f>
        <v>SEA</v>
      </c>
      <c r="E394" s="218" t="str">
        <f ca="1">INDEX(INDIRECT(""&amp;$B394&amp;"!AA2:AA628"),MATCH($A394,INDIRECT(""&amp;$B394&amp;"!B2:B628"),0))</f>
        <v>TE11</v>
      </c>
      <c r="F394" s="159">
        <f ca="1">IF(LeagueInfo!$H$7="Starter/Bench",INDEX(INDIRECT(""&amp;B394&amp;"!T2:T628"),MATCH(A394,INDIRECT(""&amp;B394&amp;"!B2:B628"),0)),INDEX(INDIRECT(""&amp;B394&amp;"!AB2:AB628"),MATCH(A394,INDIRECT(""&amp;B394&amp;"!B2:B628"),0)))</f>
        <v>-12.001365763679713</v>
      </c>
      <c r="G394" s="160">
        <f>IF(H394&gt;0,F394-H394,0)</f>
        <v>0</v>
      </c>
      <c r="H394" s="161"/>
      <c r="I394" s="160">
        <f ca="1">F394*$A$2</f>
        <v>-12.001365763679713</v>
      </c>
      <c r="J394" s="160" t="s">
        <v>76</v>
      </c>
      <c r="K394" s="160">
        <f>IF(LeagueInfo!$F$7="Yahoo",IFERROR(INDEX(DefaultAuctionValues!$B$2:$B$1000,MATCH(A394,DefaultAuctionValues!$A$2:$A$1000,0)),0),IF(LeagueInfo!$F$7="ESPN",IFERROR(INDEX(DefaultAuctionValues!$C$2:$C$1000,MATCH(A394,DefaultAuctionValues!$A$2:$A$1000,0)),0),IF(LeagueInfo!$F$7="Custom",IFERROR(INDEX(DefaultAuctionValues!$D$2:$D$1000,MATCH(A394,DefaultAuctionValues!$A$2:$A$1000,0)),0))))</f>
        <v>0</v>
      </c>
      <c r="L394" s="160">
        <f ca="1">I394-K394</f>
        <v>-12.001365763679713</v>
      </c>
      <c r="M394" s="175"/>
      <c r="N394" s="170">
        <f ca="1">INDEX(INDIRECT(""&amp;$B394&amp;"!Z2:Z628"),MATCH($A394,INDIRECT(""&amp;$B394&amp;"!B2:B628"),0))</f>
        <v>-33.095000000000006</v>
      </c>
      <c r="O394" s="158" t="str">
        <f ca="1">IF(INDEX(INDIRECT(""&amp;$B394&amp;"!W2:W628"),MATCH($A394,INDIRECT(""&amp;$B394&amp;"!B2:B628"),0))=0,"",INDEX(INDIRECT(""&amp;$B394&amp;"!W2:W628"),MATCH($A394,INDIRECT(""&amp;$B394&amp;"!B2:B628"),0)))</f>
        <v/>
      </c>
    </row>
    <row r="395" spans="1:15" x14ac:dyDescent="0.25">
      <c r="A395" s="158" t="s">
        <v>910</v>
      </c>
      <c r="B395" s="158" t="s">
        <v>28</v>
      </c>
      <c r="C395" s="158">
        <f ca="1">IFERROR(INDEX(BYEs!$B$2:$B$33,MATCH(D395,BYEs!$A$2:$A$33,0)),"N/A")</f>
        <v>9</v>
      </c>
      <c r="D395" s="219" t="str">
        <f ca="1">INDEX(INDIRECT(""&amp;B395&amp;"!F2:F628"),MATCH(A395,INDIRECT(""&amp;B395&amp;"!B2:B628"),0))</f>
        <v>DAL</v>
      </c>
      <c r="E395" s="218" t="str">
        <f ca="1">INDEX(INDIRECT(""&amp;$B395&amp;"!AA2:AA628"),MATCH($A395,INDIRECT(""&amp;$B395&amp;"!B2:B628"),0))</f>
        <v>RB10</v>
      </c>
      <c r="F395" s="159">
        <f ca="1">IF(LeagueInfo!$H$7="Starter/Bench",INDEX(INDIRECT(""&amp;B395&amp;"!T2:T628"),MATCH(A395,INDIRECT(""&amp;B395&amp;"!B2:B628"),0)),INDEX(INDIRECT(""&amp;B395&amp;"!AB2:AB628"),MATCH(A395,INDIRECT(""&amp;B395&amp;"!B2:B628"),0)))</f>
        <v>-12.081145200694655</v>
      </c>
      <c r="G395" s="160">
        <f>IF(H395&gt;0,F395-H395,0)</f>
        <v>0</v>
      </c>
      <c r="H395" s="161"/>
      <c r="I395" s="160">
        <f ca="1">F395*$A$2</f>
        <v>-12.081145200694655</v>
      </c>
      <c r="J395" s="160" t="s">
        <v>76</v>
      </c>
      <c r="K395" s="160">
        <f>IF(LeagueInfo!$F$7="Yahoo",IFERROR(INDEX(DefaultAuctionValues!$B$2:$B$1000,MATCH(A395,DefaultAuctionValues!$A$2:$A$1000,0)),0),IF(LeagueInfo!$F$7="ESPN",IFERROR(INDEX(DefaultAuctionValues!$C$2:$C$1000,MATCH(A395,DefaultAuctionValues!$A$2:$A$1000,0)),0),IF(LeagueInfo!$F$7="Custom",IFERROR(INDEX(DefaultAuctionValues!$D$2:$D$1000,MATCH(A395,DefaultAuctionValues!$A$2:$A$1000,0)),0))))</f>
        <v>0</v>
      </c>
      <c r="L395" s="160">
        <f ca="1">I395-K395</f>
        <v>-12.081145200694655</v>
      </c>
      <c r="M395" s="175"/>
      <c r="N395" s="170">
        <f ca="1">INDEX(INDIRECT(""&amp;$B395&amp;"!Z2:Z628"),MATCH($A395,INDIRECT(""&amp;$B395&amp;"!B2:B628"),0))</f>
        <v>-33.315000000000005</v>
      </c>
      <c r="O395" s="158" t="str">
        <f ca="1">IF(INDEX(INDIRECT(""&amp;$B395&amp;"!W2:W628"),MATCH($A395,INDIRECT(""&amp;$B395&amp;"!B2:B628"),0))=0,"",INDEX(INDIRECT(""&amp;$B395&amp;"!W2:W628"),MATCH($A395,INDIRECT(""&amp;$B395&amp;"!B2:B628"),0)))</f>
        <v/>
      </c>
    </row>
    <row r="396" spans="1:15" x14ac:dyDescent="0.25">
      <c r="A396" s="158" t="s">
        <v>864</v>
      </c>
      <c r="B396" s="158" t="s">
        <v>35</v>
      </c>
      <c r="C396" s="158">
        <f ca="1">IFERROR(INDEX(BYEs!$B$2:$B$33,MATCH(D396,BYEs!$A$2:$A$33,0)),"N/A")</f>
        <v>8</v>
      </c>
      <c r="D396" s="219" t="str">
        <f ca="1">INDEX(INDIRECT(""&amp;B396&amp;"!F2:F628"),MATCH(A396,INDIRECT(""&amp;B396&amp;"!B2:B628"),0))</f>
        <v>LAC</v>
      </c>
      <c r="E396" s="218" t="str">
        <f ca="1">INDEX(INDIRECT(""&amp;$B396&amp;"!AA2:AA628"),MATCH($A396,INDIRECT(""&amp;$B396&amp;"!B2:B628"),0))</f>
        <v>WR10</v>
      </c>
      <c r="F396" s="159">
        <f ca="1">IF(LeagueInfo!$H$7="Starter/Bench",INDEX(INDIRECT(""&amp;B396&amp;"!T2:T628"),MATCH(A396,INDIRECT(""&amp;B396&amp;"!B2:B628"),0)),INDEX(INDIRECT(""&amp;B396&amp;"!AB2:AB628"),MATCH(A396,INDIRECT(""&amp;B396&amp;"!B2:B628"),0)))</f>
        <v>-12.082958369717717</v>
      </c>
      <c r="G396" s="160">
        <f>IF(H396&gt;0,F396-H396,0)</f>
        <v>0</v>
      </c>
      <c r="H396" s="161"/>
      <c r="I396" s="160">
        <f ca="1">F396*$A$2</f>
        <v>-12.082958369717717</v>
      </c>
      <c r="J396" s="160" t="s">
        <v>76</v>
      </c>
      <c r="K396" s="160">
        <f>IF(LeagueInfo!$F$7="Yahoo",IFERROR(INDEX(DefaultAuctionValues!$B$2:$B$1000,MATCH(A396,DefaultAuctionValues!$A$2:$A$1000,0)),0),IF(LeagueInfo!$F$7="ESPN",IFERROR(INDEX(DefaultAuctionValues!$C$2:$C$1000,MATCH(A396,DefaultAuctionValues!$A$2:$A$1000,0)),0),IF(LeagueInfo!$F$7="Custom",IFERROR(INDEX(DefaultAuctionValues!$D$2:$D$1000,MATCH(A396,DefaultAuctionValues!$A$2:$A$1000,0)),0))))</f>
        <v>0</v>
      </c>
      <c r="L396" s="160">
        <f ca="1">I396-K396</f>
        <v>-12.082958369717717</v>
      </c>
      <c r="M396" s="175"/>
      <c r="N396" s="170">
        <f ca="1">INDEX(INDIRECT(""&amp;$B396&amp;"!Z2:Z628"),MATCH($A396,INDIRECT(""&amp;$B396&amp;"!B2:B628"),0))</f>
        <v>-33.319999999999993</v>
      </c>
      <c r="O396" s="158" t="str">
        <f ca="1">IF(INDEX(INDIRECT(""&amp;$B396&amp;"!W2:W628"),MATCH($A396,INDIRECT(""&amp;$B396&amp;"!B2:B628"),0))=0,"",INDEX(INDIRECT(""&amp;$B396&amp;"!W2:W628"),MATCH($A396,INDIRECT(""&amp;$B396&amp;"!B2:B628"),0)))</f>
        <v/>
      </c>
    </row>
    <row r="397" spans="1:15" x14ac:dyDescent="0.25">
      <c r="A397" s="158" t="s">
        <v>900</v>
      </c>
      <c r="B397" s="158" t="s">
        <v>28</v>
      </c>
      <c r="C397" s="158">
        <f ca="1">IFERROR(INDEX(BYEs!$B$2:$B$33,MATCH(D397,BYEs!$A$2:$A$33,0)),"N/A")</f>
        <v>7</v>
      </c>
      <c r="D397" s="219" t="str">
        <f ca="1">INDEX(INDIRECT(""&amp;B397&amp;"!F2:F628"),MATCH(A397,INDIRECT(""&amp;B397&amp;"!B2:B628"),0))</f>
        <v>MIN</v>
      </c>
      <c r="E397" s="218" t="str">
        <f ca="1">INDEX(INDIRECT(""&amp;$B397&amp;"!AA2:AA628"),MATCH($A397,INDIRECT(""&amp;$B397&amp;"!B2:B628"),0))</f>
        <v>RB10</v>
      </c>
      <c r="F397" s="159">
        <f ca="1">IF(LeagueInfo!$H$7="Starter/Bench",INDEX(INDIRECT(""&amp;B397&amp;"!T2:T628"),MATCH(A397,INDIRECT(""&amp;B397&amp;"!B2:B628"),0)),INDEX(INDIRECT(""&amp;B397&amp;"!AB2:AB628"),MATCH(A397,INDIRECT(""&amp;B397&amp;"!B2:B628"),0)))</f>
        <v>-12.097463721902258</v>
      </c>
      <c r="G397" s="160">
        <f>IF(H397&gt;0,F397-H397,0)</f>
        <v>0</v>
      </c>
      <c r="H397" s="161"/>
      <c r="I397" s="160">
        <f ca="1">F397*$A$2</f>
        <v>-12.097463721902258</v>
      </c>
      <c r="J397" s="160" t="s">
        <v>76</v>
      </c>
      <c r="K397" s="160">
        <f>IF(LeagueInfo!$F$7="Yahoo",IFERROR(INDEX(DefaultAuctionValues!$B$2:$B$1000,MATCH(A397,DefaultAuctionValues!$A$2:$A$1000,0)),0),IF(LeagueInfo!$F$7="ESPN",IFERROR(INDEX(DefaultAuctionValues!$C$2:$C$1000,MATCH(A397,DefaultAuctionValues!$A$2:$A$1000,0)),0),IF(LeagueInfo!$F$7="Custom",IFERROR(INDEX(DefaultAuctionValues!$D$2:$D$1000,MATCH(A397,DefaultAuctionValues!$A$2:$A$1000,0)),0))))</f>
        <v>0</v>
      </c>
      <c r="L397" s="160">
        <f ca="1">I397-K397</f>
        <v>-12.097463721902258</v>
      </c>
      <c r="M397" s="175"/>
      <c r="N397" s="170">
        <f ca="1">INDEX(INDIRECT(""&amp;$B397&amp;"!Z2:Z628"),MATCH($A397,INDIRECT(""&amp;$B397&amp;"!B2:B628"),0))</f>
        <v>-33.360000000000007</v>
      </c>
      <c r="O397" s="158" t="str">
        <f ca="1">IF(INDEX(INDIRECT(""&amp;$B397&amp;"!W2:W628"),MATCH($A397,INDIRECT(""&amp;$B397&amp;"!B2:B628"),0))=0,"",INDEX(INDIRECT(""&amp;$B397&amp;"!W2:W628"),MATCH($A397,INDIRECT(""&amp;$B397&amp;"!B2:B628"),0)))</f>
        <v/>
      </c>
    </row>
    <row r="398" spans="1:15" x14ac:dyDescent="0.25">
      <c r="A398" s="158" t="s">
        <v>2476</v>
      </c>
      <c r="B398" s="158" t="s">
        <v>43</v>
      </c>
      <c r="C398" s="158">
        <f ca="1">IFERROR(INDEX(BYEs!$B$2:$B$33,MATCH(D398,BYEs!$A$2:$A$33,0)),"N/A")</f>
        <v>9</v>
      </c>
      <c r="D398" s="219" t="str">
        <f ca="1">INDEX(INDIRECT(""&amp;B398&amp;"!F2:F628"),MATCH(A398,INDIRECT(""&amp;B398&amp;"!B2:B628"),0))</f>
        <v>DEN</v>
      </c>
      <c r="E398" s="218" t="str">
        <f ca="1">INDEX(INDIRECT(""&amp;$B398&amp;"!AA2:AA628"),MATCH($A398,INDIRECT(""&amp;$B398&amp;"!B2:B628"),0))</f>
        <v>TE11</v>
      </c>
      <c r="F398" s="159">
        <f ca="1">IF(LeagueInfo!$H$7="Starter/Bench",INDEX(INDIRECT(""&amp;B398&amp;"!T2:T628"),MATCH(A398,INDIRECT(""&amp;B398&amp;"!B2:B628"),0)),INDEX(INDIRECT(""&amp;B398&amp;"!AB2:AB628"),MATCH(A398,INDIRECT(""&amp;B398&amp;"!B2:B628"),0)))</f>
        <v>-12.097463721902258</v>
      </c>
      <c r="G398" s="160">
        <f>IF(H398&gt;0,F398-H398,0)</f>
        <v>0</v>
      </c>
      <c r="H398" s="161"/>
      <c r="I398" s="160">
        <f ca="1">F398*$A$2</f>
        <v>-12.097463721902258</v>
      </c>
      <c r="J398" s="160" t="s">
        <v>76</v>
      </c>
      <c r="K398" s="160">
        <f>IF(LeagueInfo!$F$7="Yahoo",IFERROR(INDEX(DefaultAuctionValues!$B$2:$B$1000,MATCH(A398,DefaultAuctionValues!$A$2:$A$1000,0)),0),IF(LeagueInfo!$F$7="ESPN",IFERROR(INDEX(DefaultAuctionValues!$C$2:$C$1000,MATCH(A398,DefaultAuctionValues!$A$2:$A$1000,0)),0),IF(LeagueInfo!$F$7="Custom",IFERROR(INDEX(DefaultAuctionValues!$D$2:$D$1000,MATCH(A398,DefaultAuctionValues!$A$2:$A$1000,0)),0))))</f>
        <v>0</v>
      </c>
      <c r="L398" s="160">
        <f ca="1">I398-K398</f>
        <v>-12.097463721902258</v>
      </c>
      <c r="M398" s="175"/>
      <c r="N398" s="170">
        <f ca="1">INDEX(INDIRECT(""&amp;$B398&amp;"!Z2:Z628"),MATCH($A398,INDIRECT(""&amp;$B398&amp;"!B2:B628"),0))</f>
        <v>-33.360000000000007</v>
      </c>
      <c r="O398" s="158" t="str">
        <f ca="1">IF(INDEX(INDIRECT(""&amp;$B398&amp;"!W2:W628"),MATCH($A398,INDIRECT(""&amp;$B398&amp;"!B2:B628"),0))=0,"",INDEX(INDIRECT(""&amp;$B398&amp;"!W2:W628"),MATCH($A398,INDIRECT(""&amp;$B398&amp;"!B2:B628"),0)))</f>
        <v/>
      </c>
    </row>
    <row r="399" spans="1:15" x14ac:dyDescent="0.25">
      <c r="A399" s="158" t="s">
        <v>354</v>
      </c>
      <c r="B399" s="158" t="s">
        <v>28</v>
      </c>
      <c r="C399" s="158">
        <f ca="1">IFERROR(INDEX(BYEs!$B$2:$B$33,MATCH(D399,BYEs!$A$2:$A$33,0)),"N/A")</f>
        <v>14</v>
      </c>
      <c r="D399" s="219" t="str">
        <f ca="1">INDEX(INDIRECT(""&amp;B399&amp;"!F2:F628"),MATCH(A399,INDIRECT(""&amp;B399&amp;"!B2:B628"),0))</f>
        <v>ATL</v>
      </c>
      <c r="E399" s="218" t="str">
        <f ca="1">INDEX(INDIRECT(""&amp;$B399&amp;"!AA2:AA628"),MATCH($A399,INDIRECT(""&amp;$B399&amp;"!B2:B628"),0))</f>
        <v>RB10</v>
      </c>
      <c r="F399" s="159">
        <f ca="1">IF(LeagueInfo!$H$7="Starter/Bench",INDEX(INDIRECT(""&amp;B399&amp;"!T2:T628"),MATCH(A399,INDIRECT(""&amp;B399&amp;"!B2:B628"),0)),INDEX(INDIRECT(""&amp;B399&amp;"!AB2:AB628"),MATCH(A399,INDIRECT(""&amp;B399&amp;"!B2:B628"),0)))</f>
        <v>-12.110155905063724</v>
      </c>
      <c r="G399" s="160">
        <f>IF(H399&gt;0,F399-H399,0)</f>
        <v>0</v>
      </c>
      <c r="H399" s="161"/>
      <c r="I399" s="160">
        <f ca="1">F399*$A$2</f>
        <v>-12.110155905063724</v>
      </c>
      <c r="J399" s="160" t="s">
        <v>76</v>
      </c>
      <c r="K399" s="160">
        <f>IF(LeagueInfo!$F$7="Yahoo",IFERROR(INDEX(DefaultAuctionValues!$B$2:$B$1000,MATCH(A399,DefaultAuctionValues!$A$2:$A$1000,0)),0),IF(LeagueInfo!$F$7="ESPN",IFERROR(INDEX(DefaultAuctionValues!$C$2:$C$1000,MATCH(A399,DefaultAuctionValues!$A$2:$A$1000,0)),0),IF(LeagueInfo!$F$7="Custom",IFERROR(INDEX(DefaultAuctionValues!$D$2:$D$1000,MATCH(A399,DefaultAuctionValues!$A$2:$A$1000,0)),0))))</f>
        <v>0</v>
      </c>
      <c r="L399" s="160">
        <f ca="1">I399-K399</f>
        <v>-12.110155905063724</v>
      </c>
      <c r="M399" s="175"/>
      <c r="N399" s="170">
        <f ca="1">INDEX(INDIRECT(""&amp;$B399&amp;"!Z2:Z628"),MATCH($A399,INDIRECT(""&amp;$B399&amp;"!B2:B628"),0))</f>
        <v>-33.395000000000003</v>
      </c>
      <c r="O399" s="158" t="str">
        <f ca="1">IF(INDEX(INDIRECT(""&amp;$B399&amp;"!W2:W628"),MATCH($A399,INDIRECT(""&amp;$B399&amp;"!B2:B628"),0))=0,"",INDEX(INDIRECT(""&amp;$B399&amp;"!W2:W628"),MATCH($A399,INDIRECT(""&amp;$B399&amp;"!B2:B628"),0)))</f>
        <v/>
      </c>
    </row>
    <row r="400" spans="1:15" x14ac:dyDescent="0.25">
      <c r="A400" s="158" t="s">
        <v>684</v>
      </c>
      <c r="B400" s="158" t="s">
        <v>28</v>
      </c>
      <c r="C400" s="158">
        <f ca="1">IFERROR(INDEX(BYEs!$B$2:$B$33,MATCH(D400,BYEs!$A$2:$A$33,0)),"N/A")</f>
        <v>10</v>
      </c>
      <c r="D400" s="219" t="str">
        <f ca="1">INDEX(INDIRECT(""&amp;B400&amp;"!F2:F628"),MATCH(A400,INDIRECT(""&amp;B400&amp;"!B2:B628"),0))</f>
        <v>CIN</v>
      </c>
      <c r="E400" s="218" t="str">
        <f ca="1">INDEX(INDIRECT(""&amp;$B400&amp;"!AA2:AA628"),MATCH($A400,INDIRECT(""&amp;$B400&amp;"!B2:B628"),0))</f>
        <v>RB10</v>
      </c>
      <c r="F400" s="159">
        <f ca="1">IF(LeagueInfo!$H$7="Starter/Bench",INDEX(INDIRECT(""&amp;B400&amp;"!T2:T628"),MATCH(A400,INDIRECT(""&amp;B400&amp;"!B2:B628"),0)),INDEX(INDIRECT(""&amp;B400&amp;"!AB2:AB628"),MATCH(A400,INDIRECT(""&amp;B400&amp;"!B2:B628"),0)))</f>
        <v>-12.200814356217071</v>
      </c>
      <c r="G400" s="160">
        <f>IF(H400&gt;0,F400-H400,0)</f>
        <v>0</v>
      </c>
      <c r="H400" s="161"/>
      <c r="I400" s="160">
        <f ca="1">F400*$A$2</f>
        <v>-12.200814356217071</v>
      </c>
      <c r="J400" s="160" t="s">
        <v>76</v>
      </c>
      <c r="K400" s="160">
        <f>IF(LeagueInfo!$F$7="Yahoo",IFERROR(INDEX(DefaultAuctionValues!$B$2:$B$1000,MATCH(A400,DefaultAuctionValues!$A$2:$A$1000,0)),0),IF(LeagueInfo!$F$7="ESPN",IFERROR(INDEX(DefaultAuctionValues!$C$2:$C$1000,MATCH(A400,DefaultAuctionValues!$A$2:$A$1000,0)),0),IF(LeagueInfo!$F$7="Custom",IFERROR(INDEX(DefaultAuctionValues!$D$2:$D$1000,MATCH(A400,DefaultAuctionValues!$A$2:$A$1000,0)),0))))</f>
        <v>0</v>
      </c>
      <c r="L400" s="160">
        <f ca="1">I400-K400</f>
        <v>-12.200814356217071</v>
      </c>
      <c r="M400" s="175"/>
      <c r="N400" s="170">
        <f ca="1">INDEX(INDIRECT(""&amp;$B400&amp;"!Z2:Z628"),MATCH($A400,INDIRECT(""&amp;$B400&amp;"!B2:B628"),0))</f>
        <v>-33.64500000000001</v>
      </c>
      <c r="O400" s="158" t="str">
        <f ca="1">IF(INDEX(INDIRECT(""&amp;$B400&amp;"!W2:W628"),MATCH($A400,INDIRECT(""&amp;$B400&amp;"!B2:B628"),0))=0,"",INDEX(INDIRECT(""&amp;$B400&amp;"!W2:W628"),MATCH($A400,INDIRECT(""&amp;$B400&amp;"!B2:B628"),0)))</f>
        <v/>
      </c>
    </row>
    <row r="401" spans="1:15" x14ac:dyDescent="0.25">
      <c r="A401" s="158" t="s">
        <v>981</v>
      </c>
      <c r="B401" s="158" t="s">
        <v>43</v>
      </c>
      <c r="C401" s="158">
        <f ca="1">IFERROR(INDEX(BYEs!$B$2:$B$33,MATCH(D401,BYEs!$A$2:$A$33,0)),"N/A")</f>
        <v>14</v>
      </c>
      <c r="D401" s="219" t="str">
        <f ca="1">INDEX(INDIRECT(""&amp;B401&amp;"!F2:F628"),MATCH(A401,INDIRECT(""&amp;B401&amp;"!B2:B628"),0))</f>
        <v>WAS</v>
      </c>
      <c r="E401" s="218" t="str">
        <f ca="1">INDEX(INDIRECT(""&amp;$B401&amp;"!AA2:AA628"),MATCH($A401,INDIRECT(""&amp;$B401&amp;"!B2:B628"),0))</f>
        <v>TE11</v>
      </c>
      <c r="F401" s="159">
        <f ca="1">IF(LeagueInfo!$H$7="Starter/Bench",INDEX(INDIRECT(""&amp;B401&amp;"!T2:T628"),MATCH(A401,INDIRECT(""&amp;B401&amp;"!B2:B628"),0)),INDEX(INDIRECT(""&amp;B401&amp;"!AB2:AB628"),MATCH(A401,INDIRECT(""&amp;B401&amp;"!B2:B628"),0)))</f>
        <v>-12.373065413408424</v>
      </c>
      <c r="G401" s="160">
        <f>IF(H401&gt;0,F401-H401,0)</f>
        <v>0</v>
      </c>
      <c r="H401" s="161"/>
      <c r="I401" s="160">
        <f ca="1">F401*$A$2</f>
        <v>-12.373065413408424</v>
      </c>
      <c r="J401" s="160" t="s">
        <v>76</v>
      </c>
      <c r="K401" s="160">
        <f>IF(LeagueInfo!$F$7="Yahoo",IFERROR(INDEX(DefaultAuctionValues!$B$2:$B$1000,MATCH(A401,DefaultAuctionValues!$A$2:$A$1000,0)),0),IF(LeagueInfo!$F$7="ESPN",IFERROR(INDEX(DefaultAuctionValues!$C$2:$C$1000,MATCH(A401,DefaultAuctionValues!$A$2:$A$1000,0)),0),IF(LeagueInfo!$F$7="Custom",IFERROR(INDEX(DefaultAuctionValues!$D$2:$D$1000,MATCH(A401,DefaultAuctionValues!$A$2:$A$1000,0)),0))))</f>
        <v>0</v>
      </c>
      <c r="L401" s="160">
        <f ca="1">I401-K401</f>
        <v>-12.373065413408424</v>
      </c>
      <c r="M401" s="175"/>
      <c r="N401" s="170">
        <f ca="1">INDEX(INDIRECT(""&amp;$B401&amp;"!Z2:Z628"),MATCH($A401,INDIRECT(""&amp;$B401&amp;"!B2:B628"),0))</f>
        <v>-34.120000000000005</v>
      </c>
      <c r="O401" s="158" t="str">
        <f ca="1">IF(INDEX(INDIRECT(""&amp;$B401&amp;"!W2:W628"),MATCH($A401,INDIRECT(""&amp;$B401&amp;"!B2:B628"),0))=0,"",INDEX(INDIRECT(""&amp;$B401&amp;"!W2:W628"),MATCH($A401,INDIRECT(""&amp;$B401&amp;"!B2:B628"),0)))</f>
        <v/>
      </c>
    </row>
    <row r="402" spans="1:15" x14ac:dyDescent="0.25">
      <c r="A402" s="158" t="s">
        <v>596</v>
      </c>
      <c r="B402" s="158" t="s">
        <v>43</v>
      </c>
      <c r="C402" s="158">
        <f ca="1">IFERROR(INDEX(BYEs!$B$2:$B$33,MATCH(D402,BYEs!$A$2:$A$33,0)),"N/A")</f>
        <v>13</v>
      </c>
      <c r="D402" s="219" t="str">
        <f ca="1">INDEX(INDIRECT(""&amp;B402&amp;"!F2:F628"),MATCH(A402,INDIRECT(""&amp;B402&amp;"!B2:B628"),0))</f>
        <v>CAR</v>
      </c>
      <c r="E402" s="218" t="str">
        <f ca="1">INDEX(INDIRECT(""&amp;$B402&amp;"!AA2:AA628"),MATCH($A402,INDIRECT(""&amp;$B402&amp;"!B2:B628"),0))</f>
        <v>TE11</v>
      </c>
      <c r="F402" s="159">
        <f ca="1">IF(LeagueInfo!$H$7="Starter/Bench",INDEX(INDIRECT(""&amp;B402&amp;"!T2:T628"),MATCH(A402,INDIRECT(""&amp;B402&amp;"!B2:B628"),0)),INDEX(INDIRECT(""&amp;B402&amp;"!AB2:AB628"),MATCH(A402,INDIRECT(""&amp;B402&amp;"!B2:B628"),0)))</f>
        <v>-12.574327174968849</v>
      </c>
      <c r="G402" s="160">
        <f>IF(H402&gt;0,F402-H402,0)</f>
        <v>0</v>
      </c>
      <c r="H402" s="161"/>
      <c r="I402" s="160">
        <f ca="1">F402*$A$2</f>
        <v>-12.574327174968849</v>
      </c>
      <c r="J402" s="160" t="s">
        <v>76</v>
      </c>
      <c r="K402" s="160">
        <f>IF(LeagueInfo!$F$7="Yahoo",IFERROR(INDEX(DefaultAuctionValues!$B$2:$B$1000,MATCH(A402,DefaultAuctionValues!$A$2:$A$1000,0)),0),IF(LeagueInfo!$F$7="ESPN",IFERROR(INDEX(DefaultAuctionValues!$C$2:$C$1000,MATCH(A402,DefaultAuctionValues!$A$2:$A$1000,0)),0),IF(LeagueInfo!$F$7="Custom",IFERROR(INDEX(DefaultAuctionValues!$D$2:$D$1000,MATCH(A402,DefaultAuctionValues!$A$2:$A$1000,0)),0))))</f>
        <v>0</v>
      </c>
      <c r="L402" s="160">
        <f ca="1">I402-K402</f>
        <v>-12.574327174968849</v>
      </c>
      <c r="M402" s="175"/>
      <c r="N402" s="170">
        <f ca="1">INDEX(INDIRECT(""&amp;$B402&amp;"!Z2:Z628"),MATCH($A402,INDIRECT(""&amp;$B402&amp;"!B2:B628"),0))</f>
        <v>-34.675000000000004</v>
      </c>
      <c r="O402" s="158" t="str">
        <f ca="1">IF(INDEX(INDIRECT(""&amp;$B402&amp;"!W2:W628"),MATCH($A402,INDIRECT(""&amp;$B402&amp;"!B2:B628"),0))=0,"",INDEX(INDIRECT(""&amp;$B402&amp;"!W2:W628"),MATCH($A402,INDIRECT(""&amp;$B402&amp;"!B2:B628"),0)))</f>
        <v/>
      </c>
    </row>
    <row r="403" spans="1:15" x14ac:dyDescent="0.25">
      <c r="A403" s="158" t="s">
        <v>309</v>
      </c>
      <c r="B403" s="158" t="s">
        <v>29</v>
      </c>
      <c r="C403" s="158">
        <f ca="1">IFERROR(INDEX(BYEs!$B$2:$B$33,MATCH(D403,BYEs!$A$2:$A$33,0)),"N/A")</f>
        <v>9</v>
      </c>
      <c r="D403" s="219" t="str">
        <f ca="1">INDEX(INDIRECT(""&amp;B403&amp;"!F2:F628"),MATCH(A403,INDIRECT(""&amp;B403&amp;"!B2:B628"),0))</f>
        <v>PIT</v>
      </c>
      <c r="E403" s="218" t="str">
        <f ca="1">INDEX(INDIRECT(""&amp;$B403&amp;"!AA2:AA628"),MATCH($A403,INDIRECT(""&amp;$B403&amp;"!B2:B628"),0))</f>
        <v>QB7</v>
      </c>
      <c r="F403" s="159">
        <f ca="1">IF(LeagueInfo!$H$7="Starter/Bench",INDEX(INDIRECT(""&amp;B403&amp;"!T2:T628"),MATCH(A403,INDIRECT(""&amp;B403&amp;"!B2:B628"),0)),INDEX(INDIRECT(""&amp;B403&amp;"!AB2:AB628"),MATCH(A403,INDIRECT(""&amp;B403&amp;"!B2:B628"),0)))</f>
        <v>-12.605151048360975</v>
      </c>
      <c r="G403" s="160">
        <f>IF(H403&gt;0,F403-H403,0)</f>
        <v>0</v>
      </c>
      <c r="H403" s="161"/>
      <c r="I403" s="160">
        <f ca="1">F403*$A$2</f>
        <v>-12.605151048360975</v>
      </c>
      <c r="J403" s="160" t="s">
        <v>76</v>
      </c>
      <c r="K403" s="160">
        <f>IF(LeagueInfo!$F$7="Yahoo",IFERROR(INDEX(DefaultAuctionValues!$B$2:$B$1000,MATCH(A403,DefaultAuctionValues!$A$2:$A$1000,0)),0),IF(LeagueInfo!$F$7="ESPN",IFERROR(INDEX(DefaultAuctionValues!$C$2:$C$1000,MATCH(A403,DefaultAuctionValues!$A$2:$A$1000,0)),0),IF(LeagueInfo!$F$7="Custom",IFERROR(INDEX(DefaultAuctionValues!$D$2:$D$1000,MATCH(A403,DefaultAuctionValues!$A$2:$A$1000,0)),0))))</f>
        <v>0</v>
      </c>
      <c r="L403" s="160">
        <f ca="1">I403-K403</f>
        <v>-12.605151048360975</v>
      </c>
      <c r="M403" s="175"/>
      <c r="N403" s="170">
        <f ca="1">INDEX(INDIRECT(""&amp;$B403&amp;"!Z2:Z628"),MATCH($A403,INDIRECT(""&amp;$B403&amp;"!B2:B628"),0))</f>
        <v>-34.759999999999977</v>
      </c>
      <c r="O403" s="158" t="str">
        <f ca="1">IF(INDEX(INDIRECT(""&amp;$B403&amp;"!W2:W628"),MATCH($A403,INDIRECT(""&amp;$B403&amp;"!B2:B628"),0))=0,"",INDEX(INDIRECT(""&amp;$B403&amp;"!W2:W628"),MATCH($A403,INDIRECT(""&amp;$B403&amp;"!B2:B628"),0)))</f>
        <v/>
      </c>
    </row>
    <row r="404" spans="1:15" x14ac:dyDescent="0.25">
      <c r="A404" s="158" t="s">
        <v>366</v>
      </c>
      <c r="B404" s="158" t="s">
        <v>35</v>
      </c>
      <c r="C404" s="158">
        <f ca="1">IFERROR(INDEX(BYEs!$B$2:$B$33,MATCH(D404,BYEs!$A$2:$A$33,0)),"N/A")</f>
        <v>6</v>
      </c>
      <c r="D404" s="219" t="str">
        <f ca="1">INDEX(INDIRECT(""&amp;B404&amp;"!F2:F628"),MATCH(A404,INDIRECT(""&amp;B404&amp;"!B2:B628"),0))</f>
        <v>HOU</v>
      </c>
      <c r="E404" s="218" t="str">
        <f ca="1">INDEX(INDIRECT(""&amp;$B404&amp;"!AA2:AA628"),MATCH($A404,INDIRECT(""&amp;$B404&amp;"!B2:B628"),0))</f>
        <v>WR10</v>
      </c>
      <c r="F404" s="159">
        <f ca="1">IF(LeagueInfo!$H$7="Starter/Bench",INDEX(INDIRECT(""&amp;B404&amp;"!T2:T628"),MATCH(A404,INDIRECT(""&amp;B404&amp;"!B2:B628"),0)),INDEX(INDIRECT(""&amp;B404&amp;"!AB2:AB628"),MATCH(A404,INDIRECT(""&amp;B404&amp;"!B2:B628"),0)))</f>
        <v>-12.626909076637784</v>
      </c>
      <c r="G404" s="160">
        <f>IF(H404&gt;0,F404-H404,0)</f>
        <v>0</v>
      </c>
      <c r="H404" s="161"/>
      <c r="I404" s="160">
        <f ca="1">F404*$A$2</f>
        <v>-12.626909076637784</v>
      </c>
      <c r="J404" s="160" t="s">
        <v>76</v>
      </c>
      <c r="K404" s="160">
        <f>IF(LeagueInfo!$F$7="Yahoo",IFERROR(INDEX(DefaultAuctionValues!$B$2:$B$1000,MATCH(A404,DefaultAuctionValues!$A$2:$A$1000,0)),0),IF(LeagueInfo!$F$7="ESPN",IFERROR(INDEX(DefaultAuctionValues!$C$2:$C$1000,MATCH(A404,DefaultAuctionValues!$A$2:$A$1000,0)),0),IF(LeagueInfo!$F$7="Custom",IFERROR(INDEX(DefaultAuctionValues!$D$2:$D$1000,MATCH(A404,DefaultAuctionValues!$A$2:$A$1000,0)),0))))</f>
        <v>0</v>
      </c>
      <c r="L404" s="160">
        <f ca="1">I404-K404</f>
        <v>-12.626909076637784</v>
      </c>
      <c r="M404" s="175"/>
      <c r="N404" s="170">
        <f ca="1">INDEX(INDIRECT(""&amp;$B404&amp;"!Z2:Z628"),MATCH($A404,INDIRECT(""&amp;$B404&amp;"!B2:B628"),0))</f>
        <v>-34.819999999999993</v>
      </c>
      <c r="O404" s="158" t="str">
        <f ca="1">IF(INDEX(INDIRECT(""&amp;$B404&amp;"!W2:W628"),MATCH($A404,INDIRECT(""&amp;$B404&amp;"!B2:B628"),0))=0,"",INDEX(INDIRECT(""&amp;$B404&amp;"!W2:W628"),MATCH($A404,INDIRECT(""&amp;$B404&amp;"!B2:B628"),0)))</f>
        <v/>
      </c>
    </row>
    <row r="405" spans="1:15" x14ac:dyDescent="0.25">
      <c r="A405" s="158" t="s">
        <v>890</v>
      </c>
      <c r="B405" s="158" t="s">
        <v>28</v>
      </c>
      <c r="C405" s="158">
        <f ca="1">IFERROR(INDEX(BYEs!$B$2:$B$33,MATCH(D405,BYEs!$A$2:$A$33,0)),"N/A")</f>
        <v>11</v>
      </c>
      <c r="D405" s="219" t="str">
        <f ca="1">INDEX(INDIRECT(""&amp;B405&amp;"!F2:F628"),MATCH(A405,INDIRECT(""&amp;B405&amp;"!B2:B628"),0))</f>
        <v>MIA</v>
      </c>
      <c r="E405" s="218" t="str">
        <f ca="1">INDEX(INDIRECT(""&amp;$B405&amp;"!AA2:AA628"),MATCH($A405,INDIRECT(""&amp;$B405&amp;"!B2:B628"),0))</f>
        <v>RB10</v>
      </c>
      <c r="F405" s="159">
        <f ca="1">IF(LeagueInfo!$H$7="Starter/Bench",INDEX(INDIRECT(""&amp;B405&amp;"!T2:T628"),MATCH(A405,INDIRECT(""&amp;B405&amp;"!B2:B628"),0)),INDEX(INDIRECT(""&amp;B405&amp;"!AB2:AB628"),MATCH(A405,INDIRECT(""&amp;B405&amp;"!B2:B628"),0)))</f>
        <v>-12.7356992180218</v>
      </c>
      <c r="G405" s="160">
        <f>IF(H405&gt;0,F405-H405,0)</f>
        <v>0</v>
      </c>
      <c r="H405" s="161"/>
      <c r="I405" s="160">
        <f ca="1">F405*$A$2</f>
        <v>-12.7356992180218</v>
      </c>
      <c r="J405" s="160" t="s">
        <v>76</v>
      </c>
      <c r="K405" s="160">
        <f>IF(LeagueInfo!$F$7="Yahoo",IFERROR(INDEX(DefaultAuctionValues!$B$2:$B$1000,MATCH(A405,DefaultAuctionValues!$A$2:$A$1000,0)),0),IF(LeagueInfo!$F$7="ESPN",IFERROR(INDEX(DefaultAuctionValues!$C$2:$C$1000,MATCH(A405,DefaultAuctionValues!$A$2:$A$1000,0)),0),IF(LeagueInfo!$F$7="Custom",IFERROR(INDEX(DefaultAuctionValues!$D$2:$D$1000,MATCH(A405,DefaultAuctionValues!$A$2:$A$1000,0)),0))))</f>
        <v>0</v>
      </c>
      <c r="L405" s="160">
        <f ca="1">I405-K405</f>
        <v>-12.7356992180218</v>
      </c>
      <c r="M405" s="175"/>
      <c r="N405" s="170">
        <f ca="1">INDEX(INDIRECT(""&amp;$B405&amp;"!Z2:Z628"),MATCH($A405,INDIRECT(""&amp;$B405&amp;"!B2:B628"),0))</f>
        <v>-35.120000000000005</v>
      </c>
      <c r="O405" s="158" t="str">
        <f ca="1">IF(INDEX(INDIRECT(""&amp;$B405&amp;"!W2:W628"),MATCH($A405,INDIRECT(""&amp;$B405&amp;"!B2:B628"),0))=0,"",INDEX(INDIRECT(""&amp;$B405&amp;"!W2:W628"),MATCH($A405,INDIRECT(""&amp;$B405&amp;"!B2:B628"),0)))</f>
        <v/>
      </c>
    </row>
    <row r="406" spans="1:15" x14ac:dyDescent="0.25">
      <c r="A406" s="158" t="s">
        <v>421</v>
      </c>
      <c r="B406" s="158" t="s">
        <v>43</v>
      </c>
      <c r="C406" s="158">
        <f ca="1">IFERROR(INDEX(BYEs!$B$2:$B$33,MATCH(D406,BYEs!$A$2:$A$33,0)),"N/A")</f>
        <v>14</v>
      </c>
      <c r="D406" s="219" t="str">
        <f ca="1">INDEX(INDIRECT(""&amp;B406&amp;"!F2:F628"),MATCH(A406,INDIRECT(""&amp;B406&amp;"!B2:B628"),0))</f>
        <v>GB</v>
      </c>
      <c r="E406" s="218" t="str">
        <f ca="1">INDEX(INDIRECT(""&amp;$B406&amp;"!AA2:AA628"),MATCH($A406,INDIRECT(""&amp;$B406&amp;"!B2:B628"),0))</f>
        <v>TE11</v>
      </c>
      <c r="F406" s="159">
        <f ca="1">IF(LeagueInfo!$H$7="Starter/Bench",INDEX(INDIRECT(""&amp;B406&amp;"!T2:T628"),MATCH(A406,INDIRECT(""&amp;B406&amp;"!B2:B628"),0)),INDEX(INDIRECT(""&amp;B406&amp;"!AB2:AB628"),MATCH(A406,INDIRECT(""&amp;B406&amp;"!B2:B628"),0)))</f>
        <v>-12.893444923028621</v>
      </c>
      <c r="G406" s="160">
        <f>IF(H406&gt;0,F406-H406,0)</f>
        <v>0</v>
      </c>
      <c r="H406" s="161"/>
      <c r="I406" s="160">
        <f ca="1">F406*$A$2</f>
        <v>-12.893444923028621</v>
      </c>
      <c r="J406" s="160" t="s">
        <v>76</v>
      </c>
      <c r="K406" s="160">
        <f>IF(LeagueInfo!$F$7="Yahoo",IFERROR(INDEX(DefaultAuctionValues!$B$2:$B$1000,MATCH(A406,DefaultAuctionValues!$A$2:$A$1000,0)),0),IF(LeagueInfo!$F$7="ESPN",IFERROR(INDEX(DefaultAuctionValues!$C$2:$C$1000,MATCH(A406,DefaultAuctionValues!$A$2:$A$1000,0)),0),IF(LeagueInfo!$F$7="Custom",IFERROR(INDEX(DefaultAuctionValues!$D$2:$D$1000,MATCH(A406,DefaultAuctionValues!$A$2:$A$1000,0)),0))))</f>
        <v>0</v>
      </c>
      <c r="L406" s="160">
        <f ca="1">I406-K406</f>
        <v>-12.893444923028621</v>
      </c>
      <c r="M406" s="175"/>
      <c r="N406" s="170">
        <f ca="1">INDEX(INDIRECT(""&amp;$B406&amp;"!Z2:Z628"),MATCH($A406,INDIRECT(""&amp;$B406&amp;"!B2:B628"),0))</f>
        <v>-35.555000000000007</v>
      </c>
      <c r="O406" s="158" t="str">
        <f ca="1">IF(INDEX(INDIRECT(""&amp;$B406&amp;"!W2:W628"),MATCH($A406,INDIRECT(""&amp;$B406&amp;"!B2:B628"),0))=0,"",INDEX(INDIRECT(""&amp;$B406&amp;"!W2:W628"),MATCH($A406,INDIRECT(""&amp;$B406&amp;"!B2:B628"),0)))</f>
        <v/>
      </c>
    </row>
    <row r="407" spans="1:15" x14ac:dyDescent="0.25">
      <c r="A407" s="158" t="s">
        <v>389</v>
      </c>
      <c r="B407" s="158" t="s">
        <v>35</v>
      </c>
      <c r="C407" s="158">
        <f ca="1">IFERROR(INDEX(BYEs!$B$2:$B$33,MATCH(D407,BYEs!$A$2:$A$33,0)),"N/A")</f>
        <v>6</v>
      </c>
      <c r="D407" s="219" t="str">
        <f ca="1">INDEX(INDIRECT(""&amp;B407&amp;"!F2:F628"),MATCH(A407,INDIRECT(""&amp;B407&amp;"!B2:B628"),0))</f>
        <v>DET</v>
      </c>
      <c r="E407" s="218" t="str">
        <f ca="1">INDEX(INDIRECT(""&amp;$B407&amp;"!AA2:AA628"),MATCH($A407,INDIRECT(""&amp;$B407&amp;"!B2:B628"),0))</f>
        <v>WR10</v>
      </c>
      <c r="F407" s="159">
        <f ca="1">IF(LeagueInfo!$H$7="Starter/Bench",INDEX(INDIRECT(""&amp;B407&amp;"!T2:T628"),MATCH(A407,INDIRECT(""&amp;B407&amp;"!B2:B628"),0)),INDEX(INDIRECT(""&amp;B407&amp;"!AB2:AB628"),MATCH(A407,INDIRECT(""&amp;B407&amp;"!B2:B628"),0)))</f>
        <v>-12.917016120328483</v>
      </c>
      <c r="G407" s="160">
        <f>IF(H407&gt;0,F407-H407,0)</f>
        <v>0</v>
      </c>
      <c r="H407" s="161"/>
      <c r="I407" s="160">
        <f ca="1">F407*$A$2</f>
        <v>-12.917016120328483</v>
      </c>
      <c r="J407" s="160" t="s">
        <v>76</v>
      </c>
      <c r="K407" s="160">
        <f>IF(LeagueInfo!$F$7="Yahoo",IFERROR(INDEX(DefaultAuctionValues!$B$2:$B$1000,MATCH(A407,DefaultAuctionValues!$A$2:$A$1000,0)),0),IF(LeagueInfo!$F$7="ESPN",IFERROR(INDEX(DefaultAuctionValues!$C$2:$C$1000,MATCH(A407,DefaultAuctionValues!$A$2:$A$1000,0)),0),IF(LeagueInfo!$F$7="Custom",IFERROR(INDEX(DefaultAuctionValues!$D$2:$D$1000,MATCH(A407,DefaultAuctionValues!$A$2:$A$1000,0)),0))))</f>
        <v>0</v>
      </c>
      <c r="L407" s="160">
        <f ca="1">I407-K407</f>
        <v>-12.917016120328483</v>
      </c>
      <c r="M407" s="175"/>
      <c r="N407" s="170">
        <f ca="1">INDEX(INDIRECT(""&amp;$B407&amp;"!Z2:Z628"),MATCH($A407,INDIRECT(""&amp;$B407&amp;"!B2:B628"),0))</f>
        <v>-35.61999999999999</v>
      </c>
      <c r="O407" s="158" t="str">
        <f ca="1">IF(INDEX(INDIRECT(""&amp;$B407&amp;"!W2:W628"),MATCH($A407,INDIRECT(""&amp;$B407&amp;"!B2:B628"),0))=0,"",INDEX(INDIRECT(""&amp;$B407&amp;"!W2:W628"),MATCH($A407,INDIRECT(""&amp;$B407&amp;"!B2:B628"),0)))</f>
        <v/>
      </c>
    </row>
    <row r="408" spans="1:15" x14ac:dyDescent="0.25">
      <c r="A408" s="158" t="s">
        <v>667</v>
      </c>
      <c r="B408" s="158" t="s">
        <v>28</v>
      </c>
      <c r="C408" s="158">
        <f ca="1">IFERROR(INDEX(BYEs!$B$2:$B$33,MATCH(D408,BYEs!$A$2:$A$33,0)),"N/A")</f>
        <v>10</v>
      </c>
      <c r="D408" s="219" t="str">
        <f ca="1">INDEX(INDIRECT(""&amp;B408&amp;"!F2:F628"),MATCH(A408,INDIRECT(""&amp;B408&amp;"!B2:B628"),0))</f>
        <v>BAL</v>
      </c>
      <c r="E408" s="218" t="str">
        <f ca="1">INDEX(INDIRECT(""&amp;$B408&amp;"!AA2:AA628"),MATCH($A408,INDIRECT(""&amp;$B408&amp;"!B2:B628"),0))</f>
        <v>RB10</v>
      </c>
      <c r="F408" s="159">
        <f ca="1">IF(LeagueInfo!$H$7="Starter/Bench",INDEX(INDIRECT(""&amp;B408&amp;"!T2:T628"),MATCH(A408,INDIRECT(""&amp;B408&amp;"!B2:B628"),0)),INDEX(INDIRECT(""&amp;B408&amp;"!AB2:AB628"),MATCH(A408,INDIRECT(""&amp;B408&amp;"!B2:B628"),0)))</f>
        <v>-12.991356050274231</v>
      </c>
      <c r="G408" s="160">
        <f>IF(H408&gt;0,F408-H408,0)</f>
        <v>0</v>
      </c>
      <c r="H408" s="161"/>
      <c r="I408" s="160">
        <f ca="1">F408*$A$2</f>
        <v>-12.991356050274231</v>
      </c>
      <c r="J408" s="160" t="s">
        <v>76</v>
      </c>
      <c r="K408" s="160">
        <f>IF(LeagueInfo!$F$7="Yahoo",IFERROR(INDEX(DefaultAuctionValues!$B$2:$B$1000,MATCH(A408,DefaultAuctionValues!$A$2:$A$1000,0)),0),IF(LeagueInfo!$F$7="ESPN",IFERROR(INDEX(DefaultAuctionValues!$C$2:$C$1000,MATCH(A408,DefaultAuctionValues!$A$2:$A$1000,0)),0),IF(LeagueInfo!$F$7="Custom",IFERROR(INDEX(DefaultAuctionValues!$D$2:$D$1000,MATCH(A408,DefaultAuctionValues!$A$2:$A$1000,0)),0))))</f>
        <v>0</v>
      </c>
      <c r="L408" s="160">
        <f ca="1">I408-K408</f>
        <v>-12.991356050274231</v>
      </c>
      <c r="M408" s="175"/>
      <c r="N408" s="170">
        <f ca="1">INDEX(INDIRECT(""&amp;$B408&amp;"!Z2:Z628"),MATCH($A408,INDIRECT(""&amp;$B408&amp;"!B2:B628"),0))</f>
        <v>-35.825000000000003</v>
      </c>
      <c r="O408" s="158" t="str">
        <f ca="1">IF(INDEX(INDIRECT(""&amp;$B408&amp;"!W2:W628"),MATCH($A408,INDIRECT(""&amp;$B408&amp;"!B2:B628"),0))=0,"",INDEX(INDIRECT(""&amp;$B408&amp;"!W2:W628"),MATCH($A408,INDIRECT(""&amp;$B408&amp;"!B2:B628"),0)))</f>
        <v/>
      </c>
    </row>
    <row r="409" spans="1:15" x14ac:dyDescent="0.25">
      <c r="A409" s="158" t="s">
        <v>931</v>
      </c>
      <c r="B409" s="158" t="s">
        <v>28</v>
      </c>
      <c r="C409" s="158">
        <f ca="1">IFERROR(INDEX(BYEs!$B$2:$B$33,MATCH(D409,BYEs!$A$2:$A$33,0)),"N/A")</f>
        <v>7</v>
      </c>
      <c r="D409" s="219" t="str">
        <f ca="1">INDEX(INDIRECT(""&amp;B409&amp;"!F2:F628"),MATCH(A409,INDIRECT(""&amp;B409&amp;"!B2:B628"),0))</f>
        <v>LAR</v>
      </c>
      <c r="E409" s="218" t="str">
        <f ca="1">INDEX(INDIRECT(""&amp;$B409&amp;"!AA2:AA628"),MATCH($A409,INDIRECT(""&amp;$B409&amp;"!B2:B628"),0))</f>
        <v>RB10</v>
      </c>
      <c r="F409" s="159">
        <f ca="1">IF(LeagueInfo!$H$7="Starter/Bench",INDEX(INDIRECT(""&amp;B409&amp;"!T2:T628"),MATCH(A409,INDIRECT(""&amp;B409&amp;"!B2:B628"),0)),INDEX(INDIRECT(""&amp;B409&amp;"!AB2:AB628"),MATCH(A409,INDIRECT(""&amp;B409&amp;"!B2:B628"),0)))</f>
        <v>-13.091080346542912</v>
      </c>
      <c r="G409" s="160">
        <f>IF(H409&gt;0,F409-H409,0)</f>
        <v>0</v>
      </c>
      <c r="H409" s="161"/>
      <c r="I409" s="160">
        <f ca="1">F409*$A$2</f>
        <v>-13.091080346542912</v>
      </c>
      <c r="J409" s="160" t="s">
        <v>76</v>
      </c>
      <c r="K409" s="160">
        <f>IF(LeagueInfo!$F$7="Yahoo",IFERROR(INDEX(DefaultAuctionValues!$B$2:$B$1000,MATCH(A409,DefaultAuctionValues!$A$2:$A$1000,0)),0),IF(LeagueInfo!$F$7="ESPN",IFERROR(INDEX(DefaultAuctionValues!$C$2:$C$1000,MATCH(A409,DefaultAuctionValues!$A$2:$A$1000,0)),0),IF(LeagueInfo!$F$7="Custom",IFERROR(INDEX(DefaultAuctionValues!$D$2:$D$1000,MATCH(A409,DefaultAuctionValues!$A$2:$A$1000,0)),0))))</f>
        <v>0</v>
      </c>
      <c r="L409" s="160">
        <f ca="1">I409-K409</f>
        <v>-13.091080346542912</v>
      </c>
      <c r="M409" s="175"/>
      <c r="N409" s="170">
        <f ca="1">INDEX(INDIRECT(""&amp;$B409&amp;"!Z2:Z628"),MATCH($A409,INDIRECT(""&amp;$B409&amp;"!B2:B628"),0))</f>
        <v>-36.100000000000009</v>
      </c>
      <c r="O409" s="158" t="str">
        <f ca="1">IF(INDEX(INDIRECT(""&amp;$B409&amp;"!W2:W628"),MATCH($A409,INDIRECT(""&amp;$B409&amp;"!B2:B628"),0))=0,"",INDEX(INDIRECT(""&amp;$B409&amp;"!W2:W628"),MATCH($A409,INDIRECT(""&amp;$B409&amp;"!B2:B628"),0)))</f>
        <v/>
      </c>
    </row>
    <row r="410" spans="1:15" x14ac:dyDescent="0.25">
      <c r="A410" s="158" t="s">
        <v>321</v>
      </c>
      <c r="B410" s="158" t="s">
        <v>43</v>
      </c>
      <c r="C410" s="158">
        <f ca="1">IFERROR(INDEX(BYEs!$B$2:$B$33,MATCH(D410,BYEs!$A$2:$A$33,0)),"N/A")</f>
        <v>14</v>
      </c>
      <c r="D410" s="219" t="str">
        <f ca="1">INDEX(INDIRECT(""&amp;B410&amp;"!F2:F628"),MATCH(A410,INDIRECT(""&amp;B410&amp;"!B2:B628"),0))</f>
        <v>CHI</v>
      </c>
      <c r="E410" s="218" t="str">
        <f ca="1">INDEX(INDIRECT(""&amp;$B410&amp;"!AA2:AA628"),MATCH($A410,INDIRECT(""&amp;$B410&amp;"!B2:B628"),0))</f>
        <v>TE11</v>
      </c>
      <c r="F410" s="159">
        <f ca="1">IF(LeagueInfo!$H$7="Starter/Bench",INDEX(INDIRECT(""&amp;B410&amp;"!T2:T628"),MATCH(A410,INDIRECT(""&amp;B410&amp;"!B2:B628"),0)),INDEX(INDIRECT(""&amp;B410&amp;"!AB2:AB628"),MATCH(A410,INDIRECT(""&amp;B410&amp;"!B2:B628"),0)))</f>
        <v>-13.092893515565978</v>
      </c>
      <c r="G410" s="160">
        <f>IF(H410&gt;0,F410-H410,0)</f>
        <v>0</v>
      </c>
      <c r="H410" s="161"/>
      <c r="I410" s="160">
        <f ca="1">F410*$A$2</f>
        <v>-13.092893515565978</v>
      </c>
      <c r="J410" s="160" t="s">
        <v>76</v>
      </c>
      <c r="K410" s="160">
        <f>IF(LeagueInfo!$F$7="Yahoo",IFERROR(INDEX(DefaultAuctionValues!$B$2:$B$1000,MATCH(A410,DefaultAuctionValues!$A$2:$A$1000,0)),0),IF(LeagueInfo!$F$7="ESPN",IFERROR(INDEX(DefaultAuctionValues!$C$2:$C$1000,MATCH(A410,DefaultAuctionValues!$A$2:$A$1000,0)),0),IF(LeagueInfo!$F$7="Custom",IFERROR(INDEX(DefaultAuctionValues!$D$2:$D$1000,MATCH(A410,DefaultAuctionValues!$A$2:$A$1000,0)),0))))</f>
        <v>0</v>
      </c>
      <c r="L410" s="160">
        <f ca="1">I410-K410</f>
        <v>-13.092893515565978</v>
      </c>
      <c r="M410" s="175"/>
      <c r="N410" s="170">
        <f ca="1">INDEX(INDIRECT(""&amp;$B410&amp;"!Z2:Z628"),MATCH($A410,INDIRECT(""&amp;$B410&amp;"!B2:B628"),0))</f>
        <v>-36.105000000000004</v>
      </c>
      <c r="O410" s="158" t="str">
        <f ca="1">IF(INDEX(INDIRECT(""&amp;$B410&amp;"!W2:W628"),MATCH($A410,INDIRECT(""&amp;$B410&amp;"!B2:B628"),0))=0,"",INDEX(INDIRECT(""&amp;$B410&amp;"!W2:W628"),MATCH($A410,INDIRECT(""&amp;$B410&amp;"!B2:B628"),0)))</f>
        <v/>
      </c>
    </row>
    <row r="411" spans="1:15" x14ac:dyDescent="0.25">
      <c r="A411" s="158" t="s">
        <v>997</v>
      </c>
      <c r="B411" s="158" t="s">
        <v>43</v>
      </c>
      <c r="C411" s="158">
        <f ca="1">IFERROR(INDEX(BYEs!$B$2:$B$33,MATCH(D411,BYEs!$A$2:$A$33,0)),"N/A")</f>
        <v>9</v>
      </c>
      <c r="D411" s="219" t="str">
        <f ca="1">INDEX(INDIRECT(""&amp;B411&amp;"!F2:F628"),MATCH(A411,INDIRECT(""&amp;B411&amp;"!B2:B628"),0))</f>
        <v>NYG</v>
      </c>
      <c r="E411" s="218" t="str">
        <f ca="1">INDEX(INDIRECT(""&amp;$B411&amp;"!AA2:AA628"),MATCH($A411,INDIRECT(""&amp;$B411&amp;"!B2:B628"),0))</f>
        <v>TE11</v>
      </c>
      <c r="F411" s="159">
        <f ca="1">IF(LeagueInfo!$H$7="Starter/Bench",INDEX(INDIRECT(""&amp;B411&amp;"!T2:T628"),MATCH(A411,INDIRECT(""&amp;B411&amp;"!B2:B628"),0)),INDEX(INDIRECT(""&amp;B411&amp;"!AB2:AB628"),MATCH(A411,INDIRECT(""&amp;B411&amp;"!B2:B628"),0)))</f>
        <v>-13.132783234073448</v>
      </c>
      <c r="G411" s="160">
        <f>IF(H411&gt;0,F411-H411,0)</f>
        <v>0</v>
      </c>
      <c r="H411" s="161"/>
      <c r="I411" s="160">
        <f ca="1">F411*$A$2</f>
        <v>-13.132783234073448</v>
      </c>
      <c r="J411" s="160" t="s">
        <v>76</v>
      </c>
      <c r="K411" s="160">
        <f>IF(LeagueInfo!$F$7="Yahoo",IFERROR(INDEX(DefaultAuctionValues!$B$2:$B$1000,MATCH(A411,DefaultAuctionValues!$A$2:$A$1000,0)),0),IF(LeagueInfo!$F$7="ESPN",IFERROR(INDEX(DefaultAuctionValues!$C$2:$C$1000,MATCH(A411,DefaultAuctionValues!$A$2:$A$1000,0)),0),IF(LeagueInfo!$F$7="Custom",IFERROR(INDEX(DefaultAuctionValues!$D$2:$D$1000,MATCH(A411,DefaultAuctionValues!$A$2:$A$1000,0)),0))))</f>
        <v>0</v>
      </c>
      <c r="L411" s="160">
        <f ca="1">I411-K411</f>
        <v>-13.132783234073448</v>
      </c>
      <c r="M411" s="175"/>
      <c r="N411" s="170">
        <f ca="1">INDEX(INDIRECT(""&amp;$B411&amp;"!Z2:Z628"),MATCH($A411,INDIRECT(""&amp;$B411&amp;"!B2:B628"),0))</f>
        <v>-36.215000000000003</v>
      </c>
      <c r="O411" s="158" t="str">
        <f ca="1">IF(INDEX(INDIRECT(""&amp;$B411&amp;"!W2:W628"),MATCH($A411,INDIRECT(""&amp;$B411&amp;"!B2:B628"),0))=0,"",INDEX(INDIRECT(""&amp;$B411&amp;"!W2:W628"),MATCH($A411,INDIRECT(""&amp;$B411&amp;"!B2:B628"),0)))</f>
        <v/>
      </c>
    </row>
    <row r="412" spans="1:15" x14ac:dyDescent="0.25">
      <c r="A412" s="158" t="s">
        <v>134</v>
      </c>
      <c r="B412" s="158" t="s">
        <v>35</v>
      </c>
      <c r="C412" s="158">
        <f ca="1">IFERROR(INDEX(BYEs!$B$2:$B$33,MATCH(D412,BYEs!$A$2:$A$33,0)),"N/A")</f>
        <v>10</v>
      </c>
      <c r="D412" s="219" t="str">
        <f ca="1">INDEX(INDIRECT(""&amp;B412&amp;"!F2:F628"),MATCH(A412,INDIRECT(""&amp;B412&amp;"!B2:B628"),0))</f>
        <v>NE</v>
      </c>
      <c r="E412" s="218" t="str">
        <f ca="1">INDEX(INDIRECT(""&amp;$B412&amp;"!AA2:AA628"),MATCH($A412,INDIRECT(""&amp;$B412&amp;"!B2:B628"),0))</f>
        <v>WR10</v>
      </c>
      <c r="F412" s="159">
        <f ca="1">IF(LeagueInfo!$H$7="Starter/Bench",INDEX(INDIRECT(""&amp;B412&amp;"!T2:T628"),MATCH(A412,INDIRECT(""&amp;B412&amp;"!B2:B628"),0)),INDEX(INDIRECT(""&amp;B412&amp;"!AB2:AB628"),MATCH(A412,INDIRECT(""&amp;B412&amp;"!B2:B628"),0)))</f>
        <v>-13.172672952580914</v>
      </c>
      <c r="G412" s="160">
        <f>IF(H412&gt;0,F412-H412,0)</f>
        <v>0</v>
      </c>
      <c r="H412" s="161"/>
      <c r="I412" s="160">
        <f ca="1">F412*$A$2</f>
        <v>-13.172672952580914</v>
      </c>
      <c r="J412" s="160" t="s">
        <v>76</v>
      </c>
      <c r="K412" s="160">
        <f>IF(LeagueInfo!$F$7="Yahoo",IFERROR(INDEX(DefaultAuctionValues!$B$2:$B$1000,MATCH(A412,DefaultAuctionValues!$A$2:$A$1000,0)),0),IF(LeagueInfo!$F$7="ESPN",IFERROR(INDEX(DefaultAuctionValues!$C$2:$C$1000,MATCH(A412,DefaultAuctionValues!$A$2:$A$1000,0)),0),IF(LeagueInfo!$F$7="Custom",IFERROR(INDEX(DefaultAuctionValues!$D$2:$D$1000,MATCH(A412,DefaultAuctionValues!$A$2:$A$1000,0)),0))))</f>
        <v>0</v>
      </c>
      <c r="L412" s="160">
        <f ca="1">I412-K412</f>
        <v>-13.172672952580914</v>
      </c>
      <c r="M412" s="175"/>
      <c r="N412" s="170">
        <f ca="1">INDEX(INDIRECT(""&amp;$B412&amp;"!Z2:Z628"),MATCH($A412,INDIRECT(""&amp;$B412&amp;"!B2:B628"),0))</f>
        <v>-36.324999999999989</v>
      </c>
      <c r="O412" s="158" t="str">
        <f ca="1">IF(INDEX(INDIRECT(""&amp;$B412&amp;"!W2:W628"),MATCH($A412,INDIRECT(""&amp;$B412&amp;"!B2:B628"),0))=0,"",INDEX(INDIRECT(""&amp;$B412&amp;"!W2:W628"),MATCH($A412,INDIRECT(""&amp;$B412&amp;"!B2:B628"),0)))</f>
        <v/>
      </c>
    </row>
    <row r="413" spans="1:15" x14ac:dyDescent="0.25">
      <c r="A413" s="158" t="s">
        <v>377</v>
      </c>
      <c r="B413" s="158" t="s">
        <v>35</v>
      </c>
      <c r="C413" s="158">
        <f ca="1">IFERROR(INDEX(BYEs!$B$2:$B$33,MATCH(D413,BYEs!$A$2:$A$33,0)),"N/A")</f>
        <v>10</v>
      </c>
      <c r="D413" s="219" t="str">
        <f ca="1">INDEX(INDIRECT(""&amp;B413&amp;"!F2:F628"),MATCH(A413,INDIRECT(""&amp;B413&amp;"!B2:B628"),0))</f>
        <v>NE</v>
      </c>
      <c r="E413" s="218" t="str">
        <f ca="1">INDEX(INDIRECT(""&amp;$B413&amp;"!AA2:AA628"),MATCH($A413,INDIRECT(""&amp;$B413&amp;"!B2:B628"),0))</f>
        <v>WR10</v>
      </c>
      <c r="F413" s="159">
        <f ca="1">IF(LeagueInfo!$H$7="Starter/Bench",INDEX(INDIRECT(""&amp;B413&amp;"!T2:T628"),MATCH(A413,INDIRECT(""&amp;B413&amp;"!B2:B628"),0)),INDEX(INDIRECT(""&amp;B413&amp;"!AB2:AB628"),MATCH(A413,INDIRECT(""&amp;B413&amp;"!B2:B628"),0)))</f>
        <v>-13.227068023272921</v>
      </c>
      <c r="G413" s="160">
        <f>IF(H413&gt;0,F413-H413,0)</f>
        <v>0</v>
      </c>
      <c r="H413" s="161"/>
      <c r="I413" s="160">
        <f ca="1">F413*$A$2</f>
        <v>-13.227068023272921</v>
      </c>
      <c r="J413" s="160" t="s">
        <v>76</v>
      </c>
      <c r="K413" s="160">
        <f>IF(LeagueInfo!$F$7="Yahoo",IFERROR(INDEX(DefaultAuctionValues!$B$2:$B$1000,MATCH(A413,DefaultAuctionValues!$A$2:$A$1000,0)),0),IF(LeagueInfo!$F$7="ESPN",IFERROR(INDEX(DefaultAuctionValues!$C$2:$C$1000,MATCH(A413,DefaultAuctionValues!$A$2:$A$1000,0)),0),IF(LeagueInfo!$F$7="Custom",IFERROR(INDEX(DefaultAuctionValues!$D$2:$D$1000,MATCH(A413,DefaultAuctionValues!$A$2:$A$1000,0)),0))))</f>
        <v>0</v>
      </c>
      <c r="L413" s="160">
        <f ca="1">I413-K413</f>
        <v>-13.227068023272921</v>
      </c>
      <c r="M413" s="175"/>
      <c r="N413" s="170">
        <f ca="1">INDEX(INDIRECT(""&amp;$B413&amp;"!Z2:Z628"),MATCH($A413,INDIRECT(""&amp;$B413&amp;"!B2:B628"),0))</f>
        <v>-36.474999999999987</v>
      </c>
      <c r="O413" s="158" t="str">
        <f ca="1">IF(INDEX(INDIRECT(""&amp;$B413&amp;"!W2:W628"),MATCH($A413,INDIRECT(""&amp;$B413&amp;"!B2:B628"),0))=0,"",INDEX(INDIRECT(""&amp;$B413&amp;"!W2:W628"),MATCH($A413,INDIRECT(""&amp;$B413&amp;"!B2:B628"),0)))</f>
        <v/>
      </c>
    </row>
    <row r="414" spans="1:15" x14ac:dyDescent="0.25">
      <c r="A414" s="158" t="s">
        <v>996</v>
      </c>
      <c r="B414" s="158" t="s">
        <v>35</v>
      </c>
      <c r="C414" s="158">
        <f ca="1">IFERROR(INDEX(BYEs!$B$2:$B$33,MATCH(D414,BYEs!$A$2:$A$33,0)),"N/A")</f>
        <v>10</v>
      </c>
      <c r="D414" s="219" t="str">
        <f ca="1">INDEX(INDIRECT(""&amp;B414&amp;"!F2:F628"),MATCH(A414,INDIRECT(""&amp;B414&amp;"!B2:B628"),0))</f>
        <v>BAL</v>
      </c>
      <c r="E414" s="218" t="str">
        <f ca="1">INDEX(INDIRECT(""&amp;$B414&amp;"!AA2:AA628"),MATCH($A414,INDIRECT(""&amp;$B414&amp;"!B2:B628"),0))</f>
        <v>WR10</v>
      </c>
      <c r="F414" s="159">
        <f ca="1">IF(LeagueInfo!$H$7="Starter/Bench",INDEX(INDIRECT(""&amp;B414&amp;"!T2:T628"),MATCH(A414,INDIRECT(""&amp;B414&amp;"!B2:B628"),0)),INDEX(INDIRECT(""&amp;B414&amp;"!AB2:AB628"),MATCH(A414,INDIRECT(""&amp;B414&amp;"!B2:B628"),0)))</f>
        <v>-13.435582460925612</v>
      </c>
      <c r="G414" s="160">
        <f>IF(H414&gt;0,F414-H414,0)</f>
        <v>0</v>
      </c>
      <c r="H414" s="161"/>
      <c r="I414" s="160">
        <f ca="1">F414*$A$2</f>
        <v>-13.435582460925612</v>
      </c>
      <c r="J414" s="160" t="s">
        <v>76</v>
      </c>
      <c r="K414" s="160">
        <f>IF(LeagueInfo!$F$7="Yahoo",IFERROR(INDEX(DefaultAuctionValues!$B$2:$B$1000,MATCH(A414,DefaultAuctionValues!$A$2:$A$1000,0)),0),IF(LeagueInfo!$F$7="ESPN",IFERROR(INDEX(DefaultAuctionValues!$C$2:$C$1000,MATCH(A414,DefaultAuctionValues!$A$2:$A$1000,0)),0),IF(LeagueInfo!$F$7="Custom",IFERROR(INDEX(DefaultAuctionValues!$D$2:$D$1000,MATCH(A414,DefaultAuctionValues!$A$2:$A$1000,0)),0))))</f>
        <v>0</v>
      </c>
      <c r="L414" s="160">
        <f ca="1">I414-K414</f>
        <v>-13.435582460925612</v>
      </c>
      <c r="M414" s="175"/>
      <c r="N414" s="170">
        <f ca="1">INDEX(INDIRECT(""&amp;$B414&amp;"!Z2:Z628"),MATCH($A414,INDIRECT(""&amp;$B414&amp;"!B2:B628"),0))</f>
        <v>-37.04999999999999</v>
      </c>
      <c r="O414" s="158" t="str">
        <f ca="1">IF(INDEX(INDIRECT(""&amp;$B414&amp;"!W2:W628"),MATCH($A414,INDIRECT(""&amp;$B414&amp;"!B2:B628"),0))=0,"",INDEX(INDIRECT(""&amp;$B414&amp;"!W2:W628"),MATCH($A414,INDIRECT(""&amp;$B414&amp;"!B2:B628"),0)))</f>
        <v/>
      </c>
    </row>
    <row r="415" spans="1:15" x14ac:dyDescent="0.25">
      <c r="A415" s="158" t="s">
        <v>993</v>
      </c>
      <c r="B415" s="158" t="s">
        <v>43</v>
      </c>
      <c r="C415" s="158">
        <f ca="1">IFERROR(INDEX(BYEs!$B$2:$B$33,MATCH(D415,BYEs!$A$2:$A$33,0)),"N/A")</f>
        <v>7</v>
      </c>
      <c r="D415" s="219" t="str">
        <f ca="1">INDEX(INDIRECT(""&amp;B415&amp;"!F2:F628"),MATCH(A415,INDIRECT(""&amp;B415&amp;"!B2:B628"),0))</f>
        <v>BUF</v>
      </c>
      <c r="E415" s="218" t="str">
        <f ca="1">INDEX(INDIRECT(""&amp;$B415&amp;"!AA2:AA628"),MATCH($A415,INDIRECT(""&amp;$B415&amp;"!B2:B628"),0))</f>
        <v>TE11</v>
      </c>
      <c r="F415" s="159">
        <f ca="1">IF(LeagueInfo!$H$7="Starter/Bench",INDEX(INDIRECT(""&amp;B415&amp;"!T2:T628"),MATCH(A415,INDIRECT(""&amp;B415&amp;"!B2:B628"),0)),INDEX(INDIRECT(""&amp;B415&amp;"!AB2:AB628"),MATCH(A415,INDIRECT(""&amp;B415&amp;"!B2:B628"),0)))</f>
        <v>-13.573383306678702</v>
      </c>
      <c r="G415" s="160">
        <f>IF(H415&gt;0,F415-H415,0)</f>
        <v>0</v>
      </c>
      <c r="H415" s="161"/>
      <c r="I415" s="160">
        <f ca="1">F415*$A$2</f>
        <v>-13.573383306678702</v>
      </c>
      <c r="J415" s="160" t="s">
        <v>76</v>
      </c>
      <c r="K415" s="160">
        <f>IF(LeagueInfo!$F$7="Yahoo",IFERROR(INDEX(DefaultAuctionValues!$B$2:$B$1000,MATCH(A415,DefaultAuctionValues!$A$2:$A$1000,0)),0),IF(LeagueInfo!$F$7="ESPN",IFERROR(INDEX(DefaultAuctionValues!$C$2:$C$1000,MATCH(A415,DefaultAuctionValues!$A$2:$A$1000,0)),0),IF(LeagueInfo!$F$7="Custom",IFERROR(INDEX(DefaultAuctionValues!$D$2:$D$1000,MATCH(A415,DefaultAuctionValues!$A$2:$A$1000,0)),0))))</f>
        <v>0</v>
      </c>
      <c r="L415" s="160">
        <f ca="1">I415-K415</f>
        <v>-13.573383306678702</v>
      </c>
      <c r="M415" s="175"/>
      <c r="N415" s="170">
        <f ca="1">INDEX(INDIRECT(""&amp;$B415&amp;"!Z2:Z628"),MATCH($A415,INDIRECT(""&amp;$B415&amp;"!B2:B628"),0))</f>
        <v>-37.430000000000007</v>
      </c>
      <c r="O415" s="158" t="str">
        <f ca="1">IF(INDEX(INDIRECT(""&amp;$B415&amp;"!W2:W628"),MATCH($A415,INDIRECT(""&amp;$B415&amp;"!B2:B628"),0))=0,"",INDEX(INDIRECT(""&amp;$B415&amp;"!W2:W628"),MATCH($A415,INDIRECT(""&amp;$B415&amp;"!B2:B628"),0)))</f>
        <v/>
      </c>
    </row>
    <row r="416" spans="1:15" x14ac:dyDescent="0.25">
      <c r="A416" s="158" t="s">
        <v>2480</v>
      </c>
      <c r="B416" s="158" t="s">
        <v>43</v>
      </c>
      <c r="C416" s="158">
        <f ca="1">IFERROR(INDEX(BYEs!$B$2:$B$33,MATCH(D416,BYEs!$A$2:$A$33,0)),"N/A")</f>
        <v>9</v>
      </c>
      <c r="D416" s="219" t="str">
        <f ca="1">INDEX(INDIRECT(""&amp;B416&amp;"!F2:F628"),MATCH(A416,INDIRECT(""&amp;B416&amp;"!B2:B628"),0))</f>
        <v>DAL</v>
      </c>
      <c r="E416" s="218" t="str">
        <f ca="1">INDEX(INDIRECT(""&amp;$B416&amp;"!AA2:AA628"),MATCH($A416,INDIRECT(""&amp;$B416&amp;"!B2:B628"),0))</f>
        <v>TE11</v>
      </c>
      <c r="F416" s="159">
        <f ca="1">IF(LeagueInfo!$H$7="Starter/Bench",INDEX(INDIRECT(""&amp;B416&amp;"!T2:T628"),MATCH(A416,INDIRECT(""&amp;B416&amp;"!B2:B628"),0)),INDEX(INDIRECT(""&amp;B416&amp;"!AB2:AB628"),MATCH(A416,INDIRECT(""&amp;B416&amp;"!B2:B628"),0)))</f>
        <v>-13.582449151794036</v>
      </c>
      <c r="G416" s="160">
        <f>IF(H416&gt;0,F416-H416,0)</f>
        <v>0</v>
      </c>
      <c r="H416" s="161"/>
      <c r="I416" s="160">
        <f ca="1">F416*$A$2</f>
        <v>-13.582449151794036</v>
      </c>
      <c r="J416" s="160" t="s">
        <v>76</v>
      </c>
      <c r="K416" s="160">
        <f>IF(LeagueInfo!$F$7="Yahoo",IFERROR(INDEX(DefaultAuctionValues!$B$2:$B$1000,MATCH(A416,DefaultAuctionValues!$A$2:$A$1000,0)),0),IF(LeagueInfo!$F$7="ESPN",IFERROR(INDEX(DefaultAuctionValues!$C$2:$C$1000,MATCH(A416,DefaultAuctionValues!$A$2:$A$1000,0)),0),IF(LeagueInfo!$F$7="Custom",IFERROR(INDEX(DefaultAuctionValues!$D$2:$D$1000,MATCH(A416,DefaultAuctionValues!$A$2:$A$1000,0)),0))))</f>
        <v>0</v>
      </c>
      <c r="L416" s="160">
        <f ca="1">I416-K416</f>
        <v>-13.582449151794036</v>
      </c>
      <c r="M416" s="175"/>
      <c r="N416" s="170">
        <f ca="1">INDEX(INDIRECT(""&amp;$B416&amp;"!Z2:Z628"),MATCH($A416,INDIRECT(""&amp;$B416&amp;"!B2:B628"),0))</f>
        <v>-37.455000000000005</v>
      </c>
      <c r="O416" s="158" t="str">
        <f ca="1">IF(INDEX(INDIRECT(""&amp;$B416&amp;"!W2:W628"),MATCH($A416,INDIRECT(""&amp;$B416&amp;"!B2:B628"),0))=0,"",INDEX(INDIRECT(""&amp;$B416&amp;"!W2:W628"),MATCH($A416,INDIRECT(""&amp;$B416&amp;"!B2:B628"),0)))</f>
        <v/>
      </c>
    </row>
    <row r="417" spans="1:15" x14ac:dyDescent="0.25">
      <c r="A417" s="158" t="s">
        <v>901</v>
      </c>
      <c r="B417" s="158" t="s">
        <v>35</v>
      </c>
      <c r="C417" s="158">
        <f ca="1">IFERROR(INDEX(BYEs!$B$2:$B$33,MATCH(D417,BYEs!$A$2:$A$33,0)),"N/A")</f>
        <v>6</v>
      </c>
      <c r="D417" s="219" t="str">
        <f ca="1">INDEX(INDIRECT(""&amp;B417&amp;"!F2:F628"),MATCH(A417,INDIRECT(""&amp;B417&amp;"!B2:B628"),0))</f>
        <v>HOU</v>
      </c>
      <c r="E417" s="218" t="str">
        <f ca="1">INDEX(INDIRECT(""&amp;$B417&amp;"!AA2:AA628"),MATCH($A417,INDIRECT(""&amp;$B417&amp;"!B2:B628"),0))</f>
        <v>WR10</v>
      </c>
      <c r="F417" s="159">
        <f ca="1">IF(LeagueInfo!$H$7="Starter/Bench",INDEX(INDIRECT(""&amp;B417&amp;"!T2:T628"),MATCH(A417,INDIRECT(""&amp;B417&amp;"!B2:B628"),0)),INDEX(INDIRECT(""&amp;B417&amp;"!AB2:AB628"),MATCH(A417,INDIRECT(""&amp;B417&amp;"!B2:B628"),0)))</f>
        <v>-13.586075489840164</v>
      </c>
      <c r="G417" s="160">
        <f>IF(H417&gt;0,F417-H417,0)</f>
        <v>0</v>
      </c>
      <c r="H417" s="161"/>
      <c r="I417" s="160">
        <f ca="1">F417*$A$2</f>
        <v>-13.586075489840164</v>
      </c>
      <c r="J417" s="160" t="s">
        <v>76</v>
      </c>
      <c r="K417" s="160">
        <f>IF(LeagueInfo!$F$7="Yahoo",IFERROR(INDEX(DefaultAuctionValues!$B$2:$B$1000,MATCH(A417,DefaultAuctionValues!$A$2:$A$1000,0)),0),IF(LeagueInfo!$F$7="ESPN",IFERROR(INDEX(DefaultAuctionValues!$C$2:$C$1000,MATCH(A417,DefaultAuctionValues!$A$2:$A$1000,0)),0),IF(LeagueInfo!$F$7="Custom",IFERROR(INDEX(DefaultAuctionValues!$D$2:$D$1000,MATCH(A417,DefaultAuctionValues!$A$2:$A$1000,0)),0))))</f>
        <v>0</v>
      </c>
      <c r="L417" s="160">
        <f ca="1">I417-K417</f>
        <v>-13.586075489840164</v>
      </c>
      <c r="M417" s="175"/>
      <c r="N417" s="170">
        <f ca="1">INDEX(INDIRECT(""&amp;$B417&amp;"!Z2:Z628"),MATCH($A417,INDIRECT(""&amp;$B417&amp;"!B2:B628"),0))</f>
        <v>-37.464999999999989</v>
      </c>
      <c r="O417" s="158" t="str">
        <f ca="1">IF(INDEX(INDIRECT(""&amp;$B417&amp;"!W2:W628"),MATCH($A417,INDIRECT(""&amp;$B417&amp;"!B2:B628"),0))=0,"",INDEX(INDIRECT(""&amp;$B417&amp;"!W2:W628"),MATCH($A417,INDIRECT(""&amp;$B417&amp;"!B2:B628"),0)))</f>
        <v/>
      </c>
    </row>
    <row r="418" spans="1:15" x14ac:dyDescent="0.25">
      <c r="A418" s="158" t="s">
        <v>959</v>
      </c>
      <c r="B418" s="158" t="s">
        <v>35</v>
      </c>
      <c r="C418" s="158">
        <f ca="1">IFERROR(INDEX(BYEs!$B$2:$B$33,MATCH(D418,BYEs!$A$2:$A$33,0)),"N/A")</f>
        <v>14</v>
      </c>
      <c r="D418" s="219" t="str">
        <f ca="1">INDEX(INDIRECT(""&amp;B418&amp;"!F2:F628"),MATCH(A418,INDIRECT(""&amp;B418&amp;"!B2:B628"),0))</f>
        <v>GB</v>
      </c>
      <c r="E418" s="218" t="str">
        <f ca="1">INDEX(INDIRECT(""&amp;$B418&amp;"!AA2:AA628"),MATCH($A418,INDIRECT(""&amp;$B418&amp;"!B2:B628"),0))</f>
        <v>WR10</v>
      </c>
      <c r="F418" s="159">
        <f ca="1">IF(LeagueInfo!$H$7="Starter/Bench",INDEX(INDIRECT(""&amp;B418&amp;"!T2:T628"),MATCH(A418,INDIRECT(""&amp;B418&amp;"!B2:B628"),0)),INDEX(INDIRECT(""&amp;B418&amp;"!AB2:AB628"),MATCH(A418,INDIRECT(""&amp;B418&amp;"!B2:B628"),0)))</f>
        <v>-13.636844222486037</v>
      </c>
      <c r="G418" s="160">
        <f>IF(H418&gt;0,F418-H418,0)</f>
        <v>0</v>
      </c>
      <c r="H418" s="161"/>
      <c r="I418" s="160">
        <f ca="1">F418*$A$2</f>
        <v>-13.636844222486037</v>
      </c>
      <c r="J418" s="160" t="s">
        <v>76</v>
      </c>
      <c r="K418" s="160">
        <f>IF(LeagueInfo!$F$7="Yahoo",IFERROR(INDEX(DefaultAuctionValues!$B$2:$B$1000,MATCH(A418,DefaultAuctionValues!$A$2:$A$1000,0)),0),IF(LeagueInfo!$F$7="ESPN",IFERROR(INDEX(DefaultAuctionValues!$C$2:$C$1000,MATCH(A418,DefaultAuctionValues!$A$2:$A$1000,0)),0),IF(LeagueInfo!$F$7="Custom",IFERROR(INDEX(DefaultAuctionValues!$D$2:$D$1000,MATCH(A418,DefaultAuctionValues!$A$2:$A$1000,0)),0))))</f>
        <v>0</v>
      </c>
      <c r="L418" s="160">
        <f ca="1">I418-K418</f>
        <v>-13.636844222486037</v>
      </c>
      <c r="M418" s="175"/>
      <c r="N418" s="170">
        <f ca="1">INDEX(INDIRECT(""&amp;$B418&amp;"!Z2:Z628"),MATCH($A418,INDIRECT(""&amp;$B418&amp;"!B2:B628"),0))</f>
        <v>-37.60499999999999</v>
      </c>
      <c r="O418" s="158" t="str">
        <f ca="1">IF(INDEX(INDIRECT(""&amp;$B418&amp;"!W2:W628"),MATCH($A418,INDIRECT(""&amp;$B418&amp;"!B2:B628"),0))=0,"",INDEX(INDIRECT(""&amp;$B418&amp;"!W2:W628"),MATCH($A418,INDIRECT(""&amp;$B418&amp;"!B2:B628"),0)))</f>
        <v/>
      </c>
    </row>
    <row r="419" spans="1:15" x14ac:dyDescent="0.25">
      <c r="A419" s="158" t="s">
        <v>424</v>
      </c>
      <c r="B419" s="158" t="s">
        <v>43</v>
      </c>
      <c r="C419" s="158">
        <f ca="1">IFERROR(INDEX(BYEs!$B$2:$B$33,MATCH(D419,BYEs!$A$2:$A$33,0)),"N/A")</f>
        <v>13</v>
      </c>
      <c r="D419" s="219" t="str">
        <f ca="1">INDEX(INDIRECT(""&amp;B419&amp;"!F2:F628"),MATCH(A419,INDIRECT(""&amp;B419&amp;"!B2:B628"),0))</f>
        <v>ARI</v>
      </c>
      <c r="E419" s="218" t="str">
        <f ca="1">INDEX(INDIRECT(""&amp;$B419&amp;"!AA2:AA628"),MATCH($A419,INDIRECT(""&amp;$B419&amp;"!B2:B628"),0))</f>
        <v>TE11</v>
      </c>
      <c r="F419" s="159">
        <f ca="1">IF(LeagueInfo!$H$7="Starter/Bench",INDEX(INDIRECT(""&amp;B419&amp;"!T2:T628"),MATCH(A419,INDIRECT(""&amp;B419&amp;"!B2:B628"),0)),INDEX(INDIRECT(""&amp;B419&amp;"!AB2:AB628"),MATCH(A419,INDIRECT(""&amp;B419&amp;"!B2:B628"),0)))</f>
        <v>-13.769205561169926</v>
      </c>
      <c r="G419" s="160">
        <f>IF(H419&gt;0,F419-H419,0)</f>
        <v>0</v>
      </c>
      <c r="H419" s="161"/>
      <c r="I419" s="160">
        <f ca="1">F419*$A$2</f>
        <v>-13.769205561169926</v>
      </c>
      <c r="J419" s="160" t="s">
        <v>76</v>
      </c>
      <c r="K419" s="160">
        <f>IF(LeagueInfo!$F$7="Yahoo",IFERROR(INDEX(DefaultAuctionValues!$B$2:$B$1000,MATCH(A419,DefaultAuctionValues!$A$2:$A$1000,0)),0),IF(LeagueInfo!$F$7="ESPN",IFERROR(INDEX(DefaultAuctionValues!$C$2:$C$1000,MATCH(A419,DefaultAuctionValues!$A$2:$A$1000,0)),0),IF(LeagueInfo!$F$7="Custom",IFERROR(INDEX(DefaultAuctionValues!$D$2:$D$1000,MATCH(A419,DefaultAuctionValues!$A$2:$A$1000,0)),0))))</f>
        <v>0</v>
      </c>
      <c r="L419" s="160">
        <f ca="1">I419-K419</f>
        <v>-13.769205561169926</v>
      </c>
      <c r="M419" s="175"/>
      <c r="N419" s="170">
        <f ca="1">INDEX(INDIRECT(""&amp;$B419&amp;"!Z2:Z628"),MATCH($A419,INDIRECT(""&amp;$B419&amp;"!B2:B628"),0))</f>
        <v>-37.970000000000006</v>
      </c>
      <c r="O419" s="158" t="str">
        <f ca="1">IF(INDEX(INDIRECT(""&amp;$B419&amp;"!W2:W628"),MATCH($A419,INDIRECT(""&amp;$B419&amp;"!B2:B628"),0))=0,"",INDEX(INDIRECT(""&amp;$B419&amp;"!W2:W628"),MATCH($A419,INDIRECT(""&amp;$B419&amp;"!B2:B628"),0)))</f>
        <v/>
      </c>
    </row>
    <row r="420" spans="1:15" x14ac:dyDescent="0.25">
      <c r="A420" s="158" t="s">
        <v>2479</v>
      </c>
      <c r="B420" s="158" t="s">
        <v>43</v>
      </c>
      <c r="C420" s="158">
        <f ca="1">IFERROR(INDEX(BYEs!$B$2:$B$33,MATCH(D420,BYEs!$A$2:$A$33,0)),"N/A")</f>
        <v>8</v>
      </c>
      <c r="D420" s="219" t="str">
        <f ca="1">INDEX(INDIRECT(""&amp;B420&amp;"!F2:F628"),MATCH(A420,INDIRECT(""&amp;B420&amp;"!B2:B628"),0))</f>
        <v>KC</v>
      </c>
      <c r="E420" s="218" t="str">
        <f ca="1">INDEX(INDIRECT(""&amp;$B420&amp;"!AA2:AA628"),MATCH($A420,INDIRECT(""&amp;$B420&amp;"!B2:B628"),0))</f>
        <v>TE11</v>
      </c>
      <c r="F420" s="159">
        <f ca="1">IF(LeagueInfo!$H$7="Starter/Bench",INDEX(INDIRECT(""&amp;B420&amp;"!T2:T628"),MATCH(A420,INDIRECT(""&amp;B420&amp;"!B2:B628"),0)),INDEX(INDIRECT(""&amp;B420&amp;"!AB2:AB628"),MATCH(A420,INDIRECT(""&amp;B420&amp;"!B2:B628"),0)))</f>
        <v>-13.790963589446726</v>
      </c>
      <c r="G420" s="160">
        <f>IF(H420&gt;0,F420-H420,0)</f>
        <v>0</v>
      </c>
      <c r="H420" s="161"/>
      <c r="I420" s="160">
        <f ca="1">F420*$A$2</f>
        <v>-13.790963589446726</v>
      </c>
      <c r="J420" s="160" t="s">
        <v>76</v>
      </c>
      <c r="K420" s="160">
        <f>IF(LeagueInfo!$F$7="Yahoo",IFERROR(INDEX(DefaultAuctionValues!$B$2:$B$1000,MATCH(A420,DefaultAuctionValues!$A$2:$A$1000,0)),0),IF(LeagueInfo!$F$7="ESPN",IFERROR(INDEX(DefaultAuctionValues!$C$2:$C$1000,MATCH(A420,DefaultAuctionValues!$A$2:$A$1000,0)),0),IF(LeagueInfo!$F$7="Custom",IFERROR(INDEX(DefaultAuctionValues!$D$2:$D$1000,MATCH(A420,DefaultAuctionValues!$A$2:$A$1000,0)),0))))</f>
        <v>0</v>
      </c>
      <c r="L420" s="160">
        <f ca="1">I420-K420</f>
        <v>-13.790963589446726</v>
      </c>
      <c r="M420" s="175"/>
      <c r="N420" s="170">
        <f ca="1">INDEX(INDIRECT(""&amp;$B420&amp;"!Z2:Z628"),MATCH($A420,INDIRECT(""&amp;$B420&amp;"!B2:B628"),0))</f>
        <v>-38.03</v>
      </c>
      <c r="O420" s="158" t="str">
        <f ca="1">IF(INDEX(INDIRECT(""&amp;$B420&amp;"!W2:W628"),MATCH($A420,INDIRECT(""&amp;$B420&amp;"!B2:B628"),0))=0,"",INDEX(INDIRECT(""&amp;$B420&amp;"!W2:W628"),MATCH($A420,INDIRECT(""&amp;$B420&amp;"!B2:B628"),0)))</f>
        <v/>
      </c>
    </row>
    <row r="421" spans="1:15" x14ac:dyDescent="0.25">
      <c r="A421" s="158" t="s">
        <v>409</v>
      </c>
      <c r="B421" s="158" t="s">
        <v>35</v>
      </c>
      <c r="C421" s="158">
        <f ca="1">IFERROR(INDEX(BYEs!$B$2:$B$33,MATCH(D421,BYEs!$A$2:$A$33,0)),"N/A")</f>
        <v>6</v>
      </c>
      <c r="D421" s="219" t="str">
        <f ca="1">INDEX(INDIRECT(""&amp;B421&amp;"!F2:F628"),MATCH(A421,INDIRECT(""&amp;B421&amp;"!B2:B628"),0))</f>
        <v>LV</v>
      </c>
      <c r="E421" s="218" t="str">
        <f ca="1">INDEX(INDIRECT(""&amp;$B421&amp;"!AA2:AA628"),MATCH($A421,INDIRECT(""&amp;$B421&amp;"!B2:B628"),0))</f>
        <v>WR11</v>
      </c>
      <c r="F421" s="159">
        <f ca="1">IF(LeagueInfo!$H$7="Starter/Bench",INDEX(INDIRECT(""&amp;B421&amp;"!T2:T628"),MATCH(A421,INDIRECT(""&amp;B421&amp;"!B2:B628"),0)),INDEX(INDIRECT(""&amp;B421&amp;"!AB2:AB628"),MATCH(A421,INDIRECT(""&amp;B421&amp;"!B2:B628"),0)))</f>
        <v>-13.800029434562058</v>
      </c>
      <c r="G421" s="160">
        <f>IF(H421&gt;0,F421-H421,0)</f>
        <v>0</v>
      </c>
      <c r="H421" s="161"/>
      <c r="I421" s="160">
        <f ca="1">F421*$A$2</f>
        <v>-13.800029434562058</v>
      </c>
      <c r="J421" s="160" t="s">
        <v>76</v>
      </c>
      <c r="K421" s="160">
        <f>IF(LeagueInfo!$F$7="Yahoo",IFERROR(INDEX(DefaultAuctionValues!$B$2:$B$1000,MATCH(A421,DefaultAuctionValues!$A$2:$A$1000,0)),0),IF(LeagueInfo!$F$7="ESPN",IFERROR(INDEX(DefaultAuctionValues!$C$2:$C$1000,MATCH(A421,DefaultAuctionValues!$A$2:$A$1000,0)),0),IF(LeagueInfo!$F$7="Custom",IFERROR(INDEX(DefaultAuctionValues!$D$2:$D$1000,MATCH(A421,DefaultAuctionValues!$A$2:$A$1000,0)),0))))</f>
        <v>0</v>
      </c>
      <c r="L421" s="160">
        <f ca="1">I421-K421</f>
        <v>-13.800029434562058</v>
      </c>
      <c r="M421" s="175"/>
      <c r="N421" s="170">
        <f ca="1">INDEX(INDIRECT(""&amp;$B421&amp;"!Z2:Z628"),MATCH($A421,INDIRECT(""&amp;$B421&amp;"!B2:B628"),0))</f>
        <v>-38.054999999999993</v>
      </c>
      <c r="O421" s="158" t="str">
        <f ca="1">IF(INDEX(INDIRECT(""&amp;$B421&amp;"!W2:W628"),MATCH($A421,INDIRECT(""&amp;$B421&amp;"!B2:B628"),0))=0,"",INDEX(INDIRECT(""&amp;$B421&amp;"!W2:W628"),MATCH($A421,INDIRECT(""&amp;$B421&amp;"!B2:B628"),0)))</f>
        <v/>
      </c>
    </row>
    <row r="422" spans="1:15" x14ac:dyDescent="0.25">
      <c r="A422" s="158" t="s">
        <v>952</v>
      </c>
      <c r="B422" s="158" t="s">
        <v>35</v>
      </c>
      <c r="C422" s="158">
        <f ca="1">IFERROR(INDEX(BYEs!$B$2:$B$33,MATCH(D422,BYEs!$A$2:$A$33,0)),"N/A")</f>
        <v>13</v>
      </c>
      <c r="D422" s="219" t="str">
        <f ca="1">INDEX(INDIRECT(""&amp;B422&amp;"!F2:F628"),MATCH(A422,INDIRECT(""&amp;B422&amp;"!B2:B628"),0))</f>
        <v>CAR</v>
      </c>
      <c r="E422" s="218" t="str">
        <f ca="1">INDEX(INDIRECT(""&amp;$B422&amp;"!AA2:AA628"),MATCH($A422,INDIRECT(""&amp;$B422&amp;"!B2:B628"),0))</f>
        <v>WR11</v>
      </c>
      <c r="F422" s="159">
        <f ca="1">IF(LeagueInfo!$H$7="Starter/Bench",INDEX(INDIRECT(""&amp;B422&amp;"!T2:T628"),MATCH(A422,INDIRECT(""&amp;B422&amp;"!B2:B628"),0)),INDEX(INDIRECT(""&amp;B422&amp;"!AB2:AB628"),MATCH(A422,INDIRECT(""&amp;B422&amp;"!B2:B628"),0)))</f>
        <v>-13.925138097153672</v>
      </c>
      <c r="G422" s="160">
        <f>IF(H422&gt;0,F422-H422,0)</f>
        <v>0</v>
      </c>
      <c r="H422" s="161"/>
      <c r="I422" s="160">
        <f ca="1">F422*$A$2</f>
        <v>-13.925138097153672</v>
      </c>
      <c r="J422" s="160" t="s">
        <v>76</v>
      </c>
      <c r="K422" s="160">
        <f>IF(LeagueInfo!$F$7="Yahoo",IFERROR(INDEX(DefaultAuctionValues!$B$2:$B$1000,MATCH(A422,DefaultAuctionValues!$A$2:$A$1000,0)),0),IF(LeagueInfo!$F$7="ESPN",IFERROR(INDEX(DefaultAuctionValues!$C$2:$C$1000,MATCH(A422,DefaultAuctionValues!$A$2:$A$1000,0)),0),IF(LeagueInfo!$F$7="Custom",IFERROR(INDEX(DefaultAuctionValues!$D$2:$D$1000,MATCH(A422,DefaultAuctionValues!$A$2:$A$1000,0)),0))))</f>
        <v>0</v>
      </c>
      <c r="L422" s="160">
        <f ca="1">I422-K422</f>
        <v>-13.925138097153672</v>
      </c>
      <c r="M422" s="175"/>
      <c r="N422" s="170">
        <f ca="1">INDEX(INDIRECT(""&amp;$B422&amp;"!Z2:Z628"),MATCH($A422,INDIRECT(""&amp;$B422&amp;"!B2:B628"),0))</f>
        <v>-38.399999999999991</v>
      </c>
      <c r="O422" s="158" t="str">
        <f ca="1">IF(INDEX(INDIRECT(""&amp;$B422&amp;"!W2:W628"),MATCH($A422,INDIRECT(""&amp;$B422&amp;"!B2:B628"),0))=0,"",INDEX(INDIRECT(""&amp;$B422&amp;"!W2:W628"),MATCH($A422,INDIRECT(""&amp;$B422&amp;"!B2:B628"),0)))</f>
        <v/>
      </c>
    </row>
    <row r="423" spans="1:15" x14ac:dyDescent="0.25">
      <c r="A423" s="158" t="s">
        <v>977</v>
      </c>
      <c r="B423" s="158" t="s">
        <v>43</v>
      </c>
      <c r="C423" s="158">
        <f ca="1">IFERROR(INDEX(BYEs!$B$2:$B$33,MATCH(D423,BYEs!$A$2:$A$33,0)),"N/A")</f>
        <v>7</v>
      </c>
      <c r="D423" s="219" t="str">
        <f ca="1">INDEX(INDIRECT(""&amp;B423&amp;"!F2:F628"),MATCH(A423,INDIRECT(""&amp;B423&amp;"!B2:B628"),0))</f>
        <v>LAR</v>
      </c>
      <c r="E423" s="218" t="str">
        <f ca="1">INDEX(INDIRECT(""&amp;$B423&amp;"!AA2:AA628"),MATCH($A423,INDIRECT(""&amp;$B423&amp;"!B2:B628"),0))</f>
        <v>TE11</v>
      </c>
      <c r="F423" s="159">
        <f ca="1">IF(LeagueInfo!$H$7="Starter/Bench",INDEX(INDIRECT(""&amp;B423&amp;"!T2:T628"),MATCH(A423,INDIRECT(""&amp;B423&amp;"!B2:B628"),0)),INDEX(INDIRECT(""&amp;B423&amp;"!AB2:AB628"),MATCH(A423,INDIRECT(""&amp;B423&amp;"!B2:B628"),0)))</f>
        <v>-14.044807252676092</v>
      </c>
      <c r="G423" s="160">
        <f>IF(H423&gt;0,F423-H423,0)</f>
        <v>0</v>
      </c>
      <c r="H423" s="161"/>
      <c r="I423" s="160">
        <f ca="1">F423*$A$2</f>
        <v>-14.044807252676092</v>
      </c>
      <c r="J423" s="160" t="s">
        <v>76</v>
      </c>
      <c r="K423" s="160">
        <f>IF(LeagueInfo!$F$7="Yahoo",IFERROR(INDEX(DefaultAuctionValues!$B$2:$B$1000,MATCH(A423,DefaultAuctionValues!$A$2:$A$1000,0)),0),IF(LeagueInfo!$F$7="ESPN",IFERROR(INDEX(DefaultAuctionValues!$C$2:$C$1000,MATCH(A423,DefaultAuctionValues!$A$2:$A$1000,0)),0),IF(LeagueInfo!$F$7="Custom",IFERROR(INDEX(DefaultAuctionValues!$D$2:$D$1000,MATCH(A423,DefaultAuctionValues!$A$2:$A$1000,0)),0))))</f>
        <v>0</v>
      </c>
      <c r="L423" s="160">
        <f ca="1">I423-K423</f>
        <v>-14.044807252676092</v>
      </c>
      <c r="M423" s="175"/>
      <c r="N423" s="170">
        <f ca="1">INDEX(INDIRECT(""&amp;$B423&amp;"!Z2:Z628"),MATCH($A423,INDIRECT(""&amp;$B423&amp;"!B2:B628"),0))</f>
        <v>-38.730000000000004</v>
      </c>
      <c r="O423" s="158" t="str">
        <f ca="1">IF(INDEX(INDIRECT(""&amp;$B423&amp;"!W2:W628"),MATCH($A423,INDIRECT(""&amp;$B423&amp;"!B2:B628"),0))=0,"",INDEX(INDIRECT(""&amp;$B423&amp;"!W2:W628"),MATCH($A423,INDIRECT(""&amp;$B423&amp;"!B2:B628"),0)))</f>
        <v/>
      </c>
    </row>
    <row r="424" spans="1:15" x14ac:dyDescent="0.25">
      <c r="A424" s="158" t="s">
        <v>824</v>
      </c>
      <c r="B424" s="158" t="s">
        <v>43</v>
      </c>
      <c r="C424" s="158">
        <f ca="1">IFERROR(INDEX(BYEs!$B$2:$B$33,MATCH(D424,BYEs!$A$2:$A$33,0)),"N/A")</f>
        <v>7</v>
      </c>
      <c r="D424" s="219" t="str">
        <f ca="1">INDEX(INDIRECT(""&amp;B424&amp;"!F2:F628"),MATCH(A424,INDIRECT(""&amp;B424&amp;"!B2:B628"),0))</f>
        <v>LAR</v>
      </c>
      <c r="E424" s="218" t="str">
        <f ca="1">INDEX(INDIRECT(""&amp;$B424&amp;"!AA2:AA628"),MATCH($A424,INDIRECT(""&amp;$B424&amp;"!B2:B628"),0))</f>
        <v>TE11</v>
      </c>
      <c r="F424" s="159">
        <f ca="1">IF(LeagueInfo!$H$7="Starter/Bench",INDEX(INDIRECT(""&amp;B424&amp;"!T2:T628"),MATCH(A424,INDIRECT(""&amp;B424&amp;"!B2:B628"),0)),INDEX(INDIRECT(""&amp;B424&amp;"!AB2:AB628"),MATCH(A424,INDIRECT(""&amp;B424&amp;"!B2:B628"),0)))</f>
        <v>-14.075631126068229</v>
      </c>
      <c r="G424" s="160">
        <f>IF(H424&gt;0,F424-H424,0)</f>
        <v>0</v>
      </c>
      <c r="H424" s="161"/>
      <c r="I424" s="160">
        <f ca="1">F424*$A$2</f>
        <v>-14.075631126068229</v>
      </c>
      <c r="J424" s="160" t="s">
        <v>76</v>
      </c>
      <c r="K424" s="160">
        <f>IF(LeagueInfo!$F$7="Yahoo",IFERROR(INDEX(DefaultAuctionValues!$B$2:$B$1000,MATCH(A424,DefaultAuctionValues!$A$2:$A$1000,0)),0),IF(LeagueInfo!$F$7="ESPN",IFERROR(INDEX(DefaultAuctionValues!$C$2:$C$1000,MATCH(A424,DefaultAuctionValues!$A$2:$A$1000,0)),0),IF(LeagueInfo!$F$7="Custom",IFERROR(INDEX(DefaultAuctionValues!$D$2:$D$1000,MATCH(A424,DefaultAuctionValues!$A$2:$A$1000,0)),0))))</f>
        <v>0</v>
      </c>
      <c r="L424" s="160">
        <f ca="1">I424-K424</f>
        <v>-14.075631126068229</v>
      </c>
      <c r="M424" s="175"/>
      <c r="N424" s="170">
        <f ca="1">INDEX(INDIRECT(""&amp;$B424&amp;"!Z2:Z628"),MATCH($A424,INDIRECT(""&amp;$B424&amp;"!B2:B628"),0))</f>
        <v>-38.815000000000005</v>
      </c>
      <c r="O424" s="158" t="str">
        <f ca="1">IF(INDEX(INDIRECT(""&amp;$B424&amp;"!W2:W628"),MATCH($A424,INDIRECT(""&amp;$B424&amp;"!B2:B628"),0))=0,"",INDEX(INDIRECT(""&amp;$B424&amp;"!W2:W628"),MATCH($A424,INDIRECT(""&amp;$B424&amp;"!B2:B628"),0)))</f>
        <v/>
      </c>
    </row>
    <row r="425" spans="1:15" x14ac:dyDescent="0.25">
      <c r="A425" s="158" t="s">
        <v>2489</v>
      </c>
      <c r="B425" s="158" t="s">
        <v>43</v>
      </c>
      <c r="C425" s="158">
        <f ca="1">IFERROR(INDEX(BYEs!$B$2:$B$33,MATCH(D425,BYEs!$A$2:$A$33,0)),"N/A")</f>
        <v>7</v>
      </c>
      <c r="D425" s="219" t="str">
        <f ca="1">INDEX(INDIRECT(""&amp;B425&amp;"!F2:F628"),MATCH(A425,INDIRECT(""&amp;B425&amp;"!B2:B628"),0))</f>
        <v>MIN</v>
      </c>
      <c r="E425" s="218" t="str">
        <f ca="1">INDEX(INDIRECT(""&amp;$B425&amp;"!AA2:AA628"),MATCH($A425,INDIRECT(""&amp;$B425&amp;"!B2:B628"),0))</f>
        <v>TE11</v>
      </c>
      <c r="F425" s="159">
        <f ca="1">IF(LeagueInfo!$H$7="Starter/Bench",INDEX(INDIRECT(""&amp;B425&amp;"!T2:T628"),MATCH(A425,INDIRECT(""&amp;B425&amp;"!B2:B628"),0)),INDEX(INDIRECT(""&amp;B425&amp;"!AB2:AB628"),MATCH(A425,INDIRECT(""&amp;B425&amp;"!B2:B628"),0)))</f>
        <v>-14.226124154982779</v>
      </c>
      <c r="G425" s="160">
        <f>IF(H425&gt;0,F425-H425,0)</f>
        <v>0</v>
      </c>
      <c r="H425" s="161"/>
      <c r="I425" s="160">
        <f ca="1">F425*$A$2</f>
        <v>-14.226124154982779</v>
      </c>
      <c r="J425" s="160" t="s">
        <v>76</v>
      </c>
      <c r="K425" s="160">
        <f>IF(LeagueInfo!$F$7="Yahoo",IFERROR(INDEX(DefaultAuctionValues!$B$2:$B$1000,MATCH(A425,DefaultAuctionValues!$A$2:$A$1000,0)),0),IF(LeagueInfo!$F$7="ESPN",IFERROR(INDEX(DefaultAuctionValues!$C$2:$C$1000,MATCH(A425,DefaultAuctionValues!$A$2:$A$1000,0)),0),IF(LeagueInfo!$F$7="Custom",IFERROR(INDEX(DefaultAuctionValues!$D$2:$D$1000,MATCH(A425,DefaultAuctionValues!$A$2:$A$1000,0)),0))))</f>
        <v>0</v>
      </c>
      <c r="L425" s="160">
        <f ca="1">I425-K425</f>
        <v>-14.226124154982779</v>
      </c>
      <c r="M425" s="175"/>
      <c r="N425" s="170">
        <f ca="1">INDEX(INDIRECT(""&amp;$B425&amp;"!Z2:Z628"),MATCH($A425,INDIRECT(""&amp;$B425&amp;"!B2:B628"),0))</f>
        <v>-39.230000000000004</v>
      </c>
      <c r="O425" s="158" t="str">
        <f ca="1">IF(INDEX(INDIRECT(""&amp;$B425&amp;"!W2:W628"),MATCH($A425,INDIRECT(""&amp;$B425&amp;"!B2:B628"),0))=0,"",INDEX(INDIRECT(""&amp;$B425&amp;"!W2:W628"),MATCH($A425,INDIRECT(""&amp;$B425&amp;"!B2:B628"),0)))</f>
        <v/>
      </c>
    </row>
    <row r="426" spans="1:15" x14ac:dyDescent="0.25">
      <c r="A426" s="158" t="s">
        <v>2680</v>
      </c>
      <c r="B426" s="158" t="s">
        <v>43</v>
      </c>
      <c r="C426" s="158">
        <f ca="1">IFERROR(INDEX(BYEs!$B$2:$B$33,MATCH(D426,BYEs!$A$2:$A$33,0)),"N/A")</f>
        <v>14</v>
      </c>
      <c r="D426" s="219" t="str">
        <f ca="1">INDEX(INDIRECT(""&amp;B426&amp;"!F2:F628"),MATCH(A426,INDIRECT(""&amp;B426&amp;"!B2:B628"),0))</f>
        <v>GB</v>
      </c>
      <c r="E426" s="218" t="str">
        <f ca="1">INDEX(INDIRECT(""&amp;$B426&amp;"!AA2:AA628"),MATCH($A426,INDIRECT(""&amp;$B426&amp;"!B2:B628"),0))</f>
        <v>TE11</v>
      </c>
      <c r="F426" s="159">
        <f ca="1">IF(LeagueInfo!$H$7="Starter/Bench",INDEX(INDIRECT(""&amp;B426&amp;"!T2:T628"),MATCH(A426,INDIRECT(""&amp;B426&amp;"!B2:B628"),0)),INDEX(INDIRECT(""&amp;B426&amp;"!AB2:AB628"),MATCH(A426,INDIRECT(""&amp;B426&amp;"!B2:B628"),0)))</f>
        <v>-14.226124154982779</v>
      </c>
      <c r="G426" s="160">
        <f>IF(H426&gt;0,F426-H426,0)</f>
        <v>0</v>
      </c>
      <c r="H426" s="161"/>
      <c r="I426" s="160">
        <f ca="1">F426*$A$2</f>
        <v>-14.226124154982779</v>
      </c>
      <c r="J426" s="160" t="s">
        <v>76</v>
      </c>
      <c r="K426" s="160">
        <f>IF(LeagueInfo!$F$7="Yahoo",IFERROR(INDEX(DefaultAuctionValues!$B$2:$B$1000,MATCH(A426,DefaultAuctionValues!$A$2:$A$1000,0)),0),IF(LeagueInfo!$F$7="ESPN",IFERROR(INDEX(DefaultAuctionValues!$C$2:$C$1000,MATCH(A426,DefaultAuctionValues!$A$2:$A$1000,0)),0),IF(LeagueInfo!$F$7="Custom",IFERROR(INDEX(DefaultAuctionValues!$D$2:$D$1000,MATCH(A426,DefaultAuctionValues!$A$2:$A$1000,0)),0))))</f>
        <v>0</v>
      </c>
      <c r="L426" s="160">
        <f ca="1">I426-K426</f>
        <v>-14.226124154982779</v>
      </c>
      <c r="M426" s="175"/>
      <c r="N426" s="170">
        <f ca="1">INDEX(INDIRECT(""&amp;$B426&amp;"!Z2:Z628"),MATCH($A426,INDIRECT(""&amp;$B426&amp;"!B2:B628"),0))</f>
        <v>-39.230000000000004</v>
      </c>
      <c r="O426" s="158" t="str">
        <f ca="1">IF(INDEX(INDIRECT(""&amp;$B426&amp;"!W2:W628"),MATCH($A426,INDIRECT(""&amp;$B426&amp;"!B2:B628"),0))=0,"",INDEX(INDIRECT(""&amp;$B426&amp;"!W2:W628"),MATCH($A426,INDIRECT(""&amp;$B426&amp;"!B2:B628"),0)))</f>
        <v/>
      </c>
    </row>
    <row r="427" spans="1:15" x14ac:dyDescent="0.25">
      <c r="A427" s="158" t="s">
        <v>535</v>
      </c>
      <c r="B427" s="158" t="s">
        <v>29</v>
      </c>
      <c r="C427" s="158">
        <f ca="1">IFERROR(INDEX(BYEs!$B$2:$B$33,MATCH(D427,BYEs!$A$2:$A$33,0)),"N/A")</f>
        <v>9</v>
      </c>
      <c r="D427" s="219" t="str">
        <f ca="1">INDEX(INDIRECT(""&amp;B427&amp;"!F2:F628"),MATCH(A427,INDIRECT(""&amp;B427&amp;"!B2:B628"),0))</f>
        <v>CLE</v>
      </c>
      <c r="E427" s="218" t="str">
        <f ca="1">INDEX(INDIRECT(""&amp;$B427&amp;"!AA2:AA628"),MATCH($A427,INDIRECT(""&amp;$B427&amp;"!B2:B628"),0))</f>
        <v>QB7</v>
      </c>
      <c r="F427" s="159">
        <f ca="1">IF(LeagueInfo!$H$7="Starter/Bench",INDEX(INDIRECT(""&amp;B427&amp;"!T2:T628"),MATCH(A427,INDIRECT(""&amp;B427&amp;"!B2:B628"),0)),INDEX(INDIRECT(""&amp;B427&amp;"!AB2:AB628"),MATCH(A427,INDIRECT(""&amp;B427&amp;"!B2:B628"),0)))</f>
        <v>-14.337090099194462</v>
      </c>
      <c r="G427" s="160">
        <f>IF(H427&gt;0,F427-H427,0)</f>
        <v>0</v>
      </c>
      <c r="H427" s="161"/>
      <c r="I427" s="160">
        <f ca="1">F427*$A$2</f>
        <v>-14.337090099194462</v>
      </c>
      <c r="J427" s="160" t="s">
        <v>76</v>
      </c>
      <c r="K427" s="160">
        <f>IF(LeagueInfo!$F$7="Yahoo",IFERROR(INDEX(DefaultAuctionValues!$B$2:$B$1000,MATCH(A427,DefaultAuctionValues!$A$2:$A$1000,0)),0),IF(LeagueInfo!$F$7="ESPN",IFERROR(INDEX(DefaultAuctionValues!$C$2:$C$1000,MATCH(A427,DefaultAuctionValues!$A$2:$A$1000,0)),0),IF(LeagueInfo!$F$7="Custom",IFERROR(INDEX(DefaultAuctionValues!$D$2:$D$1000,MATCH(A427,DefaultAuctionValues!$A$2:$A$1000,0)),0))))</f>
        <v>0</v>
      </c>
      <c r="L427" s="160">
        <f ca="1">I427-K427</f>
        <v>-14.337090099194462</v>
      </c>
      <c r="M427" s="175"/>
      <c r="N427" s="170">
        <f ca="1">INDEX(INDIRECT(""&amp;$B427&amp;"!Z2:Z628"),MATCH($A427,INDIRECT(""&amp;$B427&amp;"!B2:B628"),0))</f>
        <v>-39.535999999999973</v>
      </c>
      <c r="O427" s="158" t="str">
        <f ca="1">IF(INDEX(INDIRECT(""&amp;$B427&amp;"!W2:W628"),MATCH($A427,INDIRECT(""&amp;$B427&amp;"!B2:B628"),0))=0,"",INDEX(INDIRECT(""&amp;$B427&amp;"!W2:W628"),MATCH($A427,INDIRECT(""&amp;$B427&amp;"!B2:B628"),0)))</f>
        <v/>
      </c>
    </row>
    <row r="428" spans="1:15" x14ac:dyDescent="0.25">
      <c r="A428" s="158" t="s">
        <v>435</v>
      </c>
      <c r="B428" s="158" t="s">
        <v>43</v>
      </c>
      <c r="C428" s="158">
        <f ca="1">IFERROR(INDEX(BYEs!$B$2:$B$33,MATCH(D428,BYEs!$A$2:$A$33,0)),"N/A")</f>
        <v>11</v>
      </c>
      <c r="D428" s="219" t="str">
        <f ca="1">INDEX(INDIRECT(""&amp;B428&amp;"!F2:F628"),MATCH(A428,INDIRECT(""&amp;B428&amp;"!B2:B628"),0))</f>
        <v>JAC</v>
      </c>
      <c r="E428" s="218" t="str">
        <f ca="1">INDEX(INDIRECT(""&amp;$B428&amp;"!AA2:AA628"),MATCH($A428,INDIRECT(""&amp;$B428&amp;"!B2:B628"),0))</f>
        <v>TE11</v>
      </c>
      <c r="F428" s="159">
        <f ca="1">IF(LeagueInfo!$H$7="Starter/Bench",INDEX(INDIRECT(""&amp;B428&amp;"!T2:T628"),MATCH(A428,INDIRECT(""&amp;B428&amp;"!B2:B628"),0)),INDEX(INDIRECT(""&amp;B428&amp;"!AB2:AB628"),MATCH(A428,INDIRECT(""&amp;B428&amp;"!B2:B628"),0)))</f>
        <v>-14.351232817574394</v>
      </c>
      <c r="G428" s="160">
        <f>IF(H428&gt;0,F428-H428,0)</f>
        <v>0</v>
      </c>
      <c r="H428" s="161"/>
      <c r="I428" s="160">
        <f ca="1">F428*$A$2</f>
        <v>-14.351232817574394</v>
      </c>
      <c r="J428" s="160" t="s">
        <v>76</v>
      </c>
      <c r="K428" s="160">
        <f>IF(LeagueInfo!$F$7="Yahoo",IFERROR(INDEX(DefaultAuctionValues!$B$2:$B$1000,MATCH(A428,DefaultAuctionValues!$A$2:$A$1000,0)),0),IF(LeagueInfo!$F$7="ESPN",IFERROR(INDEX(DefaultAuctionValues!$C$2:$C$1000,MATCH(A428,DefaultAuctionValues!$A$2:$A$1000,0)),0),IF(LeagueInfo!$F$7="Custom",IFERROR(INDEX(DefaultAuctionValues!$D$2:$D$1000,MATCH(A428,DefaultAuctionValues!$A$2:$A$1000,0)),0))))</f>
        <v>0</v>
      </c>
      <c r="L428" s="160">
        <f ca="1">I428-K428</f>
        <v>-14.351232817574394</v>
      </c>
      <c r="M428" s="175"/>
      <c r="N428" s="170">
        <f ca="1">INDEX(INDIRECT(""&amp;$B428&amp;"!Z2:Z628"),MATCH($A428,INDIRECT(""&amp;$B428&amp;"!B2:B628"),0))</f>
        <v>-39.575000000000003</v>
      </c>
      <c r="O428" s="158" t="str">
        <f ca="1">IF(INDEX(INDIRECT(""&amp;$B428&amp;"!W2:W628"),MATCH($A428,INDIRECT(""&amp;$B428&amp;"!B2:B628"),0))=0,"",INDEX(INDIRECT(""&amp;$B428&amp;"!W2:W628"),MATCH($A428,INDIRECT(""&amp;$B428&amp;"!B2:B628"),0)))</f>
        <v/>
      </c>
    </row>
    <row r="429" spans="1:15" x14ac:dyDescent="0.25">
      <c r="A429" s="158" t="s">
        <v>2493</v>
      </c>
      <c r="B429" s="158" t="s">
        <v>43</v>
      </c>
      <c r="C429" s="158">
        <f ca="1">IFERROR(INDEX(BYEs!$B$2:$B$33,MATCH(D429,BYEs!$A$2:$A$33,0)),"N/A")</f>
        <v>14</v>
      </c>
      <c r="D429" s="219" t="str">
        <f ca="1">INDEX(INDIRECT(""&amp;B429&amp;"!F2:F628"),MATCH(A429,INDIRECT(""&amp;B429&amp;"!B2:B628"),0))</f>
        <v>ATL</v>
      </c>
      <c r="E429" s="218" t="str">
        <f ca="1">INDEX(INDIRECT(""&amp;$B429&amp;"!AA2:AA628"),MATCH($A429,INDIRECT(""&amp;$B429&amp;"!B2:B628"),0))</f>
        <v>TE11</v>
      </c>
      <c r="F429" s="159">
        <f ca="1">IF(LeagueInfo!$H$7="Starter/Bench",INDEX(INDIRECT(""&amp;B429&amp;"!T2:T628"),MATCH(A429,INDIRECT(""&amp;B429&amp;"!B2:B628"),0)),INDEX(INDIRECT(""&amp;B429&amp;"!AB2:AB628"),MATCH(A429,INDIRECT(""&amp;B429&amp;"!B2:B628"),0)))</f>
        <v>-14.363925000735865</v>
      </c>
      <c r="G429" s="160">
        <f>IF(H429&gt;0,F429-H429,0)</f>
        <v>0</v>
      </c>
      <c r="H429" s="161"/>
      <c r="I429" s="160">
        <f ca="1">F429*$A$2</f>
        <v>-14.363925000735865</v>
      </c>
      <c r="J429" s="160" t="s">
        <v>76</v>
      </c>
      <c r="K429" s="160">
        <f>IF(LeagueInfo!$F$7="Yahoo",IFERROR(INDEX(DefaultAuctionValues!$B$2:$B$1000,MATCH(A429,DefaultAuctionValues!$A$2:$A$1000,0)),0),IF(LeagueInfo!$F$7="ESPN",IFERROR(INDEX(DefaultAuctionValues!$C$2:$C$1000,MATCH(A429,DefaultAuctionValues!$A$2:$A$1000,0)),0),IF(LeagueInfo!$F$7="Custom",IFERROR(INDEX(DefaultAuctionValues!$D$2:$D$1000,MATCH(A429,DefaultAuctionValues!$A$2:$A$1000,0)),0))))</f>
        <v>0</v>
      </c>
      <c r="L429" s="160">
        <f ca="1">I429-K429</f>
        <v>-14.363925000735865</v>
      </c>
      <c r="M429" s="175"/>
      <c r="N429" s="170">
        <f ca="1">INDEX(INDIRECT(""&amp;$B429&amp;"!Z2:Z628"),MATCH($A429,INDIRECT(""&amp;$B429&amp;"!B2:B628"),0))</f>
        <v>-39.610000000000007</v>
      </c>
      <c r="O429" s="158" t="str">
        <f ca="1">IF(INDEX(INDIRECT(""&amp;$B429&amp;"!W2:W628"),MATCH($A429,INDIRECT(""&amp;$B429&amp;"!B2:B628"),0))=0,"",INDEX(INDIRECT(""&amp;$B429&amp;"!W2:W628"),MATCH($A429,INDIRECT(""&amp;$B429&amp;"!B2:B628"),0)))</f>
        <v/>
      </c>
    </row>
    <row r="430" spans="1:15" x14ac:dyDescent="0.25">
      <c r="A430" s="158" t="s">
        <v>867</v>
      </c>
      <c r="B430" s="158" t="s">
        <v>35</v>
      </c>
      <c r="C430" s="158">
        <f ca="1">IFERROR(INDEX(BYEs!$B$2:$B$33,MATCH(D430,BYEs!$A$2:$A$33,0)),"N/A")</f>
        <v>14</v>
      </c>
      <c r="D430" s="219" t="str">
        <f ca="1">INDEX(INDIRECT(""&amp;B430&amp;"!F2:F628"),MATCH(A430,INDIRECT(""&amp;B430&amp;"!B2:B628"),0))</f>
        <v>NO</v>
      </c>
      <c r="E430" s="218" t="str">
        <f ca="1">INDEX(INDIRECT(""&amp;$B430&amp;"!AA2:AA628"),MATCH($A430,INDIRECT(""&amp;$B430&amp;"!B2:B628"),0))</f>
        <v>WR11</v>
      </c>
      <c r="F430" s="159">
        <f ca="1">IF(LeagueInfo!$H$7="Starter/Bench",INDEX(INDIRECT(""&amp;B430&amp;"!T2:T628"),MATCH(A430,INDIRECT(""&amp;B430&amp;"!B2:B628"),0)),INDEX(INDIRECT(""&amp;B430&amp;"!AB2:AB628"),MATCH(A430,INDIRECT(""&amp;B430&amp;"!B2:B628"),0)))</f>
        <v>-14.367551338781992</v>
      </c>
      <c r="G430" s="160">
        <f>IF(H430&gt;0,F430-H430,0)</f>
        <v>0</v>
      </c>
      <c r="H430" s="161"/>
      <c r="I430" s="160">
        <f ca="1">F430*$A$2</f>
        <v>-14.367551338781992</v>
      </c>
      <c r="J430" s="160" t="s">
        <v>76</v>
      </c>
      <c r="K430" s="160">
        <f>IF(LeagueInfo!$F$7="Yahoo",IFERROR(INDEX(DefaultAuctionValues!$B$2:$B$1000,MATCH(A430,DefaultAuctionValues!$A$2:$A$1000,0)),0),IF(LeagueInfo!$F$7="ESPN",IFERROR(INDEX(DefaultAuctionValues!$C$2:$C$1000,MATCH(A430,DefaultAuctionValues!$A$2:$A$1000,0)),0),IF(LeagueInfo!$F$7="Custom",IFERROR(INDEX(DefaultAuctionValues!$D$2:$D$1000,MATCH(A430,DefaultAuctionValues!$A$2:$A$1000,0)),0))))</f>
        <v>0</v>
      </c>
      <c r="L430" s="160">
        <f ca="1">I430-K430</f>
        <v>-14.367551338781992</v>
      </c>
      <c r="M430" s="175"/>
      <c r="N430" s="170">
        <f ca="1">INDEX(INDIRECT(""&amp;$B430&amp;"!Z2:Z628"),MATCH($A430,INDIRECT(""&amp;$B430&amp;"!B2:B628"),0))</f>
        <v>-39.61999999999999</v>
      </c>
      <c r="O430" s="158" t="str">
        <f ca="1">IF(INDEX(INDIRECT(""&amp;$B430&amp;"!W2:W628"),MATCH($A430,INDIRECT(""&amp;$B430&amp;"!B2:B628"),0))=0,"",INDEX(INDIRECT(""&amp;$B430&amp;"!W2:W628"),MATCH($A430,INDIRECT(""&amp;$B430&amp;"!B2:B628"),0)))</f>
        <v/>
      </c>
    </row>
    <row r="431" spans="1:15" x14ac:dyDescent="0.25">
      <c r="A431" s="158" t="s">
        <v>2481</v>
      </c>
      <c r="B431" s="158" t="s">
        <v>43</v>
      </c>
      <c r="C431" s="158">
        <f ca="1">IFERROR(INDEX(BYEs!$B$2:$B$33,MATCH(D431,BYEs!$A$2:$A$33,0)),"N/A")</f>
        <v>6</v>
      </c>
      <c r="D431" s="219" t="str">
        <f ca="1">INDEX(INDIRECT(""&amp;B431&amp;"!F2:F628"),MATCH(A431,INDIRECT(""&amp;B431&amp;"!B2:B628"),0))</f>
        <v>DET</v>
      </c>
      <c r="E431" s="218" t="str">
        <f ca="1">INDEX(INDIRECT(""&amp;$B431&amp;"!AA2:AA628"),MATCH($A431,INDIRECT(""&amp;$B431&amp;"!B2:B628"),0))</f>
        <v>TE11</v>
      </c>
      <c r="F431" s="159">
        <f ca="1">IF(LeagueInfo!$H$7="Starter/Bench",INDEX(INDIRECT(""&amp;B431&amp;"!T2:T628"),MATCH(A431,INDIRECT(""&amp;B431&amp;"!B2:B628"),0)),INDEX(INDIRECT(""&amp;B431&amp;"!AB2:AB628"),MATCH(A431,INDIRECT(""&amp;B431&amp;"!B2:B628"),0)))</f>
        <v>-14.447330775796939</v>
      </c>
      <c r="G431" s="160">
        <f>IF(H431&gt;0,F431-H431,0)</f>
        <v>0</v>
      </c>
      <c r="H431" s="161"/>
      <c r="I431" s="160">
        <f ca="1">F431*$A$2</f>
        <v>-14.447330775796939</v>
      </c>
      <c r="J431" s="160" t="s">
        <v>76</v>
      </c>
      <c r="K431" s="160">
        <f>IF(LeagueInfo!$F$7="Yahoo",IFERROR(INDEX(DefaultAuctionValues!$B$2:$B$1000,MATCH(A431,DefaultAuctionValues!$A$2:$A$1000,0)),0),IF(LeagueInfo!$F$7="ESPN",IFERROR(INDEX(DefaultAuctionValues!$C$2:$C$1000,MATCH(A431,DefaultAuctionValues!$A$2:$A$1000,0)),0),IF(LeagueInfo!$F$7="Custom",IFERROR(INDEX(DefaultAuctionValues!$D$2:$D$1000,MATCH(A431,DefaultAuctionValues!$A$2:$A$1000,0)),0))))</f>
        <v>0</v>
      </c>
      <c r="L431" s="160">
        <f ca="1">I431-K431</f>
        <v>-14.447330775796939</v>
      </c>
      <c r="M431" s="175"/>
      <c r="N431" s="170">
        <f ca="1">INDEX(INDIRECT(""&amp;$B431&amp;"!Z2:Z628"),MATCH($A431,INDIRECT(""&amp;$B431&amp;"!B2:B628"),0))</f>
        <v>-39.840000000000003</v>
      </c>
      <c r="O431" s="158" t="str">
        <f ca="1">IF(INDEX(INDIRECT(""&amp;$B431&amp;"!W2:W628"),MATCH($A431,INDIRECT(""&amp;$B431&amp;"!B2:B628"),0))=0,"",INDEX(INDIRECT(""&amp;$B431&amp;"!W2:W628"),MATCH($A431,INDIRECT(""&amp;$B431&amp;"!B2:B628"),0)))</f>
        <v/>
      </c>
    </row>
    <row r="432" spans="1:15" x14ac:dyDescent="0.25">
      <c r="A432" s="158" t="s">
        <v>1030</v>
      </c>
      <c r="B432" s="158" t="s">
        <v>43</v>
      </c>
      <c r="C432" s="158">
        <f ca="1">IFERROR(INDEX(BYEs!$B$2:$B$33,MATCH(D432,BYEs!$A$2:$A$33,0)),"N/A")</f>
        <v>10</v>
      </c>
      <c r="D432" s="219" t="str">
        <f ca="1">INDEX(INDIRECT(""&amp;B432&amp;"!F2:F628"),MATCH(A432,INDIRECT(""&amp;B432&amp;"!B2:B628"),0))</f>
        <v>NYJ</v>
      </c>
      <c r="E432" s="218" t="str">
        <f ca="1">INDEX(INDIRECT(""&amp;$B432&amp;"!AA2:AA628"),MATCH($A432,INDIRECT(""&amp;$B432&amp;"!B2:B628"),0))</f>
        <v>TE11</v>
      </c>
      <c r="F432" s="159">
        <f ca="1">IF(LeagueInfo!$H$7="Starter/Bench",INDEX(INDIRECT(""&amp;B432&amp;"!T2:T628"),MATCH(A432,INDIRECT(""&amp;B432&amp;"!B2:B628"),0)),INDEX(INDIRECT(""&amp;B432&amp;"!AB2:AB628"),MATCH(A432,INDIRECT(""&amp;B432&amp;"!B2:B628"),0)))</f>
        <v>-14.461836127981476</v>
      </c>
      <c r="G432" s="160">
        <f>IF(H432&gt;0,F432-H432,0)</f>
        <v>0</v>
      </c>
      <c r="H432" s="161"/>
      <c r="I432" s="160">
        <f ca="1">F432*$A$2</f>
        <v>-14.461836127981476</v>
      </c>
      <c r="J432" s="160" t="s">
        <v>76</v>
      </c>
      <c r="K432" s="160">
        <f>IF(LeagueInfo!$F$7="Yahoo",IFERROR(INDEX(DefaultAuctionValues!$B$2:$B$1000,MATCH(A432,DefaultAuctionValues!$A$2:$A$1000,0)),0),IF(LeagueInfo!$F$7="ESPN",IFERROR(INDEX(DefaultAuctionValues!$C$2:$C$1000,MATCH(A432,DefaultAuctionValues!$A$2:$A$1000,0)),0),IF(LeagueInfo!$F$7="Custom",IFERROR(INDEX(DefaultAuctionValues!$D$2:$D$1000,MATCH(A432,DefaultAuctionValues!$A$2:$A$1000,0)),0))))</f>
        <v>0</v>
      </c>
      <c r="L432" s="160">
        <f ca="1">I432-K432</f>
        <v>-14.461836127981476</v>
      </c>
      <c r="M432" s="175"/>
      <c r="N432" s="170">
        <f ca="1">INDEX(INDIRECT(""&amp;$B432&amp;"!Z2:Z628"),MATCH($A432,INDIRECT(""&amp;$B432&amp;"!B2:B628"),0))</f>
        <v>-39.88000000000001</v>
      </c>
      <c r="O432" s="158" t="str">
        <f ca="1">IF(INDEX(INDIRECT(""&amp;$B432&amp;"!W2:W628"),MATCH($A432,INDIRECT(""&amp;$B432&amp;"!B2:B628"),0))=0,"",INDEX(INDIRECT(""&amp;$B432&amp;"!W2:W628"),MATCH($A432,INDIRECT(""&amp;$B432&amp;"!B2:B628"),0)))</f>
        <v/>
      </c>
    </row>
    <row r="433" spans="1:15" x14ac:dyDescent="0.25">
      <c r="A433" s="158" t="s">
        <v>756</v>
      </c>
      <c r="B433" s="158" t="s">
        <v>43</v>
      </c>
      <c r="C433" s="158">
        <f ca="1">IFERROR(INDEX(BYEs!$B$2:$B$33,MATCH(D433,BYEs!$A$2:$A$33,0)),"N/A")</f>
        <v>8</v>
      </c>
      <c r="D433" s="219" t="str">
        <f ca="1">INDEX(INDIRECT(""&amp;B433&amp;"!F2:F628"),MATCH(A433,INDIRECT(""&amp;B433&amp;"!B2:B628"),0))</f>
        <v>KC</v>
      </c>
      <c r="E433" s="218" t="str">
        <f ca="1">INDEX(INDIRECT(""&amp;$B433&amp;"!AA2:AA628"),MATCH($A433,INDIRECT(""&amp;$B433&amp;"!B2:B628"),0))</f>
        <v>TE11</v>
      </c>
      <c r="F433" s="159">
        <f ca="1">IF(LeagueInfo!$H$7="Starter/Bench",INDEX(INDIRECT(""&amp;B433&amp;"!T2:T628"),MATCH(A433,INDIRECT(""&amp;B433&amp;"!B2:B628"),0)),INDEX(INDIRECT(""&amp;B433&amp;"!AB2:AB628"),MATCH(A433,INDIRECT(""&amp;B433&amp;"!B2:B628"),0)))</f>
        <v>-14.496286339419747</v>
      </c>
      <c r="G433" s="160">
        <f>IF(H433&gt;0,F433-H433,0)</f>
        <v>0</v>
      </c>
      <c r="H433" s="161"/>
      <c r="I433" s="160">
        <f ca="1">F433*$A$2</f>
        <v>-14.496286339419747</v>
      </c>
      <c r="J433" s="160" t="s">
        <v>76</v>
      </c>
      <c r="K433" s="160">
        <f>IF(LeagueInfo!$F$7="Yahoo",IFERROR(INDEX(DefaultAuctionValues!$B$2:$B$1000,MATCH(A433,DefaultAuctionValues!$A$2:$A$1000,0)),0),IF(LeagueInfo!$F$7="ESPN",IFERROR(INDEX(DefaultAuctionValues!$C$2:$C$1000,MATCH(A433,DefaultAuctionValues!$A$2:$A$1000,0)),0),IF(LeagueInfo!$F$7="Custom",IFERROR(INDEX(DefaultAuctionValues!$D$2:$D$1000,MATCH(A433,DefaultAuctionValues!$A$2:$A$1000,0)),0))))</f>
        <v>0</v>
      </c>
      <c r="L433" s="160">
        <f ca="1">I433-K433</f>
        <v>-14.496286339419747</v>
      </c>
      <c r="M433" s="175"/>
      <c r="N433" s="170">
        <f ca="1">INDEX(INDIRECT(""&amp;$B433&amp;"!Z2:Z628"),MATCH($A433,INDIRECT(""&amp;$B433&amp;"!B2:B628"),0))</f>
        <v>-39.975000000000009</v>
      </c>
      <c r="O433" s="158" t="str">
        <f ca="1">IF(INDEX(INDIRECT(""&amp;$B433&amp;"!W2:W628"),MATCH($A433,INDIRECT(""&amp;$B433&amp;"!B2:B628"),0))=0,"",INDEX(INDIRECT(""&amp;$B433&amp;"!W2:W628"),MATCH($A433,INDIRECT(""&amp;$B433&amp;"!B2:B628"),0)))</f>
        <v/>
      </c>
    </row>
    <row r="434" spans="1:15" x14ac:dyDescent="0.25">
      <c r="A434" s="158" t="s">
        <v>432</v>
      </c>
      <c r="B434" s="158" t="s">
        <v>43</v>
      </c>
      <c r="C434" s="158">
        <f ca="1">IFERROR(INDEX(BYEs!$B$2:$B$33,MATCH(D434,BYEs!$A$2:$A$33,0)),"N/A")</f>
        <v>9</v>
      </c>
      <c r="D434" s="219" t="str">
        <f ca="1">INDEX(INDIRECT(""&amp;B434&amp;"!F2:F628"),MATCH(A434,INDIRECT(""&amp;B434&amp;"!B2:B628"),0))</f>
        <v>SF</v>
      </c>
      <c r="E434" s="218" t="str">
        <f ca="1">INDEX(INDIRECT(""&amp;$B434&amp;"!AA2:AA628"),MATCH($A434,INDIRECT(""&amp;$B434&amp;"!B2:B628"),0))</f>
        <v>TE11</v>
      </c>
      <c r="F434" s="159">
        <f ca="1">IF(LeagueInfo!$H$7="Starter/Bench",INDEX(INDIRECT(""&amp;B434&amp;"!T2:T628"),MATCH(A434,INDIRECT(""&amp;B434&amp;"!B2:B628"),0)),INDEX(INDIRECT(""&amp;B434&amp;"!AB2:AB628"),MATCH(A434,INDIRECT(""&amp;B434&amp;"!B2:B628"),0)))</f>
        <v>-14.514418029650415</v>
      </c>
      <c r="G434" s="160">
        <f>IF(H434&gt;0,F434-H434,0)</f>
        <v>0</v>
      </c>
      <c r="H434" s="161"/>
      <c r="I434" s="160">
        <f ca="1">F434*$A$2</f>
        <v>-14.514418029650415</v>
      </c>
      <c r="J434" s="160" t="s">
        <v>76</v>
      </c>
      <c r="K434" s="160">
        <f>IF(LeagueInfo!$F$7="Yahoo",IFERROR(INDEX(DefaultAuctionValues!$B$2:$B$1000,MATCH(A434,DefaultAuctionValues!$A$2:$A$1000,0)),0),IF(LeagueInfo!$F$7="ESPN",IFERROR(INDEX(DefaultAuctionValues!$C$2:$C$1000,MATCH(A434,DefaultAuctionValues!$A$2:$A$1000,0)),0),IF(LeagueInfo!$F$7="Custom",IFERROR(INDEX(DefaultAuctionValues!$D$2:$D$1000,MATCH(A434,DefaultAuctionValues!$A$2:$A$1000,0)),0))))</f>
        <v>0</v>
      </c>
      <c r="L434" s="160">
        <f ca="1">I434-K434</f>
        <v>-14.514418029650415</v>
      </c>
      <c r="M434" s="175"/>
      <c r="N434" s="170">
        <f ca="1">INDEX(INDIRECT(""&amp;$B434&amp;"!Z2:Z628"),MATCH($A434,INDIRECT(""&amp;$B434&amp;"!B2:B628"),0))</f>
        <v>-40.025000000000006</v>
      </c>
      <c r="O434" s="158" t="str">
        <f ca="1">IF(INDEX(INDIRECT(""&amp;$B434&amp;"!W2:W628"),MATCH($A434,INDIRECT(""&amp;$B434&amp;"!B2:B628"),0))=0,"",INDEX(INDIRECT(""&amp;$B434&amp;"!W2:W628"),MATCH($A434,INDIRECT(""&amp;$B434&amp;"!B2:B628"),0)))</f>
        <v/>
      </c>
    </row>
    <row r="435" spans="1:15" x14ac:dyDescent="0.25">
      <c r="A435" s="158" t="s">
        <v>754</v>
      </c>
      <c r="B435" s="158" t="s">
        <v>43</v>
      </c>
      <c r="C435" s="158">
        <f ca="1">IFERROR(INDEX(BYEs!$B$2:$B$33,MATCH(D435,BYEs!$A$2:$A$33,0)),"N/A")</f>
        <v>9</v>
      </c>
      <c r="D435" s="219" t="str">
        <f ca="1">INDEX(INDIRECT(""&amp;B435&amp;"!F2:F628"),MATCH(A435,INDIRECT(""&amp;B435&amp;"!B2:B628"),0))</f>
        <v>PIT</v>
      </c>
      <c r="E435" s="218" t="str">
        <f ca="1">INDEX(INDIRECT(""&amp;$B435&amp;"!AA2:AA628"),MATCH($A435,INDIRECT(""&amp;$B435&amp;"!B2:B628"),0))</f>
        <v>TE11</v>
      </c>
      <c r="F435" s="159">
        <f ca="1">IF(LeagueInfo!$H$7="Starter/Bench",INDEX(INDIRECT(""&amp;B435&amp;"!T2:T628"),MATCH(A435,INDIRECT(""&amp;B435&amp;"!B2:B628"),0)),INDEX(INDIRECT(""&amp;B435&amp;"!AB2:AB628"),MATCH(A435,INDIRECT(""&amp;B435&amp;"!B2:B628"),0)))</f>
        <v>-14.514418029650415</v>
      </c>
      <c r="G435" s="160">
        <f>IF(H435&gt;0,F435-H435,0)</f>
        <v>0</v>
      </c>
      <c r="H435" s="161"/>
      <c r="I435" s="160">
        <f ca="1">F435*$A$2</f>
        <v>-14.514418029650415</v>
      </c>
      <c r="J435" s="160" t="s">
        <v>76</v>
      </c>
      <c r="K435" s="160">
        <f>IF(LeagueInfo!$F$7="Yahoo",IFERROR(INDEX(DefaultAuctionValues!$B$2:$B$1000,MATCH(A435,DefaultAuctionValues!$A$2:$A$1000,0)),0),IF(LeagueInfo!$F$7="ESPN",IFERROR(INDEX(DefaultAuctionValues!$C$2:$C$1000,MATCH(A435,DefaultAuctionValues!$A$2:$A$1000,0)),0),IF(LeagueInfo!$F$7="Custom",IFERROR(INDEX(DefaultAuctionValues!$D$2:$D$1000,MATCH(A435,DefaultAuctionValues!$A$2:$A$1000,0)),0))))</f>
        <v>0</v>
      </c>
      <c r="L435" s="160">
        <f ca="1">I435-K435</f>
        <v>-14.514418029650415</v>
      </c>
      <c r="M435" s="175"/>
      <c r="N435" s="170">
        <f ca="1">INDEX(INDIRECT(""&amp;$B435&amp;"!Z2:Z628"),MATCH($A435,INDIRECT(""&amp;$B435&amp;"!B2:B628"),0))</f>
        <v>-40.025000000000006</v>
      </c>
      <c r="O435" s="158" t="str">
        <f ca="1">IF(INDEX(INDIRECT(""&amp;$B435&amp;"!W2:W628"),MATCH($A435,INDIRECT(""&amp;$B435&amp;"!B2:B628"),0))=0,"",INDEX(INDIRECT(""&amp;$B435&amp;"!W2:W628"),MATCH($A435,INDIRECT(""&amp;$B435&amp;"!B2:B628"),0)))</f>
        <v/>
      </c>
    </row>
    <row r="436" spans="1:15" x14ac:dyDescent="0.25">
      <c r="A436" s="158" t="s">
        <v>425</v>
      </c>
      <c r="B436" s="158" t="s">
        <v>43</v>
      </c>
      <c r="C436" s="158">
        <f ca="1">IFERROR(INDEX(BYEs!$B$2:$B$33,MATCH(D436,BYEs!$A$2:$A$33,0)),"N/A")</f>
        <v>10</v>
      </c>
      <c r="D436" s="219" t="str">
        <f ca="1">INDEX(INDIRECT(""&amp;B436&amp;"!F2:F628"),MATCH(A436,INDIRECT(""&amp;B436&amp;"!B2:B628"),0))</f>
        <v>BAL</v>
      </c>
      <c r="E436" s="218" t="str">
        <f ca="1">INDEX(INDIRECT(""&amp;$B436&amp;"!AA2:AA628"),MATCH($A436,INDIRECT(""&amp;$B436&amp;"!B2:B628"),0))</f>
        <v>TE11</v>
      </c>
      <c r="F436" s="159">
        <f ca="1">IF(LeagueInfo!$H$7="Starter/Bench",INDEX(INDIRECT(""&amp;B436&amp;"!T2:T628"),MATCH(A436,INDIRECT(""&amp;B436&amp;"!B2:B628"),0)),INDEX(INDIRECT(""&amp;B436&amp;"!AB2:AB628"),MATCH(A436,INDIRECT(""&amp;B436&amp;"!B2:B628"),0)))</f>
        <v>-14.523483874765748</v>
      </c>
      <c r="G436" s="160">
        <f>IF(H436&gt;0,F436-H436,0)</f>
        <v>0</v>
      </c>
      <c r="H436" s="161"/>
      <c r="I436" s="160">
        <f ca="1">F436*$A$2</f>
        <v>-14.523483874765748</v>
      </c>
      <c r="J436" s="160" t="s">
        <v>76</v>
      </c>
      <c r="K436" s="160">
        <f>IF(LeagueInfo!$F$7="Yahoo",IFERROR(INDEX(DefaultAuctionValues!$B$2:$B$1000,MATCH(A436,DefaultAuctionValues!$A$2:$A$1000,0)),0),IF(LeagueInfo!$F$7="ESPN",IFERROR(INDEX(DefaultAuctionValues!$C$2:$C$1000,MATCH(A436,DefaultAuctionValues!$A$2:$A$1000,0)),0),IF(LeagueInfo!$F$7="Custom",IFERROR(INDEX(DefaultAuctionValues!$D$2:$D$1000,MATCH(A436,DefaultAuctionValues!$A$2:$A$1000,0)),0))))</f>
        <v>0</v>
      </c>
      <c r="L436" s="160">
        <f ca="1">I436-K436</f>
        <v>-14.523483874765748</v>
      </c>
      <c r="M436" s="175"/>
      <c r="N436" s="170">
        <f ca="1">INDEX(INDIRECT(""&amp;$B436&amp;"!Z2:Z628"),MATCH($A436,INDIRECT(""&amp;$B436&amp;"!B2:B628"),0))</f>
        <v>-40.050000000000004</v>
      </c>
      <c r="O436" s="158" t="str">
        <f ca="1">IF(INDEX(INDIRECT(""&amp;$B436&amp;"!W2:W628"),MATCH($A436,INDIRECT(""&amp;$B436&amp;"!B2:B628"),0))=0,"",INDEX(INDIRECT(""&amp;$B436&amp;"!W2:W628"),MATCH($A436,INDIRECT(""&amp;$B436&amp;"!B2:B628"),0)))</f>
        <v/>
      </c>
    </row>
    <row r="437" spans="1:15" x14ac:dyDescent="0.25">
      <c r="A437" s="158" t="s">
        <v>2497</v>
      </c>
      <c r="B437" s="158" t="s">
        <v>43</v>
      </c>
      <c r="C437" s="158">
        <f ca="1">IFERROR(INDEX(BYEs!$B$2:$B$33,MATCH(D437,BYEs!$A$2:$A$33,0)),"N/A")</f>
        <v>14</v>
      </c>
      <c r="D437" s="219" t="str">
        <f ca="1">INDEX(INDIRECT(""&amp;B437&amp;"!F2:F628"),MATCH(A437,INDIRECT(""&amp;B437&amp;"!B2:B628"),0))</f>
        <v>ATL</v>
      </c>
      <c r="E437" s="218" t="str">
        <f ca="1">INDEX(INDIRECT(""&amp;$B437&amp;"!AA2:AA628"),MATCH($A437,INDIRECT(""&amp;$B437&amp;"!B2:B628"),0))</f>
        <v>TE11</v>
      </c>
      <c r="F437" s="159">
        <f ca="1">IF(LeagueInfo!$H$7="Starter/Bench",INDEX(INDIRECT(""&amp;B437&amp;"!T2:T628"),MATCH(A437,INDIRECT(""&amp;B437&amp;"!B2:B628"),0)),INDEX(INDIRECT(""&amp;B437&amp;"!AB2:AB628"),MATCH(A437,INDIRECT(""&amp;B437&amp;"!B2:B628"),0)))</f>
        <v>-14.697548100980169</v>
      </c>
      <c r="G437" s="160">
        <f>IF(H437&gt;0,F437-H437,0)</f>
        <v>0</v>
      </c>
      <c r="H437" s="161"/>
      <c r="I437" s="160">
        <f ca="1">F437*$A$2</f>
        <v>-14.697548100980169</v>
      </c>
      <c r="J437" s="160" t="s">
        <v>76</v>
      </c>
      <c r="K437" s="160">
        <f>IF(LeagueInfo!$F$7="Yahoo",IFERROR(INDEX(DefaultAuctionValues!$B$2:$B$1000,MATCH(A437,DefaultAuctionValues!$A$2:$A$1000,0)),0),IF(LeagueInfo!$F$7="ESPN",IFERROR(INDEX(DefaultAuctionValues!$C$2:$C$1000,MATCH(A437,DefaultAuctionValues!$A$2:$A$1000,0)),0),IF(LeagueInfo!$F$7="Custom",IFERROR(INDEX(DefaultAuctionValues!$D$2:$D$1000,MATCH(A437,DefaultAuctionValues!$A$2:$A$1000,0)),0))))</f>
        <v>0</v>
      </c>
      <c r="L437" s="160">
        <f ca="1">I437-K437</f>
        <v>-14.697548100980169</v>
      </c>
      <c r="M437" s="175"/>
      <c r="N437" s="170">
        <f ca="1">INDEX(INDIRECT(""&amp;$B437&amp;"!Z2:Z628"),MATCH($A437,INDIRECT(""&amp;$B437&amp;"!B2:B628"),0))</f>
        <v>-40.53</v>
      </c>
      <c r="O437" s="158" t="str">
        <f ca="1">IF(INDEX(INDIRECT(""&amp;$B437&amp;"!W2:W628"),MATCH($A437,INDIRECT(""&amp;$B437&amp;"!B2:B628"),0))=0,"",INDEX(INDIRECT(""&amp;$B437&amp;"!W2:W628"),MATCH($A437,INDIRECT(""&amp;$B437&amp;"!B2:B628"),0)))</f>
        <v/>
      </c>
    </row>
    <row r="438" spans="1:15" x14ac:dyDescent="0.25">
      <c r="A438" s="158" t="s">
        <v>2482</v>
      </c>
      <c r="B438" s="158" t="s">
        <v>43</v>
      </c>
      <c r="C438" s="158">
        <f ca="1">IFERROR(INDEX(BYEs!$B$2:$B$33,MATCH(D438,BYEs!$A$2:$A$33,0)),"N/A")</f>
        <v>9</v>
      </c>
      <c r="D438" s="219" t="str">
        <f ca="1">INDEX(INDIRECT(""&amp;B438&amp;"!F2:F628"),MATCH(A438,INDIRECT(""&amp;B438&amp;"!B2:B628"),0))</f>
        <v>PIT</v>
      </c>
      <c r="E438" s="218" t="str">
        <f ca="1">INDEX(INDIRECT(""&amp;$B438&amp;"!AA2:AA628"),MATCH($A438,INDIRECT(""&amp;$B438&amp;"!B2:B628"),0))</f>
        <v>TE11</v>
      </c>
      <c r="F438" s="159">
        <f ca="1">IF(LeagueInfo!$H$7="Starter/Bench",INDEX(INDIRECT(""&amp;B438&amp;"!T2:T628"),MATCH(A438,INDIRECT(""&amp;B438&amp;"!B2:B628"),0)),INDEX(INDIRECT(""&amp;B438&amp;"!AB2:AB628"),MATCH(A438,INDIRECT(""&amp;B438&amp;"!B2:B628"),0)))</f>
        <v>-14.721119298280041</v>
      </c>
      <c r="G438" s="160">
        <f>IF(H438&gt;0,F438-H438,0)</f>
        <v>0</v>
      </c>
      <c r="H438" s="161"/>
      <c r="I438" s="160">
        <f ca="1">F438*$A$2</f>
        <v>-14.721119298280041</v>
      </c>
      <c r="J438" s="160" t="s">
        <v>76</v>
      </c>
      <c r="K438" s="160">
        <f>IF(LeagueInfo!$F$7="Yahoo",IFERROR(INDEX(DefaultAuctionValues!$B$2:$B$1000,MATCH(A438,DefaultAuctionValues!$A$2:$A$1000,0)),0),IF(LeagueInfo!$F$7="ESPN",IFERROR(INDEX(DefaultAuctionValues!$C$2:$C$1000,MATCH(A438,DefaultAuctionValues!$A$2:$A$1000,0)),0),IF(LeagueInfo!$F$7="Custom",IFERROR(INDEX(DefaultAuctionValues!$D$2:$D$1000,MATCH(A438,DefaultAuctionValues!$A$2:$A$1000,0)),0))))</f>
        <v>0</v>
      </c>
      <c r="L438" s="160">
        <f ca="1">I438-K438</f>
        <v>-14.721119298280041</v>
      </c>
      <c r="M438" s="175"/>
      <c r="N438" s="170">
        <f ca="1">INDEX(INDIRECT(""&amp;$B438&amp;"!Z2:Z628"),MATCH($A438,INDIRECT(""&amp;$B438&amp;"!B2:B628"),0))</f>
        <v>-40.595000000000006</v>
      </c>
      <c r="O438" s="158" t="str">
        <f ca="1">IF(INDEX(INDIRECT(""&amp;$B438&amp;"!W2:W628"),MATCH($A438,INDIRECT(""&amp;$B438&amp;"!B2:B628"),0))=0,"",INDEX(INDIRECT(""&amp;$B438&amp;"!W2:W628"),MATCH($A438,INDIRECT(""&amp;$B438&amp;"!B2:B628"),0)))</f>
        <v/>
      </c>
    </row>
    <row r="439" spans="1:15" x14ac:dyDescent="0.25">
      <c r="A439" s="158" t="s">
        <v>978</v>
      </c>
      <c r="B439" s="158" t="s">
        <v>43</v>
      </c>
      <c r="C439" s="158">
        <f ca="1">IFERROR(INDEX(BYEs!$B$2:$B$33,MATCH(D439,BYEs!$A$2:$A$33,0)),"N/A")</f>
        <v>8</v>
      </c>
      <c r="D439" s="219" t="str">
        <f ca="1">INDEX(INDIRECT(""&amp;B439&amp;"!F2:F628"),MATCH(A439,INDIRECT(""&amp;B439&amp;"!B2:B628"),0))</f>
        <v>KC</v>
      </c>
      <c r="E439" s="218" t="str">
        <f ca="1">INDEX(INDIRECT(""&amp;$B439&amp;"!AA2:AA628"),MATCH($A439,INDIRECT(""&amp;$B439&amp;"!B2:B628"),0))</f>
        <v>TE11</v>
      </c>
      <c r="F439" s="159">
        <f ca="1">IF(LeagueInfo!$H$7="Starter/Bench",INDEX(INDIRECT(""&amp;B439&amp;"!T2:T628"),MATCH(A439,INDIRECT(""&amp;B439&amp;"!B2:B628"),0)),INDEX(INDIRECT(""&amp;B439&amp;"!AB2:AB628"),MATCH(A439,INDIRECT(""&amp;B439&amp;"!B2:B628"),0)))</f>
        <v>-14.751943171672178</v>
      </c>
      <c r="G439" s="160">
        <f>IF(H439&gt;0,F439-H439,0)</f>
        <v>0</v>
      </c>
      <c r="H439" s="161"/>
      <c r="I439" s="160">
        <f ca="1">F439*$A$2</f>
        <v>-14.751943171672178</v>
      </c>
      <c r="J439" s="160" t="s">
        <v>76</v>
      </c>
      <c r="K439" s="160">
        <f>IF(LeagueInfo!$F$7="Yahoo",IFERROR(INDEX(DefaultAuctionValues!$B$2:$B$1000,MATCH(A439,DefaultAuctionValues!$A$2:$A$1000,0)),0),IF(LeagueInfo!$F$7="ESPN",IFERROR(INDEX(DefaultAuctionValues!$C$2:$C$1000,MATCH(A439,DefaultAuctionValues!$A$2:$A$1000,0)),0),IF(LeagueInfo!$F$7="Custom",IFERROR(INDEX(DefaultAuctionValues!$D$2:$D$1000,MATCH(A439,DefaultAuctionValues!$A$2:$A$1000,0)),0))))</f>
        <v>0</v>
      </c>
      <c r="L439" s="160">
        <f ca="1">I439-K439</f>
        <v>-14.751943171672178</v>
      </c>
      <c r="M439" s="175"/>
      <c r="N439" s="170">
        <f ca="1">INDEX(INDIRECT(""&amp;$B439&amp;"!Z2:Z628"),MATCH($A439,INDIRECT(""&amp;$B439&amp;"!B2:B628"),0))</f>
        <v>-40.680000000000007</v>
      </c>
      <c r="O439" s="158" t="str">
        <f ca="1">IF(INDEX(INDIRECT(""&amp;$B439&amp;"!W2:W628"),MATCH($A439,INDIRECT(""&amp;$B439&amp;"!B2:B628"),0))=0,"",INDEX(INDIRECT(""&amp;$B439&amp;"!W2:W628"),MATCH($A439,INDIRECT(""&amp;$B439&amp;"!B2:B628"),0)))</f>
        <v/>
      </c>
    </row>
    <row r="440" spans="1:15" x14ac:dyDescent="0.25">
      <c r="A440" s="158" t="s">
        <v>2484</v>
      </c>
      <c r="B440" s="158" t="s">
        <v>43</v>
      </c>
      <c r="C440" s="158">
        <f ca="1">IFERROR(INDEX(BYEs!$B$2:$B$33,MATCH(D440,BYEs!$A$2:$A$33,0)),"N/A")</f>
        <v>8</v>
      </c>
      <c r="D440" s="219" t="str">
        <f ca="1">INDEX(INDIRECT(""&amp;B440&amp;"!F2:F628"),MATCH(A440,INDIRECT(""&amp;B440&amp;"!B2:B628"),0))</f>
        <v>KC</v>
      </c>
      <c r="E440" s="218" t="str">
        <f ca="1">INDEX(INDIRECT(""&amp;$B440&amp;"!AA2:AA628"),MATCH($A440,INDIRECT(""&amp;$B440&amp;"!B2:B628"),0))</f>
        <v>TE11</v>
      </c>
      <c r="F440" s="159">
        <f ca="1">IF(LeagueInfo!$H$7="Starter/Bench",INDEX(INDIRECT(""&amp;B440&amp;"!T2:T628"),MATCH(A440,INDIRECT(""&amp;B440&amp;"!B2:B628"),0)),INDEX(INDIRECT(""&amp;B440&amp;"!AB2:AB628"),MATCH(A440,INDIRECT(""&amp;B440&amp;"!B2:B628"),0)))</f>
        <v>-14.779140707018179</v>
      </c>
      <c r="G440" s="160">
        <f>IF(H440&gt;0,F440-H440,0)</f>
        <v>0</v>
      </c>
      <c r="H440" s="161"/>
      <c r="I440" s="160">
        <f ca="1">F440*$A$2</f>
        <v>-14.779140707018179</v>
      </c>
      <c r="J440" s="160" t="s">
        <v>76</v>
      </c>
      <c r="K440" s="160">
        <f>IF(LeagueInfo!$F$7="Yahoo",IFERROR(INDEX(DefaultAuctionValues!$B$2:$B$1000,MATCH(A440,DefaultAuctionValues!$A$2:$A$1000,0)),0),IF(LeagueInfo!$F$7="ESPN",IFERROR(INDEX(DefaultAuctionValues!$C$2:$C$1000,MATCH(A440,DefaultAuctionValues!$A$2:$A$1000,0)),0),IF(LeagueInfo!$F$7="Custom",IFERROR(INDEX(DefaultAuctionValues!$D$2:$D$1000,MATCH(A440,DefaultAuctionValues!$A$2:$A$1000,0)),0))))</f>
        <v>0</v>
      </c>
      <c r="L440" s="160">
        <f ca="1">I440-K440</f>
        <v>-14.779140707018179</v>
      </c>
      <c r="M440" s="175"/>
      <c r="N440" s="170">
        <f ca="1">INDEX(INDIRECT(""&amp;$B440&amp;"!Z2:Z628"),MATCH($A440,INDIRECT(""&amp;$B440&amp;"!B2:B628"),0))</f>
        <v>-40.755000000000003</v>
      </c>
      <c r="O440" s="158" t="str">
        <f ca="1">IF(INDEX(INDIRECT(""&amp;$B440&amp;"!W2:W628"),MATCH($A440,INDIRECT(""&amp;$B440&amp;"!B2:B628"),0))=0,"",INDEX(INDIRECT(""&amp;$B440&amp;"!W2:W628"),MATCH($A440,INDIRECT(""&amp;$B440&amp;"!B2:B628"),0)))</f>
        <v/>
      </c>
    </row>
    <row r="441" spans="1:15" x14ac:dyDescent="0.25">
      <c r="A441" s="158" t="s">
        <v>751</v>
      </c>
      <c r="B441" s="158" t="s">
        <v>43</v>
      </c>
      <c r="C441" s="158">
        <f ca="1">IFERROR(INDEX(BYEs!$B$2:$B$33,MATCH(D441,BYEs!$A$2:$A$33,0)),"N/A")</f>
        <v>10</v>
      </c>
      <c r="D441" s="219" t="str">
        <f ca="1">INDEX(INDIRECT(""&amp;B441&amp;"!F2:F628"),MATCH(A441,INDIRECT(""&amp;B441&amp;"!B2:B628"),0))</f>
        <v>CIN</v>
      </c>
      <c r="E441" s="218" t="str">
        <f ca="1">INDEX(INDIRECT(""&amp;$B441&amp;"!AA2:AA628"),MATCH($A441,INDIRECT(""&amp;$B441&amp;"!B2:B628"),0))</f>
        <v>TE11</v>
      </c>
      <c r="F441" s="159">
        <f ca="1">IF(LeagueInfo!$H$7="Starter/Bench",INDEX(INDIRECT(""&amp;B441&amp;"!T2:T628"),MATCH(A441,INDIRECT(""&amp;B441&amp;"!B2:B628"),0)),INDEX(INDIRECT(""&amp;B441&amp;"!AB2:AB628"),MATCH(A441,INDIRECT(""&amp;B441&amp;"!B2:B628"),0)))</f>
        <v>-14.893370355471395</v>
      </c>
      <c r="G441" s="160">
        <f>IF(H441&gt;0,F441-H441,0)</f>
        <v>0</v>
      </c>
      <c r="H441" s="161"/>
      <c r="I441" s="160">
        <f ca="1">F441*$A$2</f>
        <v>-14.893370355471395</v>
      </c>
      <c r="J441" s="160" t="s">
        <v>76</v>
      </c>
      <c r="K441" s="160">
        <f>IF(LeagueInfo!$F$7="Yahoo",IFERROR(INDEX(DefaultAuctionValues!$B$2:$B$1000,MATCH(A441,DefaultAuctionValues!$A$2:$A$1000,0)),0),IF(LeagueInfo!$F$7="ESPN",IFERROR(INDEX(DefaultAuctionValues!$C$2:$C$1000,MATCH(A441,DefaultAuctionValues!$A$2:$A$1000,0)),0),IF(LeagueInfo!$F$7="Custom",IFERROR(INDEX(DefaultAuctionValues!$D$2:$D$1000,MATCH(A441,DefaultAuctionValues!$A$2:$A$1000,0)),0))))</f>
        <v>0</v>
      </c>
      <c r="L441" s="160">
        <f ca="1">I441-K441</f>
        <v>-14.893370355471395</v>
      </c>
      <c r="M441" s="175"/>
      <c r="N441" s="170">
        <f ca="1">INDEX(INDIRECT(""&amp;$B441&amp;"!Z2:Z628"),MATCH($A441,INDIRECT(""&amp;$B441&amp;"!B2:B628"),0))</f>
        <v>-41.070000000000007</v>
      </c>
      <c r="O441" s="158" t="str">
        <f ca="1">IF(INDEX(INDIRECT(""&amp;$B441&amp;"!W2:W628"),MATCH($A441,INDIRECT(""&amp;$B441&amp;"!B2:B628"),0))=0,"",INDEX(INDIRECT(""&amp;$B441&amp;"!W2:W628"),MATCH($A441,INDIRECT(""&amp;$B441&amp;"!B2:B628"),0)))</f>
        <v/>
      </c>
    </row>
    <row r="442" spans="1:15" x14ac:dyDescent="0.25">
      <c r="A442" s="158" t="s">
        <v>1009</v>
      </c>
      <c r="B442" s="158" t="s">
        <v>28</v>
      </c>
      <c r="C442" s="158">
        <f ca="1">IFERROR(INDEX(BYEs!$B$2:$B$33,MATCH(D442,BYEs!$A$2:$A$33,0)),"N/A")</f>
        <v>14</v>
      </c>
      <c r="D442" s="219" t="str">
        <f ca="1">INDEX(INDIRECT(""&amp;B442&amp;"!F2:F628"),MATCH(A442,INDIRECT(""&amp;B442&amp;"!B2:B628"),0))</f>
        <v>WAS</v>
      </c>
      <c r="E442" s="218" t="str">
        <f ca="1">INDEX(INDIRECT(""&amp;$B442&amp;"!AA2:AA628"),MATCH($A442,INDIRECT(""&amp;$B442&amp;"!B2:B628"),0))</f>
        <v>RB10</v>
      </c>
      <c r="F442" s="159">
        <f ca="1">IF(LeagueInfo!$H$7="Starter/Bench",INDEX(INDIRECT(""&amp;B442&amp;"!T2:T628"),MATCH(A442,INDIRECT(""&amp;B442&amp;"!B2:B628"),0)),INDEX(INDIRECT(""&amp;B442&amp;"!AB2:AB628"),MATCH(A442,INDIRECT(""&amp;B442&amp;"!B2:B628"),0)))</f>
        <v>-14.902436200586729</v>
      </c>
      <c r="G442" s="160">
        <f>IF(H442&gt;0,F442-H442,0)</f>
        <v>0</v>
      </c>
      <c r="H442" s="161"/>
      <c r="I442" s="160">
        <f ca="1">F442*$A$2</f>
        <v>-14.902436200586729</v>
      </c>
      <c r="J442" s="160" t="s">
        <v>76</v>
      </c>
      <c r="K442" s="160">
        <f>IF(LeagueInfo!$F$7="Yahoo",IFERROR(INDEX(DefaultAuctionValues!$B$2:$B$1000,MATCH(A442,DefaultAuctionValues!$A$2:$A$1000,0)),0),IF(LeagueInfo!$F$7="ESPN",IFERROR(INDEX(DefaultAuctionValues!$C$2:$C$1000,MATCH(A442,DefaultAuctionValues!$A$2:$A$1000,0)),0),IF(LeagueInfo!$F$7="Custom",IFERROR(INDEX(DefaultAuctionValues!$D$2:$D$1000,MATCH(A442,DefaultAuctionValues!$A$2:$A$1000,0)),0))))</f>
        <v>0</v>
      </c>
      <c r="L442" s="160">
        <f ca="1">I442-K442</f>
        <v>-14.902436200586729</v>
      </c>
      <c r="M442" s="175"/>
      <c r="N442" s="170">
        <f ca="1">INDEX(INDIRECT(""&amp;$B442&amp;"!Z2:Z628"),MATCH($A442,INDIRECT(""&amp;$B442&amp;"!B2:B628"),0))</f>
        <v>-41.095000000000006</v>
      </c>
      <c r="O442" s="158" t="str">
        <f ca="1">IF(INDEX(INDIRECT(""&amp;$B442&amp;"!W2:W628"),MATCH($A442,INDIRECT(""&amp;$B442&amp;"!B2:B628"),0))=0,"",INDEX(INDIRECT(""&amp;$B442&amp;"!W2:W628"),MATCH($A442,INDIRECT(""&amp;$B442&amp;"!B2:B628"),0)))</f>
        <v/>
      </c>
    </row>
    <row r="443" spans="1:15" x14ac:dyDescent="0.25">
      <c r="A443" s="158" t="s">
        <v>850</v>
      </c>
      <c r="B443" s="158" t="s">
        <v>35</v>
      </c>
      <c r="C443" s="158">
        <f ca="1">IFERROR(INDEX(BYEs!$B$2:$B$33,MATCH(D443,BYEs!$A$2:$A$33,0)),"N/A")</f>
        <v>11</v>
      </c>
      <c r="D443" s="219" t="str">
        <f ca="1">INDEX(INDIRECT(""&amp;B443&amp;"!F2:F628"),MATCH(A443,INDIRECT(""&amp;B443&amp;"!B2:B628"),0))</f>
        <v>JAC</v>
      </c>
      <c r="E443" s="218" t="str">
        <f ca="1">INDEX(INDIRECT(""&amp;$B443&amp;"!AA2:AA628"),MATCH($A443,INDIRECT(""&amp;$B443&amp;"!B2:B628"),0))</f>
        <v>WR11</v>
      </c>
      <c r="F443" s="159">
        <f ca="1">IF(LeagueInfo!$H$7="Starter/Bench",INDEX(INDIRECT(""&amp;B443&amp;"!T2:T628"),MATCH(A443,INDIRECT(""&amp;B443&amp;"!B2:B628"),0)),INDEX(INDIRECT(""&amp;B443&amp;"!AB2:AB628"),MATCH(A443,INDIRECT(""&amp;B443&amp;"!B2:B628"),0)))</f>
        <v>-15.100071624101018</v>
      </c>
      <c r="G443" s="160">
        <f>IF(H443&gt;0,F443-H443,0)</f>
        <v>0</v>
      </c>
      <c r="H443" s="161"/>
      <c r="I443" s="160">
        <f ca="1">F443*$A$2</f>
        <v>-15.100071624101018</v>
      </c>
      <c r="J443" s="160" t="s">
        <v>76</v>
      </c>
      <c r="K443" s="160">
        <f>IF(LeagueInfo!$F$7="Yahoo",IFERROR(INDEX(DefaultAuctionValues!$B$2:$B$1000,MATCH(A443,DefaultAuctionValues!$A$2:$A$1000,0)),0),IF(LeagueInfo!$F$7="ESPN",IFERROR(INDEX(DefaultAuctionValues!$C$2:$C$1000,MATCH(A443,DefaultAuctionValues!$A$2:$A$1000,0)),0),IF(LeagueInfo!$F$7="Custom",IFERROR(INDEX(DefaultAuctionValues!$D$2:$D$1000,MATCH(A443,DefaultAuctionValues!$A$2:$A$1000,0)),0))))</f>
        <v>0</v>
      </c>
      <c r="L443" s="160">
        <f ca="1">I443-K443</f>
        <v>-15.100071624101018</v>
      </c>
      <c r="M443" s="175"/>
      <c r="N443" s="170">
        <f ca="1">INDEX(INDIRECT(""&amp;$B443&amp;"!Z2:Z628"),MATCH($A443,INDIRECT(""&amp;$B443&amp;"!B2:B628"),0))</f>
        <v>-41.64</v>
      </c>
      <c r="O443" s="158" t="str">
        <f ca="1">IF(INDEX(INDIRECT(""&amp;$B443&amp;"!W2:W628"),MATCH($A443,INDIRECT(""&amp;$B443&amp;"!B2:B628"),0))=0,"",INDEX(INDIRECT(""&amp;$B443&amp;"!W2:W628"),MATCH($A443,INDIRECT(""&amp;$B443&amp;"!B2:B628"),0)))</f>
        <v/>
      </c>
    </row>
    <row r="444" spans="1:15" x14ac:dyDescent="0.25">
      <c r="A444" s="158" t="s">
        <v>980</v>
      </c>
      <c r="B444" s="158" t="s">
        <v>43</v>
      </c>
      <c r="C444" s="158">
        <f ca="1">IFERROR(INDEX(BYEs!$B$2:$B$33,MATCH(D444,BYEs!$A$2:$A$33,0)),"N/A")</f>
        <v>11</v>
      </c>
      <c r="D444" s="219" t="str">
        <f ca="1">INDEX(INDIRECT(""&amp;B444&amp;"!F2:F628"),MATCH(A444,INDIRECT(""&amp;B444&amp;"!B2:B628"),0))</f>
        <v>JAC</v>
      </c>
      <c r="E444" s="218" t="str">
        <f ca="1">INDEX(INDIRECT(""&amp;$B444&amp;"!AA2:AA628"),MATCH($A444,INDIRECT(""&amp;$B444&amp;"!B2:B628"),0))</f>
        <v>TE12</v>
      </c>
      <c r="F444" s="159">
        <f ca="1">IF(LeagueInfo!$H$7="Starter/Bench",INDEX(INDIRECT(""&amp;B444&amp;"!T2:T628"),MATCH(A444,INDIRECT(""&amp;B444&amp;"!B2:B628"),0)),INDEX(INDIRECT(""&amp;B444&amp;"!AB2:AB628"),MATCH(A444,INDIRECT(""&amp;B444&amp;"!B2:B628"),0)))</f>
        <v>-15.214301272554232</v>
      </c>
      <c r="G444" s="160">
        <f>IF(H444&gt;0,F444-H444,0)</f>
        <v>0</v>
      </c>
      <c r="H444" s="161"/>
      <c r="I444" s="160">
        <f ca="1">F444*$A$2</f>
        <v>-15.214301272554232</v>
      </c>
      <c r="J444" s="160" t="s">
        <v>76</v>
      </c>
      <c r="K444" s="160">
        <f>IF(LeagueInfo!$F$7="Yahoo",IFERROR(INDEX(DefaultAuctionValues!$B$2:$B$1000,MATCH(A444,DefaultAuctionValues!$A$2:$A$1000,0)),0),IF(LeagueInfo!$F$7="ESPN",IFERROR(INDEX(DefaultAuctionValues!$C$2:$C$1000,MATCH(A444,DefaultAuctionValues!$A$2:$A$1000,0)),0),IF(LeagueInfo!$F$7="Custom",IFERROR(INDEX(DefaultAuctionValues!$D$2:$D$1000,MATCH(A444,DefaultAuctionValues!$A$2:$A$1000,0)),0))))</f>
        <v>0</v>
      </c>
      <c r="L444" s="160">
        <f ca="1">I444-K444</f>
        <v>-15.214301272554232</v>
      </c>
      <c r="M444" s="175"/>
      <c r="N444" s="170">
        <f ca="1">INDEX(INDIRECT(""&amp;$B444&amp;"!Z2:Z628"),MATCH($A444,INDIRECT(""&amp;$B444&amp;"!B2:B628"),0))</f>
        <v>-41.955000000000005</v>
      </c>
      <c r="O444" s="158" t="str">
        <f ca="1">IF(INDEX(INDIRECT(""&amp;$B444&amp;"!W2:W628"),MATCH($A444,INDIRECT(""&amp;$B444&amp;"!B2:B628"),0))=0,"",INDEX(INDIRECT(""&amp;$B444&amp;"!W2:W628"),MATCH($A444,INDIRECT(""&amp;$B444&amp;"!B2:B628"),0)))</f>
        <v/>
      </c>
    </row>
    <row r="445" spans="1:15" x14ac:dyDescent="0.25">
      <c r="A445" s="158" t="s">
        <v>317</v>
      </c>
      <c r="B445" s="158" t="s">
        <v>29</v>
      </c>
      <c r="C445" s="158">
        <f ca="1">IFERROR(INDEX(BYEs!$B$2:$B$33,MATCH(D445,BYEs!$A$2:$A$33,0)),"N/A")</f>
        <v>11</v>
      </c>
      <c r="D445" s="219" t="str">
        <f ca="1">INDEX(INDIRECT(""&amp;B445&amp;"!F2:F628"),MATCH(A445,INDIRECT(""&amp;B445&amp;"!B2:B628"),0))</f>
        <v>SEA</v>
      </c>
      <c r="E445" s="218" t="str">
        <f ca="1">INDEX(INDIRECT(""&amp;$B445&amp;"!AA2:AA628"),MATCH($A445,INDIRECT(""&amp;$B445&amp;"!B2:B628"),0))</f>
        <v>QB7</v>
      </c>
      <c r="F445" s="159">
        <f ca="1">IF(LeagueInfo!$H$7="Starter/Bench",INDEX(INDIRECT(""&amp;B445&amp;"!T2:T628"),MATCH(A445,INDIRECT(""&amp;B445&amp;"!B2:B628"),0)),INDEX(INDIRECT(""&amp;B445&amp;"!AB2:AB628"),MATCH(A445,INDIRECT(""&amp;B445&amp;"!B2:B628"),0)))</f>
        <v>-15.273410582706209</v>
      </c>
      <c r="G445" s="160">
        <f>IF(H445&gt;0,F445-H445,0)</f>
        <v>0</v>
      </c>
      <c r="H445" s="161"/>
      <c r="I445" s="160">
        <f ca="1">F445*$A$2</f>
        <v>-15.273410582706209</v>
      </c>
      <c r="J445" s="160" t="s">
        <v>76</v>
      </c>
      <c r="K445" s="160">
        <f>IF(LeagueInfo!$F$7="Yahoo",IFERROR(INDEX(DefaultAuctionValues!$B$2:$B$1000,MATCH(A445,DefaultAuctionValues!$A$2:$A$1000,0)),0),IF(LeagueInfo!$F$7="ESPN",IFERROR(INDEX(DefaultAuctionValues!$C$2:$C$1000,MATCH(A445,DefaultAuctionValues!$A$2:$A$1000,0)),0),IF(LeagueInfo!$F$7="Custom",IFERROR(INDEX(DefaultAuctionValues!$D$2:$D$1000,MATCH(A445,DefaultAuctionValues!$A$2:$A$1000,0)),0))))</f>
        <v>0</v>
      </c>
      <c r="L445" s="160">
        <f ca="1">I445-K445</f>
        <v>-15.273410582706209</v>
      </c>
      <c r="M445" s="175"/>
      <c r="N445" s="170">
        <f ca="1">INDEX(INDIRECT(""&amp;$B445&amp;"!Z2:Z628"),MATCH($A445,INDIRECT(""&amp;$B445&amp;"!B2:B628"),0))</f>
        <v>-42.117999999999995</v>
      </c>
      <c r="O445" s="158" t="str">
        <f ca="1">IF(INDEX(INDIRECT(""&amp;$B445&amp;"!W2:W628"),MATCH($A445,INDIRECT(""&amp;$B445&amp;"!B2:B628"),0))=0,"",INDEX(INDIRECT(""&amp;$B445&amp;"!W2:W628"),MATCH($A445,INDIRECT(""&amp;$B445&amp;"!B2:B628"),0)))</f>
        <v/>
      </c>
    </row>
    <row r="446" spans="1:15" x14ac:dyDescent="0.25">
      <c r="A446" s="158" t="s">
        <v>2483</v>
      </c>
      <c r="B446" s="158" t="s">
        <v>43</v>
      </c>
      <c r="C446" s="158">
        <f ca="1">IFERROR(INDEX(BYEs!$B$2:$B$33,MATCH(D446,BYEs!$A$2:$A$33,0)),"N/A")</f>
        <v>11</v>
      </c>
      <c r="D446" s="219" t="str">
        <f ca="1">INDEX(INDIRECT(""&amp;B446&amp;"!F2:F628"),MATCH(A446,INDIRECT(""&amp;B446&amp;"!B2:B628"),0))</f>
        <v>TB</v>
      </c>
      <c r="E446" s="218" t="str">
        <f ca="1">INDEX(INDIRECT(""&amp;$B446&amp;"!AA2:AA628"),MATCH($A446,INDIRECT(""&amp;$B446&amp;"!B2:B628"),0))</f>
        <v>TE12</v>
      </c>
      <c r="F446" s="159">
        <f ca="1">IF(LeagueInfo!$H$7="Starter/Bench",INDEX(INDIRECT(""&amp;B446&amp;"!T2:T628"),MATCH(A446,INDIRECT(""&amp;B446&amp;"!B2:B628"),0)),INDEX(INDIRECT(""&amp;B446&amp;"!AB2:AB628"),MATCH(A446,INDIRECT(""&amp;B446&amp;"!B2:B628"),0)))</f>
        <v>-15.35572845635345</v>
      </c>
      <c r="G446" s="160">
        <f>IF(H446&gt;0,F446-H446,0)</f>
        <v>0</v>
      </c>
      <c r="H446" s="161"/>
      <c r="I446" s="160">
        <f ca="1">F446*$A$2</f>
        <v>-15.35572845635345</v>
      </c>
      <c r="J446" s="160" t="s">
        <v>76</v>
      </c>
      <c r="K446" s="160">
        <f>IF(LeagueInfo!$F$7="Yahoo",IFERROR(INDEX(DefaultAuctionValues!$B$2:$B$1000,MATCH(A446,DefaultAuctionValues!$A$2:$A$1000,0)),0),IF(LeagueInfo!$F$7="ESPN",IFERROR(INDEX(DefaultAuctionValues!$C$2:$C$1000,MATCH(A446,DefaultAuctionValues!$A$2:$A$1000,0)),0),IF(LeagueInfo!$F$7="Custom",IFERROR(INDEX(DefaultAuctionValues!$D$2:$D$1000,MATCH(A446,DefaultAuctionValues!$A$2:$A$1000,0)),0))))</f>
        <v>0</v>
      </c>
      <c r="L446" s="160">
        <f ca="1">I446-K446</f>
        <v>-15.35572845635345</v>
      </c>
      <c r="M446" s="175"/>
      <c r="N446" s="170">
        <f ca="1">INDEX(INDIRECT(""&amp;$B446&amp;"!Z2:Z628"),MATCH($A446,INDIRECT(""&amp;$B446&amp;"!B2:B628"),0))</f>
        <v>-42.345000000000006</v>
      </c>
      <c r="O446" s="158" t="str">
        <f ca="1">IF(INDEX(INDIRECT(""&amp;$B446&amp;"!W2:W628"),MATCH($A446,INDIRECT(""&amp;$B446&amp;"!B2:B628"),0))=0,"",INDEX(INDIRECT(""&amp;$B446&amp;"!W2:W628"),MATCH($A446,INDIRECT(""&amp;$B446&amp;"!B2:B628"),0)))</f>
        <v/>
      </c>
    </row>
    <row r="447" spans="1:15" x14ac:dyDescent="0.25">
      <c r="A447" s="158" t="s">
        <v>406</v>
      </c>
      <c r="B447" s="158" t="s">
        <v>35</v>
      </c>
      <c r="C447" s="158">
        <f ca="1">IFERROR(INDEX(BYEs!$B$2:$B$33,MATCH(D447,BYEs!$A$2:$A$33,0)),"N/A")</f>
        <v>9</v>
      </c>
      <c r="D447" s="219" t="str">
        <f ca="1">INDEX(INDIRECT(""&amp;B447&amp;"!F2:F628"),MATCH(A447,INDIRECT(""&amp;B447&amp;"!B2:B628"),0))</f>
        <v>DAL</v>
      </c>
      <c r="E447" s="218" t="str">
        <f ca="1">INDEX(INDIRECT(""&amp;$B447&amp;"!AA2:AA628"),MATCH($A447,INDIRECT(""&amp;$B447&amp;"!B2:B628"),0))</f>
        <v>WR11</v>
      </c>
      <c r="F447" s="159">
        <f ca="1">IF(LeagueInfo!$H$7="Starter/Bench",INDEX(INDIRECT(""&amp;B447&amp;"!T2:T628"),MATCH(A447,INDIRECT(""&amp;B447&amp;"!B2:B628"),0)),INDEX(INDIRECT(""&amp;B447&amp;"!AB2:AB628"),MATCH(A447,INDIRECT(""&amp;B447&amp;"!B2:B628"),0)))</f>
        <v>-15.366607470491846</v>
      </c>
      <c r="G447" s="160">
        <f>IF(H447&gt;0,F447-H447,0)</f>
        <v>0</v>
      </c>
      <c r="H447" s="161"/>
      <c r="I447" s="160">
        <f ca="1">F447*$A$2</f>
        <v>-15.366607470491846</v>
      </c>
      <c r="J447" s="160" t="s">
        <v>76</v>
      </c>
      <c r="K447" s="160">
        <f>IF(LeagueInfo!$F$7="Yahoo",IFERROR(INDEX(DefaultAuctionValues!$B$2:$B$1000,MATCH(A447,DefaultAuctionValues!$A$2:$A$1000,0)),0),IF(LeagueInfo!$F$7="ESPN",IFERROR(INDEX(DefaultAuctionValues!$C$2:$C$1000,MATCH(A447,DefaultAuctionValues!$A$2:$A$1000,0)),0),IF(LeagueInfo!$F$7="Custom",IFERROR(INDEX(DefaultAuctionValues!$D$2:$D$1000,MATCH(A447,DefaultAuctionValues!$A$2:$A$1000,0)),0))))</f>
        <v>0</v>
      </c>
      <c r="L447" s="160">
        <f ca="1">I447-K447</f>
        <v>-15.366607470491846</v>
      </c>
      <c r="M447" s="175"/>
      <c r="N447" s="170">
        <f ca="1">INDEX(INDIRECT(""&amp;$B447&amp;"!Z2:Z628"),MATCH($A447,INDIRECT(""&amp;$B447&amp;"!B2:B628"),0))</f>
        <v>-42.374999999999993</v>
      </c>
      <c r="O447" s="158" t="str">
        <f ca="1">IF(INDEX(INDIRECT(""&amp;$B447&amp;"!W2:W628"),MATCH($A447,INDIRECT(""&amp;$B447&amp;"!B2:B628"),0))=0,"",INDEX(INDIRECT(""&amp;$B447&amp;"!W2:W628"),MATCH($A447,INDIRECT(""&amp;$B447&amp;"!B2:B628"),0)))</f>
        <v/>
      </c>
    </row>
    <row r="448" spans="1:15" x14ac:dyDescent="0.25">
      <c r="A448" s="158" t="s">
        <v>846</v>
      </c>
      <c r="B448" s="158" t="s">
        <v>35</v>
      </c>
      <c r="C448" s="158">
        <f ca="1">IFERROR(INDEX(BYEs!$B$2:$B$33,MATCH(D448,BYEs!$A$2:$A$33,0)),"N/A")</f>
        <v>6</v>
      </c>
      <c r="D448" s="219" t="str">
        <f ca="1">INDEX(INDIRECT(""&amp;B448&amp;"!F2:F628"),MATCH(A448,INDIRECT(""&amp;B448&amp;"!B2:B628"),0))</f>
        <v>HOU</v>
      </c>
      <c r="E448" s="218" t="str">
        <f ca="1">INDEX(INDIRECT(""&amp;$B448&amp;"!AA2:AA628"),MATCH($A448,INDIRECT(""&amp;$B448&amp;"!B2:B628"),0))</f>
        <v>WR11</v>
      </c>
      <c r="F448" s="159">
        <f ca="1">IF(LeagueInfo!$H$7="Starter/Bench",INDEX(INDIRECT(""&amp;B448&amp;"!T2:T628"),MATCH(A448,INDIRECT(""&amp;B448&amp;"!B2:B628"),0)),INDEX(INDIRECT(""&amp;B448&amp;"!AB2:AB628"),MATCH(A448,INDIRECT(""&amp;B448&amp;"!B2:B628"),0)))</f>
        <v>-15.413749865091587</v>
      </c>
      <c r="G448" s="160">
        <f>IF(H448&gt;0,F448-H448,0)</f>
        <v>0</v>
      </c>
      <c r="H448" s="161"/>
      <c r="I448" s="160">
        <f ca="1">F448*$A$2</f>
        <v>-15.413749865091587</v>
      </c>
      <c r="J448" s="160" t="s">
        <v>76</v>
      </c>
      <c r="K448" s="160">
        <f>IF(LeagueInfo!$F$7="Yahoo",IFERROR(INDEX(DefaultAuctionValues!$B$2:$B$1000,MATCH(A448,DefaultAuctionValues!$A$2:$A$1000,0)),0),IF(LeagueInfo!$F$7="ESPN",IFERROR(INDEX(DefaultAuctionValues!$C$2:$C$1000,MATCH(A448,DefaultAuctionValues!$A$2:$A$1000,0)),0),IF(LeagueInfo!$F$7="Custom",IFERROR(INDEX(DefaultAuctionValues!$D$2:$D$1000,MATCH(A448,DefaultAuctionValues!$A$2:$A$1000,0)),0))))</f>
        <v>0</v>
      </c>
      <c r="L448" s="160">
        <f ca="1">I448-K448</f>
        <v>-15.413749865091587</v>
      </c>
      <c r="M448" s="175"/>
      <c r="N448" s="170">
        <f ca="1">INDEX(INDIRECT(""&amp;$B448&amp;"!Z2:Z628"),MATCH($A448,INDIRECT(""&amp;$B448&amp;"!B2:B628"),0))</f>
        <v>-42.504999999999995</v>
      </c>
      <c r="O448" s="158" t="str">
        <f ca="1">IF(INDEX(INDIRECT(""&amp;$B448&amp;"!W2:W628"),MATCH($A448,INDIRECT(""&amp;$B448&amp;"!B2:B628"),0))=0,"",INDEX(INDIRECT(""&amp;$B448&amp;"!W2:W628"),MATCH($A448,INDIRECT(""&amp;$B448&amp;"!B2:B628"),0)))</f>
        <v/>
      </c>
    </row>
    <row r="449" spans="1:15" x14ac:dyDescent="0.25">
      <c r="A449" s="158" t="s">
        <v>2681</v>
      </c>
      <c r="B449" s="158" t="s">
        <v>43</v>
      </c>
      <c r="C449" s="158">
        <f ca="1">IFERROR(INDEX(BYEs!$B$2:$B$33,MATCH(D449,BYEs!$A$2:$A$33,0)),"N/A")</f>
        <v>9</v>
      </c>
      <c r="D449" s="219" t="str">
        <f ca="1">INDEX(INDIRECT(""&amp;B449&amp;"!F2:F628"),MATCH(A449,INDIRECT(""&amp;B449&amp;"!B2:B628"),0))</f>
        <v>DAL</v>
      </c>
      <c r="E449" s="218" t="str">
        <f ca="1">INDEX(INDIRECT(""&amp;$B449&amp;"!AA2:AA628"),MATCH($A449,INDIRECT(""&amp;$B449&amp;"!B2:B628"),0))</f>
        <v>TE12</v>
      </c>
      <c r="F449" s="159">
        <f ca="1">IF(LeagueInfo!$H$7="Starter/Bench",INDEX(INDIRECT(""&amp;B449&amp;"!T2:T628"),MATCH(A449,INDIRECT(""&amp;B449&amp;"!B2:B628"),0)),INDEX(INDIRECT(""&amp;B449&amp;"!AB2:AB628"),MATCH(A449,INDIRECT(""&amp;B449&amp;"!B2:B628"),0)))</f>
        <v>-15.459079090668261</v>
      </c>
      <c r="G449" s="160">
        <f>IF(H449&gt;0,F449-H449,0)</f>
        <v>0</v>
      </c>
      <c r="H449" s="161"/>
      <c r="I449" s="160">
        <f ca="1">F449*$A$2</f>
        <v>-15.459079090668261</v>
      </c>
      <c r="J449" s="160" t="s">
        <v>76</v>
      </c>
      <c r="K449" s="160">
        <f>IF(LeagueInfo!$F$7="Yahoo",IFERROR(INDEX(DefaultAuctionValues!$B$2:$B$1000,MATCH(A449,DefaultAuctionValues!$A$2:$A$1000,0)),0),IF(LeagueInfo!$F$7="ESPN",IFERROR(INDEX(DefaultAuctionValues!$C$2:$C$1000,MATCH(A449,DefaultAuctionValues!$A$2:$A$1000,0)),0),IF(LeagueInfo!$F$7="Custom",IFERROR(INDEX(DefaultAuctionValues!$D$2:$D$1000,MATCH(A449,DefaultAuctionValues!$A$2:$A$1000,0)),0))))</f>
        <v>0</v>
      </c>
      <c r="L449" s="160">
        <f ca="1">I449-K449</f>
        <v>-15.459079090668261</v>
      </c>
      <c r="M449" s="175"/>
      <c r="N449" s="170">
        <f ca="1">INDEX(INDIRECT(""&amp;$B449&amp;"!Z2:Z628"),MATCH($A449,INDIRECT(""&amp;$B449&amp;"!B2:B628"),0))</f>
        <v>-42.63</v>
      </c>
      <c r="O449" s="158" t="str">
        <f ca="1">IF(INDEX(INDIRECT(""&amp;$B449&amp;"!W2:W628"),MATCH($A449,INDIRECT(""&amp;$B449&amp;"!B2:B628"),0))=0,"",INDEX(INDIRECT(""&amp;$B449&amp;"!W2:W628"),MATCH($A449,INDIRECT(""&amp;$B449&amp;"!B2:B628"),0)))</f>
        <v/>
      </c>
    </row>
    <row r="450" spans="1:15" x14ac:dyDescent="0.25">
      <c r="A450" s="158" t="s">
        <v>398</v>
      </c>
      <c r="B450" s="158" t="s">
        <v>35</v>
      </c>
      <c r="C450" s="158">
        <f ca="1">IFERROR(INDEX(BYEs!$B$2:$B$33,MATCH(D450,BYEs!$A$2:$A$33,0)),"N/A")</f>
        <v>13</v>
      </c>
      <c r="D450" s="219" t="str">
        <f ca="1">INDEX(INDIRECT(""&amp;B450&amp;"!F2:F628"),MATCH(A450,INDIRECT(""&amp;B450&amp;"!B2:B628"),0))</f>
        <v>CAR</v>
      </c>
      <c r="E450" s="218" t="str">
        <f ca="1">INDEX(INDIRECT(""&amp;$B450&amp;"!AA2:AA628"),MATCH($A450,INDIRECT(""&amp;$B450&amp;"!B2:B628"),0))</f>
        <v>WR11</v>
      </c>
      <c r="F450" s="159">
        <f ca="1">IF(LeagueInfo!$H$7="Starter/Bench",INDEX(INDIRECT(""&amp;B450&amp;"!T2:T628"),MATCH(A450,INDIRECT(""&amp;B450&amp;"!B2:B628"),0)),INDEX(INDIRECT(""&amp;B450&amp;"!AB2:AB628"),MATCH(A450,INDIRECT(""&amp;B450&amp;"!B2:B628"),0)))</f>
        <v>-15.5279795135448</v>
      </c>
      <c r="G450" s="160">
        <f>IF(H450&gt;0,F450-H450,0)</f>
        <v>0</v>
      </c>
      <c r="H450" s="161"/>
      <c r="I450" s="160">
        <f ca="1">F450*$A$2</f>
        <v>-15.5279795135448</v>
      </c>
      <c r="J450" s="160" t="s">
        <v>76</v>
      </c>
      <c r="K450" s="160">
        <f>IF(LeagueInfo!$F$7="Yahoo",IFERROR(INDEX(DefaultAuctionValues!$B$2:$B$1000,MATCH(A450,DefaultAuctionValues!$A$2:$A$1000,0)),0),IF(LeagueInfo!$F$7="ESPN",IFERROR(INDEX(DefaultAuctionValues!$C$2:$C$1000,MATCH(A450,DefaultAuctionValues!$A$2:$A$1000,0)),0),IF(LeagueInfo!$F$7="Custom",IFERROR(INDEX(DefaultAuctionValues!$D$2:$D$1000,MATCH(A450,DefaultAuctionValues!$A$2:$A$1000,0)),0))))</f>
        <v>0</v>
      </c>
      <c r="L450" s="160">
        <f ca="1">I450-K450</f>
        <v>-15.5279795135448</v>
      </c>
      <c r="M450" s="175"/>
      <c r="N450" s="170">
        <f ca="1">INDEX(INDIRECT(""&amp;$B450&amp;"!Z2:Z628"),MATCH($A450,INDIRECT(""&amp;$B450&amp;"!B2:B628"),0))</f>
        <v>-42.819999999999993</v>
      </c>
      <c r="O450" s="158" t="str">
        <f ca="1">IF(INDEX(INDIRECT(""&amp;$B450&amp;"!W2:W628"),MATCH($A450,INDIRECT(""&amp;$B450&amp;"!B2:B628"),0))=0,"",INDEX(INDIRECT(""&amp;$B450&amp;"!W2:W628"),MATCH($A450,INDIRECT(""&amp;$B450&amp;"!B2:B628"),0)))</f>
        <v/>
      </c>
    </row>
    <row r="451" spans="1:15" x14ac:dyDescent="0.25">
      <c r="A451" s="158" t="s">
        <v>395</v>
      </c>
      <c r="B451" s="158" t="s">
        <v>35</v>
      </c>
      <c r="C451" s="158">
        <f ca="1">IFERROR(INDEX(BYEs!$B$2:$B$33,MATCH(D451,BYEs!$A$2:$A$33,0)),"N/A")</f>
        <v>6</v>
      </c>
      <c r="D451" s="219" t="str">
        <f ca="1">INDEX(INDIRECT(""&amp;B451&amp;"!F2:F628"),MATCH(A451,INDIRECT(""&amp;B451&amp;"!B2:B628"),0))</f>
        <v>HOU</v>
      </c>
      <c r="E451" s="218" t="str">
        <f ca="1">INDEX(INDIRECT(""&amp;$B451&amp;"!AA2:AA628"),MATCH($A451,INDIRECT(""&amp;$B451&amp;"!B2:B628"),0))</f>
        <v>WR11</v>
      </c>
      <c r="F451" s="159">
        <f ca="1">IF(LeagueInfo!$H$7="Starter/Bench",INDEX(INDIRECT(""&amp;B451&amp;"!T2:T628"),MATCH(A451,INDIRECT(""&amp;B451&amp;"!B2:B628"),0)),INDEX(INDIRECT(""&amp;B451&amp;"!AB2:AB628"),MATCH(A451,INDIRECT(""&amp;B451&amp;"!B2:B628"),0)))</f>
        <v>-15.535232189637066</v>
      </c>
      <c r="G451" s="160">
        <f>IF(H451&gt;0,F451-H451,0)</f>
        <v>0</v>
      </c>
      <c r="H451" s="161"/>
      <c r="I451" s="160">
        <f ca="1">F451*$A$2</f>
        <v>-15.535232189637066</v>
      </c>
      <c r="J451" s="160" t="s">
        <v>76</v>
      </c>
      <c r="K451" s="160">
        <f>IF(LeagueInfo!$F$7="Yahoo",IFERROR(INDEX(DefaultAuctionValues!$B$2:$B$1000,MATCH(A451,DefaultAuctionValues!$A$2:$A$1000,0)),0),IF(LeagueInfo!$F$7="ESPN",IFERROR(INDEX(DefaultAuctionValues!$C$2:$C$1000,MATCH(A451,DefaultAuctionValues!$A$2:$A$1000,0)),0),IF(LeagueInfo!$F$7="Custom",IFERROR(INDEX(DefaultAuctionValues!$D$2:$D$1000,MATCH(A451,DefaultAuctionValues!$A$2:$A$1000,0)),0))))</f>
        <v>0</v>
      </c>
      <c r="L451" s="160">
        <f ca="1">I451-K451</f>
        <v>-15.535232189637066</v>
      </c>
      <c r="M451" s="175"/>
      <c r="N451" s="170">
        <f ca="1">INDEX(INDIRECT(""&amp;$B451&amp;"!Z2:Z628"),MATCH($A451,INDIRECT(""&amp;$B451&amp;"!B2:B628"),0))</f>
        <v>-42.839999999999989</v>
      </c>
      <c r="O451" s="158" t="str">
        <f ca="1">IF(INDEX(INDIRECT(""&amp;$B451&amp;"!W2:W628"),MATCH($A451,INDIRECT(""&amp;$B451&amp;"!B2:B628"),0))=0,"",INDEX(INDIRECT(""&amp;$B451&amp;"!W2:W628"),MATCH($A451,INDIRECT(""&amp;$B451&amp;"!B2:B628"),0)))</f>
        <v/>
      </c>
    </row>
    <row r="452" spans="1:15" x14ac:dyDescent="0.25">
      <c r="A452" s="158" t="s">
        <v>720</v>
      </c>
      <c r="B452" s="158" t="s">
        <v>35</v>
      </c>
      <c r="C452" s="158">
        <f ca="1">IFERROR(INDEX(BYEs!$B$2:$B$33,MATCH(D452,BYEs!$A$2:$A$33,0)),"N/A")</f>
        <v>9</v>
      </c>
      <c r="D452" s="219" t="str">
        <f ca="1">INDEX(INDIRECT(""&amp;B452&amp;"!F2:F628"),MATCH(A452,INDIRECT(""&amp;B452&amp;"!B2:B628"),0))</f>
        <v>NYG</v>
      </c>
      <c r="E452" s="218" t="str">
        <f ca="1">INDEX(INDIRECT(""&amp;$B452&amp;"!AA2:AA628"),MATCH($A452,INDIRECT(""&amp;$B452&amp;"!B2:B628"),0))</f>
        <v>WR11</v>
      </c>
      <c r="F452" s="159">
        <f ca="1">IF(LeagueInfo!$H$7="Starter/Bench",INDEX(INDIRECT(""&amp;B452&amp;"!T2:T628"),MATCH(A452,INDIRECT(""&amp;B452&amp;"!B2:B628"),0)),INDEX(INDIRECT(""&amp;B452&amp;"!AB2:AB628"),MATCH(A452,INDIRECT(""&amp;B452&amp;"!B2:B628"),0)))</f>
        <v>-15.537045358660134</v>
      </c>
      <c r="G452" s="160">
        <f>IF(H452&gt;0,F452-H452,0)</f>
        <v>0</v>
      </c>
      <c r="H452" s="161"/>
      <c r="I452" s="160">
        <f ca="1">F452*$A$2</f>
        <v>-15.537045358660134</v>
      </c>
      <c r="J452" s="160" t="s">
        <v>76</v>
      </c>
      <c r="K452" s="160">
        <f>IF(LeagueInfo!$F$7="Yahoo",IFERROR(INDEX(DefaultAuctionValues!$B$2:$B$1000,MATCH(A452,DefaultAuctionValues!$A$2:$A$1000,0)),0),IF(LeagueInfo!$F$7="ESPN",IFERROR(INDEX(DefaultAuctionValues!$C$2:$C$1000,MATCH(A452,DefaultAuctionValues!$A$2:$A$1000,0)),0),IF(LeagueInfo!$F$7="Custom",IFERROR(INDEX(DefaultAuctionValues!$D$2:$D$1000,MATCH(A452,DefaultAuctionValues!$A$2:$A$1000,0)),0))))</f>
        <v>0</v>
      </c>
      <c r="L452" s="160">
        <f ca="1">I452-K452</f>
        <v>-15.537045358660134</v>
      </c>
      <c r="M452" s="175"/>
      <c r="N452" s="170">
        <f ca="1">INDEX(INDIRECT(""&amp;$B452&amp;"!Z2:Z628"),MATCH($A452,INDIRECT(""&amp;$B452&amp;"!B2:B628"),0))</f>
        <v>-42.844999999999992</v>
      </c>
      <c r="O452" s="158" t="str">
        <f ca="1">IF(INDEX(INDIRECT(""&amp;$B452&amp;"!W2:W628"),MATCH($A452,INDIRECT(""&amp;$B452&amp;"!B2:B628"),0))=0,"",INDEX(INDIRECT(""&amp;$B452&amp;"!W2:W628"),MATCH($A452,INDIRECT(""&amp;$B452&amp;"!B2:B628"),0)))</f>
        <v/>
      </c>
    </row>
    <row r="453" spans="1:15" x14ac:dyDescent="0.25">
      <c r="A453" s="158" t="s">
        <v>847</v>
      </c>
      <c r="B453" s="158" t="s">
        <v>35</v>
      </c>
      <c r="C453" s="158">
        <f ca="1">IFERROR(INDEX(BYEs!$B$2:$B$33,MATCH(D453,BYEs!$A$2:$A$33,0)),"N/A")</f>
        <v>6</v>
      </c>
      <c r="D453" s="219" t="str">
        <f ca="1">INDEX(INDIRECT(""&amp;B453&amp;"!F2:F628"),MATCH(A453,INDIRECT(""&amp;B453&amp;"!B2:B628"),0))</f>
        <v>DET</v>
      </c>
      <c r="E453" s="218" t="str">
        <f ca="1">INDEX(INDIRECT(""&amp;$B453&amp;"!AA2:AA628"),MATCH($A453,INDIRECT(""&amp;$B453&amp;"!B2:B628"),0))</f>
        <v>WR11</v>
      </c>
      <c r="F453" s="159">
        <f ca="1">IF(LeagueInfo!$H$7="Starter/Bench",INDEX(INDIRECT(""&amp;B453&amp;"!T2:T628"),MATCH(A453,INDIRECT(""&amp;B453&amp;"!B2:B628"),0)),INDEX(INDIRECT(""&amp;B453&amp;"!AB2:AB628"),MATCH(A453,INDIRECT(""&amp;B453&amp;"!B2:B628"),0)))</f>
        <v>-15.587814091306006</v>
      </c>
      <c r="G453" s="160">
        <f>IF(H453&gt;0,F453-H453,0)</f>
        <v>0</v>
      </c>
      <c r="H453" s="161"/>
      <c r="I453" s="160">
        <f ca="1">F453*$A$2</f>
        <v>-15.587814091306006</v>
      </c>
      <c r="J453" s="160" t="s">
        <v>76</v>
      </c>
      <c r="K453" s="160">
        <f>IF(LeagueInfo!$F$7="Yahoo",IFERROR(INDEX(DefaultAuctionValues!$B$2:$B$1000,MATCH(A453,DefaultAuctionValues!$A$2:$A$1000,0)),0),IF(LeagueInfo!$F$7="ESPN",IFERROR(INDEX(DefaultAuctionValues!$C$2:$C$1000,MATCH(A453,DefaultAuctionValues!$A$2:$A$1000,0)),0),IF(LeagueInfo!$F$7="Custom",IFERROR(INDEX(DefaultAuctionValues!$D$2:$D$1000,MATCH(A453,DefaultAuctionValues!$A$2:$A$1000,0)),0))))</f>
        <v>0</v>
      </c>
      <c r="L453" s="160">
        <f ca="1">I453-K453</f>
        <v>-15.587814091306006</v>
      </c>
      <c r="M453" s="175"/>
      <c r="N453" s="170">
        <f ca="1">INDEX(INDIRECT(""&amp;$B453&amp;"!Z2:Z628"),MATCH($A453,INDIRECT(""&amp;$B453&amp;"!B2:B628"),0))</f>
        <v>-42.984999999999992</v>
      </c>
      <c r="O453" s="158" t="str">
        <f ca="1">IF(INDEX(INDIRECT(""&amp;$B453&amp;"!W2:W628"),MATCH($A453,INDIRECT(""&amp;$B453&amp;"!B2:B628"),0))=0,"",INDEX(INDIRECT(""&amp;$B453&amp;"!W2:W628"),MATCH($A453,INDIRECT(""&amp;$B453&amp;"!B2:B628"),0)))</f>
        <v/>
      </c>
    </row>
    <row r="454" spans="1:15" x14ac:dyDescent="0.25">
      <c r="A454" s="158" t="s">
        <v>2738</v>
      </c>
      <c r="B454" s="158" t="s">
        <v>43</v>
      </c>
      <c r="C454" s="158">
        <f ca="1">IFERROR(INDEX(BYEs!$B$2:$B$33,MATCH(D454,BYEs!$A$2:$A$33,0)),"N/A")</f>
        <v>13</v>
      </c>
      <c r="D454" s="219" t="str">
        <f ca="1">INDEX(INDIRECT(""&amp;B454&amp;"!F2:F628"),MATCH(A454,INDIRECT(""&amp;B454&amp;"!B2:B628"),0))</f>
        <v>ARI</v>
      </c>
      <c r="E454" s="218" t="str">
        <f ca="1">INDEX(INDIRECT(""&amp;$B454&amp;"!AA2:AA628"),MATCH($A454,INDIRECT(""&amp;$B454&amp;"!B2:B628"),0))</f>
        <v>TE12</v>
      </c>
      <c r="F454" s="159">
        <f ca="1">IF(LeagueInfo!$H$7="Starter/Bench",INDEX(INDIRECT(""&amp;B454&amp;"!T2:T628"),MATCH(A454,INDIRECT(""&amp;B454&amp;"!B2:B628"),0)),INDEX(INDIRECT(""&amp;B454&amp;"!AB2:AB628"),MATCH(A454,INDIRECT(""&amp;B454&amp;"!B2:B628"),0)))</f>
        <v>-15.593253598375211</v>
      </c>
      <c r="G454" s="160">
        <f>IF(H454&gt;0,F454-H454,0)</f>
        <v>0</v>
      </c>
      <c r="H454" s="161"/>
      <c r="I454" s="160">
        <f ca="1">F454*$A$2</f>
        <v>-15.593253598375211</v>
      </c>
      <c r="J454" s="160" t="s">
        <v>76</v>
      </c>
      <c r="K454" s="160">
        <f>IF(LeagueInfo!$F$7="Yahoo",IFERROR(INDEX(DefaultAuctionValues!$B$2:$B$1000,MATCH(A454,DefaultAuctionValues!$A$2:$A$1000,0)),0),IF(LeagueInfo!$F$7="ESPN",IFERROR(INDEX(DefaultAuctionValues!$C$2:$C$1000,MATCH(A454,DefaultAuctionValues!$A$2:$A$1000,0)),0),IF(LeagueInfo!$F$7="Custom",IFERROR(INDEX(DefaultAuctionValues!$D$2:$D$1000,MATCH(A454,DefaultAuctionValues!$A$2:$A$1000,0)),0))))</f>
        <v>0</v>
      </c>
      <c r="L454" s="160">
        <f ca="1">I454-K454</f>
        <v>-15.593253598375211</v>
      </c>
      <c r="M454" s="175"/>
      <c r="N454" s="170">
        <f ca="1">INDEX(INDIRECT(""&amp;$B454&amp;"!Z2:Z628"),MATCH($A454,INDIRECT(""&amp;$B454&amp;"!B2:B628"),0))</f>
        <v>-43.000000000000007</v>
      </c>
      <c r="O454" s="158" t="str">
        <f ca="1">IF(INDEX(INDIRECT(""&amp;$B454&amp;"!W2:W628"),MATCH($A454,INDIRECT(""&amp;$B454&amp;"!B2:B628"),0))=0,"",INDEX(INDIRECT(""&amp;$B454&amp;"!W2:W628"),MATCH($A454,INDIRECT(""&amp;$B454&amp;"!B2:B628"),0)))</f>
        <v/>
      </c>
    </row>
    <row r="455" spans="1:15" x14ac:dyDescent="0.25">
      <c r="A455" s="158" t="s">
        <v>816</v>
      </c>
      <c r="B455" s="158" t="s">
        <v>43</v>
      </c>
      <c r="C455" s="158">
        <f ca="1">IFERROR(INDEX(BYEs!$B$2:$B$33,MATCH(D455,BYEs!$A$2:$A$33,0)),"N/A")</f>
        <v>10</v>
      </c>
      <c r="D455" s="219" t="str">
        <f ca="1">INDEX(INDIRECT(""&amp;B455&amp;"!F2:F628"),MATCH(A455,INDIRECT(""&amp;B455&amp;"!B2:B628"),0))</f>
        <v>CIN</v>
      </c>
      <c r="E455" s="218" t="str">
        <f ca="1">INDEX(INDIRECT(""&amp;$B455&amp;"!AA2:AA628"),MATCH($A455,INDIRECT(""&amp;$B455&amp;"!B2:B628"),0))</f>
        <v>TE12</v>
      </c>
      <c r="F455" s="159">
        <f ca="1">IF(LeagueInfo!$H$7="Starter/Bench",INDEX(INDIRECT(""&amp;B455&amp;"!T2:T628"),MATCH(A455,INDIRECT(""&amp;B455&amp;"!B2:B628"),0)),INDEX(INDIRECT(""&amp;B455&amp;"!AB2:AB628"),MATCH(A455,INDIRECT(""&amp;B455&amp;"!B2:B628"),0)))</f>
        <v>-15.636769654928816</v>
      </c>
      <c r="G455" s="160">
        <f>IF(H455&gt;0,F455-H455,0)</f>
        <v>0</v>
      </c>
      <c r="H455" s="161"/>
      <c r="I455" s="160">
        <f ca="1">F455*$A$2</f>
        <v>-15.636769654928816</v>
      </c>
      <c r="J455" s="160" t="s">
        <v>76</v>
      </c>
      <c r="K455" s="160">
        <f>IF(LeagueInfo!$F$7="Yahoo",IFERROR(INDEX(DefaultAuctionValues!$B$2:$B$1000,MATCH(A455,DefaultAuctionValues!$A$2:$A$1000,0)),0),IF(LeagueInfo!$F$7="ESPN",IFERROR(INDEX(DefaultAuctionValues!$C$2:$C$1000,MATCH(A455,DefaultAuctionValues!$A$2:$A$1000,0)),0),IF(LeagueInfo!$F$7="Custom",IFERROR(INDEX(DefaultAuctionValues!$D$2:$D$1000,MATCH(A455,DefaultAuctionValues!$A$2:$A$1000,0)),0))))</f>
        <v>0</v>
      </c>
      <c r="L455" s="160">
        <f ca="1">I455-K455</f>
        <v>-15.636769654928816</v>
      </c>
      <c r="M455" s="175"/>
      <c r="N455" s="170">
        <f ca="1">INDEX(INDIRECT(""&amp;$B455&amp;"!Z2:Z628"),MATCH($A455,INDIRECT(""&amp;$B455&amp;"!B2:B628"),0))</f>
        <v>-43.120000000000005</v>
      </c>
      <c r="O455" s="158" t="str">
        <f ca="1">IF(INDEX(INDIRECT(""&amp;$B455&amp;"!W2:W628"),MATCH($A455,INDIRECT(""&amp;$B455&amp;"!B2:B628"),0))=0,"",INDEX(INDIRECT(""&amp;$B455&amp;"!W2:W628"),MATCH($A455,INDIRECT(""&amp;$B455&amp;"!B2:B628"),0)))</f>
        <v/>
      </c>
    </row>
    <row r="456" spans="1:15" x14ac:dyDescent="0.25">
      <c r="A456" s="158" t="s">
        <v>761</v>
      </c>
      <c r="B456" s="158" t="s">
        <v>43</v>
      </c>
      <c r="C456" s="158">
        <f ca="1">IFERROR(INDEX(BYEs!$B$2:$B$33,MATCH(D456,BYEs!$A$2:$A$33,0)),"N/A")</f>
        <v>9</v>
      </c>
      <c r="D456" s="219" t="str">
        <f ca="1">INDEX(INDIRECT(""&amp;B456&amp;"!F2:F628"),MATCH(A456,INDIRECT(""&amp;B456&amp;"!B2:B628"),0))</f>
        <v>SF</v>
      </c>
      <c r="E456" s="218" t="str">
        <f ca="1">INDEX(INDIRECT(""&amp;$B456&amp;"!AA2:AA628"),MATCH($A456,INDIRECT(""&amp;$B456&amp;"!B2:B628"),0))</f>
        <v>TE12</v>
      </c>
      <c r="F456" s="159">
        <f ca="1">IF(LeagueInfo!$H$7="Starter/Bench",INDEX(INDIRECT(""&amp;B456&amp;"!T2:T628"),MATCH(A456,INDIRECT(""&amp;B456&amp;"!B2:B628"),0)),INDEX(INDIRECT(""&amp;B456&amp;"!AB2:AB628"),MATCH(A456,INDIRECT(""&amp;B456&amp;"!B2:B628"),0)))</f>
        <v>-15.736493951197495</v>
      </c>
      <c r="G456" s="160">
        <f>IF(H456&gt;0,F456-H456,0)</f>
        <v>0</v>
      </c>
      <c r="H456" s="161"/>
      <c r="I456" s="160">
        <f ca="1">F456*$A$2</f>
        <v>-15.736493951197495</v>
      </c>
      <c r="J456" s="160" t="s">
        <v>76</v>
      </c>
      <c r="K456" s="160">
        <f>IF(LeagueInfo!$F$7="Yahoo",IFERROR(INDEX(DefaultAuctionValues!$B$2:$B$1000,MATCH(A456,DefaultAuctionValues!$A$2:$A$1000,0)),0),IF(LeagueInfo!$F$7="ESPN",IFERROR(INDEX(DefaultAuctionValues!$C$2:$C$1000,MATCH(A456,DefaultAuctionValues!$A$2:$A$1000,0)),0),IF(LeagueInfo!$F$7="Custom",IFERROR(INDEX(DefaultAuctionValues!$D$2:$D$1000,MATCH(A456,DefaultAuctionValues!$A$2:$A$1000,0)),0))))</f>
        <v>0</v>
      </c>
      <c r="L456" s="160">
        <f ca="1">I456-K456</f>
        <v>-15.736493951197495</v>
      </c>
      <c r="M456" s="175"/>
      <c r="N456" s="170">
        <f ca="1">INDEX(INDIRECT(""&amp;$B456&amp;"!Z2:Z628"),MATCH($A456,INDIRECT(""&amp;$B456&amp;"!B2:B628"),0))</f>
        <v>-43.395000000000003</v>
      </c>
      <c r="O456" s="158" t="str">
        <f ca="1">IF(INDEX(INDIRECT(""&amp;$B456&amp;"!W2:W628"),MATCH($A456,INDIRECT(""&amp;$B456&amp;"!B2:B628"),0))=0,"",INDEX(INDIRECT(""&amp;$B456&amp;"!W2:W628"),MATCH($A456,INDIRECT(""&amp;$B456&amp;"!B2:B628"),0)))</f>
        <v/>
      </c>
    </row>
    <row r="457" spans="1:15" x14ac:dyDescent="0.25">
      <c r="A457" s="158" t="s">
        <v>760</v>
      </c>
      <c r="B457" s="158" t="s">
        <v>43</v>
      </c>
      <c r="C457" s="158">
        <f ca="1">IFERROR(INDEX(BYEs!$B$2:$B$33,MATCH(D457,BYEs!$A$2:$A$33,0)),"N/A")</f>
        <v>7</v>
      </c>
      <c r="D457" s="219" t="str">
        <f ca="1">INDEX(INDIRECT(""&amp;B457&amp;"!F2:F628"),MATCH(A457,INDIRECT(""&amp;B457&amp;"!B2:B628"),0))</f>
        <v>MIN</v>
      </c>
      <c r="E457" s="218" t="str">
        <f ca="1">INDEX(INDIRECT(""&amp;$B457&amp;"!AA2:AA628"),MATCH($A457,INDIRECT(""&amp;$B457&amp;"!B2:B628"),0))</f>
        <v>TE12</v>
      </c>
      <c r="F457" s="159">
        <f ca="1">IF(LeagueInfo!$H$7="Starter/Bench",INDEX(INDIRECT(""&amp;B457&amp;"!T2:T628"),MATCH(A457,INDIRECT(""&amp;B457&amp;"!B2:B628"),0)),INDEX(INDIRECT(""&amp;B457&amp;"!AB2:AB628"),MATCH(A457,INDIRECT(""&amp;B457&amp;"!B2:B628"),0)))</f>
        <v>-15.7691309936127</v>
      </c>
      <c r="G457" s="160">
        <f>IF(H457&gt;0,F457-H457,0)</f>
        <v>0</v>
      </c>
      <c r="H457" s="161"/>
      <c r="I457" s="160">
        <f ca="1">F457*$A$2</f>
        <v>-15.7691309936127</v>
      </c>
      <c r="J457" s="160" t="s">
        <v>76</v>
      </c>
      <c r="K457" s="160">
        <f>IF(LeagueInfo!$F$7="Yahoo",IFERROR(INDEX(DefaultAuctionValues!$B$2:$B$1000,MATCH(A457,DefaultAuctionValues!$A$2:$A$1000,0)),0),IF(LeagueInfo!$F$7="ESPN",IFERROR(INDEX(DefaultAuctionValues!$C$2:$C$1000,MATCH(A457,DefaultAuctionValues!$A$2:$A$1000,0)),0),IF(LeagueInfo!$F$7="Custom",IFERROR(INDEX(DefaultAuctionValues!$D$2:$D$1000,MATCH(A457,DefaultAuctionValues!$A$2:$A$1000,0)),0))))</f>
        <v>0</v>
      </c>
      <c r="L457" s="160">
        <f ca="1">I457-K457</f>
        <v>-15.7691309936127</v>
      </c>
      <c r="M457" s="175"/>
      <c r="N457" s="170">
        <f ca="1">INDEX(INDIRECT(""&amp;$B457&amp;"!Z2:Z628"),MATCH($A457,INDIRECT(""&amp;$B457&amp;"!B2:B628"),0))</f>
        <v>-43.485000000000007</v>
      </c>
      <c r="O457" s="158" t="str">
        <f ca="1">IF(INDEX(INDIRECT(""&amp;$B457&amp;"!W2:W628"),MATCH($A457,INDIRECT(""&amp;$B457&amp;"!B2:B628"),0))=0,"",INDEX(INDIRECT(""&amp;$B457&amp;"!W2:W628"),MATCH($A457,INDIRECT(""&amp;$B457&amp;"!B2:B628"),0)))</f>
        <v/>
      </c>
    </row>
    <row r="458" spans="1:15" x14ac:dyDescent="0.25">
      <c r="A458" s="158" t="s">
        <v>2660</v>
      </c>
      <c r="B458" s="158" t="s">
        <v>35</v>
      </c>
      <c r="C458" s="158">
        <f ca="1">IFERROR(INDEX(BYEs!$B$2:$B$33,MATCH(D458,BYEs!$A$2:$A$33,0)),"N/A")</f>
        <v>11</v>
      </c>
      <c r="D458" s="219" t="str">
        <f ca="1">INDEX(INDIRECT(""&amp;B458&amp;"!F2:F628"),MATCH(A458,INDIRECT(""&amp;B458&amp;"!B2:B628"),0))</f>
        <v>JAC</v>
      </c>
      <c r="E458" s="218" t="str">
        <f ca="1">INDEX(INDIRECT(""&amp;$B458&amp;"!AA2:AA628"),MATCH($A458,INDIRECT(""&amp;$B458&amp;"!B2:B628"),0))</f>
        <v>WR11</v>
      </c>
      <c r="F458" s="159">
        <f ca="1">IF(LeagueInfo!$H$7="Starter/Bench",INDEX(INDIRECT(""&amp;B458&amp;"!T2:T628"),MATCH(A458,INDIRECT(""&amp;B458&amp;"!B2:B628"),0)),INDEX(INDIRECT(""&amp;B458&amp;"!AB2:AB628"),MATCH(A458,INDIRECT(""&amp;B458&amp;"!B2:B628"),0)))</f>
        <v>-15.798141697981764</v>
      </c>
      <c r="G458" s="160">
        <f>IF(H458&gt;0,F458-H458,0)</f>
        <v>0</v>
      </c>
      <c r="H458" s="161"/>
      <c r="I458" s="160">
        <f ca="1">F458*$A$2</f>
        <v>-15.798141697981764</v>
      </c>
      <c r="J458" s="160" t="s">
        <v>76</v>
      </c>
      <c r="K458" s="160">
        <f>IF(LeagueInfo!$F$7="Yahoo",IFERROR(INDEX(DefaultAuctionValues!$B$2:$B$1000,MATCH(A458,DefaultAuctionValues!$A$2:$A$1000,0)),0),IF(LeagueInfo!$F$7="ESPN",IFERROR(INDEX(DefaultAuctionValues!$C$2:$C$1000,MATCH(A458,DefaultAuctionValues!$A$2:$A$1000,0)),0),IF(LeagueInfo!$F$7="Custom",IFERROR(INDEX(DefaultAuctionValues!$D$2:$D$1000,MATCH(A458,DefaultAuctionValues!$A$2:$A$1000,0)),0))))</f>
        <v>0</v>
      </c>
      <c r="L458" s="160">
        <f ca="1">I458-K458</f>
        <v>-15.798141697981764</v>
      </c>
      <c r="M458" s="175"/>
      <c r="N458" s="170">
        <f ca="1">INDEX(INDIRECT(""&amp;$B458&amp;"!Z2:Z628"),MATCH($A458,INDIRECT(""&amp;$B458&amp;"!B2:B628"),0))</f>
        <v>-43.564999999999991</v>
      </c>
      <c r="O458" s="158" t="str">
        <f ca="1">IF(INDEX(INDIRECT(""&amp;$B458&amp;"!W2:W628"),MATCH($A458,INDIRECT(""&amp;$B458&amp;"!B2:B628"),0))=0,"",INDEX(INDIRECT(""&amp;$B458&amp;"!W2:W628"),MATCH($A458,INDIRECT(""&amp;$B458&amp;"!B2:B628"),0)))</f>
        <v/>
      </c>
    </row>
    <row r="459" spans="1:15" x14ac:dyDescent="0.25">
      <c r="A459" s="158" t="s">
        <v>986</v>
      </c>
      <c r="B459" s="158" t="s">
        <v>43</v>
      </c>
      <c r="C459" s="158">
        <f ca="1">IFERROR(INDEX(BYEs!$B$2:$B$33,MATCH(D459,BYEs!$A$2:$A$33,0)),"N/A")</f>
        <v>6</v>
      </c>
      <c r="D459" s="219" t="str">
        <f ca="1">INDEX(INDIRECT(""&amp;B459&amp;"!F2:F628"),MATCH(A459,INDIRECT(""&amp;B459&amp;"!B2:B628"),0))</f>
        <v>TEN</v>
      </c>
      <c r="E459" s="218" t="str">
        <f ca="1">INDEX(INDIRECT(""&amp;$B459&amp;"!AA2:AA628"),MATCH($A459,INDIRECT(""&amp;$B459&amp;"!B2:B628"),0))</f>
        <v>TE12</v>
      </c>
      <c r="F459" s="159">
        <f ca="1">IF(LeagueInfo!$H$7="Starter/Bench",INDEX(INDIRECT(""&amp;B459&amp;"!T2:T628"),MATCH(A459,INDIRECT(""&amp;B459&amp;"!B2:B628"),0)),INDEX(INDIRECT(""&amp;B459&amp;"!AB2:AB628"),MATCH(A459,INDIRECT(""&amp;B459&amp;"!B2:B628"),0)))</f>
        <v>-15.818086557235505</v>
      </c>
      <c r="G459" s="160">
        <f>IF(H459&gt;0,F459-H459,0)</f>
        <v>0</v>
      </c>
      <c r="H459" s="161"/>
      <c r="I459" s="160">
        <f ca="1">F459*$A$2</f>
        <v>-15.818086557235505</v>
      </c>
      <c r="J459" s="160" t="s">
        <v>76</v>
      </c>
      <c r="K459" s="160">
        <f>IF(LeagueInfo!$F$7="Yahoo",IFERROR(INDEX(DefaultAuctionValues!$B$2:$B$1000,MATCH(A459,DefaultAuctionValues!$A$2:$A$1000,0)),0),IF(LeagueInfo!$F$7="ESPN",IFERROR(INDEX(DefaultAuctionValues!$C$2:$C$1000,MATCH(A459,DefaultAuctionValues!$A$2:$A$1000,0)),0),IF(LeagueInfo!$F$7="Custom",IFERROR(INDEX(DefaultAuctionValues!$D$2:$D$1000,MATCH(A459,DefaultAuctionValues!$A$2:$A$1000,0)),0))))</f>
        <v>0</v>
      </c>
      <c r="L459" s="160">
        <f ca="1">I459-K459</f>
        <v>-15.818086557235505</v>
      </c>
      <c r="M459" s="175"/>
      <c r="N459" s="170">
        <f ca="1">INDEX(INDIRECT(""&amp;$B459&amp;"!Z2:Z628"),MATCH($A459,INDIRECT(""&amp;$B459&amp;"!B2:B628"),0))</f>
        <v>-43.620000000000005</v>
      </c>
      <c r="O459" s="158" t="str">
        <f ca="1">IF(INDEX(INDIRECT(""&amp;$B459&amp;"!W2:W628"),MATCH($A459,INDIRECT(""&amp;$B459&amp;"!B2:B628"),0))=0,"",INDEX(INDIRECT(""&amp;$B459&amp;"!W2:W628"),MATCH($A459,INDIRECT(""&amp;$B459&amp;"!B2:B628"),0)))</f>
        <v/>
      </c>
    </row>
    <row r="460" spans="1:15" x14ac:dyDescent="0.25">
      <c r="A460" s="158" t="s">
        <v>983</v>
      </c>
      <c r="B460" s="158" t="s">
        <v>43</v>
      </c>
      <c r="C460" s="158">
        <f ca="1">IFERROR(INDEX(BYEs!$B$2:$B$33,MATCH(D460,BYEs!$A$2:$A$33,0)),"N/A")</f>
        <v>8</v>
      </c>
      <c r="D460" s="219" t="str">
        <f ca="1">INDEX(INDIRECT(""&amp;B460&amp;"!F2:F628"),MATCH(A460,INDIRECT(""&amp;B460&amp;"!B2:B628"),0))</f>
        <v>LAC</v>
      </c>
      <c r="E460" s="218" t="str">
        <f ca="1">INDEX(INDIRECT(""&amp;$B460&amp;"!AA2:AA628"),MATCH($A460,INDIRECT(""&amp;$B460&amp;"!B2:B628"),0))</f>
        <v>TE12</v>
      </c>
      <c r="F460" s="159">
        <f ca="1">IF(LeagueInfo!$H$7="Starter/Bench",INDEX(INDIRECT(""&amp;B460&amp;"!T2:T628"),MATCH(A460,INDIRECT(""&amp;B460&amp;"!B2:B628"),0)),INDEX(INDIRECT(""&amp;B460&amp;"!AB2:AB628"),MATCH(A460,INDIRECT(""&amp;B460&amp;"!B2:B628"),0)))</f>
        <v>-15.847097261604574</v>
      </c>
      <c r="G460" s="160">
        <f>IF(H460&gt;0,F460-H460,0)</f>
        <v>0</v>
      </c>
      <c r="H460" s="161"/>
      <c r="I460" s="160">
        <f ca="1">F460*$A$2</f>
        <v>-15.847097261604574</v>
      </c>
      <c r="J460" s="160" t="s">
        <v>76</v>
      </c>
      <c r="K460" s="160">
        <f>IF(LeagueInfo!$F$7="Yahoo",IFERROR(INDEX(DefaultAuctionValues!$B$2:$B$1000,MATCH(A460,DefaultAuctionValues!$A$2:$A$1000,0)),0),IF(LeagueInfo!$F$7="ESPN",IFERROR(INDEX(DefaultAuctionValues!$C$2:$C$1000,MATCH(A460,DefaultAuctionValues!$A$2:$A$1000,0)),0),IF(LeagueInfo!$F$7="Custom",IFERROR(INDEX(DefaultAuctionValues!$D$2:$D$1000,MATCH(A460,DefaultAuctionValues!$A$2:$A$1000,0)),0))))</f>
        <v>0</v>
      </c>
      <c r="L460" s="160">
        <f ca="1">I460-K460</f>
        <v>-15.847097261604574</v>
      </c>
      <c r="M460" s="175"/>
      <c r="N460" s="170">
        <f ca="1">INDEX(INDIRECT(""&amp;$B460&amp;"!Z2:Z628"),MATCH($A460,INDIRECT(""&amp;$B460&amp;"!B2:B628"),0))</f>
        <v>-43.7</v>
      </c>
      <c r="O460" s="158" t="str">
        <f ca="1">IF(INDEX(INDIRECT(""&amp;$B460&amp;"!W2:W628"),MATCH($A460,INDIRECT(""&amp;$B460&amp;"!B2:B628"),0))=0,"",INDEX(INDIRECT(""&amp;$B460&amp;"!W2:W628"),MATCH($A460,INDIRECT(""&amp;$B460&amp;"!B2:B628"),0)))</f>
        <v/>
      </c>
    </row>
    <row r="461" spans="1:15" x14ac:dyDescent="0.25">
      <c r="A461" s="158" t="s">
        <v>430</v>
      </c>
      <c r="B461" s="158" t="s">
        <v>43</v>
      </c>
      <c r="C461" s="158">
        <f ca="1">IFERROR(INDEX(BYEs!$B$2:$B$33,MATCH(D461,BYEs!$A$2:$A$33,0)),"N/A")</f>
        <v>14</v>
      </c>
      <c r="D461" s="219" t="str">
        <f ca="1">INDEX(INDIRECT(""&amp;B461&amp;"!F2:F628"),MATCH(A461,INDIRECT(""&amp;B461&amp;"!B2:B628"),0))</f>
        <v>NO</v>
      </c>
      <c r="E461" s="218" t="str">
        <f ca="1">INDEX(INDIRECT(""&amp;$B461&amp;"!AA2:AA628"),MATCH($A461,INDIRECT(""&amp;$B461&amp;"!B2:B628"),0))</f>
        <v>TE12</v>
      </c>
      <c r="F461" s="159">
        <f ca="1">IF(LeagueInfo!$H$7="Starter/Bench",INDEX(INDIRECT(""&amp;B461&amp;"!T2:T628"),MATCH(A461,INDIRECT(""&amp;B461&amp;"!B2:B628"),0)),INDEX(INDIRECT(""&amp;B461&amp;"!AB2:AB628"),MATCH(A461,INDIRECT(""&amp;B461&amp;"!B2:B628"),0)))</f>
        <v>-15.848910430627642</v>
      </c>
      <c r="G461" s="160">
        <f>IF(H461&gt;0,F461-H461,0)</f>
        <v>0</v>
      </c>
      <c r="H461" s="161"/>
      <c r="I461" s="160">
        <f ca="1">F461*$A$2</f>
        <v>-15.848910430627642</v>
      </c>
      <c r="J461" s="160" t="s">
        <v>76</v>
      </c>
      <c r="K461" s="160">
        <f>IF(LeagueInfo!$F$7="Yahoo",IFERROR(INDEX(DefaultAuctionValues!$B$2:$B$1000,MATCH(A461,DefaultAuctionValues!$A$2:$A$1000,0)),0),IF(LeagueInfo!$F$7="ESPN",IFERROR(INDEX(DefaultAuctionValues!$C$2:$C$1000,MATCH(A461,DefaultAuctionValues!$A$2:$A$1000,0)),0),IF(LeagueInfo!$F$7="Custom",IFERROR(INDEX(DefaultAuctionValues!$D$2:$D$1000,MATCH(A461,DefaultAuctionValues!$A$2:$A$1000,0)),0))))</f>
        <v>0</v>
      </c>
      <c r="L461" s="160">
        <f ca="1">I461-K461</f>
        <v>-15.848910430627642</v>
      </c>
      <c r="M461" s="175"/>
      <c r="N461" s="170">
        <f ca="1">INDEX(INDIRECT(""&amp;$B461&amp;"!Z2:Z628"),MATCH($A461,INDIRECT(""&amp;$B461&amp;"!B2:B628"),0))</f>
        <v>-43.705000000000005</v>
      </c>
      <c r="O461" s="158" t="str">
        <f ca="1">IF(INDEX(INDIRECT(""&amp;$B461&amp;"!W2:W628"),MATCH($A461,INDIRECT(""&amp;$B461&amp;"!B2:B628"),0))=0,"",INDEX(INDIRECT(""&amp;$B461&amp;"!W2:W628"),MATCH($A461,INDIRECT(""&amp;$B461&amp;"!B2:B628"),0)))</f>
        <v/>
      </c>
    </row>
    <row r="462" spans="1:15" x14ac:dyDescent="0.25">
      <c r="A462" s="158" t="s">
        <v>1002</v>
      </c>
      <c r="B462" s="158" t="s">
        <v>35</v>
      </c>
      <c r="C462" s="158">
        <f ca="1">IFERROR(INDEX(BYEs!$B$2:$B$33,MATCH(D462,BYEs!$A$2:$A$33,0)),"N/A")</f>
        <v>7</v>
      </c>
      <c r="D462" s="219" t="str">
        <f ca="1">INDEX(INDIRECT(""&amp;B462&amp;"!F2:F628"),MATCH(A462,INDIRECT(""&amp;B462&amp;"!B2:B628"),0))</f>
        <v>LAR</v>
      </c>
      <c r="E462" s="218" t="str">
        <f ca="1">INDEX(INDIRECT(""&amp;$B462&amp;"!AA2:AA628"),MATCH($A462,INDIRECT(""&amp;$B462&amp;"!B2:B628"),0))</f>
        <v>WR11</v>
      </c>
      <c r="F462" s="159">
        <f ca="1">IF(LeagueInfo!$H$7="Starter/Bench",INDEX(INDIRECT(""&amp;B462&amp;"!T2:T628"),MATCH(A462,INDIRECT(""&amp;B462&amp;"!B2:B628"),0)),INDEX(INDIRECT(""&amp;B462&amp;"!AB2:AB628"),MATCH(A462,INDIRECT(""&amp;B462&amp;"!B2:B628"),0)))</f>
        <v>-15.899679163273509</v>
      </c>
      <c r="G462" s="160">
        <f>IF(H462&gt;0,F462-H462,0)</f>
        <v>0</v>
      </c>
      <c r="H462" s="161"/>
      <c r="I462" s="160">
        <f ca="1">F462*$A$2</f>
        <v>-15.899679163273509</v>
      </c>
      <c r="J462" s="160" t="s">
        <v>76</v>
      </c>
      <c r="K462" s="160">
        <f>IF(LeagueInfo!$F$7="Yahoo",IFERROR(INDEX(DefaultAuctionValues!$B$2:$B$1000,MATCH(A462,DefaultAuctionValues!$A$2:$A$1000,0)),0),IF(LeagueInfo!$F$7="ESPN",IFERROR(INDEX(DefaultAuctionValues!$C$2:$C$1000,MATCH(A462,DefaultAuctionValues!$A$2:$A$1000,0)),0),IF(LeagueInfo!$F$7="Custom",IFERROR(INDEX(DefaultAuctionValues!$D$2:$D$1000,MATCH(A462,DefaultAuctionValues!$A$2:$A$1000,0)),0))))</f>
        <v>0</v>
      </c>
      <c r="L462" s="160">
        <f ca="1">I462-K462</f>
        <v>-15.899679163273509</v>
      </c>
      <c r="M462" s="175"/>
      <c r="N462" s="170">
        <f ca="1">INDEX(INDIRECT(""&amp;$B462&amp;"!Z2:Z628"),MATCH($A462,INDIRECT(""&amp;$B462&amp;"!B2:B628"),0))</f>
        <v>-43.844999999999992</v>
      </c>
      <c r="O462" s="158" t="str">
        <f ca="1">IF(INDEX(INDIRECT(""&amp;$B462&amp;"!W2:W628"),MATCH($A462,INDIRECT(""&amp;$B462&amp;"!B2:B628"),0))=0,"",INDEX(INDIRECT(""&amp;$B462&amp;"!W2:W628"),MATCH($A462,INDIRECT(""&amp;$B462&amp;"!B2:B628"),0)))</f>
        <v/>
      </c>
    </row>
    <row r="463" spans="1:15" x14ac:dyDescent="0.25">
      <c r="A463" s="158" t="s">
        <v>2488</v>
      </c>
      <c r="B463" s="158" t="s">
        <v>43</v>
      </c>
      <c r="C463" s="158">
        <f ca="1">IFERROR(INDEX(BYEs!$B$2:$B$33,MATCH(D463,BYEs!$A$2:$A$33,0)),"N/A")</f>
        <v>7</v>
      </c>
      <c r="D463" s="219" t="str">
        <f ca="1">INDEX(INDIRECT(""&amp;B463&amp;"!F2:F628"),MATCH(A463,INDIRECT(""&amp;B463&amp;"!B2:B628"),0))</f>
        <v>PHI</v>
      </c>
      <c r="E463" s="218" t="str">
        <f ca="1">INDEX(INDIRECT(""&amp;$B463&amp;"!AA2:AA628"),MATCH($A463,INDIRECT(""&amp;$B463&amp;"!B2:B628"),0))</f>
        <v>TE12</v>
      </c>
      <c r="F463" s="159">
        <f ca="1">IF(LeagueInfo!$H$7="Starter/Bench",INDEX(INDIRECT(""&amp;B463&amp;"!T2:T628"),MATCH(A463,INDIRECT(""&amp;B463&amp;"!B2:B628"),0)),INDEX(INDIRECT(""&amp;B463&amp;"!AB2:AB628"),MATCH(A463,INDIRECT(""&amp;B463&amp;"!B2:B628"),0)))</f>
        <v>-15.950447895919389</v>
      </c>
      <c r="G463" s="160">
        <f>IF(H463&gt;0,F463-H463,0)</f>
        <v>0</v>
      </c>
      <c r="H463" s="161"/>
      <c r="I463" s="160">
        <f ca="1">F463*$A$2</f>
        <v>-15.950447895919389</v>
      </c>
      <c r="J463" s="160" t="s">
        <v>76</v>
      </c>
      <c r="K463" s="160">
        <f>IF(LeagueInfo!$F$7="Yahoo",IFERROR(INDEX(DefaultAuctionValues!$B$2:$B$1000,MATCH(A463,DefaultAuctionValues!$A$2:$A$1000,0)),0),IF(LeagueInfo!$F$7="ESPN",IFERROR(INDEX(DefaultAuctionValues!$C$2:$C$1000,MATCH(A463,DefaultAuctionValues!$A$2:$A$1000,0)),0),IF(LeagueInfo!$F$7="Custom",IFERROR(INDEX(DefaultAuctionValues!$D$2:$D$1000,MATCH(A463,DefaultAuctionValues!$A$2:$A$1000,0)),0))))</f>
        <v>0</v>
      </c>
      <c r="L463" s="160">
        <f ca="1">I463-K463</f>
        <v>-15.950447895919389</v>
      </c>
      <c r="M463" s="175"/>
      <c r="N463" s="170">
        <f ca="1">INDEX(INDIRECT(""&amp;$B463&amp;"!Z2:Z628"),MATCH($A463,INDIRECT(""&amp;$B463&amp;"!B2:B628"),0))</f>
        <v>-43.985000000000007</v>
      </c>
      <c r="O463" s="158" t="str">
        <f ca="1">IF(INDEX(INDIRECT(""&amp;$B463&amp;"!W2:W628"),MATCH($A463,INDIRECT(""&amp;$B463&amp;"!B2:B628"),0))=0,"",INDEX(INDIRECT(""&amp;$B463&amp;"!W2:W628"),MATCH($A463,INDIRECT(""&amp;$B463&amp;"!B2:B628"),0)))</f>
        <v/>
      </c>
    </row>
    <row r="464" spans="1:15" x14ac:dyDescent="0.25">
      <c r="A464" s="158" t="s">
        <v>657</v>
      </c>
      <c r="B464" s="158" t="s">
        <v>43</v>
      </c>
      <c r="C464" s="158">
        <f ca="1">IFERROR(INDEX(BYEs!$B$2:$B$33,MATCH(D464,BYEs!$A$2:$A$33,0)),"N/A")</f>
        <v>7</v>
      </c>
      <c r="D464" s="219" t="str">
        <f ca="1">INDEX(INDIRECT(""&amp;B464&amp;"!F2:F628"),MATCH(A464,INDIRECT(""&amp;B464&amp;"!B2:B628"),0))</f>
        <v>PHI</v>
      </c>
      <c r="E464" s="218" t="str">
        <f ca="1">INDEX(INDIRECT(""&amp;$B464&amp;"!AA2:AA628"),MATCH($A464,INDIRECT(""&amp;$B464&amp;"!B2:B628"),0))</f>
        <v>TE12</v>
      </c>
      <c r="F464" s="159">
        <f ca="1">IF(LeagueInfo!$H$7="Starter/Bench",INDEX(INDIRECT(""&amp;B464&amp;"!T2:T628"),MATCH(A464,INDIRECT(""&amp;B464&amp;"!B2:B628"),0)),INDEX(INDIRECT(""&amp;B464&amp;"!AB2:AB628"),MATCH(A464,INDIRECT(""&amp;B464&amp;"!B2:B628"),0)))</f>
        <v>-15.979458600288458</v>
      </c>
      <c r="G464" s="160">
        <f>IF(H464&gt;0,F464-H464,0)</f>
        <v>0</v>
      </c>
      <c r="H464" s="161"/>
      <c r="I464" s="160">
        <f ca="1">F464*$A$2</f>
        <v>-15.979458600288458</v>
      </c>
      <c r="J464" s="160" t="s">
        <v>76</v>
      </c>
      <c r="K464" s="160">
        <f>IF(LeagueInfo!$F$7="Yahoo",IFERROR(INDEX(DefaultAuctionValues!$B$2:$B$1000,MATCH(A464,DefaultAuctionValues!$A$2:$A$1000,0)),0),IF(LeagueInfo!$F$7="ESPN",IFERROR(INDEX(DefaultAuctionValues!$C$2:$C$1000,MATCH(A464,DefaultAuctionValues!$A$2:$A$1000,0)),0),IF(LeagueInfo!$F$7="Custom",IFERROR(INDEX(DefaultAuctionValues!$D$2:$D$1000,MATCH(A464,DefaultAuctionValues!$A$2:$A$1000,0)),0))))</f>
        <v>0</v>
      </c>
      <c r="L464" s="160">
        <f ca="1">I464-K464</f>
        <v>-15.979458600288458</v>
      </c>
      <c r="M464" s="175"/>
      <c r="N464" s="170">
        <f ca="1">INDEX(INDIRECT(""&amp;$B464&amp;"!Z2:Z628"),MATCH($A464,INDIRECT(""&amp;$B464&amp;"!B2:B628"),0))</f>
        <v>-44.065000000000005</v>
      </c>
      <c r="O464" s="158" t="str">
        <f ca="1">IF(INDEX(INDIRECT(""&amp;$B464&amp;"!W2:W628"),MATCH($A464,INDIRECT(""&amp;$B464&amp;"!B2:B628"),0))=0,"",INDEX(INDIRECT(""&amp;$B464&amp;"!W2:W628"),MATCH($A464,INDIRECT(""&amp;$B464&amp;"!B2:B628"),0)))</f>
        <v/>
      </c>
    </row>
    <row r="465" spans="1:15" x14ac:dyDescent="0.25">
      <c r="A465" s="158" t="s">
        <v>2491</v>
      </c>
      <c r="B465" s="158" t="s">
        <v>43</v>
      </c>
      <c r="C465" s="158">
        <f ca="1">IFERROR(INDEX(BYEs!$B$2:$B$33,MATCH(D465,BYEs!$A$2:$A$33,0)),"N/A")</f>
        <v>6</v>
      </c>
      <c r="D465" s="219" t="str">
        <f ca="1">INDEX(INDIRECT(""&amp;B465&amp;"!F2:F628"),MATCH(A465,INDIRECT(""&amp;B465&amp;"!B2:B628"),0))</f>
        <v>TEN</v>
      </c>
      <c r="E465" s="218" t="str">
        <f ca="1">INDEX(INDIRECT(""&amp;$B465&amp;"!AA2:AA628"),MATCH($A465,INDIRECT(""&amp;$B465&amp;"!B2:B628"),0))</f>
        <v>TE12</v>
      </c>
      <c r="F465" s="159">
        <f ca="1">IF(LeagueInfo!$H$7="Starter/Bench",INDEX(INDIRECT(""&amp;B465&amp;"!T2:T628"),MATCH(A465,INDIRECT(""&amp;B465&amp;"!B2:B628"),0)),INDEX(INDIRECT(""&amp;B465&amp;"!AB2:AB628"),MATCH(A465,INDIRECT(""&amp;B465&amp;"!B2:B628"),0)))</f>
        <v>-15.984898107357658</v>
      </c>
      <c r="G465" s="160">
        <f>IF(H465&gt;0,F465-H465,0)</f>
        <v>0</v>
      </c>
      <c r="H465" s="161"/>
      <c r="I465" s="160">
        <f ca="1">F465*$A$2</f>
        <v>-15.984898107357658</v>
      </c>
      <c r="J465" s="160" t="s">
        <v>76</v>
      </c>
      <c r="K465" s="160">
        <f>IF(LeagueInfo!$F$7="Yahoo",IFERROR(INDEX(DefaultAuctionValues!$B$2:$B$1000,MATCH(A465,DefaultAuctionValues!$A$2:$A$1000,0)),0),IF(LeagueInfo!$F$7="ESPN",IFERROR(INDEX(DefaultAuctionValues!$C$2:$C$1000,MATCH(A465,DefaultAuctionValues!$A$2:$A$1000,0)),0),IF(LeagueInfo!$F$7="Custom",IFERROR(INDEX(DefaultAuctionValues!$D$2:$D$1000,MATCH(A465,DefaultAuctionValues!$A$2:$A$1000,0)),0))))</f>
        <v>0</v>
      </c>
      <c r="L465" s="160">
        <f ca="1">I465-K465</f>
        <v>-15.984898107357658</v>
      </c>
      <c r="M465" s="175"/>
      <c r="N465" s="170">
        <f ca="1">INDEX(INDIRECT(""&amp;$B465&amp;"!Z2:Z628"),MATCH($A465,INDIRECT(""&amp;$B465&amp;"!B2:B628"),0))</f>
        <v>-44.080000000000005</v>
      </c>
      <c r="O465" s="158" t="str">
        <f ca="1">IF(INDEX(INDIRECT(""&amp;$B465&amp;"!W2:W628"),MATCH($A465,INDIRECT(""&amp;$B465&amp;"!B2:B628"),0))=0,"",INDEX(INDIRECT(""&amp;$B465&amp;"!W2:W628"),MATCH($A465,INDIRECT(""&amp;$B465&amp;"!B2:B628"),0)))</f>
        <v/>
      </c>
    </row>
    <row r="466" spans="1:15" x14ac:dyDescent="0.25">
      <c r="A466" s="158" t="s">
        <v>394</v>
      </c>
      <c r="B466" s="158" t="s">
        <v>35</v>
      </c>
      <c r="C466" s="158">
        <f ca="1">IFERROR(INDEX(BYEs!$B$2:$B$33,MATCH(D466,BYEs!$A$2:$A$33,0)),"N/A")</f>
        <v>10</v>
      </c>
      <c r="D466" s="219" t="str">
        <f ca="1">INDEX(INDIRECT(""&amp;B466&amp;"!F2:F628"),MATCH(A466,INDIRECT(""&amp;B466&amp;"!B2:B628"),0))</f>
        <v>BAL</v>
      </c>
      <c r="E466" s="218" t="str">
        <f ca="1">INDEX(INDIRECT(""&amp;$B466&amp;"!AA2:AA628"),MATCH($A466,INDIRECT(""&amp;$B466&amp;"!B2:B628"),0))</f>
        <v>WR11</v>
      </c>
      <c r="F466" s="159">
        <f ca="1">IF(LeagueInfo!$H$7="Starter/Bench",INDEX(INDIRECT(""&amp;B466&amp;"!T2:T628"),MATCH(A466,INDIRECT(""&amp;B466&amp;"!B2:B628"),0)),INDEX(INDIRECT(""&amp;B466&amp;"!AB2:AB628"),MATCH(A466,INDIRECT(""&amp;B466&amp;"!B2:B628"),0)))</f>
        <v>-16.037480009026595</v>
      </c>
      <c r="G466" s="160">
        <f>IF(H466&gt;0,F466-H466,0)</f>
        <v>0</v>
      </c>
      <c r="H466" s="161"/>
      <c r="I466" s="160">
        <f ca="1">F466*$A$2</f>
        <v>-16.037480009026595</v>
      </c>
      <c r="J466" s="160" t="s">
        <v>76</v>
      </c>
      <c r="K466" s="160">
        <f>IF(LeagueInfo!$F$7="Yahoo",IFERROR(INDEX(DefaultAuctionValues!$B$2:$B$1000,MATCH(A466,DefaultAuctionValues!$A$2:$A$1000,0)),0),IF(LeagueInfo!$F$7="ESPN",IFERROR(INDEX(DefaultAuctionValues!$C$2:$C$1000,MATCH(A466,DefaultAuctionValues!$A$2:$A$1000,0)),0),IF(LeagueInfo!$F$7="Custom",IFERROR(INDEX(DefaultAuctionValues!$D$2:$D$1000,MATCH(A466,DefaultAuctionValues!$A$2:$A$1000,0)),0))))</f>
        <v>0</v>
      </c>
      <c r="L466" s="160">
        <f ca="1">I466-K466</f>
        <v>-16.037480009026595</v>
      </c>
      <c r="M466" s="175"/>
      <c r="N466" s="170">
        <f ca="1">INDEX(INDIRECT(""&amp;$B466&amp;"!Z2:Z628"),MATCH($A466,INDIRECT(""&amp;$B466&amp;"!B2:B628"),0))</f>
        <v>-44.224999999999994</v>
      </c>
      <c r="O466" s="158" t="str">
        <f ca="1">IF(INDEX(INDIRECT(""&amp;$B466&amp;"!W2:W628"),MATCH($A466,INDIRECT(""&amp;$B466&amp;"!B2:B628"),0))=0,"",INDEX(INDIRECT(""&amp;$B466&amp;"!W2:W628"),MATCH($A466,INDIRECT(""&amp;$B466&amp;"!B2:B628"),0)))</f>
        <v/>
      </c>
    </row>
    <row r="467" spans="1:15" x14ac:dyDescent="0.25">
      <c r="A467" s="158" t="s">
        <v>2622</v>
      </c>
      <c r="B467" s="158" t="s">
        <v>43</v>
      </c>
      <c r="C467" s="158">
        <f ca="1">IFERROR(INDEX(BYEs!$B$2:$B$33,MATCH(D467,BYEs!$A$2:$A$33,0)),"N/A")</f>
        <v>14</v>
      </c>
      <c r="D467" s="219" t="str">
        <f ca="1">INDEX(INDIRECT(""&amp;B467&amp;"!F2:F628"),MATCH(A467,INDIRECT(""&amp;B467&amp;"!B2:B628"),0))</f>
        <v>ATL</v>
      </c>
      <c r="E467" s="218" t="str">
        <f ca="1">INDEX(INDIRECT(""&amp;$B467&amp;"!AA2:AA628"),MATCH($A467,INDIRECT(""&amp;$B467&amp;"!B2:B628"),0))</f>
        <v>TE12</v>
      </c>
      <c r="F467" s="159">
        <f ca="1">IF(LeagueInfo!$H$7="Starter/Bench",INDEX(INDIRECT(""&amp;B467&amp;"!T2:T628"),MATCH(A467,INDIRECT(""&amp;B467&amp;"!B2:B628"),0)),INDEX(INDIRECT(""&amp;B467&amp;"!AB2:AB628"),MATCH(A467,INDIRECT(""&amp;B467&amp;"!B2:B628"),0)))</f>
        <v>-16.162588671618213</v>
      </c>
      <c r="G467" s="160">
        <f>IF(H467&gt;0,F467-H467,0)</f>
        <v>0</v>
      </c>
      <c r="H467" s="161"/>
      <c r="I467" s="160">
        <f ca="1">F467*$A$2</f>
        <v>-16.162588671618213</v>
      </c>
      <c r="J467" s="160" t="s">
        <v>76</v>
      </c>
      <c r="K467" s="160">
        <f>IF(LeagueInfo!$F$7="Yahoo",IFERROR(INDEX(DefaultAuctionValues!$B$2:$B$1000,MATCH(A467,DefaultAuctionValues!$A$2:$A$1000,0)),0),IF(LeagueInfo!$F$7="ESPN",IFERROR(INDEX(DefaultAuctionValues!$C$2:$C$1000,MATCH(A467,DefaultAuctionValues!$A$2:$A$1000,0)),0),IF(LeagueInfo!$F$7="Custom",IFERROR(INDEX(DefaultAuctionValues!$D$2:$D$1000,MATCH(A467,DefaultAuctionValues!$A$2:$A$1000,0)),0))))</f>
        <v>0</v>
      </c>
      <c r="L467" s="160">
        <f ca="1">I467-K467</f>
        <v>-16.162588671618213</v>
      </c>
      <c r="M467" s="175"/>
      <c r="N467" s="170">
        <f ca="1">INDEX(INDIRECT(""&amp;$B467&amp;"!Z2:Z628"),MATCH($A467,INDIRECT(""&amp;$B467&amp;"!B2:B628"),0))</f>
        <v>-44.570000000000007</v>
      </c>
      <c r="O467" s="158" t="str">
        <f ca="1">IF(INDEX(INDIRECT(""&amp;$B467&amp;"!W2:W628"),MATCH($A467,INDIRECT(""&amp;$B467&amp;"!B2:B628"),0))=0,"",INDEX(INDIRECT(""&amp;$B467&amp;"!W2:W628"),MATCH($A467,INDIRECT(""&amp;$B467&amp;"!B2:B628"),0)))</f>
        <v/>
      </c>
    </row>
    <row r="468" spans="1:15" x14ac:dyDescent="0.25">
      <c r="A468" s="158" t="s">
        <v>2490</v>
      </c>
      <c r="B468" s="158" t="s">
        <v>43</v>
      </c>
      <c r="C468" s="158">
        <f ca="1">IFERROR(INDEX(BYEs!$B$2:$B$33,MATCH(D468,BYEs!$A$2:$A$33,0)),"N/A")</f>
        <v>6</v>
      </c>
      <c r="D468" s="219" t="str">
        <f ca="1">INDEX(INDIRECT(""&amp;B468&amp;"!F2:F628"),MATCH(A468,INDIRECT(""&amp;B468&amp;"!B2:B628"),0))</f>
        <v>DET</v>
      </c>
      <c r="E468" s="218" t="str">
        <f ca="1">INDEX(INDIRECT(""&amp;$B468&amp;"!AA2:AA628"),MATCH($A468,INDIRECT(""&amp;$B468&amp;"!B2:B628"),0))</f>
        <v>TE12</v>
      </c>
      <c r="F468" s="159">
        <f ca="1">IF(LeagueInfo!$H$7="Starter/Bench",INDEX(INDIRECT(""&amp;B468&amp;"!T2:T628"),MATCH(A468,INDIRECT(""&amp;B468&amp;"!B2:B628"),0)),INDEX(INDIRECT(""&amp;B468&amp;"!AB2:AB628"),MATCH(A468,INDIRECT(""&amp;B468&amp;"!B2:B628"),0)))</f>
        <v>-16.207917897194886</v>
      </c>
      <c r="G468" s="160">
        <f>IF(H468&gt;0,F468-H468,0)</f>
        <v>0</v>
      </c>
      <c r="H468" s="161"/>
      <c r="I468" s="160">
        <f ca="1">F468*$A$2</f>
        <v>-16.207917897194886</v>
      </c>
      <c r="J468" s="160" t="s">
        <v>76</v>
      </c>
      <c r="K468" s="160">
        <f>IF(LeagueInfo!$F$7="Yahoo",IFERROR(INDEX(DefaultAuctionValues!$B$2:$B$1000,MATCH(A468,DefaultAuctionValues!$A$2:$A$1000,0)),0),IF(LeagueInfo!$F$7="ESPN",IFERROR(INDEX(DefaultAuctionValues!$C$2:$C$1000,MATCH(A468,DefaultAuctionValues!$A$2:$A$1000,0)),0),IF(LeagueInfo!$F$7="Custom",IFERROR(INDEX(DefaultAuctionValues!$D$2:$D$1000,MATCH(A468,DefaultAuctionValues!$A$2:$A$1000,0)),0))))</f>
        <v>0</v>
      </c>
      <c r="L468" s="160">
        <f ca="1">I468-K468</f>
        <v>-16.207917897194886</v>
      </c>
      <c r="M468" s="175"/>
      <c r="N468" s="170">
        <f ca="1">INDEX(INDIRECT(""&amp;$B468&amp;"!Z2:Z628"),MATCH($A468,INDIRECT(""&amp;$B468&amp;"!B2:B628"),0))</f>
        <v>-44.695000000000007</v>
      </c>
      <c r="O468" s="158" t="str">
        <f ca="1">IF(INDEX(INDIRECT(""&amp;$B468&amp;"!W2:W628"),MATCH($A468,INDIRECT(""&amp;$B468&amp;"!B2:B628"),0))=0,"",INDEX(INDIRECT(""&amp;$B468&amp;"!W2:W628"),MATCH($A468,INDIRECT(""&amp;$B468&amp;"!B2:B628"),0)))</f>
        <v/>
      </c>
    </row>
    <row r="469" spans="1:15" x14ac:dyDescent="0.25">
      <c r="A469" s="158" t="s">
        <v>2492</v>
      </c>
      <c r="B469" s="158" t="s">
        <v>43</v>
      </c>
      <c r="C469" s="158">
        <f ca="1">IFERROR(INDEX(BYEs!$B$2:$B$33,MATCH(D469,BYEs!$A$2:$A$33,0)),"N/A")</f>
        <v>7</v>
      </c>
      <c r="D469" s="219" t="str">
        <f ca="1">INDEX(INDIRECT(""&amp;B469&amp;"!F2:F628"),MATCH(A469,INDIRECT(""&amp;B469&amp;"!B2:B628"),0))</f>
        <v>PHI</v>
      </c>
      <c r="E469" s="218" t="str">
        <f ca="1">INDEX(INDIRECT(""&amp;$B469&amp;"!AA2:AA628"),MATCH($A469,INDIRECT(""&amp;$B469&amp;"!B2:B628"),0))</f>
        <v>TE12</v>
      </c>
      <c r="F469" s="159">
        <f ca="1">IF(LeagueInfo!$H$7="Starter/Bench",INDEX(INDIRECT(""&amp;B469&amp;"!T2:T628"),MATCH(A469,INDIRECT(""&amp;B469&amp;"!B2:B628"),0)),INDEX(INDIRECT(""&amp;B469&amp;"!AB2:AB628"),MATCH(A469,INDIRECT(""&amp;B469&amp;"!B2:B628"),0)))</f>
        <v>-16.307642193463565</v>
      </c>
      <c r="G469" s="160">
        <f>IF(H469&gt;0,F469-H469,0)</f>
        <v>0</v>
      </c>
      <c r="H469" s="161"/>
      <c r="I469" s="160">
        <f ca="1">F469*$A$2</f>
        <v>-16.307642193463565</v>
      </c>
      <c r="J469" s="160" t="s">
        <v>76</v>
      </c>
      <c r="K469" s="160">
        <f>IF(LeagueInfo!$F$7="Yahoo",IFERROR(INDEX(DefaultAuctionValues!$B$2:$B$1000,MATCH(A469,DefaultAuctionValues!$A$2:$A$1000,0)),0),IF(LeagueInfo!$F$7="ESPN",IFERROR(INDEX(DefaultAuctionValues!$C$2:$C$1000,MATCH(A469,DefaultAuctionValues!$A$2:$A$1000,0)),0),IF(LeagueInfo!$F$7="Custom",IFERROR(INDEX(DefaultAuctionValues!$D$2:$D$1000,MATCH(A469,DefaultAuctionValues!$A$2:$A$1000,0)),0))))</f>
        <v>0</v>
      </c>
      <c r="L469" s="160">
        <f ca="1">I469-K469</f>
        <v>-16.307642193463565</v>
      </c>
      <c r="M469" s="175"/>
      <c r="N469" s="170">
        <f ca="1">INDEX(INDIRECT(""&amp;$B469&amp;"!Z2:Z628"),MATCH($A469,INDIRECT(""&amp;$B469&amp;"!B2:B628"),0))</f>
        <v>-44.970000000000006</v>
      </c>
      <c r="O469" s="158" t="str">
        <f ca="1">IF(INDEX(INDIRECT(""&amp;$B469&amp;"!W2:W628"),MATCH($A469,INDIRECT(""&amp;$B469&amp;"!B2:B628"),0))=0,"",INDEX(INDIRECT(""&amp;$B469&amp;"!W2:W628"),MATCH($A469,INDIRECT(""&amp;$B469&amp;"!B2:B628"),0)))</f>
        <v/>
      </c>
    </row>
    <row r="470" spans="1:15" x14ac:dyDescent="0.25">
      <c r="A470" s="158" t="s">
        <v>2668</v>
      </c>
      <c r="B470" s="158" t="s">
        <v>43</v>
      </c>
      <c r="C470" s="158">
        <f ca="1">IFERROR(INDEX(BYEs!$B$2:$B$33,MATCH(D470,BYEs!$A$2:$A$33,0)),"N/A")</f>
        <v>14</v>
      </c>
      <c r="D470" s="219" t="str">
        <f ca="1">INDEX(INDIRECT(""&amp;B470&amp;"!F2:F628"),MATCH(A470,INDIRECT(""&amp;B470&amp;"!B2:B628"),0))</f>
        <v>WAS</v>
      </c>
      <c r="E470" s="218" t="str">
        <f ca="1">INDEX(INDIRECT(""&amp;$B470&amp;"!AA2:AA628"),MATCH($A470,INDIRECT(""&amp;$B470&amp;"!B2:B628"),0))</f>
        <v>TE12</v>
      </c>
      <c r="F470" s="159">
        <f ca="1">IF(LeagueInfo!$H$7="Starter/Bench",INDEX(INDIRECT(""&amp;B470&amp;"!T2:T628"),MATCH(A470,INDIRECT(""&amp;B470&amp;"!B2:B628"),0)),INDEX(INDIRECT(""&amp;B470&amp;"!AB2:AB628"),MATCH(A470,INDIRECT(""&amp;B470&amp;"!B2:B628"),0)))</f>
        <v>-16.327587052717298</v>
      </c>
      <c r="G470" s="160">
        <f>IF(H470&gt;0,F470-H470,0)</f>
        <v>0</v>
      </c>
      <c r="H470" s="161"/>
      <c r="I470" s="160">
        <f ca="1">F470*$A$2</f>
        <v>-16.327587052717298</v>
      </c>
      <c r="J470" s="160" t="s">
        <v>76</v>
      </c>
      <c r="K470" s="160">
        <f>IF(LeagueInfo!$F$7="Yahoo",IFERROR(INDEX(DefaultAuctionValues!$B$2:$B$1000,MATCH(A470,DefaultAuctionValues!$A$2:$A$1000,0)),0),IF(LeagueInfo!$F$7="ESPN",IFERROR(INDEX(DefaultAuctionValues!$C$2:$C$1000,MATCH(A470,DefaultAuctionValues!$A$2:$A$1000,0)),0),IF(LeagueInfo!$F$7="Custom",IFERROR(INDEX(DefaultAuctionValues!$D$2:$D$1000,MATCH(A470,DefaultAuctionValues!$A$2:$A$1000,0)),0))))</f>
        <v>0</v>
      </c>
      <c r="L470" s="160">
        <f ca="1">I470-K470</f>
        <v>-16.327587052717298</v>
      </c>
      <c r="M470" s="175"/>
      <c r="N470" s="170">
        <f ca="1">INDEX(INDIRECT(""&amp;$B470&amp;"!Z2:Z628"),MATCH($A470,INDIRECT(""&amp;$B470&amp;"!B2:B628"),0))</f>
        <v>-45.025000000000006</v>
      </c>
      <c r="O470" s="158" t="str">
        <f ca="1">IF(INDEX(INDIRECT(""&amp;$B470&amp;"!W2:W628"),MATCH($A470,INDIRECT(""&amp;$B470&amp;"!B2:B628"),0))=0,"",INDEX(INDIRECT(""&amp;$B470&amp;"!W2:W628"),MATCH($A470,INDIRECT(""&amp;$B470&amp;"!B2:B628"),0)))</f>
        <v/>
      </c>
    </row>
    <row r="471" spans="1:15" x14ac:dyDescent="0.25">
      <c r="A471" s="158" t="s">
        <v>962</v>
      </c>
      <c r="B471" s="158" t="s">
        <v>43</v>
      </c>
      <c r="C471" s="158">
        <f ca="1">IFERROR(INDEX(BYEs!$B$2:$B$33,MATCH(D471,BYEs!$A$2:$A$33,0)),"N/A")</f>
        <v>14</v>
      </c>
      <c r="D471" s="219" t="str">
        <f ca="1">INDEX(INDIRECT(""&amp;B471&amp;"!F2:F628"),MATCH(A471,INDIRECT(""&amp;B471&amp;"!B2:B628"),0))</f>
        <v>NO</v>
      </c>
      <c r="E471" s="218" t="str">
        <f ca="1">INDEX(INDIRECT(""&amp;$B471&amp;"!AA2:AA628"),MATCH($A471,INDIRECT(""&amp;$B471&amp;"!B2:B628"),0))</f>
        <v>TE12</v>
      </c>
      <c r="F471" s="159">
        <f ca="1">IF(LeagueInfo!$H$7="Starter/Bench",INDEX(INDIRECT(""&amp;B471&amp;"!T2:T628"),MATCH(A471,INDIRECT(""&amp;B471&amp;"!B2:B628"),0)),INDEX(INDIRECT(""&amp;B471&amp;"!AB2:AB628"),MATCH(A471,INDIRECT(""&amp;B471&amp;"!B2:B628"),0)))</f>
        <v>-16.369289940247839</v>
      </c>
      <c r="G471" s="160">
        <f>IF(H471&gt;0,F471-H471,0)</f>
        <v>0</v>
      </c>
      <c r="H471" s="161"/>
      <c r="I471" s="160">
        <f ca="1">F471*$A$2</f>
        <v>-16.369289940247839</v>
      </c>
      <c r="J471" s="160" t="s">
        <v>76</v>
      </c>
      <c r="K471" s="160">
        <f>IF(LeagueInfo!$F$7="Yahoo",IFERROR(INDEX(DefaultAuctionValues!$B$2:$B$1000,MATCH(A471,DefaultAuctionValues!$A$2:$A$1000,0)),0),IF(LeagueInfo!$F$7="ESPN",IFERROR(INDEX(DefaultAuctionValues!$C$2:$C$1000,MATCH(A471,DefaultAuctionValues!$A$2:$A$1000,0)),0),IF(LeagueInfo!$F$7="Custom",IFERROR(INDEX(DefaultAuctionValues!$D$2:$D$1000,MATCH(A471,DefaultAuctionValues!$A$2:$A$1000,0)),0))))</f>
        <v>0</v>
      </c>
      <c r="L471" s="160">
        <f ca="1">I471-K471</f>
        <v>-16.369289940247839</v>
      </c>
      <c r="M471" s="175"/>
      <c r="N471" s="170">
        <f ca="1">INDEX(INDIRECT(""&amp;$B471&amp;"!Z2:Z628"),MATCH($A471,INDIRECT(""&amp;$B471&amp;"!B2:B628"),0))</f>
        <v>-45.140000000000008</v>
      </c>
      <c r="O471" s="158" t="str">
        <f ca="1">IF(INDEX(INDIRECT(""&amp;$B471&amp;"!W2:W628"),MATCH($A471,INDIRECT(""&amp;$B471&amp;"!B2:B628"),0))=0,"",INDEX(INDIRECT(""&amp;$B471&amp;"!W2:W628"),MATCH($A471,INDIRECT(""&amp;$B471&amp;"!B2:B628"),0)))</f>
        <v/>
      </c>
    </row>
    <row r="472" spans="1:15" x14ac:dyDescent="0.25">
      <c r="A472" s="158" t="s">
        <v>960</v>
      </c>
      <c r="B472" s="158" t="s">
        <v>35</v>
      </c>
      <c r="C472" s="158">
        <f ca="1">IFERROR(INDEX(BYEs!$B$2:$B$33,MATCH(D472,BYEs!$A$2:$A$33,0)),"N/A")</f>
        <v>6</v>
      </c>
      <c r="D472" s="219" t="str">
        <f ca="1">INDEX(INDIRECT(""&amp;B472&amp;"!F2:F628"),MATCH(A472,INDIRECT(""&amp;B472&amp;"!B2:B628"),0))</f>
        <v>TEN</v>
      </c>
      <c r="E472" s="218" t="str">
        <f ca="1">INDEX(INDIRECT(""&amp;$B472&amp;"!AA2:AA628"),MATCH($A472,INDIRECT(""&amp;$B472&amp;"!B2:B628"),0))</f>
        <v>WR11</v>
      </c>
      <c r="F472" s="159">
        <f ca="1">IF(LeagueInfo!$H$7="Starter/Bench",INDEX(INDIRECT(""&amp;B472&amp;"!T2:T628"),MATCH(A472,INDIRECT(""&amp;B472&amp;"!B2:B628"),0)),INDEX(INDIRECT(""&amp;B472&amp;"!AB2:AB628"),MATCH(A472,INDIRECT(""&amp;B472&amp;"!B2:B628"),0)))</f>
        <v>-16.414619165824504</v>
      </c>
      <c r="G472" s="160">
        <f>IF(H472&gt;0,F472-H472,0)</f>
        <v>0</v>
      </c>
      <c r="H472" s="161"/>
      <c r="I472" s="160">
        <f ca="1">F472*$A$2</f>
        <v>-16.414619165824504</v>
      </c>
      <c r="J472" s="160" t="s">
        <v>76</v>
      </c>
      <c r="K472" s="160">
        <f>IF(LeagueInfo!$F$7="Yahoo",IFERROR(INDEX(DefaultAuctionValues!$B$2:$B$1000,MATCH(A472,DefaultAuctionValues!$A$2:$A$1000,0)),0),IF(LeagueInfo!$F$7="ESPN",IFERROR(INDEX(DefaultAuctionValues!$C$2:$C$1000,MATCH(A472,DefaultAuctionValues!$A$2:$A$1000,0)),0),IF(LeagueInfo!$F$7="Custom",IFERROR(INDEX(DefaultAuctionValues!$D$2:$D$1000,MATCH(A472,DefaultAuctionValues!$A$2:$A$1000,0)),0))))</f>
        <v>0</v>
      </c>
      <c r="L472" s="160">
        <f ca="1">I472-K472</f>
        <v>-16.414619165824504</v>
      </c>
      <c r="M472" s="175"/>
      <c r="N472" s="170">
        <f ca="1">INDEX(INDIRECT(""&amp;$B472&amp;"!Z2:Z628"),MATCH($A472,INDIRECT(""&amp;$B472&amp;"!B2:B628"),0))</f>
        <v>-45.264999999999986</v>
      </c>
      <c r="O472" s="158" t="str">
        <f ca="1">IF(INDEX(INDIRECT(""&amp;$B472&amp;"!W2:W628"),MATCH($A472,INDIRECT(""&amp;$B472&amp;"!B2:B628"),0))=0,"",INDEX(INDIRECT(""&amp;$B472&amp;"!W2:W628"),MATCH($A472,INDIRECT(""&amp;$B472&amp;"!B2:B628"),0)))</f>
        <v/>
      </c>
    </row>
    <row r="473" spans="1:15" x14ac:dyDescent="0.25">
      <c r="A473" s="158" t="s">
        <v>984</v>
      </c>
      <c r="B473" s="158" t="s">
        <v>43</v>
      </c>
      <c r="C473" s="158">
        <f ca="1">IFERROR(INDEX(BYEs!$B$2:$B$33,MATCH(D473,BYEs!$A$2:$A$33,0)),"N/A")</f>
        <v>7</v>
      </c>
      <c r="D473" s="219" t="str">
        <f ca="1">INDEX(INDIRECT(""&amp;B473&amp;"!F2:F628"),MATCH(A473,INDIRECT(""&amp;B473&amp;"!B2:B628"),0))</f>
        <v>MIN</v>
      </c>
      <c r="E473" s="218" t="str">
        <f ca="1">INDEX(INDIRECT(""&amp;$B473&amp;"!AA2:AA628"),MATCH($A473,INDIRECT(""&amp;$B473&amp;"!B2:B628"),0))</f>
        <v>TE12</v>
      </c>
      <c r="F473" s="159">
        <f ca="1">IF(LeagueInfo!$H$7="Starter/Bench",INDEX(INDIRECT(""&amp;B473&amp;"!T2:T628"),MATCH(A473,INDIRECT(""&amp;B473&amp;"!B2:B628"),0)),INDEX(INDIRECT(""&amp;B473&amp;"!AB2:AB628"),MATCH(A473,INDIRECT(""&amp;B473&amp;"!B2:B628"),0)))</f>
        <v>-16.496211771862523</v>
      </c>
      <c r="G473" s="160">
        <f>IF(H473&gt;0,F473-H473,0)</f>
        <v>0</v>
      </c>
      <c r="H473" s="161"/>
      <c r="I473" s="160">
        <f ca="1">F473*$A$2</f>
        <v>-16.496211771862523</v>
      </c>
      <c r="J473" s="160" t="s">
        <v>76</v>
      </c>
      <c r="K473" s="160">
        <f>IF(LeagueInfo!$F$7="Yahoo",IFERROR(INDEX(DefaultAuctionValues!$B$2:$B$1000,MATCH(A473,DefaultAuctionValues!$A$2:$A$1000,0)),0),IF(LeagueInfo!$F$7="ESPN",IFERROR(INDEX(DefaultAuctionValues!$C$2:$C$1000,MATCH(A473,DefaultAuctionValues!$A$2:$A$1000,0)),0),IF(LeagueInfo!$F$7="Custom",IFERROR(INDEX(DefaultAuctionValues!$D$2:$D$1000,MATCH(A473,DefaultAuctionValues!$A$2:$A$1000,0)),0))))</f>
        <v>0</v>
      </c>
      <c r="L473" s="160">
        <f ca="1">I473-K473</f>
        <v>-16.496211771862523</v>
      </c>
      <c r="M473" s="175"/>
      <c r="N473" s="170">
        <f ca="1">INDEX(INDIRECT(""&amp;$B473&amp;"!Z2:Z628"),MATCH($A473,INDIRECT(""&amp;$B473&amp;"!B2:B628"),0))</f>
        <v>-45.490000000000009</v>
      </c>
      <c r="O473" s="158" t="str">
        <f ca="1">IF(INDEX(INDIRECT(""&amp;$B473&amp;"!W2:W628"),MATCH($A473,INDIRECT(""&amp;$B473&amp;"!B2:B628"),0))=0,"",INDEX(INDIRECT(""&amp;$B473&amp;"!W2:W628"),MATCH($A473,INDIRECT(""&amp;$B473&amp;"!B2:B628"),0)))</f>
        <v/>
      </c>
    </row>
    <row r="474" spans="1:15" x14ac:dyDescent="0.25">
      <c r="A474" s="158" t="s">
        <v>371</v>
      </c>
      <c r="B474" s="158" t="s">
        <v>35</v>
      </c>
      <c r="C474" s="158">
        <f ca="1">IFERROR(INDEX(BYEs!$B$2:$B$33,MATCH(D474,BYEs!$A$2:$A$33,0)),"N/A")</f>
        <v>11</v>
      </c>
      <c r="D474" s="219" t="str">
        <f ca="1">INDEX(INDIRECT(""&amp;B474&amp;"!F2:F628"),MATCH(A474,INDIRECT(""&amp;B474&amp;"!B2:B628"),0))</f>
        <v>SEA</v>
      </c>
      <c r="E474" s="218" t="str">
        <f ca="1">INDEX(INDIRECT(""&amp;$B474&amp;"!AA2:AA628"),MATCH($A474,INDIRECT(""&amp;$B474&amp;"!B2:B628"),0))</f>
        <v>WR11</v>
      </c>
      <c r="F474" s="159">
        <f ca="1">IF(LeagueInfo!$H$7="Starter/Bench",INDEX(INDIRECT(""&amp;B474&amp;"!T2:T628"),MATCH(A474,INDIRECT(""&amp;B474&amp;"!B2:B628"),0)),INDEX(INDIRECT(""&amp;B474&amp;"!AB2:AB628"),MATCH(A474,INDIRECT(""&amp;B474&amp;"!B2:B628"),0)))</f>
        <v>-16.503464447954784</v>
      </c>
      <c r="G474" s="160">
        <f>IF(H474&gt;0,F474-H474,0)</f>
        <v>0</v>
      </c>
      <c r="H474" s="161"/>
      <c r="I474" s="160">
        <f ca="1">F474*$A$2</f>
        <v>-16.503464447954784</v>
      </c>
      <c r="J474" s="160" t="s">
        <v>76</v>
      </c>
      <c r="K474" s="160">
        <f>IF(LeagueInfo!$F$7="Yahoo",IFERROR(INDEX(DefaultAuctionValues!$B$2:$B$1000,MATCH(A474,DefaultAuctionValues!$A$2:$A$1000,0)),0),IF(LeagueInfo!$F$7="ESPN",IFERROR(INDEX(DefaultAuctionValues!$C$2:$C$1000,MATCH(A474,DefaultAuctionValues!$A$2:$A$1000,0)),0),IF(LeagueInfo!$F$7="Custom",IFERROR(INDEX(DefaultAuctionValues!$D$2:$D$1000,MATCH(A474,DefaultAuctionValues!$A$2:$A$1000,0)),0))))</f>
        <v>0</v>
      </c>
      <c r="L474" s="160">
        <f ca="1">I474-K474</f>
        <v>-16.503464447954784</v>
      </c>
      <c r="M474" s="175"/>
      <c r="N474" s="170">
        <f ca="1">INDEX(INDIRECT(""&amp;$B474&amp;"!Z2:Z628"),MATCH($A474,INDIRECT(""&amp;$B474&amp;"!B2:B628"),0))</f>
        <v>-45.509999999999991</v>
      </c>
      <c r="O474" s="158" t="str">
        <f ca="1">IF(INDEX(INDIRECT(""&amp;$B474&amp;"!W2:W628"),MATCH($A474,INDIRECT(""&amp;$B474&amp;"!B2:B628"),0))=0,"",INDEX(INDIRECT(""&amp;$B474&amp;"!W2:W628"),MATCH($A474,INDIRECT(""&amp;$B474&amp;"!B2:B628"),0)))</f>
        <v/>
      </c>
    </row>
    <row r="475" spans="1:15" x14ac:dyDescent="0.25">
      <c r="A475" s="158" t="s">
        <v>438</v>
      </c>
      <c r="B475" s="158" t="s">
        <v>43</v>
      </c>
      <c r="C475" s="158">
        <f ca="1">IFERROR(INDEX(BYEs!$B$2:$B$33,MATCH(D475,BYEs!$A$2:$A$33,0)),"N/A")</f>
        <v>9</v>
      </c>
      <c r="D475" s="219" t="str">
        <f ca="1">INDEX(INDIRECT(""&amp;B475&amp;"!F2:F628"),MATCH(A475,INDIRECT(""&amp;B475&amp;"!B2:B628"),0))</f>
        <v>DEN</v>
      </c>
      <c r="E475" s="218" t="str">
        <f ca="1">INDEX(INDIRECT(""&amp;$B475&amp;"!AA2:AA628"),MATCH($A475,INDIRECT(""&amp;$B475&amp;"!B2:B628"),0))</f>
        <v>TE12</v>
      </c>
      <c r="F475" s="159">
        <f ca="1">IF(LeagueInfo!$H$7="Starter/Bench",INDEX(INDIRECT(""&amp;B475&amp;"!T2:T628"),MATCH(A475,INDIRECT(""&amp;B475&amp;"!B2:B628"),0)),INDEX(INDIRECT(""&amp;B475&amp;"!AB2:AB628"),MATCH(A475,INDIRECT(""&amp;B475&amp;"!B2:B628"),0)))</f>
        <v>-16.530661983300792</v>
      </c>
      <c r="G475" s="160">
        <f>IF(H475&gt;0,F475-H475,0)</f>
        <v>0</v>
      </c>
      <c r="H475" s="161"/>
      <c r="I475" s="160">
        <f ca="1">F475*$A$2</f>
        <v>-16.530661983300792</v>
      </c>
      <c r="J475" s="160" t="s">
        <v>76</v>
      </c>
      <c r="K475" s="160">
        <f>IF(LeagueInfo!$F$7="Yahoo",IFERROR(INDEX(DefaultAuctionValues!$B$2:$B$1000,MATCH(A475,DefaultAuctionValues!$A$2:$A$1000,0)),0),IF(LeagueInfo!$F$7="ESPN",IFERROR(INDEX(DefaultAuctionValues!$C$2:$C$1000,MATCH(A475,DefaultAuctionValues!$A$2:$A$1000,0)),0),IF(LeagueInfo!$F$7="Custom",IFERROR(INDEX(DefaultAuctionValues!$D$2:$D$1000,MATCH(A475,DefaultAuctionValues!$A$2:$A$1000,0)),0))))</f>
        <v>0</v>
      </c>
      <c r="L475" s="160">
        <f ca="1">I475-K475</f>
        <v>-16.530661983300792</v>
      </c>
      <c r="M475" s="175"/>
      <c r="N475" s="170">
        <f ca="1">INDEX(INDIRECT(""&amp;$B475&amp;"!Z2:Z628"),MATCH($A475,INDIRECT(""&amp;$B475&amp;"!B2:B628"),0))</f>
        <v>-45.585000000000008</v>
      </c>
      <c r="O475" s="158" t="str">
        <f ca="1">IF(INDEX(INDIRECT(""&amp;$B475&amp;"!W2:W628"),MATCH($A475,INDIRECT(""&amp;$B475&amp;"!B2:B628"),0))=0,"",INDEX(INDIRECT(""&amp;$B475&amp;"!W2:W628"),MATCH($A475,INDIRECT(""&amp;$B475&amp;"!B2:B628"),0)))</f>
        <v/>
      </c>
    </row>
    <row r="476" spans="1:15" x14ac:dyDescent="0.25">
      <c r="A476" s="158" t="s">
        <v>821</v>
      </c>
      <c r="B476" s="158" t="s">
        <v>43</v>
      </c>
      <c r="C476" s="158">
        <f ca="1">IFERROR(INDEX(BYEs!$B$2:$B$33,MATCH(D476,BYEs!$A$2:$A$33,0)),"N/A")</f>
        <v>6</v>
      </c>
      <c r="D476" s="219" t="str">
        <f ca="1">INDEX(INDIRECT(""&amp;B476&amp;"!F2:F628"),MATCH(A476,INDIRECT(""&amp;B476&amp;"!B2:B628"),0))</f>
        <v>LV</v>
      </c>
      <c r="E476" s="218" t="str">
        <f ca="1">INDEX(INDIRECT(""&amp;$B476&amp;"!AA2:AA628"),MATCH($A476,INDIRECT(""&amp;$B476&amp;"!B2:B628"),0))</f>
        <v>TE12</v>
      </c>
      <c r="F476" s="159">
        <f ca="1">IF(LeagueInfo!$H$7="Starter/Bench",INDEX(INDIRECT(""&amp;B476&amp;"!T2:T628"),MATCH(A476,INDIRECT(""&amp;B476&amp;"!B2:B628"),0)),INDEX(INDIRECT(""&amp;B476&amp;"!AB2:AB628"),MATCH(A476,INDIRECT(""&amp;B476&amp;"!B2:B628"),0)))</f>
        <v>-16.545167335485328</v>
      </c>
      <c r="G476" s="160">
        <f>IF(H476&gt;0,F476-H476,0)</f>
        <v>0</v>
      </c>
      <c r="H476" s="161"/>
      <c r="I476" s="160">
        <f ca="1">F476*$A$2</f>
        <v>-16.545167335485328</v>
      </c>
      <c r="J476" s="160" t="s">
        <v>76</v>
      </c>
      <c r="K476" s="160">
        <f>IF(LeagueInfo!$F$7="Yahoo",IFERROR(INDEX(DefaultAuctionValues!$B$2:$B$1000,MATCH(A476,DefaultAuctionValues!$A$2:$A$1000,0)),0),IF(LeagueInfo!$F$7="ESPN",IFERROR(INDEX(DefaultAuctionValues!$C$2:$C$1000,MATCH(A476,DefaultAuctionValues!$A$2:$A$1000,0)),0),IF(LeagueInfo!$F$7="Custom",IFERROR(INDEX(DefaultAuctionValues!$D$2:$D$1000,MATCH(A476,DefaultAuctionValues!$A$2:$A$1000,0)),0))))</f>
        <v>0</v>
      </c>
      <c r="L476" s="160">
        <f ca="1">I476-K476</f>
        <v>-16.545167335485328</v>
      </c>
      <c r="M476" s="175"/>
      <c r="N476" s="170">
        <f ca="1">INDEX(INDIRECT(""&amp;$B476&amp;"!Z2:Z628"),MATCH($A476,INDIRECT(""&amp;$B476&amp;"!B2:B628"),0))</f>
        <v>-45.625000000000007</v>
      </c>
      <c r="O476" s="158" t="str">
        <f ca="1">IF(INDEX(INDIRECT(""&amp;$B476&amp;"!W2:W628"),MATCH($A476,INDIRECT(""&amp;$B476&amp;"!B2:B628"),0))=0,"",INDEX(INDIRECT(""&amp;$B476&amp;"!W2:W628"),MATCH($A476,INDIRECT(""&amp;$B476&amp;"!B2:B628"),0)))</f>
        <v/>
      </c>
    </row>
    <row r="477" spans="1:15" x14ac:dyDescent="0.25">
      <c r="A477" s="158" t="s">
        <v>2437</v>
      </c>
      <c r="B477" s="158" t="s">
        <v>35</v>
      </c>
      <c r="C477" s="158">
        <f ca="1">IFERROR(INDEX(BYEs!$B$2:$B$33,MATCH(D477,BYEs!$A$2:$A$33,0)),"N/A")</f>
        <v>6</v>
      </c>
      <c r="D477" s="219" t="str">
        <f ca="1">INDEX(INDIRECT(""&amp;B477&amp;"!F2:F628"),MATCH(A477,INDIRECT(""&amp;B477&amp;"!B2:B628"),0))</f>
        <v>TEN</v>
      </c>
      <c r="E477" s="218" t="str">
        <f ca="1">INDEX(INDIRECT(""&amp;$B477&amp;"!AA2:AA628"),MATCH($A477,INDIRECT(""&amp;$B477&amp;"!B2:B628"),0))</f>
        <v>WR11</v>
      </c>
      <c r="F477" s="159">
        <f ca="1">IF(LeagueInfo!$H$7="Starter/Bench",INDEX(INDIRECT(""&amp;B477&amp;"!T2:T628"),MATCH(A477,INDIRECT(""&amp;B477&amp;"!B2:B628"),0)),INDEX(INDIRECT(""&amp;B477&amp;"!AB2:AB628"),MATCH(A477,INDIRECT(""&amp;B477&amp;"!B2:B628"),0)))</f>
        <v>-16.559672687669856</v>
      </c>
      <c r="G477" s="160">
        <f>IF(H477&gt;0,F477-H477,0)</f>
        <v>0</v>
      </c>
      <c r="H477" s="161"/>
      <c r="I477" s="160">
        <f ca="1">F477*$A$2</f>
        <v>-16.559672687669856</v>
      </c>
      <c r="J477" s="160" t="s">
        <v>76</v>
      </c>
      <c r="K477" s="160">
        <f>IF(LeagueInfo!$F$7="Yahoo",IFERROR(INDEX(DefaultAuctionValues!$B$2:$B$1000,MATCH(A477,DefaultAuctionValues!$A$2:$A$1000,0)),0),IF(LeagueInfo!$F$7="ESPN",IFERROR(INDEX(DefaultAuctionValues!$C$2:$C$1000,MATCH(A477,DefaultAuctionValues!$A$2:$A$1000,0)),0),IF(LeagueInfo!$F$7="Custom",IFERROR(INDEX(DefaultAuctionValues!$D$2:$D$1000,MATCH(A477,DefaultAuctionValues!$A$2:$A$1000,0)),0))))</f>
        <v>0</v>
      </c>
      <c r="L477" s="160">
        <f ca="1">I477-K477</f>
        <v>-16.559672687669856</v>
      </c>
      <c r="M477" s="175"/>
      <c r="N477" s="170">
        <f ca="1">INDEX(INDIRECT(""&amp;$B477&amp;"!Z2:Z628"),MATCH($A477,INDIRECT(""&amp;$B477&amp;"!B2:B628"),0))</f>
        <v>-45.664999999999992</v>
      </c>
      <c r="O477" s="158" t="str">
        <f ca="1">IF(INDEX(INDIRECT(""&amp;$B477&amp;"!W2:W628"),MATCH($A477,INDIRECT(""&amp;$B477&amp;"!B2:B628"),0))=0,"",INDEX(INDIRECT(""&amp;$B477&amp;"!W2:W628"),MATCH($A477,INDIRECT(""&amp;$B477&amp;"!B2:B628"),0)))</f>
        <v/>
      </c>
    </row>
    <row r="478" spans="1:15" x14ac:dyDescent="0.25">
      <c r="A478" s="158" t="s">
        <v>758</v>
      </c>
      <c r="B478" s="158" t="s">
        <v>43</v>
      </c>
      <c r="C478" s="158">
        <f ca="1">IFERROR(INDEX(BYEs!$B$2:$B$33,MATCH(D478,BYEs!$A$2:$A$33,0)),"N/A")</f>
        <v>7</v>
      </c>
      <c r="D478" s="219" t="str">
        <f ca="1">INDEX(INDIRECT(""&amp;B478&amp;"!F2:F628"),MATCH(A478,INDIRECT(""&amp;B478&amp;"!B2:B628"),0))</f>
        <v>BUF</v>
      </c>
      <c r="E478" s="218" t="str">
        <f ca="1">INDEX(INDIRECT(""&amp;$B478&amp;"!AA2:AA628"),MATCH($A478,INDIRECT(""&amp;$B478&amp;"!B2:B628"),0))</f>
        <v>TE12</v>
      </c>
      <c r="F478" s="159">
        <f ca="1">IF(LeagueInfo!$H$7="Starter/Bench",INDEX(INDIRECT(""&amp;B478&amp;"!T2:T628"),MATCH(A478,INDIRECT(""&amp;B478&amp;"!B2:B628"),0)),INDEX(INDIRECT(""&amp;B478&amp;"!AB2:AB628"),MATCH(A478,INDIRECT(""&amp;B478&amp;"!B2:B628"),0)))</f>
        <v>-16.55967268766986</v>
      </c>
      <c r="G478" s="160">
        <f>IF(H478&gt;0,F478-H478,0)</f>
        <v>0</v>
      </c>
      <c r="H478" s="161"/>
      <c r="I478" s="160">
        <f ca="1">F478*$A$2</f>
        <v>-16.55967268766986</v>
      </c>
      <c r="J478" s="160" t="s">
        <v>76</v>
      </c>
      <c r="K478" s="160">
        <f>IF(LeagueInfo!$F$7="Yahoo",IFERROR(INDEX(DefaultAuctionValues!$B$2:$B$1000,MATCH(A478,DefaultAuctionValues!$A$2:$A$1000,0)),0),IF(LeagueInfo!$F$7="ESPN",IFERROR(INDEX(DefaultAuctionValues!$C$2:$C$1000,MATCH(A478,DefaultAuctionValues!$A$2:$A$1000,0)),0),IF(LeagueInfo!$F$7="Custom",IFERROR(INDEX(DefaultAuctionValues!$D$2:$D$1000,MATCH(A478,DefaultAuctionValues!$A$2:$A$1000,0)),0))))</f>
        <v>0</v>
      </c>
      <c r="L478" s="160">
        <f ca="1">I478-K478</f>
        <v>-16.55967268766986</v>
      </c>
      <c r="M478" s="175"/>
      <c r="N478" s="170">
        <f ca="1">INDEX(INDIRECT(""&amp;$B478&amp;"!Z2:Z628"),MATCH($A478,INDIRECT(""&amp;$B478&amp;"!B2:B628"),0))</f>
        <v>-45.665000000000006</v>
      </c>
      <c r="O478" s="158" t="str">
        <f ca="1">IF(INDEX(INDIRECT(""&amp;$B478&amp;"!W2:W628"),MATCH($A478,INDIRECT(""&amp;$B478&amp;"!B2:B628"),0))=0,"",INDEX(INDIRECT(""&amp;$B478&amp;"!W2:W628"),MATCH($A478,INDIRECT(""&amp;$B478&amp;"!B2:B628"),0)))</f>
        <v/>
      </c>
    </row>
    <row r="479" spans="1:15" x14ac:dyDescent="0.25">
      <c r="A479" s="158" t="s">
        <v>750</v>
      </c>
      <c r="B479" s="158" t="s">
        <v>43</v>
      </c>
      <c r="C479" s="158">
        <f ca="1">IFERROR(INDEX(BYEs!$B$2:$B$33,MATCH(D479,BYEs!$A$2:$A$33,0)),"N/A")</f>
        <v>9</v>
      </c>
      <c r="D479" s="219" t="str">
        <f ca="1">INDEX(INDIRECT(""&amp;B479&amp;"!F2:F628"),MATCH(A479,INDIRECT(""&amp;B479&amp;"!B2:B628"),0))</f>
        <v>NYG</v>
      </c>
      <c r="E479" s="218" t="str">
        <f ca="1">INDEX(INDIRECT(""&amp;$B479&amp;"!AA2:AA628"),MATCH($A479,INDIRECT(""&amp;$B479&amp;"!B2:B628"),0))</f>
        <v>TE12</v>
      </c>
      <c r="F479" s="159">
        <f ca="1">IF(LeagueInfo!$H$7="Starter/Bench",INDEX(INDIRECT(""&amp;B479&amp;"!T2:T628"),MATCH(A479,INDIRECT(""&amp;B479&amp;"!B2:B628"),0)),INDEX(INDIRECT(""&amp;B479&amp;"!AB2:AB628"),MATCH(A479,INDIRECT(""&amp;B479&amp;"!B2:B628"),0)))</f>
        <v>-16.572364870831329</v>
      </c>
      <c r="G479" s="160">
        <f>IF(H479&gt;0,F479-H479,0)</f>
        <v>0</v>
      </c>
      <c r="H479" s="161"/>
      <c r="I479" s="160">
        <f ca="1">F479*$A$2</f>
        <v>-16.572364870831329</v>
      </c>
      <c r="J479" s="160" t="s">
        <v>76</v>
      </c>
      <c r="K479" s="160">
        <f>IF(LeagueInfo!$F$7="Yahoo",IFERROR(INDEX(DefaultAuctionValues!$B$2:$B$1000,MATCH(A479,DefaultAuctionValues!$A$2:$A$1000,0)),0),IF(LeagueInfo!$F$7="ESPN",IFERROR(INDEX(DefaultAuctionValues!$C$2:$C$1000,MATCH(A479,DefaultAuctionValues!$A$2:$A$1000,0)),0),IF(LeagueInfo!$F$7="Custom",IFERROR(INDEX(DefaultAuctionValues!$D$2:$D$1000,MATCH(A479,DefaultAuctionValues!$A$2:$A$1000,0)),0))))</f>
        <v>0</v>
      </c>
      <c r="L479" s="160">
        <f ca="1">I479-K479</f>
        <v>-16.572364870831329</v>
      </c>
      <c r="M479" s="175"/>
      <c r="N479" s="170">
        <f ca="1">INDEX(INDIRECT(""&amp;$B479&amp;"!Z2:Z628"),MATCH($A479,INDIRECT(""&amp;$B479&amp;"!B2:B628"),0))</f>
        <v>-45.7</v>
      </c>
      <c r="O479" s="158" t="str">
        <f ca="1">IF(INDEX(INDIRECT(""&amp;$B479&amp;"!W2:W628"),MATCH($A479,INDIRECT(""&amp;$B479&amp;"!B2:B628"),0))=0,"",INDEX(INDIRECT(""&amp;$B479&amp;"!W2:W628"),MATCH($A479,INDIRECT(""&amp;$B479&amp;"!B2:B628"),0)))</f>
        <v/>
      </c>
    </row>
    <row r="480" spans="1:15" x14ac:dyDescent="0.25">
      <c r="A480" s="158" t="s">
        <v>2560</v>
      </c>
      <c r="B480" s="158" t="s">
        <v>35</v>
      </c>
      <c r="C480" s="158">
        <f ca="1">IFERROR(INDEX(BYEs!$B$2:$B$33,MATCH(D480,BYEs!$A$2:$A$33,0)),"N/A")</f>
        <v>9</v>
      </c>
      <c r="D480" s="219" t="str">
        <f ca="1">INDEX(INDIRECT(""&amp;B480&amp;"!F2:F628"),MATCH(A480,INDIRECT(""&amp;B480&amp;"!B2:B628"),0))</f>
        <v>DEN</v>
      </c>
      <c r="E480" s="218" t="str">
        <f ca="1">INDEX(INDIRECT(""&amp;$B480&amp;"!AA2:AA628"),MATCH($A480,INDIRECT(""&amp;$B480&amp;"!B2:B628"),0))</f>
        <v>WR11</v>
      </c>
      <c r="F480" s="159">
        <f ca="1">IF(LeagueInfo!$H$7="Starter/Bench",INDEX(INDIRECT(""&amp;B480&amp;"!T2:T628"),MATCH(A480,INDIRECT(""&amp;B480&amp;"!B2:B628"),0)),INDEX(INDIRECT(""&amp;B480&amp;"!AB2:AB628"),MATCH(A480,INDIRECT(""&amp;B480&amp;"!B2:B628"),0)))</f>
        <v>-16.668462829053869</v>
      </c>
      <c r="G480" s="160">
        <f>IF(H480&gt;0,F480-H480,0)</f>
        <v>0</v>
      </c>
      <c r="H480" s="161"/>
      <c r="I480" s="160">
        <f ca="1">F480*$A$2</f>
        <v>-16.668462829053869</v>
      </c>
      <c r="J480" s="160" t="s">
        <v>76</v>
      </c>
      <c r="K480" s="160">
        <f>IF(LeagueInfo!$F$7="Yahoo",IFERROR(INDEX(DefaultAuctionValues!$B$2:$B$1000,MATCH(A480,DefaultAuctionValues!$A$2:$A$1000,0)),0),IF(LeagueInfo!$F$7="ESPN",IFERROR(INDEX(DefaultAuctionValues!$C$2:$C$1000,MATCH(A480,DefaultAuctionValues!$A$2:$A$1000,0)),0),IF(LeagueInfo!$F$7="Custom",IFERROR(INDEX(DefaultAuctionValues!$D$2:$D$1000,MATCH(A480,DefaultAuctionValues!$A$2:$A$1000,0)),0))))</f>
        <v>0</v>
      </c>
      <c r="L480" s="160">
        <f ca="1">I480-K480</f>
        <v>-16.668462829053869</v>
      </c>
      <c r="M480" s="175"/>
      <c r="N480" s="170">
        <f ca="1">INDEX(INDIRECT(""&amp;$B480&amp;"!Z2:Z628"),MATCH($A480,INDIRECT(""&amp;$B480&amp;"!B2:B628"),0))</f>
        <v>-45.964999999999989</v>
      </c>
      <c r="O480" s="158" t="str">
        <f ca="1">IF(INDEX(INDIRECT(""&amp;$B480&amp;"!W2:W628"),MATCH($A480,INDIRECT(""&amp;$B480&amp;"!B2:B628"),0))=0,"",INDEX(INDIRECT(""&amp;$B480&amp;"!W2:W628"),MATCH($A480,INDIRECT(""&amp;$B480&amp;"!B2:B628"),0)))</f>
        <v/>
      </c>
    </row>
    <row r="481" spans="1:15" x14ac:dyDescent="0.25">
      <c r="A481" s="158" t="s">
        <v>580</v>
      </c>
      <c r="B481" s="158" t="s">
        <v>35</v>
      </c>
      <c r="C481" s="158">
        <f ca="1">IFERROR(INDEX(BYEs!$B$2:$B$33,MATCH(D481,BYEs!$A$2:$A$33,0)),"N/A")</f>
        <v>14</v>
      </c>
      <c r="D481" s="219" t="str">
        <f ca="1">INDEX(INDIRECT(""&amp;B481&amp;"!F2:F628"),MATCH(A481,INDIRECT(""&amp;B481&amp;"!B2:B628"),0))</f>
        <v>CHI</v>
      </c>
      <c r="E481" s="218" t="str">
        <f ca="1">INDEX(INDIRECT(""&amp;$B481&amp;"!AA2:AA628"),MATCH($A481,INDIRECT(""&amp;$B481&amp;"!B2:B628"),0))</f>
        <v>WR11</v>
      </c>
      <c r="F481" s="159">
        <f ca="1">IF(LeagueInfo!$H$7="Starter/Bench",INDEX(INDIRECT(""&amp;B481&amp;"!T2:T628"),MATCH(A481,INDIRECT(""&amp;B481&amp;"!B2:B628"),0)),INDEX(INDIRECT(""&amp;B481&amp;"!AB2:AB628"),MATCH(A481,INDIRECT(""&amp;B481&amp;"!B2:B628"),0)))</f>
        <v>-16.672089167100005</v>
      </c>
      <c r="G481" s="160">
        <f>IF(H481&gt;0,F481-H481,0)</f>
        <v>0</v>
      </c>
      <c r="H481" s="161"/>
      <c r="I481" s="160">
        <f ca="1">F481*$A$2</f>
        <v>-16.672089167100005</v>
      </c>
      <c r="J481" s="160" t="s">
        <v>76</v>
      </c>
      <c r="K481" s="160">
        <f>IF(LeagueInfo!$F$7="Yahoo",IFERROR(INDEX(DefaultAuctionValues!$B$2:$B$1000,MATCH(A481,DefaultAuctionValues!$A$2:$A$1000,0)),0),IF(LeagueInfo!$F$7="ESPN",IFERROR(INDEX(DefaultAuctionValues!$C$2:$C$1000,MATCH(A481,DefaultAuctionValues!$A$2:$A$1000,0)),0),IF(LeagueInfo!$F$7="Custom",IFERROR(INDEX(DefaultAuctionValues!$D$2:$D$1000,MATCH(A481,DefaultAuctionValues!$A$2:$A$1000,0)),0))))</f>
        <v>0</v>
      </c>
      <c r="L481" s="160">
        <f ca="1">I481-K481</f>
        <v>-16.672089167100005</v>
      </c>
      <c r="M481" s="175"/>
      <c r="N481" s="170">
        <f ca="1">INDEX(INDIRECT(""&amp;$B481&amp;"!Z2:Z628"),MATCH($A481,INDIRECT(""&amp;$B481&amp;"!B2:B628"),0))</f>
        <v>-45.974999999999994</v>
      </c>
      <c r="O481" s="158" t="str">
        <f ca="1">IF(INDEX(INDIRECT(""&amp;$B481&amp;"!W2:W628"),MATCH($A481,INDIRECT(""&amp;$B481&amp;"!B2:B628"),0))=0,"",INDEX(INDIRECT(""&amp;$B481&amp;"!W2:W628"),MATCH($A481,INDIRECT(""&amp;$B481&amp;"!B2:B628"),0)))</f>
        <v/>
      </c>
    </row>
    <row r="482" spans="1:15" x14ac:dyDescent="0.25">
      <c r="A482" s="158" t="s">
        <v>976</v>
      </c>
      <c r="B482" s="158" t="s">
        <v>43</v>
      </c>
      <c r="C482" s="158">
        <f ca="1">IFERROR(INDEX(BYEs!$B$2:$B$33,MATCH(D482,BYEs!$A$2:$A$33,0)),"N/A")</f>
        <v>11</v>
      </c>
      <c r="D482" s="219" t="str">
        <f ca="1">INDEX(INDIRECT(""&amp;B482&amp;"!F2:F628"),MATCH(A482,INDIRECT(""&amp;B482&amp;"!B2:B628"),0))</f>
        <v>MIA</v>
      </c>
      <c r="E482" s="218" t="str">
        <f ca="1">INDEX(INDIRECT(""&amp;$B482&amp;"!AA2:AA628"),MATCH($A482,INDIRECT(""&amp;$B482&amp;"!B2:B628"),0))</f>
        <v>TE12</v>
      </c>
      <c r="F482" s="159">
        <f ca="1">IF(LeagueInfo!$H$7="Starter/Bench",INDEX(INDIRECT(""&amp;B482&amp;"!T2:T628"),MATCH(A482,INDIRECT(""&amp;B482&amp;"!B2:B628"),0)),INDEX(INDIRECT(""&amp;B482&amp;"!AB2:AB628"),MATCH(A482,INDIRECT(""&amp;B482&amp;"!B2:B628"),0)))</f>
        <v>-16.684781350261478</v>
      </c>
      <c r="G482" s="160">
        <f>IF(H482&gt;0,F482-H482,0)</f>
        <v>0</v>
      </c>
      <c r="H482" s="161"/>
      <c r="I482" s="160">
        <f ca="1">F482*$A$2</f>
        <v>-16.684781350261478</v>
      </c>
      <c r="J482" s="160" t="s">
        <v>76</v>
      </c>
      <c r="K482" s="160">
        <f>IF(LeagueInfo!$F$7="Yahoo",IFERROR(INDEX(DefaultAuctionValues!$B$2:$B$1000,MATCH(A482,DefaultAuctionValues!$A$2:$A$1000,0)),0),IF(LeagueInfo!$F$7="ESPN",IFERROR(INDEX(DefaultAuctionValues!$C$2:$C$1000,MATCH(A482,DefaultAuctionValues!$A$2:$A$1000,0)),0),IF(LeagueInfo!$F$7="Custom",IFERROR(INDEX(DefaultAuctionValues!$D$2:$D$1000,MATCH(A482,DefaultAuctionValues!$A$2:$A$1000,0)),0))))</f>
        <v>0</v>
      </c>
      <c r="L482" s="160">
        <f ca="1">I482-K482</f>
        <v>-16.684781350261478</v>
      </c>
      <c r="M482" s="175"/>
      <c r="N482" s="170">
        <f ca="1">INDEX(INDIRECT(""&amp;$B482&amp;"!Z2:Z628"),MATCH($A482,INDIRECT(""&amp;$B482&amp;"!B2:B628"),0))</f>
        <v>-46.010000000000005</v>
      </c>
      <c r="O482" s="158" t="str">
        <f ca="1">IF(INDEX(INDIRECT(""&amp;$B482&amp;"!W2:W628"),MATCH($A482,INDIRECT(""&amp;$B482&amp;"!B2:B628"),0))=0,"",INDEX(INDIRECT(""&amp;$B482&amp;"!W2:W628"),MATCH($A482,INDIRECT(""&amp;$B482&amp;"!B2:B628"),0)))</f>
        <v/>
      </c>
    </row>
    <row r="483" spans="1:15" x14ac:dyDescent="0.25">
      <c r="A483" s="158" t="s">
        <v>855</v>
      </c>
      <c r="B483" s="158" t="s">
        <v>35</v>
      </c>
      <c r="C483" s="158">
        <f ca="1">IFERROR(INDEX(BYEs!$B$2:$B$33,MATCH(D483,BYEs!$A$2:$A$33,0)),"N/A")</f>
        <v>6</v>
      </c>
      <c r="D483" s="219" t="str">
        <f ca="1">INDEX(INDIRECT(""&amp;B483&amp;"!F2:F628"),MATCH(A483,INDIRECT(""&amp;B483&amp;"!B2:B628"),0))</f>
        <v>TEN</v>
      </c>
      <c r="E483" s="218" t="str">
        <f ca="1">INDEX(INDIRECT(""&amp;$B483&amp;"!AA2:AA628"),MATCH($A483,INDIRECT(""&amp;$B483&amp;"!B2:B628"),0))</f>
        <v>WR11</v>
      </c>
      <c r="F483" s="159">
        <f ca="1">IF(LeagueInfo!$H$7="Starter/Bench",INDEX(INDIRECT(""&amp;B483&amp;"!T2:T628"),MATCH(A483,INDIRECT(""&amp;B483&amp;"!B2:B628"),0)),INDEX(INDIRECT(""&amp;B483&amp;"!AB2:AB628"),MATCH(A483,INDIRECT(""&amp;B483&amp;"!B2:B628"),0)))</f>
        <v>-16.68659451928454</v>
      </c>
      <c r="G483" s="160">
        <f>IF(H483&gt;0,F483-H483,0)</f>
        <v>0</v>
      </c>
      <c r="H483" s="161"/>
      <c r="I483" s="160">
        <f ca="1">F483*$A$2</f>
        <v>-16.68659451928454</v>
      </c>
      <c r="J483" s="160" t="s">
        <v>76</v>
      </c>
      <c r="K483" s="160">
        <f>IF(LeagueInfo!$F$7="Yahoo",IFERROR(INDEX(DefaultAuctionValues!$B$2:$B$1000,MATCH(A483,DefaultAuctionValues!$A$2:$A$1000,0)),0),IF(LeagueInfo!$F$7="ESPN",IFERROR(INDEX(DefaultAuctionValues!$C$2:$C$1000,MATCH(A483,DefaultAuctionValues!$A$2:$A$1000,0)),0),IF(LeagueInfo!$F$7="Custom",IFERROR(INDEX(DefaultAuctionValues!$D$2:$D$1000,MATCH(A483,DefaultAuctionValues!$A$2:$A$1000,0)),0))))</f>
        <v>0</v>
      </c>
      <c r="L483" s="160">
        <f ca="1">I483-K483</f>
        <v>-16.68659451928454</v>
      </c>
      <c r="M483" s="175"/>
      <c r="N483" s="170">
        <f ca="1">INDEX(INDIRECT(""&amp;$B483&amp;"!Z2:Z628"),MATCH($A483,INDIRECT(""&amp;$B483&amp;"!B2:B628"),0))</f>
        <v>-46.014999999999993</v>
      </c>
      <c r="O483" s="158" t="str">
        <f ca="1">IF(INDEX(INDIRECT(""&amp;$B483&amp;"!W2:W628"),MATCH($A483,INDIRECT(""&amp;$B483&amp;"!B2:B628"),0))=0,"",INDEX(INDIRECT(""&amp;$B483&amp;"!W2:W628"),MATCH($A483,INDIRECT(""&amp;$B483&amp;"!B2:B628"),0)))</f>
        <v/>
      </c>
    </row>
    <row r="484" spans="1:15" x14ac:dyDescent="0.25">
      <c r="A484" s="158" t="s">
        <v>574</v>
      </c>
      <c r="B484" s="158" t="s">
        <v>35</v>
      </c>
      <c r="C484" s="158">
        <f ca="1">IFERROR(INDEX(BYEs!$B$2:$B$33,MATCH(D484,BYEs!$A$2:$A$33,0)),"N/A")</f>
        <v>14</v>
      </c>
      <c r="D484" s="219" t="str">
        <f ca="1">INDEX(INDIRECT(""&amp;B484&amp;"!F2:F628"),MATCH(A484,INDIRECT(""&amp;B484&amp;"!B2:B628"),0))</f>
        <v>IND</v>
      </c>
      <c r="E484" s="218" t="str">
        <f ca="1">INDEX(INDIRECT(""&amp;$B484&amp;"!AA2:AA628"),MATCH($A484,INDIRECT(""&amp;$B484&amp;"!B2:B628"),0))</f>
        <v>WR11</v>
      </c>
      <c r="F484" s="159">
        <f ca="1">IF(LeagueInfo!$H$7="Starter/Bench",INDEX(INDIRECT(""&amp;B484&amp;"!T2:T628"),MATCH(A484,INDIRECT(""&amp;B484&amp;"!B2:B628"),0)),INDEX(INDIRECT(""&amp;B484&amp;"!AB2:AB628"),MATCH(A484,INDIRECT(""&amp;B484&amp;"!B2:B628"),0)))</f>
        <v>-16.759121280207214</v>
      </c>
      <c r="G484" s="160">
        <f>IF(H484&gt;0,F484-H484,0)</f>
        <v>0</v>
      </c>
      <c r="H484" s="161"/>
      <c r="I484" s="160">
        <f ca="1">F484*$A$2</f>
        <v>-16.759121280207214</v>
      </c>
      <c r="J484" s="160" t="s">
        <v>76</v>
      </c>
      <c r="K484" s="160">
        <f>IF(LeagueInfo!$F$7="Yahoo",IFERROR(INDEX(DefaultAuctionValues!$B$2:$B$1000,MATCH(A484,DefaultAuctionValues!$A$2:$A$1000,0)),0),IF(LeagueInfo!$F$7="ESPN",IFERROR(INDEX(DefaultAuctionValues!$C$2:$C$1000,MATCH(A484,DefaultAuctionValues!$A$2:$A$1000,0)),0),IF(LeagueInfo!$F$7="Custom",IFERROR(INDEX(DefaultAuctionValues!$D$2:$D$1000,MATCH(A484,DefaultAuctionValues!$A$2:$A$1000,0)),0))))</f>
        <v>0</v>
      </c>
      <c r="L484" s="160">
        <f ca="1">I484-K484</f>
        <v>-16.759121280207214</v>
      </c>
      <c r="M484" s="175"/>
      <c r="N484" s="170">
        <f ca="1">INDEX(INDIRECT(""&amp;$B484&amp;"!Z2:Z628"),MATCH($A484,INDIRECT(""&amp;$B484&amp;"!B2:B628"),0))</f>
        <v>-46.214999999999989</v>
      </c>
      <c r="O484" s="158" t="str">
        <f ca="1">IF(INDEX(INDIRECT(""&amp;$B484&amp;"!W2:W628"),MATCH($A484,INDIRECT(""&amp;$B484&amp;"!B2:B628"),0))=0,"",INDEX(INDIRECT(""&amp;$B484&amp;"!W2:W628"),MATCH($A484,INDIRECT(""&amp;$B484&amp;"!B2:B628"),0)))</f>
        <v/>
      </c>
    </row>
    <row r="485" spans="1:15" x14ac:dyDescent="0.25">
      <c r="A485" s="158" t="s">
        <v>436</v>
      </c>
      <c r="B485" s="158" t="s">
        <v>43</v>
      </c>
      <c r="C485" s="158">
        <f ca="1">IFERROR(INDEX(BYEs!$B$2:$B$33,MATCH(D485,BYEs!$A$2:$A$33,0)),"N/A")</f>
        <v>9</v>
      </c>
      <c r="D485" s="219" t="str">
        <f ca="1">INDEX(INDIRECT(""&amp;B485&amp;"!F2:F628"),MATCH(A485,INDIRECT(""&amp;B485&amp;"!B2:B628"),0))</f>
        <v>DEN</v>
      </c>
      <c r="E485" s="218" t="str">
        <f ca="1">INDEX(INDIRECT(""&amp;$B485&amp;"!AA2:AA628"),MATCH($A485,INDIRECT(""&amp;$B485&amp;"!B2:B628"),0))</f>
        <v>TE12</v>
      </c>
      <c r="F485" s="159">
        <f ca="1">IF(LeagueInfo!$H$7="Starter/Bench",INDEX(INDIRECT(""&amp;B485&amp;"!T2:T628"),MATCH(A485,INDIRECT(""&amp;B485&amp;"!B2:B628"),0)),INDEX(INDIRECT(""&amp;B485&amp;"!AB2:AB628"),MATCH(A485,INDIRECT(""&amp;B485&amp;"!B2:B628"),0)))</f>
        <v>-16.780879308484021</v>
      </c>
      <c r="G485" s="160">
        <f>IF(H485&gt;0,F485-H485,0)</f>
        <v>0</v>
      </c>
      <c r="H485" s="161"/>
      <c r="I485" s="160">
        <f ca="1">F485*$A$2</f>
        <v>-16.780879308484021</v>
      </c>
      <c r="J485" s="160" t="s">
        <v>76</v>
      </c>
      <c r="K485" s="160">
        <f>IF(LeagueInfo!$F$7="Yahoo",IFERROR(INDEX(DefaultAuctionValues!$B$2:$B$1000,MATCH(A485,DefaultAuctionValues!$A$2:$A$1000,0)),0),IF(LeagueInfo!$F$7="ESPN",IFERROR(INDEX(DefaultAuctionValues!$C$2:$C$1000,MATCH(A485,DefaultAuctionValues!$A$2:$A$1000,0)),0),IF(LeagueInfo!$F$7="Custom",IFERROR(INDEX(DefaultAuctionValues!$D$2:$D$1000,MATCH(A485,DefaultAuctionValues!$A$2:$A$1000,0)),0))))</f>
        <v>0</v>
      </c>
      <c r="L485" s="160">
        <f ca="1">I485-K485</f>
        <v>-16.780879308484021</v>
      </c>
      <c r="M485" s="175"/>
      <c r="N485" s="170">
        <f ca="1">INDEX(INDIRECT(""&amp;$B485&amp;"!Z2:Z628"),MATCH($A485,INDIRECT(""&amp;$B485&amp;"!B2:B628"),0))</f>
        <v>-46.275000000000006</v>
      </c>
      <c r="O485" s="158" t="str">
        <f ca="1">IF(INDEX(INDIRECT(""&amp;$B485&amp;"!W2:W628"),MATCH($A485,INDIRECT(""&amp;$B485&amp;"!B2:B628"),0))=0,"",INDEX(INDIRECT(""&amp;$B485&amp;"!W2:W628"),MATCH($A485,INDIRECT(""&amp;$B485&amp;"!B2:B628"),0)))</f>
        <v/>
      </c>
    </row>
    <row r="486" spans="1:15" x14ac:dyDescent="0.25">
      <c r="A486" s="158" t="s">
        <v>829</v>
      </c>
      <c r="B486" s="158" t="s">
        <v>43</v>
      </c>
      <c r="C486" s="158">
        <f ca="1">IFERROR(INDEX(BYEs!$B$2:$B$33,MATCH(D486,BYEs!$A$2:$A$33,0)),"N/A")</f>
        <v>11</v>
      </c>
      <c r="D486" s="219" t="str">
        <f ca="1">INDEX(INDIRECT(""&amp;B486&amp;"!F2:F628"),MATCH(A486,INDIRECT(""&amp;B486&amp;"!B2:B628"),0))</f>
        <v>SEA</v>
      </c>
      <c r="E486" s="218" t="str">
        <f ca="1">INDEX(INDIRECT(""&amp;$B486&amp;"!AA2:AA628"),MATCH($A486,INDIRECT(""&amp;$B486&amp;"!B2:B628"),0))</f>
        <v>TE12</v>
      </c>
      <c r="F486" s="159">
        <f ca="1">IF(LeagueInfo!$H$7="Starter/Bench",INDEX(INDIRECT(""&amp;B486&amp;"!T2:T628"),MATCH(A486,INDIRECT(""&amp;B486&amp;"!B2:B628"),0)),INDEX(INDIRECT(""&amp;B486&amp;"!AB2:AB628"),MATCH(A486,INDIRECT(""&amp;B486&amp;"!B2:B628"),0)))</f>
        <v>-16.780879308484021</v>
      </c>
      <c r="G486" s="160">
        <f>IF(H486&gt;0,F486-H486,0)</f>
        <v>0</v>
      </c>
      <c r="H486" s="161"/>
      <c r="I486" s="160">
        <f ca="1">F486*$A$2</f>
        <v>-16.780879308484021</v>
      </c>
      <c r="J486" s="160" t="s">
        <v>76</v>
      </c>
      <c r="K486" s="160">
        <f>IF(LeagueInfo!$F$7="Yahoo",IFERROR(INDEX(DefaultAuctionValues!$B$2:$B$1000,MATCH(A486,DefaultAuctionValues!$A$2:$A$1000,0)),0),IF(LeagueInfo!$F$7="ESPN",IFERROR(INDEX(DefaultAuctionValues!$C$2:$C$1000,MATCH(A486,DefaultAuctionValues!$A$2:$A$1000,0)),0),IF(LeagueInfo!$F$7="Custom",IFERROR(INDEX(DefaultAuctionValues!$D$2:$D$1000,MATCH(A486,DefaultAuctionValues!$A$2:$A$1000,0)),0))))</f>
        <v>0</v>
      </c>
      <c r="L486" s="160">
        <f ca="1">I486-K486</f>
        <v>-16.780879308484021</v>
      </c>
      <c r="M486" s="175"/>
      <c r="N486" s="170">
        <f ca="1">INDEX(INDIRECT(""&amp;$B486&amp;"!Z2:Z628"),MATCH($A486,INDIRECT(""&amp;$B486&amp;"!B2:B628"),0))</f>
        <v>-46.275000000000006</v>
      </c>
      <c r="O486" s="158" t="str">
        <f ca="1">IF(INDEX(INDIRECT(""&amp;$B486&amp;"!W2:W628"),MATCH($A486,INDIRECT(""&amp;$B486&amp;"!B2:B628"),0))=0,"",INDEX(INDIRECT(""&amp;$B486&amp;"!W2:W628"),MATCH($A486,INDIRECT(""&amp;$B486&amp;"!B2:B628"),0)))</f>
        <v/>
      </c>
    </row>
    <row r="487" spans="1:15" x14ac:dyDescent="0.25">
      <c r="A487" s="158" t="s">
        <v>404</v>
      </c>
      <c r="B487" s="158" t="s">
        <v>35</v>
      </c>
      <c r="C487" s="158">
        <f ca="1">IFERROR(INDEX(BYEs!$B$2:$B$33,MATCH(D487,BYEs!$A$2:$A$33,0)),"N/A")</f>
        <v>14</v>
      </c>
      <c r="D487" s="219" t="str">
        <f ca="1">INDEX(INDIRECT(""&amp;B487&amp;"!F2:F628"),MATCH(A487,INDIRECT(""&amp;B487&amp;"!B2:B628"),0))</f>
        <v>ATL</v>
      </c>
      <c r="E487" s="218" t="str">
        <f ca="1">INDEX(INDIRECT(""&amp;$B487&amp;"!AA2:AA628"),MATCH($A487,INDIRECT(""&amp;$B487&amp;"!B2:B628"),0))</f>
        <v>WR11</v>
      </c>
      <c r="F487" s="159">
        <f ca="1">IF(LeagueInfo!$H$7="Starter/Bench",INDEX(INDIRECT(""&amp;B487&amp;"!T2:T628"),MATCH(A487,INDIRECT(""&amp;B487&amp;"!B2:B628"),0)),INDEX(INDIRECT(""&amp;B487&amp;"!AB2:AB628"),MATCH(A487,INDIRECT(""&amp;B487&amp;"!B2:B628"),0)))</f>
        <v>-16.873350928660429</v>
      </c>
      <c r="G487" s="160">
        <f>IF(H487&gt;0,F487-H487,0)</f>
        <v>0</v>
      </c>
      <c r="H487" s="161"/>
      <c r="I487" s="160">
        <f ca="1">F487*$A$2</f>
        <v>-16.873350928660429</v>
      </c>
      <c r="J487" s="160" t="s">
        <v>76</v>
      </c>
      <c r="K487" s="160">
        <f>IF(LeagueInfo!$F$7="Yahoo",IFERROR(INDEX(DefaultAuctionValues!$B$2:$B$1000,MATCH(A487,DefaultAuctionValues!$A$2:$A$1000,0)),0),IF(LeagueInfo!$F$7="ESPN",IFERROR(INDEX(DefaultAuctionValues!$C$2:$C$1000,MATCH(A487,DefaultAuctionValues!$A$2:$A$1000,0)),0),IF(LeagueInfo!$F$7="Custom",IFERROR(INDEX(DefaultAuctionValues!$D$2:$D$1000,MATCH(A487,DefaultAuctionValues!$A$2:$A$1000,0)),0))))</f>
        <v>0</v>
      </c>
      <c r="L487" s="160">
        <f ca="1">I487-K487</f>
        <v>-16.873350928660429</v>
      </c>
      <c r="M487" s="175"/>
      <c r="N487" s="170">
        <f ca="1">INDEX(INDIRECT(""&amp;$B487&amp;"!Z2:Z628"),MATCH($A487,INDIRECT(""&amp;$B487&amp;"!B2:B628"),0))</f>
        <v>-46.529999999999994</v>
      </c>
      <c r="O487" s="158" t="str">
        <f ca="1">IF(INDEX(INDIRECT(""&amp;$B487&amp;"!W2:W628"),MATCH($A487,INDIRECT(""&amp;$B487&amp;"!B2:B628"),0))=0,"",INDEX(INDIRECT(""&amp;$B487&amp;"!W2:W628"),MATCH($A487,INDIRECT(""&amp;$B487&amp;"!B2:B628"),0)))</f>
        <v/>
      </c>
    </row>
    <row r="488" spans="1:15" x14ac:dyDescent="0.25">
      <c r="A488" s="158" t="s">
        <v>732</v>
      </c>
      <c r="B488" s="158" t="s">
        <v>35</v>
      </c>
      <c r="C488" s="158">
        <f ca="1">IFERROR(INDEX(BYEs!$B$2:$B$33,MATCH(D488,BYEs!$A$2:$A$33,0)),"N/A")</f>
        <v>11</v>
      </c>
      <c r="D488" s="219" t="str">
        <f ca="1">INDEX(INDIRECT(""&amp;B488&amp;"!F2:F628"),MATCH(A488,INDIRECT(""&amp;B488&amp;"!B2:B628"),0))</f>
        <v>MIA</v>
      </c>
      <c r="E488" s="218" t="str">
        <f ca="1">INDEX(INDIRECT(""&amp;$B488&amp;"!AA2:AA628"),MATCH($A488,INDIRECT(""&amp;$B488&amp;"!B2:B628"),0))</f>
        <v>WR11</v>
      </c>
      <c r="F488" s="159">
        <f ca="1">IF(LeagueInfo!$H$7="Starter/Bench",INDEX(INDIRECT(""&amp;B488&amp;"!T2:T628"),MATCH(A488,INDIRECT(""&amp;B488&amp;"!B2:B628"),0)),INDEX(INDIRECT(""&amp;B488&amp;"!AB2:AB628"),MATCH(A488,INDIRECT(""&amp;B488&amp;"!B2:B628"),0)))</f>
        <v>-16.893295787914163</v>
      </c>
      <c r="G488" s="160">
        <f>IF(H488&gt;0,F488-H488,0)</f>
        <v>0</v>
      </c>
      <c r="H488" s="161"/>
      <c r="I488" s="160">
        <f ca="1">F488*$A$2</f>
        <v>-16.893295787914163</v>
      </c>
      <c r="J488" s="160" t="s">
        <v>76</v>
      </c>
      <c r="K488" s="160">
        <f>IF(LeagueInfo!$F$7="Yahoo",IFERROR(INDEX(DefaultAuctionValues!$B$2:$B$1000,MATCH(A488,DefaultAuctionValues!$A$2:$A$1000,0)),0),IF(LeagueInfo!$F$7="ESPN",IFERROR(INDEX(DefaultAuctionValues!$C$2:$C$1000,MATCH(A488,DefaultAuctionValues!$A$2:$A$1000,0)),0),IF(LeagueInfo!$F$7="Custom",IFERROR(INDEX(DefaultAuctionValues!$D$2:$D$1000,MATCH(A488,DefaultAuctionValues!$A$2:$A$1000,0)),0))))</f>
        <v>0</v>
      </c>
      <c r="L488" s="160">
        <f ca="1">I488-K488</f>
        <v>-16.893295787914163</v>
      </c>
      <c r="M488" s="175"/>
      <c r="N488" s="170">
        <f ca="1">INDEX(INDIRECT(""&amp;$B488&amp;"!Z2:Z628"),MATCH($A488,INDIRECT(""&amp;$B488&amp;"!B2:B628"),0))</f>
        <v>-46.584999999999994</v>
      </c>
      <c r="O488" s="158" t="str">
        <f ca="1">IF(INDEX(INDIRECT(""&amp;$B488&amp;"!W2:W628"),MATCH($A488,INDIRECT(""&amp;$B488&amp;"!B2:B628"),0))=0,"",INDEX(INDIRECT(""&amp;$B488&amp;"!W2:W628"),MATCH($A488,INDIRECT(""&amp;$B488&amp;"!B2:B628"),0)))</f>
        <v/>
      </c>
    </row>
    <row r="489" spans="1:15" x14ac:dyDescent="0.25">
      <c r="A489" s="158" t="s">
        <v>958</v>
      </c>
      <c r="B489" s="158" t="s">
        <v>35</v>
      </c>
      <c r="C489" s="158">
        <f ca="1">IFERROR(INDEX(BYEs!$B$2:$B$33,MATCH(D489,BYEs!$A$2:$A$33,0)),"N/A")</f>
        <v>7</v>
      </c>
      <c r="D489" s="219" t="str">
        <f ca="1">INDEX(INDIRECT(""&amp;B489&amp;"!F2:F628"),MATCH(A489,INDIRECT(""&amp;B489&amp;"!B2:B628"),0))</f>
        <v>LAR</v>
      </c>
      <c r="E489" s="218" t="str">
        <f ca="1">INDEX(INDIRECT(""&amp;$B489&amp;"!AA2:AA628"),MATCH($A489,INDIRECT(""&amp;$B489&amp;"!B2:B628"),0))</f>
        <v>WR11</v>
      </c>
      <c r="F489" s="159">
        <f ca="1">IF(LeagueInfo!$H$7="Starter/Bench",INDEX(INDIRECT(""&amp;B489&amp;"!T2:T628"),MATCH(A489,INDIRECT(""&amp;B489&amp;"!B2:B628"),0)),INDEX(INDIRECT(""&amp;B489&amp;"!AB2:AB628"),MATCH(A489,INDIRECT(""&amp;B489&amp;"!B2:B628"),0)))</f>
        <v>-16.929559168375498</v>
      </c>
      <c r="G489" s="160">
        <f>IF(H489&gt;0,F489-H489,0)</f>
        <v>0</v>
      </c>
      <c r="H489" s="161"/>
      <c r="I489" s="160">
        <f ca="1">F489*$A$2</f>
        <v>-16.929559168375498</v>
      </c>
      <c r="J489" s="160" t="s">
        <v>76</v>
      </c>
      <c r="K489" s="160">
        <f>IF(LeagueInfo!$F$7="Yahoo",IFERROR(INDEX(DefaultAuctionValues!$B$2:$B$1000,MATCH(A489,DefaultAuctionValues!$A$2:$A$1000,0)),0),IF(LeagueInfo!$F$7="ESPN",IFERROR(INDEX(DefaultAuctionValues!$C$2:$C$1000,MATCH(A489,DefaultAuctionValues!$A$2:$A$1000,0)),0),IF(LeagueInfo!$F$7="Custom",IFERROR(INDEX(DefaultAuctionValues!$D$2:$D$1000,MATCH(A489,DefaultAuctionValues!$A$2:$A$1000,0)),0))))</f>
        <v>0</v>
      </c>
      <c r="L489" s="160">
        <f ca="1">I489-K489</f>
        <v>-16.929559168375498</v>
      </c>
      <c r="M489" s="175"/>
      <c r="N489" s="170">
        <f ca="1">INDEX(INDIRECT(""&amp;$B489&amp;"!Z2:Z628"),MATCH($A489,INDIRECT(""&amp;$B489&amp;"!B2:B628"),0))</f>
        <v>-46.684999999999988</v>
      </c>
      <c r="O489" s="158" t="str">
        <f ca="1">IF(INDEX(INDIRECT(""&amp;$B489&amp;"!W2:W628"),MATCH($A489,INDIRECT(""&amp;$B489&amp;"!B2:B628"),0))=0,"",INDEX(INDIRECT(""&amp;$B489&amp;"!W2:W628"),MATCH($A489,INDIRECT(""&amp;$B489&amp;"!B2:B628"),0)))</f>
        <v/>
      </c>
    </row>
    <row r="490" spans="1:15" x14ac:dyDescent="0.25">
      <c r="A490" s="158" t="s">
        <v>645</v>
      </c>
      <c r="B490" s="158" t="s">
        <v>35</v>
      </c>
      <c r="C490" s="158">
        <f ca="1">IFERROR(INDEX(BYEs!$B$2:$B$33,MATCH(D490,BYEs!$A$2:$A$33,0)),"N/A")</f>
        <v>7</v>
      </c>
      <c r="D490" s="219" t="str">
        <f ca="1">INDEX(INDIRECT(""&amp;B490&amp;"!F2:F628"),MATCH(A490,INDIRECT(""&amp;B490&amp;"!B2:B628"),0))</f>
        <v>PHI</v>
      </c>
      <c r="E490" s="218" t="str">
        <f ca="1">INDEX(INDIRECT(""&amp;$B490&amp;"!AA2:AA628"),MATCH($A490,INDIRECT(""&amp;$B490&amp;"!B2:B628"),0))</f>
        <v>WR11</v>
      </c>
      <c r="F490" s="159">
        <f ca="1">IF(LeagueInfo!$H$7="Starter/Bench",INDEX(INDIRECT(""&amp;B490&amp;"!T2:T628"),MATCH(A490,INDIRECT(""&amp;B490&amp;"!B2:B628"),0)),INDEX(INDIRECT(""&amp;B490&amp;"!AB2:AB628"),MATCH(A490,INDIRECT(""&amp;B490&amp;"!B2:B628"),0)))</f>
        <v>-16.983954239067508</v>
      </c>
      <c r="G490" s="160">
        <f>IF(H490&gt;0,F490-H490,0)</f>
        <v>0</v>
      </c>
      <c r="H490" s="161"/>
      <c r="I490" s="160">
        <f ca="1">F490*$A$2</f>
        <v>-16.983954239067508</v>
      </c>
      <c r="J490" s="160" t="s">
        <v>76</v>
      </c>
      <c r="K490" s="160">
        <f>IF(LeagueInfo!$F$7="Yahoo",IFERROR(INDEX(DefaultAuctionValues!$B$2:$B$1000,MATCH(A490,DefaultAuctionValues!$A$2:$A$1000,0)),0),IF(LeagueInfo!$F$7="ESPN",IFERROR(INDEX(DefaultAuctionValues!$C$2:$C$1000,MATCH(A490,DefaultAuctionValues!$A$2:$A$1000,0)),0),IF(LeagueInfo!$F$7="Custom",IFERROR(INDEX(DefaultAuctionValues!$D$2:$D$1000,MATCH(A490,DefaultAuctionValues!$A$2:$A$1000,0)),0))))</f>
        <v>0</v>
      </c>
      <c r="L490" s="160">
        <f ca="1">I490-K490</f>
        <v>-16.983954239067508</v>
      </c>
      <c r="M490" s="175"/>
      <c r="N490" s="170">
        <f ca="1">INDEX(INDIRECT(""&amp;$B490&amp;"!Z2:Z628"),MATCH($A490,INDIRECT(""&amp;$B490&amp;"!B2:B628"),0))</f>
        <v>-46.834999999999994</v>
      </c>
      <c r="O490" s="158" t="str">
        <f ca="1">IF(INDEX(INDIRECT(""&amp;$B490&amp;"!W2:W628"),MATCH($A490,INDIRECT(""&amp;$B490&amp;"!B2:B628"),0))=0,"",INDEX(INDIRECT(""&amp;$B490&amp;"!W2:W628"),MATCH($A490,INDIRECT(""&amp;$B490&amp;"!B2:B628"),0)))</f>
        <v/>
      </c>
    </row>
    <row r="491" spans="1:15" x14ac:dyDescent="0.25">
      <c r="A491" s="158" t="s">
        <v>961</v>
      </c>
      <c r="B491" s="158" t="s">
        <v>35</v>
      </c>
      <c r="C491" s="158">
        <f ca="1">IFERROR(INDEX(BYEs!$B$2:$B$33,MATCH(D491,BYEs!$A$2:$A$33,0)),"N/A")</f>
        <v>9</v>
      </c>
      <c r="D491" s="219" t="str">
        <f ca="1">INDEX(INDIRECT(""&amp;B491&amp;"!F2:F628"),MATCH(A491,INDIRECT(""&amp;B491&amp;"!B2:B628"),0))</f>
        <v>CLE</v>
      </c>
      <c r="E491" s="218" t="str">
        <f ca="1">INDEX(INDIRECT(""&amp;$B491&amp;"!AA2:AA628"),MATCH($A491,INDIRECT(""&amp;$B491&amp;"!B2:B628"),0))</f>
        <v>WR11</v>
      </c>
      <c r="F491" s="159">
        <f ca="1">IF(LeagueInfo!$H$7="Starter/Bench",INDEX(INDIRECT(""&amp;B491&amp;"!T2:T628"),MATCH(A491,INDIRECT(""&amp;B491&amp;"!B2:B628"),0)),INDEX(INDIRECT(""&amp;B491&amp;"!AB2:AB628"),MATCH(A491,INDIRECT(""&amp;B491&amp;"!B2:B628"),0)))</f>
        <v>-17.076425859243919</v>
      </c>
      <c r="G491" s="160">
        <f>IF(H491&gt;0,F491-H491,0)</f>
        <v>0</v>
      </c>
      <c r="H491" s="161"/>
      <c r="I491" s="160">
        <f ca="1">F491*$A$2</f>
        <v>-17.076425859243919</v>
      </c>
      <c r="J491" s="160" t="s">
        <v>76</v>
      </c>
      <c r="K491" s="160">
        <f>IF(LeagueInfo!$F$7="Yahoo",IFERROR(INDEX(DefaultAuctionValues!$B$2:$B$1000,MATCH(A491,DefaultAuctionValues!$A$2:$A$1000,0)),0),IF(LeagueInfo!$F$7="ESPN",IFERROR(INDEX(DefaultAuctionValues!$C$2:$C$1000,MATCH(A491,DefaultAuctionValues!$A$2:$A$1000,0)),0),IF(LeagueInfo!$F$7="Custom",IFERROR(INDEX(DefaultAuctionValues!$D$2:$D$1000,MATCH(A491,DefaultAuctionValues!$A$2:$A$1000,0)),0))))</f>
        <v>0</v>
      </c>
      <c r="L491" s="160">
        <f ca="1">I491-K491</f>
        <v>-17.076425859243919</v>
      </c>
      <c r="M491" s="175"/>
      <c r="N491" s="170">
        <f ca="1">INDEX(INDIRECT(""&amp;$B491&amp;"!Z2:Z628"),MATCH($A491,INDIRECT(""&amp;$B491&amp;"!B2:B628"),0))</f>
        <v>-47.089999999999989</v>
      </c>
      <c r="O491" s="158" t="str">
        <f ca="1">IF(INDEX(INDIRECT(""&amp;$B491&amp;"!W2:W628"),MATCH($A491,INDIRECT(""&amp;$B491&amp;"!B2:B628"),0))=0,"",INDEX(INDIRECT(""&amp;$B491&amp;"!W2:W628"),MATCH($A491,INDIRECT(""&amp;$B491&amp;"!B2:B628"),0)))</f>
        <v/>
      </c>
    </row>
    <row r="492" spans="1:15" x14ac:dyDescent="0.25">
      <c r="A492" s="158" t="s">
        <v>911</v>
      </c>
      <c r="B492" s="158" t="s">
        <v>43</v>
      </c>
      <c r="C492" s="158">
        <f ca="1">IFERROR(INDEX(BYEs!$B$2:$B$33,MATCH(D492,BYEs!$A$2:$A$33,0)),"N/A")</f>
        <v>7</v>
      </c>
      <c r="D492" s="219" t="str">
        <f ca="1">INDEX(INDIRECT(""&amp;B492&amp;"!F2:F628"),MATCH(A492,INDIRECT(""&amp;B492&amp;"!B2:B628"),0))</f>
        <v>BUF</v>
      </c>
      <c r="E492" s="218" t="str">
        <f ca="1">INDEX(INDIRECT(""&amp;$B492&amp;"!AA2:AA628"),MATCH($A492,INDIRECT(""&amp;$B492&amp;"!B2:B628"),0))</f>
        <v>TE12</v>
      </c>
      <c r="F492" s="159">
        <f ca="1">IF(LeagueInfo!$H$7="Starter/Bench",INDEX(INDIRECT(""&amp;B492&amp;"!T2:T628"),MATCH(A492,INDIRECT(""&amp;B492&amp;"!B2:B628"),0)),INDEX(INDIRECT(""&amp;B492&amp;"!AB2:AB628"),MATCH(A492,INDIRECT(""&amp;B492&amp;"!B2:B628"),0)))</f>
        <v>-17.081865366313124</v>
      </c>
      <c r="G492" s="160">
        <f>IF(H492&gt;0,F492-H492,0)</f>
        <v>0</v>
      </c>
      <c r="H492" s="161"/>
      <c r="I492" s="160">
        <f ca="1">F492*$A$2</f>
        <v>-17.081865366313124</v>
      </c>
      <c r="J492" s="160" t="s">
        <v>76</v>
      </c>
      <c r="K492" s="160">
        <f>IF(LeagueInfo!$F$7="Yahoo",IFERROR(INDEX(DefaultAuctionValues!$B$2:$B$1000,MATCH(A492,DefaultAuctionValues!$A$2:$A$1000,0)),0),IF(LeagueInfo!$F$7="ESPN",IFERROR(INDEX(DefaultAuctionValues!$C$2:$C$1000,MATCH(A492,DefaultAuctionValues!$A$2:$A$1000,0)),0),IF(LeagueInfo!$F$7="Custom",IFERROR(INDEX(DefaultAuctionValues!$D$2:$D$1000,MATCH(A492,DefaultAuctionValues!$A$2:$A$1000,0)),0))))</f>
        <v>0</v>
      </c>
      <c r="L492" s="160">
        <f ca="1">I492-K492</f>
        <v>-17.081865366313124</v>
      </c>
      <c r="M492" s="175"/>
      <c r="N492" s="170">
        <f ca="1">INDEX(INDIRECT(""&amp;$B492&amp;"!Z2:Z628"),MATCH($A492,INDIRECT(""&amp;$B492&amp;"!B2:B628"),0))</f>
        <v>-47.105000000000004</v>
      </c>
      <c r="O492" s="158" t="str">
        <f ca="1">IF(INDEX(INDIRECT(""&amp;$B492&amp;"!W2:W628"),MATCH($A492,INDIRECT(""&amp;$B492&amp;"!B2:B628"),0))=0,"",INDEX(INDIRECT(""&amp;$B492&amp;"!W2:W628"),MATCH($A492,INDIRECT(""&amp;$B492&amp;"!B2:B628"),0)))</f>
        <v/>
      </c>
    </row>
    <row r="493" spans="1:15" x14ac:dyDescent="0.25">
      <c r="A493" s="158" t="s">
        <v>2494</v>
      </c>
      <c r="B493" s="158" t="s">
        <v>43</v>
      </c>
      <c r="C493" s="158">
        <f ca="1">IFERROR(INDEX(BYEs!$B$2:$B$33,MATCH(D493,BYEs!$A$2:$A$33,0)),"N/A")</f>
        <v>10</v>
      </c>
      <c r="D493" s="219" t="str">
        <f ca="1">INDEX(INDIRECT(""&amp;B493&amp;"!F2:F628"),MATCH(A493,INDIRECT(""&amp;B493&amp;"!B2:B628"),0))</f>
        <v>NYJ</v>
      </c>
      <c r="E493" s="218" t="str">
        <f ca="1">INDEX(INDIRECT(""&amp;$B493&amp;"!AA2:AA628"),MATCH($A493,INDIRECT(""&amp;$B493&amp;"!B2:B628"),0))</f>
        <v>TE12</v>
      </c>
      <c r="F493" s="159">
        <f ca="1">IF(LeagueInfo!$H$7="Starter/Bench",INDEX(INDIRECT(""&amp;B493&amp;"!T2:T628"),MATCH(A493,INDIRECT(""&amp;B493&amp;"!B2:B628"),0)),INDEX(INDIRECT(""&amp;B493&amp;"!AB2:AB628"),MATCH(A493,INDIRECT(""&amp;B493&amp;"!B2:B628"),0)))</f>
        <v>-17.22510571913541</v>
      </c>
      <c r="G493" s="160">
        <f>IF(H493&gt;0,F493-H493,0)</f>
        <v>0</v>
      </c>
      <c r="H493" s="161"/>
      <c r="I493" s="160">
        <f ca="1">F493*$A$2</f>
        <v>-17.22510571913541</v>
      </c>
      <c r="J493" s="160" t="s">
        <v>76</v>
      </c>
      <c r="K493" s="160">
        <f>IF(LeagueInfo!$F$7="Yahoo",IFERROR(INDEX(DefaultAuctionValues!$B$2:$B$1000,MATCH(A493,DefaultAuctionValues!$A$2:$A$1000,0)),0),IF(LeagueInfo!$F$7="ESPN",IFERROR(INDEX(DefaultAuctionValues!$C$2:$C$1000,MATCH(A493,DefaultAuctionValues!$A$2:$A$1000,0)),0),IF(LeagueInfo!$F$7="Custom",IFERROR(INDEX(DefaultAuctionValues!$D$2:$D$1000,MATCH(A493,DefaultAuctionValues!$A$2:$A$1000,0)),0))))</f>
        <v>0</v>
      </c>
      <c r="L493" s="160">
        <f ca="1">I493-K493</f>
        <v>-17.22510571913541</v>
      </c>
      <c r="M493" s="175"/>
      <c r="N493" s="170">
        <f ca="1">INDEX(INDIRECT(""&amp;$B493&amp;"!Z2:Z628"),MATCH($A493,INDIRECT(""&amp;$B493&amp;"!B2:B628"),0))</f>
        <v>-47.500000000000007</v>
      </c>
      <c r="O493" s="158" t="str">
        <f ca="1">IF(INDEX(INDIRECT(""&amp;$B493&amp;"!W2:W628"),MATCH($A493,INDIRECT(""&amp;$B493&amp;"!B2:B628"),0))=0,"",INDEX(INDIRECT(""&amp;$B493&amp;"!W2:W628"),MATCH($A493,INDIRECT(""&amp;$B493&amp;"!B2:B628"),0)))</f>
        <v/>
      </c>
    </row>
    <row r="494" spans="1:15" x14ac:dyDescent="0.25">
      <c r="A494" s="158" t="s">
        <v>728</v>
      </c>
      <c r="B494" s="158" t="s">
        <v>35</v>
      </c>
      <c r="C494" s="158">
        <f ca="1">IFERROR(INDEX(BYEs!$B$2:$B$33,MATCH(D494,BYEs!$A$2:$A$33,0)),"N/A")</f>
        <v>6</v>
      </c>
      <c r="D494" s="219" t="str">
        <f ca="1">INDEX(INDIRECT(""&amp;B494&amp;"!F2:F628"),MATCH(A494,INDIRECT(""&amp;B494&amp;"!B2:B628"),0))</f>
        <v>DET</v>
      </c>
      <c r="E494" s="218" t="str">
        <f ca="1">INDEX(INDIRECT(""&amp;$B494&amp;"!AA2:AA628"),MATCH($A494,INDIRECT(""&amp;$B494&amp;"!B2:B628"),0))</f>
        <v>WR11</v>
      </c>
      <c r="F494" s="159">
        <f ca="1">IF(LeagueInfo!$H$7="Starter/Bench",INDEX(INDIRECT(""&amp;B494&amp;"!T2:T628"),MATCH(A494,INDIRECT(""&amp;B494&amp;"!B2:B628"),0)),INDEX(INDIRECT(""&amp;B494&amp;"!AB2:AB628"),MATCH(A494,INDIRECT(""&amp;B494&amp;"!B2:B628"),0)))</f>
        <v>-17.264995437642874</v>
      </c>
      <c r="G494" s="160">
        <f>IF(H494&gt;0,F494-H494,0)</f>
        <v>0</v>
      </c>
      <c r="H494" s="161"/>
      <c r="I494" s="160">
        <f ca="1">F494*$A$2</f>
        <v>-17.264995437642874</v>
      </c>
      <c r="J494" s="160" t="s">
        <v>76</v>
      </c>
      <c r="K494" s="160">
        <f>IF(LeagueInfo!$F$7="Yahoo",IFERROR(INDEX(DefaultAuctionValues!$B$2:$B$1000,MATCH(A494,DefaultAuctionValues!$A$2:$A$1000,0)),0),IF(LeagueInfo!$F$7="ESPN",IFERROR(INDEX(DefaultAuctionValues!$C$2:$C$1000,MATCH(A494,DefaultAuctionValues!$A$2:$A$1000,0)),0),IF(LeagueInfo!$F$7="Custom",IFERROR(INDEX(DefaultAuctionValues!$D$2:$D$1000,MATCH(A494,DefaultAuctionValues!$A$2:$A$1000,0)),0))))</f>
        <v>0</v>
      </c>
      <c r="L494" s="160">
        <f ca="1">I494-K494</f>
        <v>-17.264995437642874</v>
      </c>
      <c r="M494" s="175"/>
      <c r="N494" s="170">
        <f ca="1">INDEX(INDIRECT(""&amp;$B494&amp;"!Z2:Z628"),MATCH($A494,INDIRECT(""&amp;$B494&amp;"!B2:B628"),0))</f>
        <v>-47.609999999999992</v>
      </c>
      <c r="O494" s="158" t="str">
        <f ca="1">IF(INDEX(INDIRECT(""&amp;$B494&amp;"!W2:W628"),MATCH($A494,INDIRECT(""&amp;$B494&amp;"!B2:B628"),0))=0,"",INDEX(INDIRECT(""&amp;$B494&amp;"!W2:W628"),MATCH($A494,INDIRECT(""&amp;$B494&amp;"!B2:B628"),0)))</f>
        <v/>
      </c>
    </row>
    <row r="495" spans="1:15" x14ac:dyDescent="0.25">
      <c r="A495" s="158" t="s">
        <v>987</v>
      </c>
      <c r="B495" s="158" t="s">
        <v>43</v>
      </c>
      <c r="C495" s="158">
        <f ca="1">IFERROR(INDEX(BYEs!$B$2:$B$33,MATCH(D495,BYEs!$A$2:$A$33,0)),"N/A")</f>
        <v>13</v>
      </c>
      <c r="D495" s="219" t="str">
        <f ca="1">INDEX(INDIRECT(""&amp;B495&amp;"!F2:F628"),MATCH(A495,INDIRECT(""&amp;B495&amp;"!B2:B628"),0))</f>
        <v>CAR</v>
      </c>
      <c r="E495" s="218" t="str">
        <f ca="1">INDEX(INDIRECT(""&amp;$B495&amp;"!AA2:AA628"),MATCH($A495,INDIRECT(""&amp;$B495&amp;"!B2:B628"),0))</f>
        <v>TE12</v>
      </c>
      <c r="F495" s="159">
        <f ca="1">IF(LeagueInfo!$H$7="Starter/Bench",INDEX(INDIRECT(""&amp;B495&amp;"!T2:T628"),MATCH(A495,INDIRECT(""&amp;B495&amp;"!B2:B628"),0)),INDEX(INDIRECT(""&amp;B495&amp;"!AB2:AB628"),MATCH(A495,INDIRECT(""&amp;B495&amp;"!B2:B628"),0)))</f>
        <v>-17.275874451781281</v>
      </c>
      <c r="G495" s="160">
        <f>IF(H495&gt;0,F495-H495,0)</f>
        <v>0</v>
      </c>
      <c r="H495" s="161"/>
      <c r="I495" s="160">
        <f ca="1">F495*$A$2</f>
        <v>-17.275874451781281</v>
      </c>
      <c r="J495" s="160" t="s">
        <v>76</v>
      </c>
      <c r="K495" s="160">
        <f>IF(LeagueInfo!$F$7="Yahoo",IFERROR(INDEX(DefaultAuctionValues!$B$2:$B$1000,MATCH(A495,DefaultAuctionValues!$A$2:$A$1000,0)),0),IF(LeagueInfo!$F$7="ESPN",IFERROR(INDEX(DefaultAuctionValues!$C$2:$C$1000,MATCH(A495,DefaultAuctionValues!$A$2:$A$1000,0)),0),IF(LeagueInfo!$F$7="Custom",IFERROR(INDEX(DefaultAuctionValues!$D$2:$D$1000,MATCH(A495,DefaultAuctionValues!$A$2:$A$1000,0)),0))))</f>
        <v>0</v>
      </c>
      <c r="L495" s="160">
        <f ca="1">I495-K495</f>
        <v>-17.275874451781281</v>
      </c>
      <c r="M495" s="175"/>
      <c r="N495" s="170">
        <f ca="1">INDEX(INDIRECT(""&amp;$B495&amp;"!Z2:Z628"),MATCH($A495,INDIRECT(""&amp;$B495&amp;"!B2:B628"),0))</f>
        <v>-47.640000000000008</v>
      </c>
      <c r="O495" s="158" t="str">
        <f ca="1">IF(INDEX(INDIRECT(""&amp;$B495&amp;"!W2:W628"),MATCH($A495,INDIRECT(""&amp;$B495&amp;"!B2:B628"),0))=0,"",INDEX(INDIRECT(""&amp;$B495&amp;"!W2:W628"),MATCH($A495,INDIRECT(""&amp;$B495&amp;"!B2:B628"),0)))</f>
        <v/>
      </c>
    </row>
    <row r="496" spans="1:15" x14ac:dyDescent="0.25">
      <c r="A496" s="158" t="s">
        <v>957</v>
      </c>
      <c r="B496" s="158" t="s">
        <v>35</v>
      </c>
      <c r="C496" s="158">
        <f ca="1">IFERROR(INDEX(BYEs!$B$2:$B$33,MATCH(D496,BYEs!$A$2:$A$33,0)),"N/A")</f>
        <v>14</v>
      </c>
      <c r="D496" s="219" t="str">
        <f ca="1">INDEX(INDIRECT(""&amp;B496&amp;"!F2:F628"),MATCH(A496,INDIRECT(""&amp;B496&amp;"!B2:B628"),0))</f>
        <v>WAS</v>
      </c>
      <c r="E496" s="218" t="str">
        <f ca="1">INDEX(INDIRECT(""&amp;$B496&amp;"!AA2:AA628"),MATCH($A496,INDIRECT(""&amp;$B496&amp;"!B2:B628"),0))</f>
        <v>WR11</v>
      </c>
      <c r="F496" s="159">
        <f ca="1">IF(LeagueInfo!$H$7="Starter/Bench",INDEX(INDIRECT(""&amp;B496&amp;"!T2:T628"),MATCH(A496,INDIRECT(""&amp;B496&amp;"!B2:B628"),0)),INDEX(INDIRECT(""&amp;B496&amp;"!AB2:AB628"),MATCH(A496,INDIRECT(""&amp;B496&amp;"!B2:B628"),0)))</f>
        <v>-17.361093395865421</v>
      </c>
      <c r="G496" s="160">
        <f>IF(H496&gt;0,F496-H496,0)</f>
        <v>0</v>
      </c>
      <c r="H496" s="161"/>
      <c r="I496" s="160">
        <f ca="1">F496*$A$2</f>
        <v>-17.361093395865421</v>
      </c>
      <c r="J496" s="160" t="s">
        <v>76</v>
      </c>
      <c r="K496" s="160">
        <f>IF(LeagueInfo!$F$7="Yahoo",IFERROR(INDEX(DefaultAuctionValues!$B$2:$B$1000,MATCH(A496,DefaultAuctionValues!$A$2:$A$1000,0)),0),IF(LeagueInfo!$F$7="ESPN",IFERROR(INDEX(DefaultAuctionValues!$C$2:$C$1000,MATCH(A496,DefaultAuctionValues!$A$2:$A$1000,0)),0),IF(LeagueInfo!$F$7="Custom",IFERROR(INDEX(DefaultAuctionValues!$D$2:$D$1000,MATCH(A496,DefaultAuctionValues!$A$2:$A$1000,0)),0))))</f>
        <v>0</v>
      </c>
      <c r="L496" s="160">
        <f ca="1">I496-K496</f>
        <v>-17.361093395865421</v>
      </c>
      <c r="M496" s="175"/>
      <c r="N496" s="170">
        <f ca="1">INDEX(INDIRECT(""&amp;$B496&amp;"!Z2:Z628"),MATCH($A496,INDIRECT(""&amp;$B496&amp;"!B2:B628"),0))</f>
        <v>-47.874999999999993</v>
      </c>
      <c r="O496" s="158" t="str">
        <f ca="1">IF(INDEX(INDIRECT(""&amp;$B496&amp;"!W2:W628"),MATCH($A496,INDIRECT(""&amp;$B496&amp;"!B2:B628"),0))=0,"",INDEX(INDIRECT(""&amp;$B496&amp;"!W2:W628"),MATCH($A496,INDIRECT(""&amp;$B496&amp;"!B2:B628"),0)))</f>
        <v/>
      </c>
    </row>
    <row r="497" spans="1:15" x14ac:dyDescent="0.25">
      <c r="A497" s="158" t="s">
        <v>2430</v>
      </c>
      <c r="B497" s="158" t="s">
        <v>35</v>
      </c>
      <c r="C497" s="158">
        <f ca="1">IFERROR(INDEX(BYEs!$B$2:$B$33,MATCH(D497,BYEs!$A$2:$A$33,0)),"N/A")</f>
        <v>9</v>
      </c>
      <c r="D497" s="219" t="str">
        <f ca="1">INDEX(INDIRECT(""&amp;B497&amp;"!F2:F628"),MATCH(A497,INDIRECT(""&amp;B497&amp;"!B2:B628"),0))</f>
        <v>PIT</v>
      </c>
      <c r="E497" s="218" t="str">
        <f ca="1">INDEX(INDIRECT(""&amp;$B497&amp;"!AA2:AA628"),MATCH($A497,INDIRECT(""&amp;$B497&amp;"!B2:B628"),0))</f>
        <v>WR11</v>
      </c>
      <c r="F497" s="159">
        <f ca="1">IF(LeagueInfo!$H$7="Starter/Bench",INDEX(INDIRECT(""&amp;B497&amp;"!T2:T628"),MATCH(A497,INDIRECT(""&amp;B497&amp;"!B2:B628"),0)),INDEX(INDIRECT(""&amp;B497&amp;"!AB2:AB628"),MATCH(A497,INDIRECT(""&amp;B497&amp;"!B2:B628"),0)))</f>
        <v>-17.478949382364764</v>
      </c>
      <c r="G497" s="160">
        <f>IF(H497&gt;0,F497-H497,0)</f>
        <v>0</v>
      </c>
      <c r="H497" s="161"/>
      <c r="I497" s="160">
        <f ca="1">F497*$A$2</f>
        <v>-17.478949382364764</v>
      </c>
      <c r="J497" s="160" t="s">
        <v>76</v>
      </c>
      <c r="K497" s="160">
        <f>IF(LeagueInfo!$F$7="Yahoo",IFERROR(INDEX(DefaultAuctionValues!$B$2:$B$1000,MATCH(A497,DefaultAuctionValues!$A$2:$A$1000,0)),0),IF(LeagueInfo!$F$7="ESPN",IFERROR(INDEX(DefaultAuctionValues!$C$2:$C$1000,MATCH(A497,DefaultAuctionValues!$A$2:$A$1000,0)),0),IF(LeagueInfo!$F$7="Custom",IFERROR(INDEX(DefaultAuctionValues!$D$2:$D$1000,MATCH(A497,DefaultAuctionValues!$A$2:$A$1000,0)),0))))</f>
        <v>0</v>
      </c>
      <c r="L497" s="160">
        <f ca="1">I497-K497</f>
        <v>-17.478949382364764</v>
      </c>
      <c r="M497" s="175"/>
      <c r="N497" s="170">
        <f ca="1">INDEX(INDIRECT(""&amp;$B497&amp;"!Z2:Z628"),MATCH($A497,INDIRECT(""&amp;$B497&amp;"!B2:B628"),0))</f>
        <v>-48.199999999999989</v>
      </c>
      <c r="O497" s="158" t="str">
        <f ca="1">IF(INDEX(INDIRECT(""&amp;$B497&amp;"!W2:W628"),MATCH($A497,INDIRECT(""&amp;$B497&amp;"!B2:B628"),0))=0,"",INDEX(INDIRECT(""&amp;$B497&amp;"!W2:W628"),MATCH($A497,INDIRECT(""&amp;$B497&amp;"!B2:B628"),0)))</f>
        <v/>
      </c>
    </row>
    <row r="498" spans="1:15" x14ac:dyDescent="0.25">
      <c r="A498" s="158" t="s">
        <v>2674</v>
      </c>
      <c r="B498" s="158" t="s">
        <v>35</v>
      </c>
      <c r="C498" s="158">
        <f ca="1">IFERROR(INDEX(BYEs!$B$2:$B$33,MATCH(D498,BYEs!$A$2:$A$33,0)),"N/A")</f>
        <v>6</v>
      </c>
      <c r="D498" s="219" t="str">
        <f ca="1">INDEX(INDIRECT(""&amp;B498&amp;"!F2:F628"),MATCH(A498,INDIRECT(""&amp;B498&amp;"!B2:B628"),0))</f>
        <v>LV</v>
      </c>
      <c r="E498" s="218" t="str">
        <f ca="1">INDEX(INDIRECT(""&amp;$B498&amp;"!AA2:AA628"),MATCH($A498,INDIRECT(""&amp;$B498&amp;"!B2:B628"),0))</f>
        <v>WR11</v>
      </c>
      <c r="F498" s="159">
        <f ca="1">IF(LeagueInfo!$H$7="Starter/Bench",INDEX(INDIRECT(""&amp;B498&amp;"!T2:T628"),MATCH(A498,INDIRECT(""&amp;B498&amp;"!B2:B628"),0)),INDEX(INDIRECT(""&amp;B498&amp;"!AB2:AB628"),MATCH(A498,INDIRECT(""&amp;B498&amp;"!B2:B628"),0)))</f>
        <v>-17.59861853788718</v>
      </c>
      <c r="G498" s="160">
        <f>IF(H498&gt;0,F498-H498,0)</f>
        <v>0</v>
      </c>
      <c r="H498" s="161"/>
      <c r="I498" s="160">
        <f ca="1">F498*$A$2</f>
        <v>-17.59861853788718</v>
      </c>
      <c r="J498" s="160" t="s">
        <v>76</v>
      </c>
      <c r="K498" s="160">
        <f>IF(LeagueInfo!$F$7="Yahoo",IFERROR(INDEX(DefaultAuctionValues!$B$2:$B$1000,MATCH(A498,DefaultAuctionValues!$A$2:$A$1000,0)),0),IF(LeagueInfo!$F$7="ESPN",IFERROR(INDEX(DefaultAuctionValues!$C$2:$C$1000,MATCH(A498,DefaultAuctionValues!$A$2:$A$1000,0)),0),IF(LeagueInfo!$F$7="Custom",IFERROR(INDEX(DefaultAuctionValues!$D$2:$D$1000,MATCH(A498,DefaultAuctionValues!$A$2:$A$1000,0)),0))))</f>
        <v>0</v>
      </c>
      <c r="L498" s="160">
        <f ca="1">I498-K498</f>
        <v>-17.59861853788718</v>
      </c>
      <c r="M498" s="175"/>
      <c r="N498" s="170">
        <f ca="1">INDEX(INDIRECT(""&amp;$B498&amp;"!Z2:Z628"),MATCH($A498,INDIRECT(""&amp;$B498&amp;"!B2:B628"),0))</f>
        <v>-48.529999999999994</v>
      </c>
      <c r="O498" s="158" t="str">
        <f ca="1">IF(INDEX(INDIRECT(""&amp;$B498&amp;"!W2:W628"),MATCH($A498,INDIRECT(""&amp;$B498&amp;"!B2:B628"),0))=0,"",INDEX(INDIRECT(""&amp;$B498&amp;"!W2:W628"),MATCH($A498,INDIRECT(""&amp;$B498&amp;"!B2:B628"),0)))</f>
        <v/>
      </c>
    </row>
    <row r="499" spans="1:15" x14ac:dyDescent="0.25">
      <c r="A499" s="158" t="s">
        <v>856</v>
      </c>
      <c r="B499" s="158" t="s">
        <v>35</v>
      </c>
      <c r="C499" s="158">
        <f ca="1">IFERROR(INDEX(BYEs!$B$2:$B$33,MATCH(D499,BYEs!$A$2:$A$33,0)),"N/A")</f>
        <v>10</v>
      </c>
      <c r="D499" s="219" t="str">
        <f ca="1">INDEX(INDIRECT(""&amp;B499&amp;"!F2:F628"),MATCH(A499,INDIRECT(""&amp;B499&amp;"!B2:B628"),0))</f>
        <v>NE</v>
      </c>
      <c r="E499" s="218" t="str">
        <f ca="1">INDEX(INDIRECT(""&amp;$B499&amp;"!AA2:AA628"),MATCH($A499,INDIRECT(""&amp;$B499&amp;"!B2:B628"),0))</f>
        <v>WR11</v>
      </c>
      <c r="F499" s="159">
        <f ca="1">IF(LeagueInfo!$H$7="Starter/Bench",INDEX(INDIRECT(""&amp;B499&amp;"!T2:T628"),MATCH(A499,INDIRECT(""&amp;B499&amp;"!B2:B628"),0)),INDEX(INDIRECT(""&amp;B499&amp;"!AB2:AB628"),MATCH(A499,INDIRECT(""&amp;B499&amp;"!B2:B628"),0)))</f>
        <v>-17.614937059094785</v>
      </c>
      <c r="G499" s="160">
        <f>IF(H499&gt;0,F499-H499,0)</f>
        <v>0</v>
      </c>
      <c r="H499" s="161"/>
      <c r="I499" s="160">
        <f ca="1">F499*$A$2</f>
        <v>-17.614937059094785</v>
      </c>
      <c r="J499" s="160" t="s">
        <v>76</v>
      </c>
      <c r="K499" s="160">
        <f>IF(LeagueInfo!$F$7="Yahoo",IFERROR(INDEX(DefaultAuctionValues!$B$2:$B$1000,MATCH(A499,DefaultAuctionValues!$A$2:$A$1000,0)),0),IF(LeagueInfo!$F$7="ESPN",IFERROR(INDEX(DefaultAuctionValues!$C$2:$C$1000,MATCH(A499,DefaultAuctionValues!$A$2:$A$1000,0)),0),IF(LeagueInfo!$F$7="Custom",IFERROR(INDEX(DefaultAuctionValues!$D$2:$D$1000,MATCH(A499,DefaultAuctionValues!$A$2:$A$1000,0)),0))))</f>
        <v>0</v>
      </c>
      <c r="L499" s="160">
        <f ca="1">I499-K499</f>
        <v>-17.614937059094785</v>
      </c>
      <c r="M499" s="175"/>
      <c r="N499" s="170">
        <f ca="1">INDEX(INDIRECT(""&amp;$B499&amp;"!Z2:Z628"),MATCH($A499,INDIRECT(""&amp;$B499&amp;"!B2:B628"),0))</f>
        <v>-48.574999999999996</v>
      </c>
      <c r="O499" s="158" t="str">
        <f ca="1">IF(INDEX(INDIRECT(""&amp;$B499&amp;"!W2:W628"),MATCH($A499,INDIRECT(""&amp;$B499&amp;"!B2:B628"),0))=0,"",INDEX(INDIRECT(""&amp;$B499&amp;"!W2:W628"),MATCH($A499,INDIRECT(""&amp;$B499&amp;"!B2:B628"),0)))</f>
        <v/>
      </c>
    </row>
    <row r="500" spans="1:15" x14ac:dyDescent="0.25">
      <c r="A500" s="158" t="s">
        <v>833</v>
      </c>
      <c r="B500" s="158" t="s">
        <v>35</v>
      </c>
      <c r="C500" s="158">
        <f ca="1">IFERROR(INDEX(BYEs!$B$2:$B$33,MATCH(D500,BYEs!$A$2:$A$33,0)),"N/A")</f>
        <v>7</v>
      </c>
      <c r="D500" s="219" t="str">
        <f ca="1">INDEX(INDIRECT(""&amp;B500&amp;"!F2:F628"),MATCH(A500,INDIRECT(""&amp;B500&amp;"!B2:B628"),0))</f>
        <v>MIN</v>
      </c>
      <c r="E500" s="218" t="str">
        <f ca="1">INDEX(INDIRECT(""&amp;$B500&amp;"!AA2:AA628"),MATCH($A500,INDIRECT(""&amp;$B500&amp;"!B2:B628"),0))</f>
        <v>WR11</v>
      </c>
      <c r="F500" s="159">
        <f ca="1">IF(LeagueInfo!$H$7="Starter/Bench",INDEX(INDIRECT(""&amp;B500&amp;"!T2:T628"),MATCH(A500,INDIRECT(""&amp;B500&amp;"!B2:B628"),0)),INDEX(INDIRECT(""&amp;B500&amp;"!AB2:AB628"),MATCH(A500,INDIRECT(""&amp;B500&amp;"!B2:B628"),0)))</f>
        <v>-17.631255580302383</v>
      </c>
      <c r="G500" s="160">
        <f>IF(H500&gt;0,F500-H500,0)</f>
        <v>0</v>
      </c>
      <c r="H500" s="161"/>
      <c r="I500" s="160">
        <f ca="1">F500*$A$2</f>
        <v>-17.631255580302383</v>
      </c>
      <c r="J500" s="160" t="s">
        <v>76</v>
      </c>
      <c r="K500" s="160">
        <f>IF(LeagueInfo!$F$7="Yahoo",IFERROR(INDEX(DefaultAuctionValues!$B$2:$B$1000,MATCH(A500,DefaultAuctionValues!$A$2:$A$1000,0)),0),IF(LeagueInfo!$F$7="ESPN",IFERROR(INDEX(DefaultAuctionValues!$C$2:$C$1000,MATCH(A500,DefaultAuctionValues!$A$2:$A$1000,0)),0),IF(LeagueInfo!$F$7="Custom",IFERROR(INDEX(DefaultAuctionValues!$D$2:$D$1000,MATCH(A500,DefaultAuctionValues!$A$2:$A$1000,0)),0))))</f>
        <v>0</v>
      </c>
      <c r="L500" s="160">
        <f ca="1">I500-K500</f>
        <v>-17.631255580302383</v>
      </c>
      <c r="M500" s="175"/>
      <c r="N500" s="170">
        <f ca="1">INDEX(INDIRECT(""&amp;$B500&amp;"!Z2:Z628"),MATCH($A500,INDIRECT(""&amp;$B500&amp;"!B2:B628"),0))</f>
        <v>-48.61999999999999</v>
      </c>
      <c r="O500" s="158" t="str">
        <f ca="1">IF(INDEX(INDIRECT(""&amp;$B500&amp;"!W2:W628"),MATCH($A500,INDIRECT(""&amp;$B500&amp;"!B2:B628"),0))=0,"",INDEX(INDIRECT(""&amp;$B500&amp;"!W2:W628"),MATCH($A500,INDIRECT(""&amp;$B500&amp;"!B2:B628"),0)))</f>
        <v/>
      </c>
    </row>
    <row r="501" spans="1:15" x14ac:dyDescent="0.25">
      <c r="A501" s="158" t="s">
        <v>912</v>
      </c>
      <c r="B501" s="158" t="s">
        <v>35</v>
      </c>
      <c r="C501" s="158">
        <f ca="1">IFERROR(INDEX(BYEs!$B$2:$B$33,MATCH(D501,BYEs!$A$2:$A$33,0)),"N/A")</f>
        <v>9</v>
      </c>
      <c r="D501" s="219" t="str">
        <f ca="1">INDEX(INDIRECT(""&amp;B501&amp;"!F2:F628"),MATCH(A501,INDIRECT(""&amp;B501&amp;"!B2:B628"),0))</f>
        <v>SF</v>
      </c>
      <c r="E501" s="218" t="str">
        <f ca="1">INDEX(INDIRECT(""&amp;$B501&amp;"!AA2:AA628"),MATCH($A501,INDIRECT(""&amp;$B501&amp;"!B2:B628"),0))</f>
        <v>WR11</v>
      </c>
      <c r="F501" s="159">
        <f ca="1">IF(LeagueInfo!$H$7="Starter/Bench",INDEX(INDIRECT(""&amp;B501&amp;"!T2:T628"),MATCH(A501,INDIRECT(""&amp;B501&amp;"!B2:B628"),0)),INDEX(INDIRECT(""&amp;B501&amp;"!AB2:AB628"),MATCH(A501,INDIRECT(""&amp;B501&amp;"!B2:B628"),0)))</f>
        <v>-17.865154384278014</v>
      </c>
      <c r="G501" s="160">
        <f>IF(H501&gt;0,F501-H501,0)</f>
        <v>0</v>
      </c>
      <c r="H501" s="161"/>
      <c r="I501" s="160">
        <f ca="1">F501*$A$2</f>
        <v>-17.865154384278014</v>
      </c>
      <c r="J501" s="160" t="s">
        <v>76</v>
      </c>
      <c r="K501" s="160">
        <f>IF(LeagueInfo!$F$7="Yahoo",IFERROR(INDEX(DefaultAuctionValues!$B$2:$B$1000,MATCH(A501,DefaultAuctionValues!$A$2:$A$1000,0)),0),IF(LeagueInfo!$F$7="ESPN",IFERROR(INDEX(DefaultAuctionValues!$C$2:$C$1000,MATCH(A501,DefaultAuctionValues!$A$2:$A$1000,0)),0),IF(LeagueInfo!$F$7="Custom",IFERROR(INDEX(DefaultAuctionValues!$D$2:$D$1000,MATCH(A501,DefaultAuctionValues!$A$2:$A$1000,0)),0))))</f>
        <v>0</v>
      </c>
      <c r="L501" s="160">
        <f ca="1">I501-K501</f>
        <v>-17.865154384278014</v>
      </c>
      <c r="M501" s="175"/>
      <c r="N501" s="170">
        <f ca="1">INDEX(INDIRECT(""&amp;$B501&amp;"!Z2:Z628"),MATCH($A501,INDIRECT(""&amp;$B501&amp;"!B2:B628"),0))</f>
        <v>-49.264999999999993</v>
      </c>
      <c r="O501" s="158" t="str">
        <f ca="1">IF(INDEX(INDIRECT(""&amp;$B501&amp;"!W2:W628"),MATCH($A501,INDIRECT(""&amp;$B501&amp;"!B2:B628"),0))=0,"",INDEX(INDIRECT(""&amp;$B501&amp;"!W2:W628"),MATCH($A501,INDIRECT(""&amp;$B501&amp;"!B2:B628"),0)))</f>
        <v/>
      </c>
    </row>
    <row r="502" spans="1:15" x14ac:dyDescent="0.25">
      <c r="A502" s="158" t="s">
        <v>733</v>
      </c>
      <c r="B502" s="158" t="s">
        <v>35</v>
      </c>
      <c r="C502" s="158">
        <f ca="1">IFERROR(INDEX(BYEs!$B$2:$B$33,MATCH(D502,BYEs!$A$2:$A$33,0)),"N/A")</f>
        <v>13</v>
      </c>
      <c r="D502" s="219" t="str">
        <f ca="1">INDEX(INDIRECT(""&amp;B502&amp;"!F2:F628"),MATCH(A502,INDIRECT(""&amp;B502&amp;"!B2:B628"),0))</f>
        <v>ARI</v>
      </c>
      <c r="E502" s="218" t="str">
        <f ca="1">INDEX(INDIRECT(""&amp;$B502&amp;"!AA2:AA628"),MATCH($A502,INDIRECT(""&amp;$B502&amp;"!B2:B628"),0))</f>
        <v>WR11</v>
      </c>
      <c r="F502" s="159">
        <f ca="1">IF(LeagueInfo!$H$7="Starter/Bench",INDEX(INDIRECT(""&amp;B502&amp;"!T2:T628"),MATCH(A502,INDIRECT(""&amp;B502&amp;"!B2:B628"),0)),INDEX(INDIRECT(""&amp;B502&amp;"!AB2:AB628"),MATCH(A502,INDIRECT(""&amp;B502&amp;"!B2:B628"),0)))</f>
        <v>-17.935867976177622</v>
      </c>
      <c r="G502" s="160">
        <f>IF(H502&gt;0,F502-H502,0)</f>
        <v>0</v>
      </c>
      <c r="H502" s="161"/>
      <c r="I502" s="160">
        <f ca="1">F502*$A$2</f>
        <v>-17.935867976177622</v>
      </c>
      <c r="J502" s="160" t="s">
        <v>76</v>
      </c>
      <c r="K502" s="160">
        <f>IF(LeagueInfo!$F$7="Yahoo",IFERROR(INDEX(DefaultAuctionValues!$B$2:$B$1000,MATCH(A502,DefaultAuctionValues!$A$2:$A$1000,0)),0),IF(LeagueInfo!$F$7="ESPN",IFERROR(INDEX(DefaultAuctionValues!$C$2:$C$1000,MATCH(A502,DefaultAuctionValues!$A$2:$A$1000,0)),0),IF(LeagueInfo!$F$7="Custom",IFERROR(INDEX(DefaultAuctionValues!$D$2:$D$1000,MATCH(A502,DefaultAuctionValues!$A$2:$A$1000,0)),0))))</f>
        <v>0</v>
      </c>
      <c r="L502" s="160">
        <f ca="1">I502-K502</f>
        <v>-17.935867976177622</v>
      </c>
      <c r="M502" s="175"/>
      <c r="N502" s="170">
        <f ca="1">INDEX(INDIRECT(""&amp;$B502&amp;"!Z2:Z628"),MATCH($A502,INDIRECT(""&amp;$B502&amp;"!B2:B628"),0))</f>
        <v>-49.459999999999994</v>
      </c>
      <c r="O502" s="158" t="str">
        <f ca="1">IF(INDEX(INDIRECT(""&amp;$B502&amp;"!W2:W628"),MATCH($A502,INDIRECT(""&amp;$B502&amp;"!B2:B628"),0))=0,"",INDEX(INDIRECT(""&amp;$B502&amp;"!W2:W628"),MATCH($A502,INDIRECT(""&amp;$B502&amp;"!B2:B628"),0)))</f>
        <v/>
      </c>
    </row>
    <row r="503" spans="1:15" x14ac:dyDescent="0.25">
      <c r="A503" s="158" t="s">
        <v>2436</v>
      </c>
      <c r="B503" s="158" t="s">
        <v>35</v>
      </c>
      <c r="C503" s="158">
        <f ca="1">IFERROR(INDEX(BYEs!$B$2:$B$33,MATCH(D503,BYEs!$A$2:$A$33,0)),"N/A")</f>
        <v>14</v>
      </c>
      <c r="D503" s="219" t="str">
        <f ca="1">INDEX(INDIRECT(""&amp;B503&amp;"!F2:F628"),MATCH(A503,INDIRECT(""&amp;B503&amp;"!B2:B628"),0))</f>
        <v>NO</v>
      </c>
      <c r="E503" s="218" t="str">
        <f ca="1">INDEX(INDIRECT(""&amp;$B503&amp;"!AA2:AA628"),MATCH($A503,INDIRECT(""&amp;$B503&amp;"!B2:B628"),0))</f>
        <v>WR11</v>
      </c>
      <c r="F503" s="159">
        <f ca="1">IF(LeagueInfo!$H$7="Starter/Bench",INDEX(INDIRECT(""&amp;B503&amp;"!T2:T628"),MATCH(A503,INDIRECT(""&amp;B503&amp;"!B2:B628"),0)),INDEX(INDIRECT(""&amp;B503&amp;"!AB2:AB628"),MATCH(A503,INDIRECT(""&amp;B503&amp;"!B2:B628"),0)))</f>
        <v>-18.155261427968714</v>
      </c>
      <c r="G503" s="160">
        <f>IF(H503&gt;0,F503-H503,0)</f>
        <v>0</v>
      </c>
      <c r="H503" s="161"/>
      <c r="I503" s="160">
        <f ca="1">F503*$A$2</f>
        <v>-18.155261427968714</v>
      </c>
      <c r="J503" s="160" t="s">
        <v>76</v>
      </c>
      <c r="K503" s="160">
        <f>IF(LeagueInfo!$F$7="Yahoo",IFERROR(INDEX(DefaultAuctionValues!$B$2:$B$1000,MATCH(A503,DefaultAuctionValues!$A$2:$A$1000,0)),0),IF(LeagueInfo!$F$7="ESPN",IFERROR(INDEX(DefaultAuctionValues!$C$2:$C$1000,MATCH(A503,DefaultAuctionValues!$A$2:$A$1000,0)),0),IF(LeagueInfo!$F$7="Custom",IFERROR(INDEX(DefaultAuctionValues!$D$2:$D$1000,MATCH(A503,DefaultAuctionValues!$A$2:$A$1000,0)),0))))</f>
        <v>0</v>
      </c>
      <c r="L503" s="160">
        <f ca="1">I503-K503</f>
        <v>-18.155261427968714</v>
      </c>
      <c r="M503" s="175"/>
      <c r="N503" s="170">
        <f ca="1">INDEX(INDIRECT(""&amp;$B503&amp;"!Z2:Z628"),MATCH($A503,INDIRECT(""&amp;$B503&amp;"!B2:B628"),0))</f>
        <v>-50.064999999999991</v>
      </c>
      <c r="O503" s="158" t="str">
        <f ca="1">IF(INDEX(INDIRECT(""&amp;$B503&amp;"!W2:W628"),MATCH($A503,INDIRECT(""&amp;$B503&amp;"!B2:B628"),0))=0,"",INDEX(INDIRECT(""&amp;$B503&amp;"!W2:W628"),MATCH($A503,INDIRECT(""&amp;$B503&amp;"!B2:B628"),0)))</f>
        <v/>
      </c>
    </row>
    <row r="504" spans="1:15" x14ac:dyDescent="0.25">
      <c r="A504" s="158" t="s">
        <v>2675</v>
      </c>
      <c r="B504" s="158" t="s">
        <v>35</v>
      </c>
      <c r="C504" s="158">
        <f ca="1">IFERROR(INDEX(BYEs!$B$2:$B$33,MATCH(D504,BYEs!$A$2:$A$33,0)),"N/A")</f>
        <v>11</v>
      </c>
      <c r="D504" s="219" t="str">
        <f ca="1">INDEX(INDIRECT(""&amp;B504&amp;"!F2:F628"),MATCH(A504,INDIRECT(""&amp;B504&amp;"!B2:B628"),0))</f>
        <v>SEA</v>
      </c>
      <c r="E504" s="218" t="str">
        <f ca="1">INDEX(INDIRECT(""&amp;$B504&amp;"!AA2:AA628"),MATCH($A504,INDIRECT(""&amp;$B504&amp;"!B2:B628"),0))</f>
        <v>WR11</v>
      </c>
      <c r="F504" s="159">
        <f ca="1">IF(LeagueInfo!$H$7="Starter/Bench",INDEX(INDIRECT(""&amp;B504&amp;"!T2:T628"),MATCH(A504,INDIRECT(""&amp;B504&amp;"!B2:B628"),0)),INDEX(INDIRECT(""&amp;B504&amp;"!AB2:AB628"),MATCH(A504,INDIRECT(""&amp;B504&amp;"!B2:B628"),0)))</f>
        <v>-18.240480372052861</v>
      </c>
      <c r="G504" s="160">
        <f>IF(H504&gt;0,F504-H504,0)</f>
        <v>0</v>
      </c>
      <c r="H504" s="161"/>
      <c r="I504" s="160">
        <f ca="1">F504*$A$2</f>
        <v>-18.240480372052861</v>
      </c>
      <c r="J504" s="160" t="s">
        <v>76</v>
      </c>
      <c r="K504" s="160">
        <f>IF(LeagueInfo!$F$7="Yahoo",IFERROR(INDEX(DefaultAuctionValues!$B$2:$B$1000,MATCH(A504,DefaultAuctionValues!$A$2:$A$1000,0)),0),IF(LeagueInfo!$F$7="ESPN",IFERROR(INDEX(DefaultAuctionValues!$C$2:$C$1000,MATCH(A504,DefaultAuctionValues!$A$2:$A$1000,0)),0),IF(LeagueInfo!$F$7="Custom",IFERROR(INDEX(DefaultAuctionValues!$D$2:$D$1000,MATCH(A504,DefaultAuctionValues!$A$2:$A$1000,0)),0))))</f>
        <v>0</v>
      </c>
      <c r="L504" s="160">
        <f ca="1">I504-K504</f>
        <v>-18.240480372052861</v>
      </c>
      <c r="M504" s="175"/>
      <c r="N504" s="170">
        <f ca="1">INDEX(INDIRECT(""&amp;$B504&amp;"!Z2:Z628"),MATCH($A504,INDIRECT(""&amp;$B504&amp;"!B2:B628"),0))</f>
        <v>-50.3</v>
      </c>
      <c r="O504" s="158" t="str">
        <f ca="1">IF(INDEX(INDIRECT(""&amp;$B504&amp;"!W2:W628"),MATCH($A504,INDIRECT(""&amp;$B504&amp;"!B2:B628"),0))=0,"",INDEX(INDIRECT(""&amp;$B504&amp;"!W2:W628"),MATCH($A504,INDIRECT(""&amp;$B504&amp;"!B2:B628"),0)))</f>
        <v/>
      </c>
    </row>
    <row r="505" spans="1:15" x14ac:dyDescent="0.25">
      <c r="A505" s="158" t="s">
        <v>2431</v>
      </c>
      <c r="B505" s="158" t="s">
        <v>35</v>
      </c>
      <c r="C505" s="158">
        <f ca="1">IFERROR(INDEX(BYEs!$B$2:$B$33,MATCH(D505,BYEs!$A$2:$A$33,0)),"N/A")</f>
        <v>11</v>
      </c>
      <c r="D505" s="219" t="str">
        <f ca="1">INDEX(INDIRECT(""&amp;B505&amp;"!F2:F628"),MATCH(A505,INDIRECT(""&amp;B505&amp;"!B2:B628"),0))</f>
        <v>MIA</v>
      </c>
      <c r="E505" s="218" t="str">
        <f ca="1">INDEX(INDIRECT(""&amp;$B505&amp;"!AA2:AA628"),MATCH($A505,INDIRECT(""&amp;$B505&amp;"!B2:B628"),0))</f>
        <v>WR11</v>
      </c>
      <c r="F505" s="159">
        <f ca="1">IF(LeagueInfo!$H$7="Starter/Bench",INDEX(INDIRECT(""&amp;B505&amp;"!T2:T628"),MATCH(A505,INDIRECT(""&amp;B505&amp;"!B2:B628"),0)),INDEX(INDIRECT(""&amp;B505&amp;"!AB2:AB628"),MATCH(A505,INDIRECT(""&amp;B505&amp;"!B2:B628"),0)))</f>
        <v>-18.258612062283529</v>
      </c>
      <c r="G505" s="160">
        <f>IF(H505&gt;0,F505-H505,0)</f>
        <v>0</v>
      </c>
      <c r="H505" s="161"/>
      <c r="I505" s="160">
        <f ca="1">F505*$A$2</f>
        <v>-18.258612062283529</v>
      </c>
      <c r="J505" s="160" t="s">
        <v>76</v>
      </c>
      <c r="K505" s="160">
        <f>IF(LeagueInfo!$F$7="Yahoo",IFERROR(INDEX(DefaultAuctionValues!$B$2:$B$1000,MATCH(A505,DefaultAuctionValues!$A$2:$A$1000,0)),0),IF(LeagueInfo!$F$7="ESPN",IFERROR(INDEX(DefaultAuctionValues!$C$2:$C$1000,MATCH(A505,DefaultAuctionValues!$A$2:$A$1000,0)),0),IF(LeagueInfo!$F$7="Custom",IFERROR(INDEX(DefaultAuctionValues!$D$2:$D$1000,MATCH(A505,DefaultAuctionValues!$A$2:$A$1000,0)),0))))</f>
        <v>0</v>
      </c>
      <c r="L505" s="160">
        <f ca="1">I505-K505</f>
        <v>-18.258612062283529</v>
      </c>
      <c r="M505" s="175"/>
      <c r="N505" s="170">
        <f ca="1">INDEX(INDIRECT(""&amp;$B505&amp;"!Z2:Z628"),MATCH($A505,INDIRECT(""&amp;$B505&amp;"!B2:B628"),0))</f>
        <v>-50.349999999999994</v>
      </c>
      <c r="O505" s="158" t="str">
        <f ca="1">IF(INDEX(INDIRECT(""&amp;$B505&amp;"!W2:W628"),MATCH($A505,INDIRECT(""&amp;$B505&amp;"!B2:B628"),0))=0,"",INDEX(INDIRECT(""&amp;$B505&amp;"!W2:W628"),MATCH($A505,INDIRECT(""&amp;$B505&amp;"!B2:B628"),0)))</f>
        <v/>
      </c>
    </row>
    <row r="506" spans="1:15" x14ac:dyDescent="0.25">
      <c r="A506" s="158" t="s">
        <v>869</v>
      </c>
      <c r="B506" s="158" t="s">
        <v>35</v>
      </c>
      <c r="C506" s="158">
        <f ca="1">IFERROR(INDEX(BYEs!$B$2:$B$33,MATCH(D506,BYEs!$A$2:$A$33,0)),"N/A")</f>
        <v>9</v>
      </c>
      <c r="D506" s="219" t="str">
        <f ca="1">INDEX(INDIRECT(""&amp;B506&amp;"!F2:F628"),MATCH(A506,INDIRECT(""&amp;B506&amp;"!B2:B628"),0))</f>
        <v>DEN</v>
      </c>
      <c r="E506" s="218" t="str">
        <f ca="1">INDEX(INDIRECT(""&amp;$B506&amp;"!AA2:AA628"),MATCH($A506,INDIRECT(""&amp;$B506&amp;"!B2:B628"),0))</f>
        <v>WR11</v>
      </c>
      <c r="F506" s="159">
        <f ca="1">IF(LeagueInfo!$H$7="Starter/Bench",INDEX(INDIRECT(""&amp;B506&amp;"!T2:T628"),MATCH(A506,INDIRECT(""&amp;B506&amp;"!B2:B628"),0)),INDEX(INDIRECT(""&amp;B506&amp;"!AB2:AB628"),MATCH(A506,INDIRECT(""&amp;B506&amp;"!B2:B628"),0)))</f>
        <v>-18.258612062283529</v>
      </c>
      <c r="G506" s="160">
        <f>IF(H506&gt;0,F506-H506,0)</f>
        <v>0</v>
      </c>
      <c r="H506" s="161"/>
      <c r="I506" s="160">
        <f ca="1">F506*$A$2</f>
        <v>-18.258612062283529</v>
      </c>
      <c r="J506" s="160" t="s">
        <v>76</v>
      </c>
      <c r="K506" s="160">
        <f>IF(LeagueInfo!$F$7="Yahoo",IFERROR(INDEX(DefaultAuctionValues!$B$2:$B$1000,MATCH(A506,DefaultAuctionValues!$A$2:$A$1000,0)),0),IF(LeagueInfo!$F$7="ESPN",IFERROR(INDEX(DefaultAuctionValues!$C$2:$C$1000,MATCH(A506,DefaultAuctionValues!$A$2:$A$1000,0)),0),IF(LeagueInfo!$F$7="Custom",IFERROR(INDEX(DefaultAuctionValues!$D$2:$D$1000,MATCH(A506,DefaultAuctionValues!$A$2:$A$1000,0)),0))))</f>
        <v>0</v>
      </c>
      <c r="L506" s="160">
        <f ca="1">I506-K506</f>
        <v>-18.258612062283529</v>
      </c>
      <c r="M506" s="175"/>
      <c r="N506" s="170">
        <f ca="1">INDEX(INDIRECT(""&amp;$B506&amp;"!Z2:Z628"),MATCH($A506,INDIRECT(""&amp;$B506&amp;"!B2:B628"),0))</f>
        <v>-50.349999999999994</v>
      </c>
      <c r="O506" s="158" t="str">
        <f ca="1">IF(INDEX(INDIRECT(""&amp;$B506&amp;"!W2:W628"),MATCH($A506,INDIRECT(""&amp;$B506&amp;"!B2:B628"),0))=0,"",INDEX(INDIRECT(""&amp;$B506&amp;"!W2:W628"),MATCH($A506,INDIRECT(""&amp;$B506&amp;"!B2:B628"),0)))</f>
        <v/>
      </c>
    </row>
    <row r="507" spans="1:15" x14ac:dyDescent="0.25">
      <c r="A507" s="158" t="s">
        <v>966</v>
      </c>
      <c r="B507" s="158" t="s">
        <v>35</v>
      </c>
      <c r="C507" s="158">
        <f ca="1">IFERROR(INDEX(BYEs!$B$2:$B$33,MATCH(D507,BYEs!$A$2:$A$33,0)),"N/A")</f>
        <v>10</v>
      </c>
      <c r="D507" s="219" t="str">
        <f ca="1">INDEX(INDIRECT(""&amp;B507&amp;"!F2:F628"),MATCH(A507,INDIRECT(""&amp;B507&amp;"!B2:B628"),0))</f>
        <v>BAL</v>
      </c>
      <c r="E507" s="218" t="str">
        <f ca="1">INDEX(INDIRECT(""&amp;$B507&amp;"!AA2:AA628"),MATCH($A507,INDIRECT(""&amp;$B507&amp;"!B2:B628"),0))</f>
        <v>WR11</v>
      </c>
      <c r="F507" s="159">
        <f ca="1">IF(LeagueInfo!$H$7="Starter/Bench",INDEX(INDIRECT(""&amp;B507&amp;"!T2:T628"),MATCH(A507,INDIRECT(""&amp;B507&amp;"!B2:B628"),0)),INDEX(INDIRECT(""&amp;B507&amp;"!AB2:AB628"),MATCH(A507,INDIRECT(""&amp;B507&amp;"!B2:B628"),0)))</f>
        <v>-18.300314949814066</v>
      </c>
      <c r="G507" s="160">
        <f>IF(H507&gt;0,F507-H507,0)</f>
        <v>0</v>
      </c>
      <c r="H507" s="161"/>
      <c r="I507" s="160">
        <f ca="1">F507*$A$2</f>
        <v>-18.300314949814066</v>
      </c>
      <c r="J507" s="160" t="s">
        <v>76</v>
      </c>
      <c r="K507" s="160">
        <f>IF(LeagueInfo!$F$7="Yahoo",IFERROR(INDEX(DefaultAuctionValues!$B$2:$B$1000,MATCH(A507,DefaultAuctionValues!$A$2:$A$1000,0)),0),IF(LeagueInfo!$F$7="ESPN",IFERROR(INDEX(DefaultAuctionValues!$C$2:$C$1000,MATCH(A507,DefaultAuctionValues!$A$2:$A$1000,0)),0),IF(LeagueInfo!$F$7="Custom",IFERROR(INDEX(DefaultAuctionValues!$D$2:$D$1000,MATCH(A507,DefaultAuctionValues!$A$2:$A$1000,0)),0))))</f>
        <v>0</v>
      </c>
      <c r="L507" s="160">
        <f ca="1">I507-K507</f>
        <v>-18.300314949814066</v>
      </c>
      <c r="M507" s="175"/>
      <c r="N507" s="170">
        <f ca="1">INDEX(INDIRECT(""&amp;$B507&amp;"!Z2:Z628"),MATCH($A507,INDIRECT(""&amp;$B507&amp;"!B2:B628"),0))</f>
        <v>-50.464999999999989</v>
      </c>
      <c r="O507" s="158" t="str">
        <f ca="1">IF(INDEX(INDIRECT(""&amp;$B507&amp;"!W2:W628"),MATCH($A507,INDIRECT(""&amp;$B507&amp;"!B2:B628"),0))=0,"",INDEX(INDIRECT(""&amp;$B507&amp;"!W2:W628"),MATCH($A507,INDIRECT(""&amp;$B507&amp;"!B2:B628"),0)))</f>
        <v/>
      </c>
    </row>
    <row r="508" spans="1:15" x14ac:dyDescent="0.25">
      <c r="A508" s="158" t="s">
        <v>735</v>
      </c>
      <c r="B508" s="158" t="s">
        <v>35</v>
      </c>
      <c r="C508" s="158">
        <f ca="1">IFERROR(INDEX(BYEs!$B$2:$B$33,MATCH(D508,BYEs!$A$2:$A$33,0)),"N/A")</f>
        <v>14</v>
      </c>
      <c r="D508" s="219" t="str">
        <f ca="1">INDEX(INDIRECT(""&amp;B508&amp;"!F2:F628"),MATCH(A508,INDIRECT(""&amp;B508&amp;"!B2:B628"),0))</f>
        <v>WAS</v>
      </c>
      <c r="E508" s="218" t="str">
        <f ca="1">INDEX(INDIRECT(""&amp;$B508&amp;"!AA2:AA628"),MATCH($A508,INDIRECT(""&amp;$B508&amp;"!B2:B628"),0))</f>
        <v>WR11</v>
      </c>
      <c r="F508" s="159">
        <f ca="1">IF(LeagueInfo!$H$7="Starter/Bench",INDEX(INDIRECT(""&amp;B508&amp;"!T2:T628"),MATCH(A508,INDIRECT(""&amp;B508&amp;"!B2:B628"),0)),INDEX(INDIRECT(""&amp;B508&amp;"!AB2:AB628"),MATCH(A508,INDIRECT(""&amp;B508&amp;"!B2:B628"),0)))</f>
        <v>-18.300314949814066</v>
      </c>
      <c r="G508" s="160">
        <f>IF(H508&gt;0,F508-H508,0)</f>
        <v>0</v>
      </c>
      <c r="H508" s="161"/>
      <c r="I508" s="160">
        <f ca="1">F508*$A$2</f>
        <v>-18.300314949814066</v>
      </c>
      <c r="J508" s="160" t="s">
        <v>76</v>
      </c>
      <c r="K508" s="160">
        <f>IF(LeagueInfo!$F$7="Yahoo",IFERROR(INDEX(DefaultAuctionValues!$B$2:$B$1000,MATCH(A508,DefaultAuctionValues!$A$2:$A$1000,0)),0),IF(LeagueInfo!$F$7="ESPN",IFERROR(INDEX(DefaultAuctionValues!$C$2:$C$1000,MATCH(A508,DefaultAuctionValues!$A$2:$A$1000,0)),0),IF(LeagueInfo!$F$7="Custom",IFERROR(INDEX(DefaultAuctionValues!$D$2:$D$1000,MATCH(A508,DefaultAuctionValues!$A$2:$A$1000,0)),0))))</f>
        <v>0</v>
      </c>
      <c r="L508" s="160">
        <f ca="1">I508-K508</f>
        <v>-18.300314949814066</v>
      </c>
      <c r="M508" s="175"/>
      <c r="N508" s="170">
        <f ca="1">INDEX(INDIRECT(""&amp;$B508&amp;"!Z2:Z628"),MATCH($A508,INDIRECT(""&amp;$B508&amp;"!B2:B628"),0))</f>
        <v>-50.464999999999989</v>
      </c>
      <c r="O508" s="158" t="str">
        <f ca="1">IF(INDEX(INDIRECT(""&amp;$B508&amp;"!W2:W628"),MATCH($A508,INDIRECT(""&amp;$B508&amp;"!B2:B628"),0))=0,"",INDEX(INDIRECT(""&amp;$B508&amp;"!W2:W628"),MATCH($A508,INDIRECT(""&amp;$B508&amp;"!B2:B628"),0)))</f>
        <v/>
      </c>
    </row>
    <row r="509" spans="1:15" x14ac:dyDescent="0.25">
      <c r="A509" s="158" t="s">
        <v>2458</v>
      </c>
      <c r="B509" s="158" t="s">
        <v>35</v>
      </c>
      <c r="C509" s="158">
        <f ca="1">IFERROR(INDEX(BYEs!$B$2:$B$33,MATCH(D509,BYEs!$A$2:$A$33,0)),"N/A")</f>
        <v>9</v>
      </c>
      <c r="D509" s="219" t="str">
        <f ca="1">INDEX(INDIRECT(""&amp;B509&amp;"!F2:F628"),MATCH(A509,INDIRECT(""&amp;B509&amp;"!B2:B628"),0))</f>
        <v>CLE</v>
      </c>
      <c r="E509" s="218" t="str">
        <f ca="1">INDEX(INDIRECT(""&amp;$B509&amp;"!AA2:AA628"),MATCH($A509,INDIRECT(""&amp;$B509&amp;"!B2:B628"),0))</f>
        <v>WR11</v>
      </c>
      <c r="F509" s="159">
        <f ca="1">IF(LeagueInfo!$H$7="Starter/Bench",INDEX(INDIRECT(""&amp;B509&amp;"!T2:T628"),MATCH(A509,INDIRECT(""&amp;B509&amp;"!B2:B628"),0)),INDEX(INDIRECT(""&amp;B509&amp;"!AB2:AB628"),MATCH(A509,INDIRECT(""&amp;B509&amp;"!B2:B628"),0)))</f>
        <v>-18.331138823206203</v>
      </c>
      <c r="G509" s="160">
        <f>IF(H509&gt;0,F509-H509,0)</f>
        <v>0</v>
      </c>
      <c r="H509" s="161"/>
      <c r="I509" s="160">
        <f ca="1">F509*$A$2</f>
        <v>-18.331138823206203</v>
      </c>
      <c r="J509" s="160" t="s">
        <v>76</v>
      </c>
      <c r="K509" s="160">
        <f>IF(LeagueInfo!$F$7="Yahoo",IFERROR(INDEX(DefaultAuctionValues!$B$2:$B$1000,MATCH(A509,DefaultAuctionValues!$A$2:$A$1000,0)),0),IF(LeagueInfo!$F$7="ESPN",IFERROR(INDEX(DefaultAuctionValues!$C$2:$C$1000,MATCH(A509,DefaultAuctionValues!$A$2:$A$1000,0)),0),IF(LeagueInfo!$F$7="Custom",IFERROR(INDEX(DefaultAuctionValues!$D$2:$D$1000,MATCH(A509,DefaultAuctionValues!$A$2:$A$1000,0)),0))))</f>
        <v>0</v>
      </c>
      <c r="L509" s="160">
        <f ca="1">I509-K509</f>
        <v>-18.331138823206203</v>
      </c>
      <c r="M509" s="175"/>
      <c r="N509" s="170">
        <f ca="1">INDEX(INDIRECT(""&amp;$B509&amp;"!Z2:Z628"),MATCH($A509,INDIRECT(""&amp;$B509&amp;"!B2:B628"),0))</f>
        <v>-50.54999999999999</v>
      </c>
      <c r="O509" s="158" t="str">
        <f ca="1">IF(INDEX(INDIRECT(""&amp;$B509&amp;"!W2:W628"),MATCH($A509,INDIRECT(""&amp;$B509&amp;"!B2:B628"),0))=0,"",INDEX(INDIRECT(""&amp;$B509&amp;"!W2:W628"),MATCH($A509,INDIRECT(""&amp;$B509&amp;"!B2:B628"),0)))</f>
        <v/>
      </c>
    </row>
    <row r="510" spans="1:15" x14ac:dyDescent="0.25">
      <c r="A510" s="158" t="s">
        <v>1028</v>
      </c>
      <c r="B510" s="158" t="s">
        <v>35</v>
      </c>
      <c r="C510" s="158">
        <f ca="1">IFERROR(INDEX(BYEs!$B$2:$B$33,MATCH(D510,BYEs!$A$2:$A$33,0)),"N/A")</f>
        <v>9</v>
      </c>
      <c r="D510" s="219" t="str">
        <f ca="1">INDEX(INDIRECT(""&amp;B510&amp;"!F2:F628"),MATCH(A510,INDIRECT(""&amp;B510&amp;"!B2:B628"),0))</f>
        <v>NYG</v>
      </c>
      <c r="E510" s="218" t="str">
        <f ca="1">INDEX(INDIRECT(""&amp;$B510&amp;"!AA2:AA628"),MATCH($A510,INDIRECT(""&amp;$B510&amp;"!B2:B628"),0))</f>
        <v>WR11</v>
      </c>
      <c r="F510" s="159">
        <f ca="1">IF(LeagueInfo!$H$7="Starter/Bench",INDEX(INDIRECT(""&amp;B510&amp;"!T2:T628"),MATCH(A510,INDIRECT(""&amp;B510&amp;"!B2:B628"),0)),INDEX(INDIRECT(""&amp;B510&amp;"!AB2:AB628"),MATCH(A510,INDIRECT(""&amp;B510&amp;"!B2:B628"),0)))</f>
        <v>-18.352896851483006</v>
      </c>
      <c r="G510" s="160">
        <f>IF(H510&gt;0,F510-H510,0)</f>
        <v>0</v>
      </c>
      <c r="H510" s="161"/>
      <c r="I510" s="160">
        <f ca="1">F510*$A$2</f>
        <v>-18.352896851483006</v>
      </c>
      <c r="J510" s="160" t="s">
        <v>76</v>
      </c>
      <c r="K510" s="160">
        <f>IF(LeagueInfo!$F$7="Yahoo",IFERROR(INDEX(DefaultAuctionValues!$B$2:$B$1000,MATCH(A510,DefaultAuctionValues!$A$2:$A$1000,0)),0),IF(LeagueInfo!$F$7="ESPN",IFERROR(INDEX(DefaultAuctionValues!$C$2:$C$1000,MATCH(A510,DefaultAuctionValues!$A$2:$A$1000,0)),0),IF(LeagueInfo!$F$7="Custom",IFERROR(INDEX(DefaultAuctionValues!$D$2:$D$1000,MATCH(A510,DefaultAuctionValues!$A$2:$A$1000,0)),0))))</f>
        <v>0</v>
      </c>
      <c r="L510" s="160">
        <f ca="1">I510-K510</f>
        <v>-18.352896851483006</v>
      </c>
      <c r="M510" s="175"/>
      <c r="N510" s="170">
        <f ca="1">INDEX(INDIRECT(""&amp;$B510&amp;"!Z2:Z628"),MATCH($A510,INDIRECT(""&amp;$B510&amp;"!B2:B628"),0))</f>
        <v>-50.609999999999992</v>
      </c>
      <c r="O510" s="158" t="str">
        <f ca="1">IF(INDEX(INDIRECT(""&amp;$B510&amp;"!W2:W628"),MATCH($A510,INDIRECT(""&amp;$B510&amp;"!B2:B628"),0))=0,"",INDEX(INDIRECT(""&amp;$B510&amp;"!W2:W628"),MATCH($A510,INDIRECT(""&amp;$B510&amp;"!B2:B628"),0)))</f>
        <v/>
      </c>
    </row>
    <row r="511" spans="1:15" x14ac:dyDescent="0.25">
      <c r="A511" s="158" t="s">
        <v>998</v>
      </c>
      <c r="B511" s="158" t="s">
        <v>35</v>
      </c>
      <c r="C511" s="158">
        <f ca="1">IFERROR(INDEX(BYEs!$B$2:$B$33,MATCH(D511,BYEs!$A$2:$A$33,0)),"N/A")</f>
        <v>10</v>
      </c>
      <c r="D511" s="219" t="str">
        <f ca="1">INDEX(INDIRECT(""&amp;B511&amp;"!F2:F628"),MATCH(A511,INDIRECT(""&amp;B511&amp;"!B2:B628"),0))</f>
        <v>NE</v>
      </c>
      <c r="E511" s="218" t="str">
        <f ca="1">INDEX(INDIRECT(""&amp;$B511&amp;"!AA2:AA628"),MATCH($A511,INDIRECT(""&amp;$B511&amp;"!B2:B628"),0))</f>
        <v>WR11</v>
      </c>
      <c r="F511" s="159">
        <f ca="1">IF(LeagueInfo!$H$7="Starter/Bench",INDEX(INDIRECT(""&amp;B511&amp;"!T2:T628"),MATCH(A511,INDIRECT(""&amp;B511&amp;"!B2:B628"),0)),INDEX(INDIRECT(""&amp;B511&amp;"!AB2:AB628"),MATCH(A511,INDIRECT(""&amp;B511&amp;"!B2:B628"),0)))</f>
        <v>-18.492510866259156</v>
      </c>
      <c r="G511" s="160">
        <f>IF(H511&gt;0,F511-H511,0)</f>
        <v>0</v>
      </c>
      <c r="H511" s="161"/>
      <c r="I511" s="160">
        <f ca="1">F511*$A$2</f>
        <v>-18.492510866259156</v>
      </c>
      <c r="J511" s="160" t="s">
        <v>76</v>
      </c>
      <c r="K511" s="160">
        <f>IF(LeagueInfo!$F$7="Yahoo",IFERROR(INDEX(DefaultAuctionValues!$B$2:$B$1000,MATCH(A511,DefaultAuctionValues!$A$2:$A$1000,0)),0),IF(LeagueInfo!$F$7="ESPN",IFERROR(INDEX(DefaultAuctionValues!$C$2:$C$1000,MATCH(A511,DefaultAuctionValues!$A$2:$A$1000,0)),0),IF(LeagueInfo!$F$7="Custom",IFERROR(INDEX(DefaultAuctionValues!$D$2:$D$1000,MATCH(A511,DefaultAuctionValues!$A$2:$A$1000,0)),0))))</f>
        <v>0</v>
      </c>
      <c r="L511" s="160">
        <f ca="1">I511-K511</f>
        <v>-18.492510866259156</v>
      </c>
      <c r="M511" s="175"/>
      <c r="N511" s="170">
        <f ca="1">INDEX(INDIRECT(""&amp;$B511&amp;"!Z2:Z628"),MATCH($A511,INDIRECT(""&amp;$B511&amp;"!B2:B628"),0))</f>
        <v>-50.99499999999999</v>
      </c>
      <c r="O511" s="158" t="str">
        <f ca="1">IF(INDEX(INDIRECT(""&amp;$B511&amp;"!W2:W628"),MATCH($A511,INDIRECT(""&amp;$B511&amp;"!B2:B628"),0))=0,"",INDEX(INDIRECT(""&amp;$B511&amp;"!W2:W628"),MATCH($A511,INDIRECT(""&amp;$B511&amp;"!B2:B628"),0)))</f>
        <v/>
      </c>
    </row>
    <row r="512" spans="1:15" x14ac:dyDescent="0.25">
      <c r="A512" s="158" t="s">
        <v>968</v>
      </c>
      <c r="B512" s="158" t="s">
        <v>35</v>
      </c>
      <c r="C512" s="158">
        <f ca="1">IFERROR(INDEX(BYEs!$B$2:$B$33,MATCH(D512,BYEs!$A$2:$A$33,0)),"N/A")</f>
        <v>9</v>
      </c>
      <c r="D512" s="219" t="str">
        <f ca="1">INDEX(INDIRECT(""&amp;B512&amp;"!F2:F628"),MATCH(A512,INDIRECT(""&amp;B512&amp;"!B2:B628"),0))</f>
        <v>DAL</v>
      </c>
      <c r="E512" s="218" t="str">
        <f ca="1">INDEX(INDIRECT(""&amp;$B512&amp;"!AA2:AA628"),MATCH($A512,INDIRECT(""&amp;$B512&amp;"!B2:B628"),0))</f>
        <v>WR11</v>
      </c>
      <c r="F512" s="159">
        <f ca="1">IF(LeagueInfo!$H$7="Starter/Bench",INDEX(INDIRECT(""&amp;B512&amp;"!T2:T628"),MATCH(A512,INDIRECT(""&amp;B512&amp;"!B2:B628"),0)),INDEX(INDIRECT(""&amp;B512&amp;"!AB2:AB628"),MATCH(A512,INDIRECT(""&amp;B512&amp;"!B2:B628"),0)))</f>
        <v>-18.519708401605158</v>
      </c>
      <c r="G512" s="160">
        <f>IF(H512&gt;0,F512-H512,0)</f>
        <v>0</v>
      </c>
      <c r="H512" s="161"/>
      <c r="I512" s="160">
        <f ca="1">F512*$A$2</f>
        <v>-18.519708401605158</v>
      </c>
      <c r="J512" s="160" t="s">
        <v>76</v>
      </c>
      <c r="K512" s="160">
        <f>IF(LeagueInfo!$F$7="Yahoo",IFERROR(INDEX(DefaultAuctionValues!$B$2:$B$1000,MATCH(A512,DefaultAuctionValues!$A$2:$A$1000,0)),0),IF(LeagueInfo!$F$7="ESPN",IFERROR(INDEX(DefaultAuctionValues!$C$2:$C$1000,MATCH(A512,DefaultAuctionValues!$A$2:$A$1000,0)),0),IF(LeagueInfo!$F$7="Custom",IFERROR(INDEX(DefaultAuctionValues!$D$2:$D$1000,MATCH(A512,DefaultAuctionValues!$A$2:$A$1000,0)),0))))</f>
        <v>0</v>
      </c>
      <c r="L512" s="160">
        <f ca="1">I512-K512</f>
        <v>-18.519708401605158</v>
      </c>
      <c r="M512" s="175"/>
      <c r="N512" s="170">
        <f ca="1">INDEX(INDIRECT(""&amp;$B512&amp;"!Z2:Z628"),MATCH($A512,INDIRECT(""&amp;$B512&amp;"!B2:B628"),0))</f>
        <v>-51.069999999999993</v>
      </c>
      <c r="O512" s="158" t="str">
        <f ca="1">IF(INDEX(INDIRECT(""&amp;$B512&amp;"!W2:W628"),MATCH($A512,INDIRECT(""&amp;$B512&amp;"!B2:B628"),0))=0,"",INDEX(INDIRECT(""&amp;$B512&amp;"!W2:W628"),MATCH($A512,INDIRECT(""&amp;$B512&amp;"!B2:B628"),0)))</f>
        <v/>
      </c>
    </row>
    <row r="513" spans="1:15" x14ac:dyDescent="0.25">
      <c r="A513" s="158" t="s">
        <v>2433</v>
      </c>
      <c r="B513" s="158" t="s">
        <v>35</v>
      </c>
      <c r="C513" s="158">
        <f ca="1">IFERROR(INDEX(BYEs!$B$2:$B$33,MATCH(D513,BYEs!$A$2:$A$33,0)),"N/A")</f>
        <v>7</v>
      </c>
      <c r="D513" s="219" t="str">
        <f ca="1">INDEX(INDIRECT(""&amp;B513&amp;"!F2:F628"),MATCH(A513,INDIRECT(""&amp;B513&amp;"!B2:B628"),0))</f>
        <v>BUF</v>
      </c>
      <c r="E513" s="218" t="str">
        <f ca="1">INDEX(INDIRECT(""&amp;$B513&amp;"!AA2:AA628"),MATCH($A513,INDIRECT(""&amp;$B513&amp;"!B2:B628"),0))</f>
        <v>WR11</v>
      </c>
      <c r="F513" s="159">
        <f ca="1">IF(LeagueInfo!$H$7="Starter/Bench",INDEX(INDIRECT(""&amp;B513&amp;"!T2:T628"),MATCH(A513,INDIRECT(""&amp;B513&amp;"!B2:B628"),0)),INDEX(INDIRECT(""&amp;B513&amp;"!AB2:AB628"),MATCH(A513,INDIRECT(""&amp;B513&amp;"!B2:B628"),0)))</f>
        <v>-18.550532274997295</v>
      </c>
      <c r="G513" s="160">
        <f>IF(H513&gt;0,F513-H513,0)</f>
        <v>0</v>
      </c>
      <c r="H513" s="161"/>
      <c r="I513" s="160">
        <f ca="1">F513*$A$2</f>
        <v>-18.550532274997295</v>
      </c>
      <c r="J513" s="160" t="s">
        <v>76</v>
      </c>
      <c r="K513" s="160">
        <f>IF(LeagueInfo!$F$7="Yahoo",IFERROR(INDEX(DefaultAuctionValues!$B$2:$B$1000,MATCH(A513,DefaultAuctionValues!$A$2:$A$1000,0)),0),IF(LeagueInfo!$F$7="ESPN",IFERROR(INDEX(DefaultAuctionValues!$C$2:$C$1000,MATCH(A513,DefaultAuctionValues!$A$2:$A$1000,0)),0),IF(LeagueInfo!$F$7="Custom",IFERROR(INDEX(DefaultAuctionValues!$D$2:$D$1000,MATCH(A513,DefaultAuctionValues!$A$2:$A$1000,0)),0))))</f>
        <v>0</v>
      </c>
      <c r="L513" s="160">
        <f ca="1">I513-K513</f>
        <v>-18.550532274997295</v>
      </c>
      <c r="M513" s="175"/>
      <c r="N513" s="170">
        <f ca="1">INDEX(INDIRECT(""&amp;$B513&amp;"!Z2:Z628"),MATCH($A513,INDIRECT(""&amp;$B513&amp;"!B2:B628"),0))</f>
        <v>-51.154999999999994</v>
      </c>
      <c r="O513" s="158" t="str">
        <f ca="1">IF(INDEX(INDIRECT(""&amp;$B513&amp;"!W2:W628"),MATCH($A513,INDIRECT(""&amp;$B513&amp;"!B2:B628"),0))=0,"",INDEX(INDIRECT(""&amp;$B513&amp;"!W2:W628"),MATCH($A513,INDIRECT(""&amp;$B513&amp;"!B2:B628"),0)))</f>
        <v/>
      </c>
    </row>
    <row r="514" spans="1:15" x14ac:dyDescent="0.25">
      <c r="A514" s="158" t="s">
        <v>2438</v>
      </c>
      <c r="B514" s="158" t="s">
        <v>35</v>
      </c>
      <c r="C514" s="158">
        <f ca="1">IFERROR(INDEX(BYEs!$B$2:$B$33,MATCH(D514,BYEs!$A$2:$A$33,0)),"N/A")</f>
        <v>7</v>
      </c>
      <c r="D514" s="219" t="str">
        <f ca="1">INDEX(INDIRECT(""&amp;B514&amp;"!F2:F628"),MATCH(A514,INDIRECT(""&amp;B514&amp;"!B2:B628"),0))</f>
        <v>MIN</v>
      </c>
      <c r="E514" s="218" t="str">
        <f ca="1">INDEX(INDIRECT(""&amp;$B514&amp;"!AA2:AA628"),MATCH($A514,INDIRECT(""&amp;$B514&amp;"!B2:B628"),0))</f>
        <v>WR11</v>
      </c>
      <c r="F514" s="159">
        <f ca="1">IF(LeagueInfo!$H$7="Starter/Bench",INDEX(INDIRECT(""&amp;B514&amp;"!T2:T628"),MATCH(A514,INDIRECT(""&amp;B514&amp;"!B2:B628"),0)),INDEX(INDIRECT(""&amp;B514&amp;"!AB2:AB628"),MATCH(A514,INDIRECT(""&amp;B514&amp;"!B2:B628"),0)))</f>
        <v>-18.5886088244817</v>
      </c>
      <c r="G514" s="160">
        <f>IF(H514&gt;0,F514-H514,0)</f>
        <v>0</v>
      </c>
      <c r="H514" s="161"/>
      <c r="I514" s="160">
        <f ca="1">F514*$A$2</f>
        <v>-18.5886088244817</v>
      </c>
      <c r="J514" s="160" t="s">
        <v>76</v>
      </c>
      <c r="K514" s="160">
        <f>IF(LeagueInfo!$F$7="Yahoo",IFERROR(INDEX(DefaultAuctionValues!$B$2:$B$1000,MATCH(A514,DefaultAuctionValues!$A$2:$A$1000,0)),0),IF(LeagueInfo!$F$7="ESPN",IFERROR(INDEX(DefaultAuctionValues!$C$2:$C$1000,MATCH(A514,DefaultAuctionValues!$A$2:$A$1000,0)),0),IF(LeagueInfo!$F$7="Custom",IFERROR(INDEX(DefaultAuctionValues!$D$2:$D$1000,MATCH(A514,DefaultAuctionValues!$A$2:$A$1000,0)),0))))</f>
        <v>0</v>
      </c>
      <c r="L514" s="160">
        <f ca="1">I514-K514</f>
        <v>-18.5886088244817</v>
      </c>
      <c r="M514" s="175"/>
      <c r="N514" s="170">
        <f ca="1">INDEX(INDIRECT(""&amp;$B514&amp;"!Z2:Z628"),MATCH($A514,INDIRECT(""&amp;$B514&amp;"!B2:B628"),0))</f>
        <v>-51.259999999999991</v>
      </c>
      <c r="O514" s="158" t="str">
        <f ca="1">IF(INDEX(INDIRECT(""&amp;$B514&amp;"!W2:W628"),MATCH($A514,INDIRECT(""&amp;$B514&amp;"!B2:B628"),0))=0,"",INDEX(INDIRECT(""&amp;$B514&amp;"!W2:W628"),MATCH($A514,INDIRECT(""&amp;$B514&amp;"!B2:B628"),0)))</f>
        <v/>
      </c>
    </row>
    <row r="515" spans="1:15" x14ac:dyDescent="0.25">
      <c r="A515" s="158" t="s">
        <v>759</v>
      </c>
      <c r="B515" s="158" t="s">
        <v>43</v>
      </c>
      <c r="C515" s="158">
        <f ca="1">IFERROR(INDEX(BYEs!$B$2:$B$33,MATCH(D515,BYEs!$A$2:$A$33,0)),"N/A")</f>
        <v>8</v>
      </c>
      <c r="D515" s="219" t="str">
        <f ca="1">INDEX(INDIRECT(""&amp;B515&amp;"!F2:F628"),MATCH(A515,INDIRECT(""&amp;B515&amp;"!B2:B628"),0))</f>
        <v>KC</v>
      </c>
      <c r="E515" s="218" t="str">
        <f ca="1">INDEX(INDIRECT(""&amp;$B515&amp;"!AA2:AA628"),MATCH($A515,INDIRECT(""&amp;$B515&amp;"!B2:B628"),0))</f>
        <v>TE12</v>
      </c>
      <c r="F515" s="159">
        <f ca="1">IF(LeagueInfo!$H$7="Starter/Bench",INDEX(INDIRECT(""&amp;B515&amp;"!T2:T628"),MATCH(A515,INDIRECT(""&amp;B515&amp;"!B2:B628"),0)),INDEX(INDIRECT(""&amp;B515&amp;"!AB2:AB628"),MATCH(A515,INDIRECT(""&amp;B515&amp;"!B2:B628"),0)))</f>
        <v>-18.613993190804642</v>
      </c>
      <c r="G515" s="160">
        <f>IF(H515&gt;0,F515-H515,0)</f>
        <v>0</v>
      </c>
      <c r="H515" s="161"/>
      <c r="I515" s="160">
        <f ca="1">F515*$A$2</f>
        <v>-18.613993190804642</v>
      </c>
      <c r="J515" s="160" t="s">
        <v>76</v>
      </c>
      <c r="K515" s="160">
        <f>IF(LeagueInfo!$F$7="Yahoo",IFERROR(INDEX(DefaultAuctionValues!$B$2:$B$1000,MATCH(A515,DefaultAuctionValues!$A$2:$A$1000,0)),0),IF(LeagueInfo!$F$7="ESPN",IFERROR(INDEX(DefaultAuctionValues!$C$2:$C$1000,MATCH(A515,DefaultAuctionValues!$A$2:$A$1000,0)),0),IF(LeagueInfo!$F$7="Custom",IFERROR(INDEX(DefaultAuctionValues!$D$2:$D$1000,MATCH(A515,DefaultAuctionValues!$A$2:$A$1000,0)),0))))</f>
        <v>0</v>
      </c>
      <c r="L515" s="160">
        <f ca="1">I515-K515</f>
        <v>-18.613993190804642</v>
      </c>
      <c r="M515" s="175"/>
      <c r="N515" s="170">
        <f ca="1">INDEX(INDIRECT(""&amp;$B515&amp;"!Z2:Z628"),MATCH($A515,INDIRECT(""&amp;$B515&amp;"!B2:B628"),0))</f>
        <v>-51.330000000000005</v>
      </c>
      <c r="O515" s="158" t="str">
        <f ca="1">IF(INDEX(INDIRECT(""&amp;$B515&amp;"!W2:W628"),MATCH($A515,INDIRECT(""&amp;$B515&amp;"!B2:B628"),0))=0,"",INDEX(INDIRECT(""&amp;$B515&amp;"!W2:W628"),MATCH($A515,INDIRECT(""&amp;$B515&amp;"!B2:B628"),0)))</f>
        <v/>
      </c>
    </row>
    <row r="516" spans="1:15" x14ac:dyDescent="0.25">
      <c r="A516" s="158" t="s">
        <v>737</v>
      </c>
      <c r="B516" s="158" t="s">
        <v>35</v>
      </c>
      <c r="C516" s="158">
        <f ca="1">IFERROR(INDEX(BYEs!$B$2:$B$33,MATCH(D516,BYEs!$A$2:$A$33,0)),"N/A")</f>
        <v>14</v>
      </c>
      <c r="D516" s="219" t="str">
        <f ca="1">INDEX(INDIRECT(""&amp;B516&amp;"!F2:F628"),MATCH(A516,INDIRECT(""&amp;B516&amp;"!B2:B628"),0))</f>
        <v>IND</v>
      </c>
      <c r="E516" s="218" t="str">
        <f ca="1">INDEX(INDIRECT(""&amp;$B516&amp;"!AA2:AA628"),MATCH($A516,INDIRECT(""&amp;$B516&amp;"!B2:B628"),0))</f>
        <v>WR11</v>
      </c>
      <c r="F516" s="159">
        <f ca="1">IF(LeagueInfo!$H$7="Starter/Bench",INDEX(INDIRECT(""&amp;B516&amp;"!T2:T628"),MATCH(A516,INDIRECT(""&amp;B516&amp;"!B2:B628"),0)),INDEX(INDIRECT(""&amp;B516&amp;"!AB2:AB628"),MATCH(A516,INDIRECT(""&amp;B516&amp;"!B2:B628"),0)))</f>
        <v>-18.623059035919969</v>
      </c>
      <c r="G516" s="160">
        <f>IF(H516&gt;0,F516-H516,0)</f>
        <v>0</v>
      </c>
      <c r="H516" s="161"/>
      <c r="I516" s="160">
        <f ca="1">F516*$A$2</f>
        <v>-18.623059035919969</v>
      </c>
      <c r="J516" s="160" t="s">
        <v>76</v>
      </c>
      <c r="K516" s="160">
        <f>IF(LeagueInfo!$F$7="Yahoo",IFERROR(INDEX(DefaultAuctionValues!$B$2:$B$1000,MATCH(A516,DefaultAuctionValues!$A$2:$A$1000,0)),0),IF(LeagueInfo!$F$7="ESPN",IFERROR(INDEX(DefaultAuctionValues!$C$2:$C$1000,MATCH(A516,DefaultAuctionValues!$A$2:$A$1000,0)),0),IF(LeagueInfo!$F$7="Custom",IFERROR(INDEX(DefaultAuctionValues!$D$2:$D$1000,MATCH(A516,DefaultAuctionValues!$A$2:$A$1000,0)),0))))</f>
        <v>0</v>
      </c>
      <c r="L516" s="160">
        <f ca="1">I516-K516</f>
        <v>-18.623059035919969</v>
      </c>
      <c r="M516" s="175"/>
      <c r="N516" s="170">
        <f ca="1">INDEX(INDIRECT(""&amp;$B516&amp;"!Z2:Z628"),MATCH($A516,INDIRECT(""&amp;$B516&amp;"!B2:B628"),0))</f>
        <v>-51.35499999999999</v>
      </c>
      <c r="O516" s="158" t="str">
        <f ca="1">IF(INDEX(INDIRECT(""&amp;$B516&amp;"!W2:W628"),MATCH($A516,INDIRECT(""&amp;$B516&amp;"!B2:B628"),0))=0,"",INDEX(INDIRECT(""&amp;$B516&amp;"!W2:W628"),MATCH($A516,INDIRECT(""&amp;$B516&amp;"!B2:B628"),0)))</f>
        <v/>
      </c>
    </row>
    <row r="517" spans="1:15" x14ac:dyDescent="0.25">
      <c r="A517" s="158" t="s">
        <v>703</v>
      </c>
      <c r="B517" s="158" t="s">
        <v>35</v>
      </c>
      <c r="C517" s="158">
        <f ca="1">IFERROR(INDEX(BYEs!$B$2:$B$33,MATCH(D517,BYEs!$A$2:$A$33,0)),"N/A")</f>
        <v>11</v>
      </c>
      <c r="D517" s="219" t="str">
        <f ca="1">INDEX(INDIRECT(""&amp;B517&amp;"!F2:F628"),MATCH(A517,INDIRECT(""&amp;B517&amp;"!B2:B628"),0))</f>
        <v>TB</v>
      </c>
      <c r="E517" s="218" t="str">
        <f ca="1">INDEX(INDIRECT(""&amp;$B517&amp;"!AA2:AA628"),MATCH($A517,INDIRECT(""&amp;$B517&amp;"!B2:B628"),0))</f>
        <v>WR11</v>
      </c>
      <c r="F517" s="159">
        <f ca="1">IF(LeagueInfo!$H$7="Starter/Bench",INDEX(INDIRECT(""&amp;B517&amp;"!T2:T628"),MATCH(A517,INDIRECT(""&amp;B517&amp;"!B2:B628"),0)),INDEX(INDIRECT(""&amp;B517&amp;"!AB2:AB628"),MATCH(A517,INDIRECT(""&amp;B517&amp;"!B2:B628"),0)))</f>
        <v>-18.715530656096384</v>
      </c>
      <c r="G517" s="160">
        <f>IF(H517&gt;0,F517-H517,0)</f>
        <v>0</v>
      </c>
      <c r="H517" s="161"/>
      <c r="I517" s="160">
        <f ca="1">F517*$A$2</f>
        <v>-18.715530656096384</v>
      </c>
      <c r="J517" s="160" t="s">
        <v>76</v>
      </c>
      <c r="K517" s="160">
        <f>IF(LeagueInfo!$F$7="Yahoo",IFERROR(INDEX(DefaultAuctionValues!$B$2:$B$1000,MATCH(A517,DefaultAuctionValues!$A$2:$A$1000,0)),0),IF(LeagueInfo!$F$7="ESPN",IFERROR(INDEX(DefaultAuctionValues!$C$2:$C$1000,MATCH(A517,DefaultAuctionValues!$A$2:$A$1000,0)),0),IF(LeagueInfo!$F$7="Custom",IFERROR(INDEX(DefaultAuctionValues!$D$2:$D$1000,MATCH(A517,DefaultAuctionValues!$A$2:$A$1000,0)),0))))</f>
        <v>0</v>
      </c>
      <c r="L517" s="160">
        <f ca="1">I517-K517</f>
        <v>-18.715530656096384</v>
      </c>
      <c r="M517" s="175"/>
      <c r="N517" s="170">
        <f ca="1">INDEX(INDIRECT(""&amp;$B517&amp;"!Z2:Z628"),MATCH($A517,INDIRECT(""&amp;$B517&amp;"!B2:B628"),0))</f>
        <v>-51.609999999999992</v>
      </c>
      <c r="O517" s="158" t="str">
        <f ca="1">IF(INDEX(INDIRECT(""&amp;$B517&amp;"!W2:W628"),MATCH($A517,INDIRECT(""&amp;$B517&amp;"!B2:B628"),0))=0,"",INDEX(INDIRECT(""&amp;$B517&amp;"!W2:W628"),MATCH($A517,INDIRECT(""&amp;$B517&amp;"!B2:B628"),0)))</f>
        <v/>
      </c>
    </row>
    <row r="518" spans="1:15" x14ac:dyDescent="0.25">
      <c r="A518" s="158" t="s">
        <v>969</v>
      </c>
      <c r="B518" s="158" t="s">
        <v>35</v>
      </c>
      <c r="C518" s="158">
        <f ca="1">IFERROR(INDEX(BYEs!$B$2:$B$33,MATCH(D518,BYEs!$A$2:$A$33,0)),"N/A")</f>
        <v>13</v>
      </c>
      <c r="D518" s="219" t="str">
        <f ca="1">INDEX(INDIRECT(""&amp;B518&amp;"!F2:F628"),MATCH(A518,INDIRECT(""&amp;B518&amp;"!B2:B628"),0))</f>
        <v>CAR</v>
      </c>
      <c r="E518" s="218" t="str">
        <f ca="1">INDEX(INDIRECT(""&amp;$B518&amp;"!AA2:AA628"),MATCH($A518,INDIRECT(""&amp;$B518&amp;"!B2:B628"),0))</f>
        <v>WR11</v>
      </c>
      <c r="F518" s="159">
        <f ca="1">IF(LeagueInfo!$H$7="Starter/Bench",INDEX(INDIRECT(""&amp;B518&amp;"!T2:T628"),MATCH(A518,INDIRECT(""&amp;B518&amp;"!B2:B628"),0)),INDEX(INDIRECT(""&amp;B518&amp;"!AB2:AB628"),MATCH(A518,INDIRECT(""&amp;B518&amp;"!B2:B628"),0)))</f>
        <v>-18.911352910587606</v>
      </c>
      <c r="G518" s="160">
        <f>IF(H518&gt;0,F518-H518,0)</f>
        <v>0</v>
      </c>
      <c r="H518" s="161"/>
      <c r="I518" s="160">
        <f ca="1">F518*$A$2</f>
        <v>-18.911352910587606</v>
      </c>
      <c r="J518" s="160" t="s">
        <v>76</v>
      </c>
      <c r="K518" s="160">
        <f>IF(LeagueInfo!$F$7="Yahoo",IFERROR(INDEX(DefaultAuctionValues!$B$2:$B$1000,MATCH(A518,DefaultAuctionValues!$A$2:$A$1000,0)),0),IF(LeagueInfo!$F$7="ESPN",IFERROR(INDEX(DefaultAuctionValues!$C$2:$C$1000,MATCH(A518,DefaultAuctionValues!$A$2:$A$1000,0)),0),IF(LeagueInfo!$F$7="Custom",IFERROR(INDEX(DefaultAuctionValues!$D$2:$D$1000,MATCH(A518,DefaultAuctionValues!$A$2:$A$1000,0)),0))))</f>
        <v>0</v>
      </c>
      <c r="L518" s="160">
        <f ca="1">I518-K518</f>
        <v>-18.911352910587606</v>
      </c>
      <c r="M518" s="175"/>
      <c r="N518" s="170">
        <f ca="1">INDEX(INDIRECT(""&amp;$B518&amp;"!Z2:Z628"),MATCH($A518,INDIRECT(""&amp;$B518&amp;"!B2:B628"),0))</f>
        <v>-52.149999999999991</v>
      </c>
      <c r="O518" s="158" t="str">
        <f ca="1">IF(INDEX(INDIRECT(""&amp;$B518&amp;"!W2:W628"),MATCH($A518,INDIRECT(""&amp;$B518&amp;"!B2:B628"),0))=0,"",INDEX(INDIRECT(""&amp;$B518&amp;"!W2:W628"),MATCH($A518,INDIRECT(""&amp;$B518&amp;"!B2:B628"),0)))</f>
        <v/>
      </c>
    </row>
    <row r="519" spans="1:15" x14ac:dyDescent="0.25">
      <c r="A519" s="158" t="s">
        <v>803</v>
      </c>
      <c r="B519" s="158" t="s">
        <v>35</v>
      </c>
      <c r="C519" s="158">
        <f ca="1">IFERROR(INDEX(BYEs!$B$2:$B$33,MATCH(D519,BYEs!$A$2:$A$33,0)),"N/A")</f>
        <v>14</v>
      </c>
      <c r="D519" s="219" t="str">
        <f ca="1">INDEX(INDIRECT(""&amp;B519&amp;"!F2:F628"),MATCH(A519,INDIRECT(""&amp;B519&amp;"!B2:B628"),0))</f>
        <v>ATL</v>
      </c>
      <c r="E519" s="218" t="str">
        <f ca="1">INDEX(INDIRECT(""&amp;$B519&amp;"!AA2:AA628"),MATCH($A519,INDIRECT(""&amp;$B519&amp;"!B2:B628"),0))</f>
        <v>WR11</v>
      </c>
      <c r="F519" s="159">
        <f ca="1">IF(LeagueInfo!$H$7="Starter/Bench",INDEX(INDIRECT(""&amp;B519&amp;"!T2:T628"),MATCH(A519,INDIRECT(""&amp;B519&amp;"!B2:B628"),0)),INDEX(INDIRECT(""&amp;B519&amp;"!AB2:AB628"),MATCH(A519,INDIRECT(""&amp;B519&amp;"!B2:B628"),0)))</f>
        <v>-18.976626995418012</v>
      </c>
      <c r="G519" s="160">
        <f>IF(H519&gt;0,F519-H519,0)</f>
        <v>0</v>
      </c>
      <c r="H519" s="161"/>
      <c r="I519" s="160">
        <f ca="1">F519*$A$2</f>
        <v>-18.976626995418012</v>
      </c>
      <c r="J519" s="160" t="s">
        <v>76</v>
      </c>
      <c r="K519" s="160">
        <f>IF(LeagueInfo!$F$7="Yahoo",IFERROR(INDEX(DefaultAuctionValues!$B$2:$B$1000,MATCH(A519,DefaultAuctionValues!$A$2:$A$1000,0)),0),IF(LeagueInfo!$F$7="ESPN",IFERROR(INDEX(DefaultAuctionValues!$C$2:$C$1000,MATCH(A519,DefaultAuctionValues!$A$2:$A$1000,0)),0),IF(LeagueInfo!$F$7="Custom",IFERROR(INDEX(DefaultAuctionValues!$D$2:$D$1000,MATCH(A519,DefaultAuctionValues!$A$2:$A$1000,0)),0))))</f>
        <v>0</v>
      </c>
      <c r="L519" s="160">
        <f ca="1">I519-K519</f>
        <v>-18.976626995418012</v>
      </c>
      <c r="M519" s="175"/>
      <c r="N519" s="170">
        <f ca="1">INDEX(INDIRECT(""&amp;$B519&amp;"!Z2:Z628"),MATCH($A519,INDIRECT(""&amp;$B519&amp;"!B2:B628"),0))</f>
        <v>-52.329999999999991</v>
      </c>
      <c r="O519" s="158" t="str">
        <f ca="1">IF(INDEX(INDIRECT(""&amp;$B519&amp;"!W2:W628"),MATCH($A519,INDIRECT(""&amp;$B519&amp;"!B2:B628"),0))=0,"",INDEX(INDIRECT(""&amp;$B519&amp;"!W2:W628"),MATCH($A519,INDIRECT(""&amp;$B519&amp;"!B2:B628"),0)))</f>
        <v/>
      </c>
    </row>
    <row r="520" spans="1:15" x14ac:dyDescent="0.25">
      <c r="A520" s="158" t="s">
        <v>736</v>
      </c>
      <c r="B520" s="158" t="s">
        <v>35</v>
      </c>
      <c r="C520" s="158">
        <f ca="1">IFERROR(INDEX(BYEs!$B$2:$B$33,MATCH(D520,BYEs!$A$2:$A$33,0)),"N/A")</f>
        <v>11</v>
      </c>
      <c r="D520" s="219" t="str">
        <f ca="1">INDEX(INDIRECT(""&amp;B520&amp;"!F2:F628"),MATCH(A520,INDIRECT(""&amp;B520&amp;"!B2:B628"),0))</f>
        <v>SEA</v>
      </c>
      <c r="E520" s="218" t="str">
        <f ca="1">INDEX(INDIRECT(""&amp;$B520&amp;"!AA2:AA628"),MATCH($A520,INDIRECT(""&amp;$B520&amp;"!B2:B628"),0))</f>
        <v>WR11</v>
      </c>
      <c r="F520" s="159">
        <f ca="1">IF(LeagueInfo!$H$7="Starter/Bench",INDEX(INDIRECT(""&amp;B520&amp;"!T2:T628"),MATCH(A520,INDIRECT(""&amp;B520&amp;"!B2:B628"),0)),INDEX(INDIRECT(""&amp;B520&amp;"!AB2:AB628"),MATCH(A520,INDIRECT(""&amp;B520&amp;"!B2:B628"),0)))</f>
        <v>-19.00745086881015</v>
      </c>
      <c r="G520" s="160">
        <f>IF(H520&gt;0,F520-H520,0)</f>
        <v>0</v>
      </c>
      <c r="H520" s="161"/>
      <c r="I520" s="160">
        <f ca="1">F520*$A$2</f>
        <v>-19.00745086881015</v>
      </c>
      <c r="J520" s="160" t="s">
        <v>76</v>
      </c>
      <c r="K520" s="160">
        <f>IF(LeagueInfo!$F$7="Yahoo",IFERROR(INDEX(DefaultAuctionValues!$B$2:$B$1000,MATCH(A520,DefaultAuctionValues!$A$2:$A$1000,0)),0),IF(LeagueInfo!$F$7="ESPN",IFERROR(INDEX(DefaultAuctionValues!$C$2:$C$1000,MATCH(A520,DefaultAuctionValues!$A$2:$A$1000,0)),0),IF(LeagueInfo!$F$7="Custom",IFERROR(INDEX(DefaultAuctionValues!$D$2:$D$1000,MATCH(A520,DefaultAuctionValues!$A$2:$A$1000,0)),0))))</f>
        <v>0</v>
      </c>
      <c r="L520" s="160">
        <f ca="1">I520-K520</f>
        <v>-19.00745086881015</v>
      </c>
      <c r="M520" s="175"/>
      <c r="N520" s="170">
        <f ca="1">INDEX(INDIRECT(""&amp;$B520&amp;"!Z2:Z628"),MATCH($A520,INDIRECT(""&amp;$B520&amp;"!B2:B628"),0))</f>
        <v>-52.414999999999992</v>
      </c>
      <c r="O520" s="158" t="str">
        <f ca="1">IF(INDEX(INDIRECT(""&amp;$B520&amp;"!W2:W628"),MATCH($A520,INDIRECT(""&amp;$B520&amp;"!B2:B628"),0))=0,"",INDEX(INDIRECT(""&amp;$B520&amp;"!W2:W628"),MATCH($A520,INDIRECT(""&amp;$B520&amp;"!B2:B628"),0)))</f>
        <v/>
      </c>
    </row>
    <row r="521" spans="1:15" x14ac:dyDescent="0.25">
      <c r="A521" s="158" t="s">
        <v>2435</v>
      </c>
      <c r="B521" s="158" t="s">
        <v>35</v>
      </c>
      <c r="C521" s="158">
        <f ca="1">IFERROR(INDEX(BYEs!$B$2:$B$33,MATCH(D521,BYEs!$A$2:$A$33,0)),"N/A")</f>
        <v>9</v>
      </c>
      <c r="D521" s="219" t="str">
        <f ca="1">INDEX(INDIRECT(""&amp;B521&amp;"!F2:F628"),MATCH(A521,INDIRECT(""&amp;B521&amp;"!B2:B628"),0))</f>
        <v>SF</v>
      </c>
      <c r="E521" s="218" t="str">
        <f ca="1">INDEX(INDIRECT(""&amp;$B521&amp;"!AA2:AA628"),MATCH($A521,INDIRECT(""&amp;$B521&amp;"!B2:B628"),0))</f>
        <v>WR11</v>
      </c>
      <c r="F521" s="159">
        <f ca="1">IF(LeagueInfo!$H$7="Starter/Bench",INDEX(INDIRECT(""&amp;B521&amp;"!T2:T628"),MATCH(A521,INDIRECT(""&amp;B521&amp;"!B2:B628"),0)),INDEX(INDIRECT(""&amp;B521&amp;"!AB2:AB628"),MATCH(A521,INDIRECT(""&amp;B521&amp;"!B2:B628"),0)))</f>
        <v>-19.025582559040817</v>
      </c>
      <c r="G521" s="160">
        <f>IF(H521&gt;0,F521-H521,0)</f>
        <v>0</v>
      </c>
      <c r="H521" s="161"/>
      <c r="I521" s="160">
        <f ca="1">F521*$A$2</f>
        <v>-19.025582559040817</v>
      </c>
      <c r="J521" s="160" t="s">
        <v>76</v>
      </c>
      <c r="K521" s="160">
        <f>IF(LeagueInfo!$F$7="Yahoo",IFERROR(INDEX(DefaultAuctionValues!$B$2:$B$1000,MATCH(A521,DefaultAuctionValues!$A$2:$A$1000,0)),0),IF(LeagueInfo!$F$7="ESPN",IFERROR(INDEX(DefaultAuctionValues!$C$2:$C$1000,MATCH(A521,DefaultAuctionValues!$A$2:$A$1000,0)),0),IF(LeagueInfo!$F$7="Custom",IFERROR(INDEX(DefaultAuctionValues!$D$2:$D$1000,MATCH(A521,DefaultAuctionValues!$A$2:$A$1000,0)),0))))</f>
        <v>0</v>
      </c>
      <c r="L521" s="160">
        <f ca="1">I521-K521</f>
        <v>-19.025582559040817</v>
      </c>
      <c r="M521" s="175"/>
      <c r="N521" s="170">
        <f ca="1">INDEX(INDIRECT(""&amp;$B521&amp;"!Z2:Z628"),MATCH($A521,INDIRECT(""&amp;$B521&amp;"!B2:B628"),0))</f>
        <v>-52.464999999999989</v>
      </c>
      <c r="O521" s="158" t="str">
        <f ca="1">IF(INDEX(INDIRECT(""&amp;$B521&amp;"!W2:W628"),MATCH($A521,INDIRECT(""&amp;$B521&amp;"!B2:B628"),0))=0,"",INDEX(INDIRECT(""&amp;$B521&amp;"!W2:W628"),MATCH($A521,INDIRECT(""&amp;$B521&amp;"!B2:B628"),0)))</f>
        <v/>
      </c>
    </row>
    <row r="522" spans="1:15" x14ac:dyDescent="0.25">
      <c r="A522" s="158" t="s">
        <v>2432</v>
      </c>
      <c r="B522" s="158" t="s">
        <v>35</v>
      </c>
      <c r="C522" s="158">
        <f ca="1">IFERROR(INDEX(BYEs!$B$2:$B$33,MATCH(D522,BYEs!$A$2:$A$33,0)),"N/A")</f>
        <v>10</v>
      </c>
      <c r="D522" s="219" t="str">
        <f ca="1">INDEX(INDIRECT(""&amp;B522&amp;"!F2:F628"),MATCH(A522,INDIRECT(""&amp;B522&amp;"!B2:B628"),0))</f>
        <v>NE</v>
      </c>
      <c r="E522" s="218" t="str">
        <f ca="1">INDEX(INDIRECT(""&amp;$B522&amp;"!AA2:AA628"),MATCH($A522,INDIRECT(""&amp;$B522&amp;"!B2:B628"),0))</f>
        <v>WR11</v>
      </c>
      <c r="F522" s="159">
        <f ca="1">IF(LeagueInfo!$H$7="Starter/Bench",INDEX(INDIRECT(""&amp;B522&amp;"!T2:T628"),MATCH(A522,INDIRECT(""&amp;B522&amp;"!B2:B628"),0)),INDEX(INDIRECT(""&amp;B522&amp;"!AB2:AB628"),MATCH(A522,INDIRECT(""&amp;B522&amp;"!B2:B628"),0)))</f>
        <v>-19.038274742202287</v>
      </c>
      <c r="G522" s="160">
        <f>IF(H522&gt;0,F522-H522,0)</f>
        <v>0</v>
      </c>
      <c r="H522" s="161"/>
      <c r="I522" s="160">
        <f ca="1">F522*$A$2</f>
        <v>-19.038274742202287</v>
      </c>
      <c r="J522" s="160" t="s">
        <v>76</v>
      </c>
      <c r="K522" s="160">
        <f>IF(LeagueInfo!$F$7="Yahoo",IFERROR(INDEX(DefaultAuctionValues!$B$2:$B$1000,MATCH(A522,DefaultAuctionValues!$A$2:$A$1000,0)),0),IF(LeagueInfo!$F$7="ESPN",IFERROR(INDEX(DefaultAuctionValues!$C$2:$C$1000,MATCH(A522,DefaultAuctionValues!$A$2:$A$1000,0)),0),IF(LeagueInfo!$F$7="Custom",IFERROR(INDEX(DefaultAuctionValues!$D$2:$D$1000,MATCH(A522,DefaultAuctionValues!$A$2:$A$1000,0)),0))))</f>
        <v>0</v>
      </c>
      <c r="L522" s="160">
        <f ca="1">I522-K522</f>
        <v>-19.038274742202287</v>
      </c>
      <c r="M522" s="175"/>
      <c r="N522" s="170">
        <f ca="1">INDEX(INDIRECT(""&amp;$B522&amp;"!Z2:Z628"),MATCH($A522,INDIRECT(""&amp;$B522&amp;"!B2:B628"),0))</f>
        <v>-52.499999999999993</v>
      </c>
      <c r="O522" s="158" t="str">
        <f ca="1">IF(INDEX(INDIRECT(""&amp;$B522&amp;"!W2:W628"),MATCH($A522,INDIRECT(""&amp;$B522&amp;"!B2:B628"),0))=0,"",INDEX(INDIRECT(""&amp;$B522&amp;"!W2:W628"),MATCH($A522,INDIRECT(""&amp;$B522&amp;"!B2:B628"),0)))</f>
        <v/>
      </c>
    </row>
    <row r="523" spans="1:15" x14ac:dyDescent="0.25">
      <c r="A523" s="158" t="s">
        <v>962</v>
      </c>
      <c r="B523" s="158" t="s">
        <v>35</v>
      </c>
      <c r="C523" s="158">
        <f ca="1">IFERROR(INDEX(BYEs!$B$2:$B$33,MATCH(D523,BYEs!$A$2:$A$33,0)),"N/A")</f>
        <v>14</v>
      </c>
      <c r="D523" s="219" t="str">
        <f ca="1">INDEX(INDIRECT(""&amp;B523&amp;"!F2:F628"),MATCH(A523,INDIRECT(""&amp;B523&amp;"!B2:B628"),0))</f>
        <v>NO</v>
      </c>
      <c r="E523" s="218" t="str">
        <f ca="1">INDEX(INDIRECT(""&amp;$B523&amp;"!AA2:AA628"),MATCH($A523,INDIRECT(""&amp;$B523&amp;"!B2:B628"),0))</f>
        <v>WR11</v>
      </c>
      <c r="F523" s="159">
        <f ca="1">IF(LeagueInfo!$H$7="Starter/Bench",INDEX(INDIRECT(""&amp;B523&amp;"!T2:T628"),MATCH(A523,INDIRECT(""&amp;B523&amp;"!B2:B628"),0)),INDEX(INDIRECT(""&amp;B523&amp;"!AB2:AB628"),MATCH(A523,INDIRECT(""&amp;B523&amp;"!B2:B628"),0)))</f>
        <v>-19.038274742202287</v>
      </c>
      <c r="G523" s="160">
        <f>IF(H523&gt;0,F523-H523,0)</f>
        <v>0</v>
      </c>
      <c r="H523" s="161"/>
      <c r="I523" s="160">
        <f ca="1">F523*$A$2</f>
        <v>-19.038274742202287</v>
      </c>
      <c r="J523" s="160" t="s">
        <v>76</v>
      </c>
      <c r="K523" s="160">
        <f>IF(LeagueInfo!$F$7="Yahoo",IFERROR(INDEX(DefaultAuctionValues!$B$2:$B$1000,MATCH(A523,DefaultAuctionValues!$A$2:$A$1000,0)),0),IF(LeagueInfo!$F$7="ESPN",IFERROR(INDEX(DefaultAuctionValues!$C$2:$C$1000,MATCH(A523,DefaultAuctionValues!$A$2:$A$1000,0)),0),IF(LeagueInfo!$F$7="Custom",IFERROR(INDEX(DefaultAuctionValues!$D$2:$D$1000,MATCH(A523,DefaultAuctionValues!$A$2:$A$1000,0)),0))))</f>
        <v>0</v>
      </c>
      <c r="L523" s="160">
        <f ca="1">I523-K523</f>
        <v>-19.038274742202287</v>
      </c>
      <c r="M523" s="175"/>
      <c r="N523" s="170">
        <f ca="1">INDEX(INDIRECT(""&amp;$B523&amp;"!Z2:Z628"),MATCH($A523,INDIRECT(""&amp;$B523&amp;"!B2:B628"),0))</f>
        <v>-52.499999999999993</v>
      </c>
      <c r="O523" s="158" t="str">
        <f ca="1">IF(INDEX(INDIRECT(""&amp;$B523&amp;"!W2:W628"),MATCH($A523,INDIRECT(""&amp;$B523&amp;"!B2:B628"),0))=0,"",INDEX(INDIRECT(""&amp;$B523&amp;"!W2:W628"),MATCH($A523,INDIRECT(""&amp;$B523&amp;"!B2:B628"),0)))</f>
        <v/>
      </c>
    </row>
    <row r="524" spans="1:15" x14ac:dyDescent="0.25">
      <c r="A524" s="158" t="s">
        <v>967</v>
      </c>
      <c r="B524" s="158" t="s">
        <v>35</v>
      </c>
      <c r="C524" s="158">
        <f ca="1">IFERROR(INDEX(BYEs!$B$2:$B$33,MATCH(D524,BYEs!$A$2:$A$33,0)),"N/A")</f>
        <v>14</v>
      </c>
      <c r="D524" s="219" t="str">
        <f ca="1">INDEX(INDIRECT(""&amp;B524&amp;"!F2:F628"),MATCH(A524,INDIRECT(""&amp;B524&amp;"!B2:B628"),0))</f>
        <v>CHI</v>
      </c>
      <c r="E524" s="218" t="str">
        <f ca="1">INDEX(INDIRECT(""&amp;$B524&amp;"!AA2:AA628"),MATCH($A524,INDIRECT(""&amp;$B524&amp;"!B2:B628"),0))</f>
        <v>WR11</v>
      </c>
      <c r="F524" s="159">
        <f ca="1">IF(LeagueInfo!$H$7="Starter/Bench",INDEX(INDIRECT(""&amp;B524&amp;"!T2:T628"),MATCH(A524,INDIRECT(""&amp;B524&amp;"!B2:B628"),0)),INDEX(INDIRECT(""&amp;B524&amp;"!AB2:AB628"),MATCH(A524,INDIRECT(""&amp;B524&amp;"!B2:B628"),0)))</f>
        <v>-19.137999038470966</v>
      </c>
      <c r="G524" s="160">
        <f>IF(H524&gt;0,F524-H524,0)</f>
        <v>0</v>
      </c>
      <c r="H524" s="161"/>
      <c r="I524" s="160">
        <f ca="1">F524*$A$2</f>
        <v>-19.137999038470966</v>
      </c>
      <c r="J524" s="160" t="s">
        <v>76</v>
      </c>
      <c r="K524" s="160">
        <f>IF(LeagueInfo!$F$7="Yahoo",IFERROR(INDEX(DefaultAuctionValues!$B$2:$B$1000,MATCH(A524,DefaultAuctionValues!$A$2:$A$1000,0)),0),IF(LeagueInfo!$F$7="ESPN",IFERROR(INDEX(DefaultAuctionValues!$C$2:$C$1000,MATCH(A524,DefaultAuctionValues!$A$2:$A$1000,0)),0),IF(LeagueInfo!$F$7="Custom",IFERROR(INDEX(DefaultAuctionValues!$D$2:$D$1000,MATCH(A524,DefaultAuctionValues!$A$2:$A$1000,0)),0))))</f>
        <v>0</v>
      </c>
      <c r="L524" s="160">
        <f ca="1">I524-K524</f>
        <v>-19.137999038470966</v>
      </c>
      <c r="M524" s="175"/>
      <c r="N524" s="170">
        <f ca="1">INDEX(INDIRECT(""&amp;$B524&amp;"!Z2:Z628"),MATCH($A524,INDIRECT(""&amp;$B524&amp;"!B2:B628"),0))</f>
        <v>-52.774999999999991</v>
      </c>
      <c r="O524" s="158" t="str">
        <f ca="1">IF(INDEX(INDIRECT(""&amp;$B524&amp;"!W2:W628"),MATCH($A524,INDIRECT(""&amp;$B524&amp;"!B2:B628"),0))=0,"",INDEX(INDIRECT(""&amp;$B524&amp;"!W2:W628"),MATCH($A524,INDIRECT(""&amp;$B524&amp;"!B2:B628"),0)))</f>
        <v/>
      </c>
    </row>
    <row r="525" spans="1:15" x14ac:dyDescent="0.25">
      <c r="A525" s="158" t="s">
        <v>2441</v>
      </c>
      <c r="B525" s="158" t="s">
        <v>35</v>
      </c>
      <c r="C525" s="158">
        <f ca="1">IFERROR(INDEX(BYEs!$B$2:$B$33,MATCH(D525,BYEs!$A$2:$A$33,0)),"N/A")</f>
        <v>11</v>
      </c>
      <c r="D525" s="219" t="str">
        <f ca="1">INDEX(INDIRECT(""&amp;B525&amp;"!F2:F628"),MATCH(A525,INDIRECT(""&amp;B525&amp;"!B2:B628"),0))</f>
        <v>SEA</v>
      </c>
      <c r="E525" s="218" t="str">
        <f ca="1">INDEX(INDIRECT(""&amp;$B525&amp;"!AA2:AA628"),MATCH($A525,INDIRECT(""&amp;$B525&amp;"!B2:B628"),0))</f>
        <v>WR11</v>
      </c>
      <c r="F525" s="159">
        <f ca="1">IF(LeagueInfo!$H$7="Starter/Bench",INDEX(INDIRECT(""&amp;B525&amp;"!T2:T628"),MATCH(A525,INDIRECT(""&amp;B525&amp;"!B2:B628"),0)),INDEX(INDIRECT(""&amp;B525&amp;"!AB2:AB628"),MATCH(A525,INDIRECT(""&amp;B525&amp;"!B2:B628"),0)))</f>
        <v>-19.306623757616187</v>
      </c>
      <c r="G525" s="160">
        <f>IF(H525&gt;0,F525-H525,0)</f>
        <v>0</v>
      </c>
      <c r="H525" s="161"/>
      <c r="I525" s="160">
        <f ca="1">F525*$A$2</f>
        <v>-19.306623757616187</v>
      </c>
      <c r="J525" s="160" t="s">
        <v>76</v>
      </c>
      <c r="K525" s="160">
        <f>IF(LeagueInfo!$F$7="Yahoo",IFERROR(INDEX(DefaultAuctionValues!$B$2:$B$1000,MATCH(A525,DefaultAuctionValues!$A$2:$A$1000,0)),0),IF(LeagueInfo!$F$7="ESPN",IFERROR(INDEX(DefaultAuctionValues!$C$2:$C$1000,MATCH(A525,DefaultAuctionValues!$A$2:$A$1000,0)),0),IF(LeagueInfo!$F$7="Custom",IFERROR(INDEX(DefaultAuctionValues!$D$2:$D$1000,MATCH(A525,DefaultAuctionValues!$A$2:$A$1000,0)),0))))</f>
        <v>0</v>
      </c>
      <c r="L525" s="160">
        <f ca="1">I525-K525</f>
        <v>-19.306623757616187</v>
      </c>
      <c r="M525" s="175"/>
      <c r="N525" s="170">
        <f ca="1">INDEX(INDIRECT(""&amp;$B525&amp;"!Z2:Z628"),MATCH($A525,INDIRECT(""&amp;$B525&amp;"!B2:B628"),0))</f>
        <v>-53.239999999999995</v>
      </c>
      <c r="O525" s="158" t="str">
        <f ca="1">IF(INDEX(INDIRECT(""&amp;$B525&amp;"!W2:W628"),MATCH($A525,INDIRECT(""&amp;$B525&amp;"!B2:B628"),0))=0,"",INDEX(INDIRECT(""&amp;$B525&amp;"!W2:W628"),MATCH($A525,INDIRECT(""&amp;$B525&amp;"!B2:B628"),0)))</f>
        <v/>
      </c>
    </row>
    <row r="526" spans="1:15" x14ac:dyDescent="0.25">
      <c r="A526" s="158" t="s">
        <v>1029</v>
      </c>
      <c r="B526" s="158" t="s">
        <v>35</v>
      </c>
      <c r="C526" s="158">
        <f ca="1">IFERROR(INDEX(BYEs!$B$2:$B$33,MATCH(D526,BYEs!$A$2:$A$33,0)),"N/A")</f>
        <v>8</v>
      </c>
      <c r="D526" s="219" t="str">
        <f ca="1">INDEX(INDIRECT(""&amp;B526&amp;"!F2:F628"),MATCH(A526,INDIRECT(""&amp;B526&amp;"!B2:B628"),0))</f>
        <v>LAC</v>
      </c>
      <c r="E526" s="218" t="str">
        <f ca="1">INDEX(INDIRECT(""&amp;$B526&amp;"!AA2:AA628"),MATCH($A526,INDIRECT(""&amp;$B526&amp;"!B2:B628"),0))</f>
        <v>WR11</v>
      </c>
      <c r="F526" s="159">
        <f ca="1">IF(LeagueInfo!$H$7="Starter/Bench",INDEX(INDIRECT(""&amp;B526&amp;"!T2:T628"),MATCH(A526,INDIRECT(""&amp;B526&amp;"!B2:B628"),0)),INDEX(INDIRECT(""&amp;B526&amp;"!AB2:AB628"),MATCH(A526,INDIRECT(""&amp;B526&amp;"!B2:B628"),0)))</f>
        <v>-19.335634461985258</v>
      </c>
      <c r="G526" s="160">
        <f>IF(H526&gt;0,F526-H526,0)</f>
        <v>0</v>
      </c>
      <c r="H526" s="161"/>
      <c r="I526" s="160">
        <f ca="1">F526*$A$2</f>
        <v>-19.335634461985258</v>
      </c>
      <c r="J526" s="160" t="s">
        <v>76</v>
      </c>
      <c r="K526" s="160">
        <f>IF(LeagueInfo!$F$7="Yahoo",IFERROR(INDEX(DefaultAuctionValues!$B$2:$B$1000,MATCH(A526,DefaultAuctionValues!$A$2:$A$1000,0)),0),IF(LeagueInfo!$F$7="ESPN",IFERROR(INDEX(DefaultAuctionValues!$C$2:$C$1000,MATCH(A526,DefaultAuctionValues!$A$2:$A$1000,0)),0),IF(LeagueInfo!$F$7="Custom",IFERROR(INDEX(DefaultAuctionValues!$D$2:$D$1000,MATCH(A526,DefaultAuctionValues!$A$2:$A$1000,0)),0))))</f>
        <v>0</v>
      </c>
      <c r="L526" s="160">
        <f ca="1">I526-K526</f>
        <v>-19.335634461985258</v>
      </c>
      <c r="M526" s="175"/>
      <c r="N526" s="170">
        <f ca="1">INDEX(INDIRECT(""&amp;$B526&amp;"!Z2:Z628"),MATCH($A526,INDIRECT(""&amp;$B526&amp;"!B2:B628"),0))</f>
        <v>-53.319999999999993</v>
      </c>
      <c r="O526" s="158" t="str">
        <f ca="1">IF(INDEX(INDIRECT(""&amp;$B526&amp;"!W2:W628"),MATCH($A526,INDIRECT(""&amp;$B526&amp;"!B2:B628"),0))=0,"",INDEX(INDIRECT(""&amp;$B526&amp;"!W2:W628"),MATCH($A526,INDIRECT(""&amp;$B526&amp;"!B2:B628"),0)))</f>
        <v/>
      </c>
    </row>
    <row r="527" spans="1:15" x14ac:dyDescent="0.25">
      <c r="A527" s="158" t="s">
        <v>845</v>
      </c>
      <c r="B527" s="158" t="s">
        <v>35</v>
      </c>
      <c r="C527" s="158">
        <f ca="1">IFERROR(INDEX(BYEs!$B$2:$B$33,MATCH(D527,BYEs!$A$2:$A$33,0)),"N/A")</f>
        <v>7</v>
      </c>
      <c r="D527" s="219" t="str">
        <f ca="1">INDEX(INDIRECT(""&amp;B527&amp;"!F2:F628"),MATCH(A527,INDIRECT(""&amp;B527&amp;"!B2:B628"),0))</f>
        <v>PHI</v>
      </c>
      <c r="E527" s="218" t="str">
        <f ca="1">INDEX(INDIRECT(""&amp;$B527&amp;"!AA2:AA628"),MATCH($A527,INDIRECT(""&amp;$B527&amp;"!B2:B628"),0))</f>
        <v>WR11</v>
      </c>
      <c r="F527" s="159">
        <f ca="1">IF(LeagueInfo!$H$7="Starter/Bench",INDEX(INDIRECT(""&amp;B527&amp;"!T2:T628"),MATCH(A527,INDIRECT(""&amp;B527&amp;"!B2:B628"),0)),INDEX(INDIRECT(""&amp;B527&amp;"!AB2:AB628"),MATCH(A527,INDIRECT(""&amp;B527&amp;"!B2:B628"),0)))</f>
        <v>-19.480687983830606</v>
      </c>
      <c r="G527" s="160">
        <f>IF(H527&gt;0,F527-H527,0)</f>
        <v>0</v>
      </c>
      <c r="H527" s="161"/>
      <c r="I527" s="160">
        <f ca="1">F527*$A$2</f>
        <v>-19.480687983830606</v>
      </c>
      <c r="J527" s="160" t="s">
        <v>76</v>
      </c>
      <c r="K527" s="160">
        <f>IF(LeagueInfo!$F$7="Yahoo",IFERROR(INDEX(DefaultAuctionValues!$B$2:$B$1000,MATCH(A527,DefaultAuctionValues!$A$2:$A$1000,0)),0),IF(LeagueInfo!$F$7="ESPN",IFERROR(INDEX(DefaultAuctionValues!$C$2:$C$1000,MATCH(A527,DefaultAuctionValues!$A$2:$A$1000,0)),0),IF(LeagueInfo!$F$7="Custom",IFERROR(INDEX(DefaultAuctionValues!$D$2:$D$1000,MATCH(A527,DefaultAuctionValues!$A$2:$A$1000,0)),0))))</f>
        <v>0</v>
      </c>
      <c r="L527" s="160">
        <f ca="1">I527-K527</f>
        <v>-19.480687983830606</v>
      </c>
      <c r="M527" s="175"/>
      <c r="N527" s="170">
        <f ca="1">INDEX(INDIRECT(""&amp;$B527&amp;"!Z2:Z628"),MATCH($A527,INDIRECT(""&amp;$B527&amp;"!B2:B628"),0))</f>
        <v>-53.719999999999992</v>
      </c>
      <c r="O527" s="158" t="str">
        <f ca="1">IF(INDEX(INDIRECT(""&amp;$B527&amp;"!W2:W628"),MATCH($A527,INDIRECT(""&amp;$B527&amp;"!B2:B628"),0))=0,"",INDEX(INDIRECT(""&amp;$B527&amp;"!W2:W628"),MATCH($A527,INDIRECT(""&amp;$B527&amp;"!B2:B628"),0)))</f>
        <v/>
      </c>
    </row>
    <row r="528" spans="1:15" x14ac:dyDescent="0.25">
      <c r="A528" s="158" t="s">
        <v>2740</v>
      </c>
      <c r="B528" s="158" t="s">
        <v>35</v>
      </c>
      <c r="C528" s="158">
        <f ca="1">IFERROR(INDEX(BYEs!$B$2:$B$33,MATCH(D528,BYEs!$A$2:$A$33,0)),"N/A")</f>
        <v>11</v>
      </c>
      <c r="D528" s="219" t="str">
        <f ca="1">INDEX(INDIRECT(""&amp;B528&amp;"!F2:F628"),MATCH(A528,INDIRECT(""&amp;B528&amp;"!B2:B628"),0))</f>
        <v>JAC</v>
      </c>
      <c r="E528" s="218" t="str">
        <f ca="1">INDEX(INDIRECT(""&amp;$B528&amp;"!AA2:AA628"),MATCH($A528,INDIRECT(""&amp;$B528&amp;"!B2:B628"),0))</f>
        <v>WR11</v>
      </c>
      <c r="F528" s="159">
        <f ca="1">IF(LeagueInfo!$H$7="Starter/Bench",INDEX(INDIRECT(""&amp;B528&amp;"!T2:T628"),MATCH(A528,INDIRECT(""&amp;B528&amp;"!B2:B628"),0)),INDEX(INDIRECT(""&amp;B528&amp;"!AB2:AB628"),MATCH(A528,INDIRECT(""&amp;B528&amp;"!B2:B628"),0)))</f>
        <v>-19.493380166992075</v>
      </c>
      <c r="G528" s="160">
        <f>IF(H528&gt;0,F528-H528,0)</f>
        <v>0</v>
      </c>
      <c r="H528" s="161"/>
      <c r="I528" s="160">
        <f ca="1">F528*$A$2</f>
        <v>-19.493380166992075</v>
      </c>
      <c r="J528" s="160" t="s">
        <v>76</v>
      </c>
      <c r="K528" s="160">
        <f>IF(LeagueInfo!$F$7="Yahoo",IFERROR(INDEX(DefaultAuctionValues!$B$2:$B$1000,MATCH(A528,DefaultAuctionValues!$A$2:$A$1000,0)),0),IF(LeagueInfo!$F$7="ESPN",IFERROR(INDEX(DefaultAuctionValues!$C$2:$C$1000,MATCH(A528,DefaultAuctionValues!$A$2:$A$1000,0)),0),IF(LeagueInfo!$F$7="Custom",IFERROR(INDEX(DefaultAuctionValues!$D$2:$D$1000,MATCH(A528,DefaultAuctionValues!$A$2:$A$1000,0)),0))))</f>
        <v>0</v>
      </c>
      <c r="L528" s="160">
        <f ca="1">I528-K528</f>
        <v>-19.493380166992075</v>
      </c>
      <c r="M528" s="175"/>
      <c r="N528" s="170">
        <f ca="1">INDEX(INDIRECT(""&amp;$B528&amp;"!Z2:Z628"),MATCH($A528,INDIRECT(""&amp;$B528&amp;"!B2:B628"),0))</f>
        <v>-53.754999999999995</v>
      </c>
      <c r="O528" s="158" t="str">
        <f ca="1">IF(INDEX(INDIRECT(""&amp;$B528&amp;"!W2:W628"),MATCH($A528,INDIRECT(""&amp;$B528&amp;"!B2:B628"),0))=0,"",INDEX(INDIRECT(""&amp;$B528&amp;"!W2:W628"),MATCH($A528,INDIRECT(""&amp;$B528&amp;"!B2:B628"),0)))</f>
        <v/>
      </c>
    </row>
    <row r="529" spans="1:15" x14ac:dyDescent="0.25">
      <c r="A529" s="158" t="s">
        <v>2676</v>
      </c>
      <c r="B529" s="158" t="s">
        <v>35</v>
      </c>
      <c r="C529" s="158">
        <f ca="1">IFERROR(INDEX(BYEs!$B$2:$B$33,MATCH(D529,BYEs!$A$2:$A$33,0)),"N/A")</f>
        <v>11</v>
      </c>
      <c r="D529" s="219" t="str">
        <f ca="1">INDEX(INDIRECT(""&amp;B529&amp;"!F2:F628"),MATCH(A529,INDIRECT(""&amp;B529&amp;"!B2:B628"),0))</f>
        <v>JAC</v>
      </c>
      <c r="E529" s="218" t="str">
        <f ca="1">INDEX(INDIRECT(""&amp;$B529&amp;"!AA2:AA628"),MATCH($A529,INDIRECT(""&amp;$B529&amp;"!B2:B628"),0))</f>
        <v>WR11</v>
      </c>
      <c r="F529" s="159">
        <f ca="1">IF(LeagueInfo!$H$7="Starter/Bench",INDEX(INDIRECT(""&amp;B529&amp;"!T2:T628"),MATCH(A529,INDIRECT(""&amp;B529&amp;"!B2:B628"),0)),INDEX(INDIRECT(""&amp;B529&amp;"!AB2:AB628"),MATCH(A529,INDIRECT(""&amp;B529&amp;"!B2:B628"),0)))</f>
        <v>-19.527830378430348</v>
      </c>
      <c r="G529" s="160">
        <f>IF(H529&gt;0,F529-H529,0)</f>
        <v>0</v>
      </c>
      <c r="H529" s="161"/>
      <c r="I529" s="160">
        <f ca="1">F529*$A$2</f>
        <v>-19.527830378430348</v>
      </c>
      <c r="J529" s="160" t="s">
        <v>76</v>
      </c>
      <c r="K529" s="160">
        <f>IF(LeagueInfo!$F$7="Yahoo",IFERROR(INDEX(DefaultAuctionValues!$B$2:$B$1000,MATCH(A529,DefaultAuctionValues!$A$2:$A$1000,0)),0),IF(LeagueInfo!$F$7="ESPN",IFERROR(INDEX(DefaultAuctionValues!$C$2:$C$1000,MATCH(A529,DefaultAuctionValues!$A$2:$A$1000,0)),0),IF(LeagueInfo!$F$7="Custom",IFERROR(INDEX(DefaultAuctionValues!$D$2:$D$1000,MATCH(A529,DefaultAuctionValues!$A$2:$A$1000,0)),0))))</f>
        <v>0</v>
      </c>
      <c r="L529" s="160">
        <f ca="1">I529-K529</f>
        <v>-19.527830378430348</v>
      </c>
      <c r="M529" s="175"/>
      <c r="N529" s="170">
        <f ca="1">INDEX(INDIRECT(""&amp;$B529&amp;"!Z2:Z628"),MATCH($A529,INDIRECT(""&amp;$B529&amp;"!B2:B628"),0))</f>
        <v>-53.849999999999994</v>
      </c>
      <c r="O529" s="158" t="str">
        <f ca="1">IF(INDEX(INDIRECT(""&amp;$B529&amp;"!W2:W628"),MATCH($A529,INDIRECT(""&amp;$B529&amp;"!B2:B628"),0))=0,"",INDEX(INDIRECT(""&amp;$B529&amp;"!W2:W628"),MATCH($A529,INDIRECT(""&amp;$B529&amp;"!B2:B628"),0)))</f>
        <v/>
      </c>
    </row>
    <row r="530" spans="1:15" x14ac:dyDescent="0.25">
      <c r="A530" s="158" t="s">
        <v>392</v>
      </c>
      <c r="B530" s="158" t="s">
        <v>35</v>
      </c>
      <c r="C530" s="158">
        <f ca="1">IFERROR(INDEX(BYEs!$B$2:$B$33,MATCH(D530,BYEs!$A$2:$A$33,0)),"N/A")</f>
        <v>14</v>
      </c>
      <c r="D530" s="219" t="str">
        <f ca="1">INDEX(INDIRECT(""&amp;B530&amp;"!F2:F628"),MATCH(A530,INDIRECT(""&amp;B530&amp;"!B2:B628"),0))</f>
        <v>CHI</v>
      </c>
      <c r="E530" s="218" t="str">
        <f ca="1">INDEX(INDIRECT(""&amp;$B530&amp;"!AA2:AA628"),MATCH($A530,INDIRECT(""&amp;$B530&amp;"!B2:B628"),0))</f>
        <v>WR11</v>
      </c>
      <c r="F530" s="159">
        <f ca="1">IF(LeagueInfo!$H$7="Starter/Bench",INDEX(INDIRECT(""&amp;B530&amp;"!T2:T628"),MATCH(A530,INDIRECT(""&amp;B530&amp;"!B2:B628"),0)),INDEX(INDIRECT(""&amp;B530&amp;"!AB2:AB628"),MATCH(A530,INDIRECT(""&amp;B530&amp;"!B2:B628"),0)))</f>
        <v>-19.54414889963795</v>
      </c>
      <c r="G530" s="160">
        <f>IF(H530&gt;0,F530-H530,0)</f>
        <v>0</v>
      </c>
      <c r="H530" s="161"/>
      <c r="I530" s="160">
        <f ca="1">F530*$A$2</f>
        <v>-19.54414889963795</v>
      </c>
      <c r="J530" s="160" t="s">
        <v>76</v>
      </c>
      <c r="K530" s="160">
        <f>IF(LeagueInfo!$F$7="Yahoo",IFERROR(INDEX(DefaultAuctionValues!$B$2:$B$1000,MATCH(A530,DefaultAuctionValues!$A$2:$A$1000,0)),0),IF(LeagueInfo!$F$7="ESPN",IFERROR(INDEX(DefaultAuctionValues!$C$2:$C$1000,MATCH(A530,DefaultAuctionValues!$A$2:$A$1000,0)),0),IF(LeagueInfo!$F$7="Custom",IFERROR(INDEX(DefaultAuctionValues!$D$2:$D$1000,MATCH(A530,DefaultAuctionValues!$A$2:$A$1000,0)),0))))</f>
        <v>0</v>
      </c>
      <c r="L530" s="160">
        <f ca="1">I530-K530</f>
        <v>-19.54414889963795</v>
      </c>
      <c r="M530" s="175"/>
      <c r="N530" s="170">
        <f ca="1">INDEX(INDIRECT(""&amp;$B530&amp;"!Z2:Z628"),MATCH($A530,INDIRECT(""&amp;$B530&amp;"!B2:B628"),0))</f>
        <v>-53.894999999999996</v>
      </c>
      <c r="O530" s="158" t="str">
        <f ca="1">IF(INDEX(INDIRECT(""&amp;$B530&amp;"!W2:W628"),MATCH($A530,INDIRECT(""&amp;$B530&amp;"!B2:B628"),0))=0,"",INDEX(INDIRECT(""&amp;$B530&amp;"!W2:W628"),MATCH($A530,INDIRECT(""&amp;$B530&amp;"!B2:B628"),0)))</f>
        <v/>
      </c>
    </row>
    <row r="531" spans="1:15" x14ac:dyDescent="0.25">
      <c r="A531" s="158" t="s">
        <v>2434</v>
      </c>
      <c r="B531" s="158" t="s">
        <v>35</v>
      </c>
      <c r="C531" s="158">
        <f ca="1">IFERROR(INDEX(BYEs!$B$2:$B$33,MATCH(D531,BYEs!$A$2:$A$33,0)),"N/A")</f>
        <v>14</v>
      </c>
      <c r="D531" s="219" t="str">
        <f ca="1">INDEX(INDIRECT(""&amp;B531&amp;"!F2:F628"),MATCH(A531,INDIRECT(""&amp;B531&amp;"!B2:B628"),0))</f>
        <v>GB</v>
      </c>
      <c r="E531" s="218" t="str">
        <f ca="1">INDEX(INDIRECT(""&amp;$B531&amp;"!AA2:AA628"),MATCH($A531,INDIRECT(""&amp;$B531&amp;"!B2:B628"),0))</f>
        <v>WR11</v>
      </c>
      <c r="F531" s="159">
        <f ca="1">IF(LeagueInfo!$H$7="Starter/Bench",INDEX(INDIRECT(""&amp;B531&amp;"!T2:T628"),MATCH(A531,INDIRECT(""&amp;B531&amp;"!B2:B628"),0)),INDEX(INDIRECT(""&amp;B531&amp;"!AB2:AB628"),MATCH(A531,INDIRECT(""&amp;B531&amp;"!B2:B628"),0)))</f>
        <v>-19.567720096937819</v>
      </c>
      <c r="G531" s="160">
        <f>IF(H531&gt;0,F531-H531,0)</f>
        <v>0</v>
      </c>
      <c r="H531" s="161"/>
      <c r="I531" s="160">
        <f ca="1">F531*$A$2</f>
        <v>-19.567720096937819</v>
      </c>
      <c r="J531" s="160" t="s">
        <v>76</v>
      </c>
      <c r="K531" s="160">
        <f>IF(LeagueInfo!$F$7="Yahoo",IFERROR(INDEX(DefaultAuctionValues!$B$2:$B$1000,MATCH(A531,DefaultAuctionValues!$A$2:$A$1000,0)),0),IF(LeagueInfo!$F$7="ESPN",IFERROR(INDEX(DefaultAuctionValues!$C$2:$C$1000,MATCH(A531,DefaultAuctionValues!$A$2:$A$1000,0)),0),IF(LeagueInfo!$F$7="Custom",IFERROR(INDEX(DefaultAuctionValues!$D$2:$D$1000,MATCH(A531,DefaultAuctionValues!$A$2:$A$1000,0)),0))))</f>
        <v>0</v>
      </c>
      <c r="L531" s="160">
        <f ca="1">I531-K531</f>
        <v>-19.567720096937819</v>
      </c>
      <c r="M531" s="175"/>
      <c r="N531" s="170">
        <f ca="1">INDEX(INDIRECT(""&amp;$B531&amp;"!Z2:Z628"),MATCH($A531,INDIRECT(""&amp;$B531&amp;"!B2:B628"),0))</f>
        <v>-53.959999999999994</v>
      </c>
      <c r="O531" s="158" t="str">
        <f ca="1">IF(INDEX(INDIRECT(""&amp;$B531&amp;"!W2:W628"),MATCH($A531,INDIRECT(""&amp;$B531&amp;"!B2:B628"),0))=0,"",INDEX(INDIRECT(""&amp;$B531&amp;"!W2:W628"),MATCH($A531,INDIRECT(""&amp;$B531&amp;"!B2:B628"),0)))</f>
        <v/>
      </c>
    </row>
    <row r="532" spans="1:15" x14ac:dyDescent="0.25">
      <c r="A532" s="158" t="s">
        <v>804</v>
      </c>
      <c r="B532" s="158" t="s">
        <v>35</v>
      </c>
      <c r="C532" s="158">
        <f ca="1">IFERROR(INDEX(BYEs!$B$2:$B$33,MATCH(D532,BYEs!$A$2:$A$33,0)),"N/A")</f>
        <v>11</v>
      </c>
      <c r="D532" s="219" t="str">
        <f ca="1">INDEX(INDIRECT(""&amp;B532&amp;"!F2:F628"),MATCH(A532,INDIRECT(""&amp;B532&amp;"!B2:B628"),0))</f>
        <v>TB</v>
      </c>
      <c r="E532" s="218" t="str">
        <f ca="1">INDEX(INDIRECT(""&amp;$B532&amp;"!AA2:AA628"),MATCH($A532,INDIRECT(""&amp;$B532&amp;"!B2:B628"),0))</f>
        <v>WR11</v>
      </c>
      <c r="F532" s="159">
        <f ca="1">IF(LeagueInfo!$H$7="Starter/Bench",INDEX(INDIRECT(""&amp;B532&amp;"!T2:T628"),MATCH(A532,INDIRECT(""&amp;B532&amp;"!B2:B628"),0)),INDEX(INDIRECT(""&amp;B532&amp;"!AB2:AB628"),MATCH(A532,INDIRECT(""&amp;B532&amp;"!B2:B628"),0)))</f>
        <v>-19.68194974539103</v>
      </c>
      <c r="G532" s="160">
        <f>IF(H532&gt;0,F532-H532,0)</f>
        <v>0</v>
      </c>
      <c r="H532" s="161"/>
      <c r="I532" s="160">
        <f ca="1">F532*$A$2</f>
        <v>-19.68194974539103</v>
      </c>
      <c r="J532" s="160" t="s">
        <v>76</v>
      </c>
      <c r="K532" s="160">
        <f>IF(LeagueInfo!$F$7="Yahoo",IFERROR(INDEX(DefaultAuctionValues!$B$2:$B$1000,MATCH(A532,DefaultAuctionValues!$A$2:$A$1000,0)),0),IF(LeagueInfo!$F$7="ESPN",IFERROR(INDEX(DefaultAuctionValues!$C$2:$C$1000,MATCH(A532,DefaultAuctionValues!$A$2:$A$1000,0)),0),IF(LeagueInfo!$F$7="Custom",IFERROR(INDEX(DefaultAuctionValues!$D$2:$D$1000,MATCH(A532,DefaultAuctionValues!$A$2:$A$1000,0)),0))))</f>
        <v>0</v>
      </c>
      <c r="L532" s="160">
        <f ca="1">I532-K532</f>
        <v>-19.68194974539103</v>
      </c>
      <c r="M532" s="175"/>
      <c r="N532" s="170">
        <f ca="1">INDEX(INDIRECT(""&amp;$B532&amp;"!Z2:Z628"),MATCH($A532,INDIRECT(""&amp;$B532&amp;"!B2:B628"),0))</f>
        <v>-54.274999999999991</v>
      </c>
      <c r="O532" s="158" t="str">
        <f ca="1">IF(INDEX(INDIRECT(""&amp;$B532&amp;"!W2:W628"),MATCH($A532,INDIRECT(""&amp;$B532&amp;"!B2:B628"),0))=0,"",INDEX(INDIRECT(""&amp;$B532&amp;"!W2:W628"),MATCH($A532,INDIRECT(""&amp;$B532&amp;"!B2:B628"),0)))</f>
        <v/>
      </c>
    </row>
    <row r="533" spans="1:15" x14ac:dyDescent="0.25">
      <c r="A533" s="158" t="s">
        <v>2678</v>
      </c>
      <c r="B533" s="158" t="s">
        <v>35</v>
      </c>
      <c r="C533" s="158">
        <f ca="1">IFERROR(INDEX(BYEs!$B$2:$B$33,MATCH(D533,BYEs!$A$2:$A$33,0)),"N/A")</f>
        <v>9</v>
      </c>
      <c r="D533" s="219" t="str">
        <f ca="1">INDEX(INDIRECT(""&amp;B533&amp;"!F2:F628"),MATCH(A533,INDIRECT(""&amp;B533&amp;"!B2:B628"),0))</f>
        <v>DAL</v>
      </c>
      <c r="E533" s="218" t="str">
        <f ca="1">INDEX(INDIRECT(""&amp;$B533&amp;"!AA2:AA628"),MATCH($A533,INDIRECT(""&amp;$B533&amp;"!B2:B628"),0))</f>
        <v>WR11</v>
      </c>
      <c r="F533" s="159">
        <f ca="1">IF(LeagueInfo!$H$7="Starter/Bench",INDEX(INDIRECT(""&amp;B533&amp;"!T2:T628"),MATCH(A533,INDIRECT(""&amp;B533&amp;"!B2:B628"),0)),INDEX(INDIRECT(""&amp;B533&amp;"!AB2:AB628"),MATCH(A533,INDIRECT(""&amp;B533&amp;"!B2:B628"),0)))</f>
        <v>-19.787113548728911</v>
      </c>
      <c r="G533" s="160">
        <f>IF(H533&gt;0,F533-H533,0)</f>
        <v>0</v>
      </c>
      <c r="H533" s="161"/>
      <c r="I533" s="160">
        <f ca="1">F533*$A$2</f>
        <v>-19.787113548728911</v>
      </c>
      <c r="J533" s="160" t="s">
        <v>76</v>
      </c>
      <c r="K533" s="160">
        <f>IF(LeagueInfo!$F$7="Yahoo",IFERROR(INDEX(DefaultAuctionValues!$B$2:$B$1000,MATCH(A533,DefaultAuctionValues!$A$2:$A$1000,0)),0),IF(LeagueInfo!$F$7="ESPN",IFERROR(INDEX(DefaultAuctionValues!$C$2:$C$1000,MATCH(A533,DefaultAuctionValues!$A$2:$A$1000,0)),0),IF(LeagueInfo!$F$7="Custom",IFERROR(INDEX(DefaultAuctionValues!$D$2:$D$1000,MATCH(A533,DefaultAuctionValues!$A$2:$A$1000,0)),0))))</f>
        <v>0</v>
      </c>
      <c r="L533" s="160">
        <f ca="1">I533-K533</f>
        <v>-19.787113548728911</v>
      </c>
      <c r="M533" s="175"/>
      <c r="N533" s="170">
        <f ca="1">INDEX(INDIRECT(""&amp;$B533&amp;"!Z2:Z628"),MATCH($A533,INDIRECT(""&amp;$B533&amp;"!B2:B628"),0))</f>
        <v>-54.564999999999991</v>
      </c>
      <c r="O533" s="158" t="str">
        <f ca="1">IF(INDEX(INDIRECT(""&amp;$B533&amp;"!W2:W628"),MATCH($A533,INDIRECT(""&amp;$B533&amp;"!B2:B628"),0))=0,"",INDEX(INDIRECT(""&amp;$B533&amp;"!W2:W628"),MATCH($A533,INDIRECT(""&amp;$B533&amp;"!B2:B628"),0)))</f>
        <v/>
      </c>
    </row>
    <row r="534" spans="1:15" x14ac:dyDescent="0.25">
      <c r="A534" s="158" t="s">
        <v>403</v>
      </c>
      <c r="B534" s="158" t="s">
        <v>35</v>
      </c>
      <c r="C534" s="158">
        <f ca="1">IFERROR(INDEX(BYEs!$B$2:$B$33,MATCH(D534,BYEs!$A$2:$A$33,0)),"N/A")</f>
        <v>10</v>
      </c>
      <c r="D534" s="219" t="str">
        <f ca="1">INDEX(INDIRECT(""&amp;B534&amp;"!F2:F628"),MATCH(A534,INDIRECT(""&amp;B534&amp;"!B2:B628"),0))</f>
        <v>CIN</v>
      </c>
      <c r="E534" s="218" t="str">
        <f ca="1">INDEX(INDIRECT(""&amp;$B534&amp;"!AA2:AA628"),MATCH($A534,INDIRECT(""&amp;$B534&amp;"!B2:B628"),0))</f>
        <v>WR11</v>
      </c>
      <c r="F534" s="159">
        <f ca="1">IF(LeagueInfo!$H$7="Starter/Bench",INDEX(INDIRECT(""&amp;B534&amp;"!T2:T628"),MATCH(A534,INDIRECT(""&amp;B534&amp;"!B2:B628"),0)),INDEX(INDIRECT(""&amp;B534&amp;"!AB2:AB628"),MATCH(A534,INDIRECT(""&amp;B534&amp;"!B2:B628"),0)))</f>
        <v>-19.808871577005714</v>
      </c>
      <c r="G534" s="160">
        <f>IF(H534&gt;0,F534-H534,0)</f>
        <v>0</v>
      </c>
      <c r="H534" s="161"/>
      <c r="I534" s="160">
        <f ca="1">F534*$A$2</f>
        <v>-19.808871577005714</v>
      </c>
      <c r="J534" s="160" t="s">
        <v>76</v>
      </c>
      <c r="K534" s="160">
        <f>IF(LeagueInfo!$F$7="Yahoo",IFERROR(INDEX(DefaultAuctionValues!$B$2:$B$1000,MATCH(A534,DefaultAuctionValues!$A$2:$A$1000,0)),0),IF(LeagueInfo!$F$7="ESPN",IFERROR(INDEX(DefaultAuctionValues!$C$2:$C$1000,MATCH(A534,DefaultAuctionValues!$A$2:$A$1000,0)),0),IF(LeagueInfo!$F$7="Custom",IFERROR(INDEX(DefaultAuctionValues!$D$2:$D$1000,MATCH(A534,DefaultAuctionValues!$A$2:$A$1000,0)),0))))</f>
        <v>0</v>
      </c>
      <c r="L534" s="160">
        <f ca="1">I534-K534</f>
        <v>-19.808871577005714</v>
      </c>
      <c r="M534" s="175"/>
      <c r="N534" s="170">
        <f ca="1">INDEX(INDIRECT(""&amp;$B534&amp;"!Z2:Z628"),MATCH($A534,INDIRECT(""&amp;$B534&amp;"!B2:B628"),0))</f>
        <v>-54.624999999999993</v>
      </c>
      <c r="O534" s="158" t="str">
        <f ca="1">IF(INDEX(INDIRECT(""&amp;$B534&amp;"!W2:W628"),MATCH($A534,INDIRECT(""&amp;$B534&amp;"!B2:B628"),0))=0,"",INDEX(INDIRECT(""&amp;$B534&amp;"!W2:W628"),MATCH($A534,INDIRECT(""&amp;$B534&amp;"!B2:B628"),0)))</f>
        <v/>
      </c>
    </row>
    <row r="535" spans="1:15" x14ac:dyDescent="0.25">
      <c r="A535" s="158" t="s">
        <v>994</v>
      </c>
      <c r="B535" s="158" t="s">
        <v>35</v>
      </c>
      <c r="C535" s="158">
        <f ca="1">IFERROR(INDEX(BYEs!$B$2:$B$33,MATCH(D535,BYEs!$A$2:$A$33,0)),"N/A")</f>
        <v>14</v>
      </c>
      <c r="D535" s="219" t="str">
        <f ca="1">INDEX(INDIRECT(""&amp;B535&amp;"!F2:F628"),MATCH(A535,INDIRECT(""&amp;B535&amp;"!B2:B628"),0))</f>
        <v>IND</v>
      </c>
      <c r="E535" s="218" t="str">
        <f ca="1">INDEX(INDIRECT(""&amp;$B535&amp;"!AA2:AA628"),MATCH($A535,INDIRECT(""&amp;$B535&amp;"!B2:B628"),0))</f>
        <v>WR11</v>
      </c>
      <c r="F535" s="159">
        <f ca="1">IF(LeagueInfo!$H$7="Starter/Bench",INDEX(INDIRECT(""&amp;B535&amp;"!T2:T628"),MATCH(A535,INDIRECT(""&amp;B535&amp;"!B2:B628"),0)),INDEX(INDIRECT(""&amp;B535&amp;"!AB2:AB628"),MATCH(A535,INDIRECT(""&amp;B535&amp;"!B2:B628"),0)))</f>
        <v>-19.828816436259451</v>
      </c>
      <c r="G535" s="160">
        <f>IF(H535&gt;0,F535-H535,0)</f>
        <v>0</v>
      </c>
      <c r="H535" s="161"/>
      <c r="I535" s="160">
        <f ca="1">F535*$A$2</f>
        <v>-19.828816436259451</v>
      </c>
      <c r="J535" s="160" t="s">
        <v>76</v>
      </c>
      <c r="K535" s="160">
        <f>IF(LeagueInfo!$F$7="Yahoo",IFERROR(INDEX(DefaultAuctionValues!$B$2:$B$1000,MATCH(A535,DefaultAuctionValues!$A$2:$A$1000,0)),0),IF(LeagueInfo!$F$7="ESPN",IFERROR(INDEX(DefaultAuctionValues!$C$2:$C$1000,MATCH(A535,DefaultAuctionValues!$A$2:$A$1000,0)),0),IF(LeagueInfo!$F$7="Custom",IFERROR(INDEX(DefaultAuctionValues!$D$2:$D$1000,MATCH(A535,DefaultAuctionValues!$A$2:$A$1000,0)),0))))</f>
        <v>0</v>
      </c>
      <c r="L535" s="160">
        <f ca="1">I535-K535</f>
        <v>-19.828816436259451</v>
      </c>
      <c r="M535" s="175"/>
      <c r="N535" s="170">
        <f ca="1">INDEX(INDIRECT(""&amp;$B535&amp;"!Z2:Z628"),MATCH($A535,INDIRECT(""&amp;$B535&amp;"!B2:B628"),0))</f>
        <v>-54.679999999999993</v>
      </c>
      <c r="O535" s="158" t="str">
        <f ca="1">IF(INDEX(INDIRECT(""&amp;$B535&amp;"!W2:W628"),MATCH($A535,INDIRECT(""&amp;$B535&amp;"!B2:B628"),0))=0,"",INDEX(INDIRECT(""&amp;$B535&amp;"!W2:W628"),MATCH($A535,INDIRECT(""&amp;$B535&amp;"!B2:B628"),0)))</f>
        <v/>
      </c>
    </row>
    <row r="536" spans="1:15" x14ac:dyDescent="0.25">
      <c r="A536" s="158" t="s">
        <v>999</v>
      </c>
      <c r="B536" s="158" t="s">
        <v>35</v>
      </c>
      <c r="C536" s="158">
        <f ca="1">IFERROR(INDEX(BYEs!$B$2:$B$33,MATCH(D536,BYEs!$A$2:$A$33,0)),"N/A")</f>
        <v>10</v>
      </c>
      <c r="D536" s="219" t="str">
        <f ca="1">INDEX(INDIRECT(""&amp;B536&amp;"!F2:F628"),MATCH(A536,INDIRECT(""&amp;B536&amp;"!B2:B628"),0))</f>
        <v>NE</v>
      </c>
      <c r="E536" s="218" t="str">
        <f ca="1">INDEX(INDIRECT(""&amp;$B536&amp;"!AA2:AA628"),MATCH($A536,INDIRECT(""&amp;$B536&amp;"!B2:B628"),0))</f>
        <v>WR11</v>
      </c>
      <c r="F536" s="159">
        <f ca="1">IF(LeagueInfo!$H$7="Starter/Bench",INDEX(INDIRECT(""&amp;B536&amp;"!T2:T628"),MATCH(A536,INDIRECT(""&amp;B536&amp;"!B2:B628"),0)),INDEX(INDIRECT(""&amp;B536&amp;"!AB2:AB628"),MATCH(A536,INDIRECT(""&amp;B536&amp;"!B2:B628"),0)))</f>
        <v>-19.854200802582387</v>
      </c>
      <c r="G536" s="160">
        <f>IF(H536&gt;0,F536-H536,0)</f>
        <v>0</v>
      </c>
      <c r="H536" s="161"/>
      <c r="I536" s="160">
        <f ca="1">F536*$A$2</f>
        <v>-19.854200802582387</v>
      </c>
      <c r="J536" s="160" t="s">
        <v>76</v>
      </c>
      <c r="K536" s="160">
        <f>IF(LeagueInfo!$F$7="Yahoo",IFERROR(INDEX(DefaultAuctionValues!$B$2:$B$1000,MATCH(A536,DefaultAuctionValues!$A$2:$A$1000,0)),0),IF(LeagueInfo!$F$7="ESPN",IFERROR(INDEX(DefaultAuctionValues!$C$2:$C$1000,MATCH(A536,DefaultAuctionValues!$A$2:$A$1000,0)),0),IF(LeagueInfo!$F$7="Custom",IFERROR(INDEX(DefaultAuctionValues!$D$2:$D$1000,MATCH(A536,DefaultAuctionValues!$A$2:$A$1000,0)),0))))</f>
        <v>0</v>
      </c>
      <c r="L536" s="160">
        <f ca="1">I536-K536</f>
        <v>-19.854200802582387</v>
      </c>
      <c r="M536" s="175"/>
      <c r="N536" s="170">
        <f ca="1">INDEX(INDIRECT(""&amp;$B536&amp;"!Z2:Z628"),MATCH($A536,INDIRECT(""&amp;$B536&amp;"!B2:B628"),0))</f>
        <v>-54.749999999999993</v>
      </c>
      <c r="O536" s="158" t="str">
        <f ca="1">IF(INDEX(INDIRECT(""&amp;$B536&amp;"!W2:W628"),MATCH($A536,INDIRECT(""&amp;$B536&amp;"!B2:B628"),0))=0,"",INDEX(INDIRECT(""&amp;$B536&amp;"!W2:W628"),MATCH($A536,INDIRECT(""&amp;$B536&amp;"!B2:B628"),0)))</f>
        <v/>
      </c>
    </row>
    <row r="537" spans="1:15" x14ac:dyDescent="0.25">
      <c r="A537" s="158" t="s">
        <v>853</v>
      </c>
      <c r="B537" s="158" t="s">
        <v>35</v>
      </c>
      <c r="C537" s="158">
        <f ca="1">IFERROR(INDEX(BYEs!$B$2:$B$33,MATCH(D537,BYEs!$A$2:$A$33,0)),"N/A")</f>
        <v>14</v>
      </c>
      <c r="D537" s="219" t="str">
        <f ca="1">INDEX(INDIRECT(""&amp;B537&amp;"!F2:F628"),MATCH(A537,INDIRECT(""&amp;B537&amp;"!B2:B628"),0))</f>
        <v>IND</v>
      </c>
      <c r="E537" s="218" t="str">
        <f ca="1">INDEX(INDIRECT(""&amp;$B537&amp;"!AA2:AA628"),MATCH($A537,INDIRECT(""&amp;$B537&amp;"!B2:B628"),0))</f>
        <v>WR11</v>
      </c>
      <c r="F537" s="159">
        <f ca="1">IF(LeagueInfo!$H$7="Starter/Bench",INDEX(INDIRECT(""&amp;B537&amp;"!T2:T628"),MATCH(A537,INDIRECT(""&amp;B537&amp;"!B2:B628"),0)),INDEX(INDIRECT(""&amp;B537&amp;"!AB2:AB628"),MATCH(A537,INDIRECT(""&amp;B537&amp;"!B2:B628"),0)))</f>
        <v>-19.872332492813054</v>
      </c>
      <c r="G537" s="160">
        <f>IF(H537&gt;0,F537-H537,0)</f>
        <v>0</v>
      </c>
      <c r="H537" s="161"/>
      <c r="I537" s="160">
        <f ca="1">F537*$A$2</f>
        <v>-19.872332492813054</v>
      </c>
      <c r="J537" s="160" t="s">
        <v>76</v>
      </c>
      <c r="K537" s="160">
        <f>IF(LeagueInfo!$F$7="Yahoo",IFERROR(INDEX(DefaultAuctionValues!$B$2:$B$1000,MATCH(A537,DefaultAuctionValues!$A$2:$A$1000,0)),0),IF(LeagueInfo!$F$7="ESPN",IFERROR(INDEX(DefaultAuctionValues!$C$2:$C$1000,MATCH(A537,DefaultAuctionValues!$A$2:$A$1000,0)),0),IF(LeagueInfo!$F$7="Custom",IFERROR(INDEX(DefaultAuctionValues!$D$2:$D$1000,MATCH(A537,DefaultAuctionValues!$A$2:$A$1000,0)),0))))</f>
        <v>0</v>
      </c>
      <c r="L537" s="160">
        <f ca="1">I537-K537</f>
        <v>-19.872332492813054</v>
      </c>
      <c r="M537" s="175"/>
      <c r="N537" s="170">
        <f ca="1">INDEX(INDIRECT(""&amp;$B537&amp;"!Z2:Z628"),MATCH($A537,INDIRECT(""&amp;$B537&amp;"!B2:B628"),0))</f>
        <v>-54.79999999999999</v>
      </c>
      <c r="O537" s="158" t="str">
        <f ca="1">IF(INDEX(INDIRECT(""&amp;$B537&amp;"!W2:W628"),MATCH($A537,INDIRECT(""&amp;$B537&amp;"!B2:B628"),0))=0,"",INDEX(INDIRECT(""&amp;$B537&amp;"!W2:W628"),MATCH($A537,INDIRECT(""&amp;$B537&amp;"!B2:B628"),0)))</f>
        <v/>
      </c>
    </row>
    <row r="538" spans="1:15" x14ac:dyDescent="0.25">
      <c r="A538" s="158" t="s">
        <v>2741</v>
      </c>
      <c r="B538" s="158" t="s">
        <v>35</v>
      </c>
      <c r="C538" s="158">
        <f ca="1">IFERROR(INDEX(BYEs!$B$2:$B$33,MATCH(D538,BYEs!$A$2:$A$33,0)),"N/A")</f>
        <v>6</v>
      </c>
      <c r="D538" s="219" t="str">
        <f ca="1">INDEX(INDIRECT(""&amp;B538&amp;"!F2:F628"),MATCH(A538,INDIRECT(""&amp;B538&amp;"!B2:B628"),0))</f>
        <v>TEN</v>
      </c>
      <c r="E538" s="218" t="str">
        <f ca="1">INDEX(INDIRECT(""&amp;$B538&amp;"!AA2:AA628"),MATCH($A538,INDIRECT(""&amp;$B538&amp;"!B2:B628"),0))</f>
        <v>WR11</v>
      </c>
      <c r="F538" s="159">
        <f ca="1">IF(LeagueInfo!$H$7="Starter/Bench",INDEX(INDIRECT(""&amp;B538&amp;"!T2:T628"),MATCH(A538,INDIRECT(""&amp;B538&amp;"!B2:B628"),0)),INDEX(INDIRECT(""&amp;B538&amp;"!AB2:AB628"),MATCH(A538,INDIRECT(""&amp;B538&amp;"!B2:B628"),0)))</f>
        <v>-19.888651014020656</v>
      </c>
      <c r="G538" s="160">
        <f>IF(H538&gt;0,F538-H538,0)</f>
        <v>0</v>
      </c>
      <c r="H538" s="161"/>
      <c r="I538" s="160">
        <f ca="1">F538*$A$2</f>
        <v>-19.888651014020656</v>
      </c>
      <c r="J538" s="160" t="s">
        <v>76</v>
      </c>
      <c r="K538" s="160">
        <f>IF(LeagueInfo!$F$7="Yahoo",IFERROR(INDEX(DefaultAuctionValues!$B$2:$B$1000,MATCH(A538,DefaultAuctionValues!$A$2:$A$1000,0)),0),IF(LeagueInfo!$F$7="ESPN",IFERROR(INDEX(DefaultAuctionValues!$C$2:$C$1000,MATCH(A538,DefaultAuctionValues!$A$2:$A$1000,0)),0),IF(LeagueInfo!$F$7="Custom",IFERROR(INDEX(DefaultAuctionValues!$D$2:$D$1000,MATCH(A538,DefaultAuctionValues!$A$2:$A$1000,0)),0))))</f>
        <v>0</v>
      </c>
      <c r="L538" s="160">
        <f ca="1">I538-K538</f>
        <v>-19.888651014020656</v>
      </c>
      <c r="M538" s="175"/>
      <c r="N538" s="170">
        <f ca="1">INDEX(INDIRECT(""&amp;$B538&amp;"!Z2:Z628"),MATCH($A538,INDIRECT(""&amp;$B538&amp;"!B2:B628"),0))</f>
        <v>-54.844999999999992</v>
      </c>
      <c r="O538" s="158" t="str">
        <f ca="1">IF(INDEX(INDIRECT(""&amp;$B538&amp;"!W2:W628"),MATCH($A538,INDIRECT(""&amp;$B538&amp;"!B2:B628"),0))=0,"",INDEX(INDIRECT(""&amp;$B538&amp;"!W2:W628"),MATCH($A538,INDIRECT(""&amp;$B538&amp;"!B2:B628"),0)))</f>
        <v/>
      </c>
    </row>
    <row r="539" spans="1:15" x14ac:dyDescent="0.25">
      <c r="A539" s="158" t="s">
        <v>858</v>
      </c>
      <c r="B539" s="158" t="s">
        <v>35</v>
      </c>
      <c r="C539" s="158">
        <f ca="1">IFERROR(INDEX(BYEs!$B$2:$B$33,MATCH(D539,BYEs!$A$2:$A$33,0)),"N/A")</f>
        <v>10</v>
      </c>
      <c r="D539" s="219" t="str">
        <f ca="1">INDEX(INDIRECT(""&amp;B539&amp;"!F2:F628"),MATCH(A539,INDIRECT(""&amp;B539&amp;"!B2:B628"),0))</f>
        <v>NYJ</v>
      </c>
      <c r="E539" s="218" t="str">
        <f ca="1">INDEX(INDIRECT(""&amp;$B539&amp;"!AA2:AA628"),MATCH($A539,INDIRECT(""&amp;$B539&amp;"!B2:B628"),0))</f>
        <v>WR11</v>
      </c>
      <c r="F539" s="159">
        <f ca="1">IF(LeagueInfo!$H$7="Starter/Bench",INDEX(INDIRECT(""&amp;B539&amp;"!T2:T628"),MATCH(A539,INDIRECT(""&amp;B539&amp;"!B2:B628"),0)),INDEX(INDIRECT(""&amp;B539&amp;"!AB2:AB628"),MATCH(A539,INDIRECT(""&amp;B539&amp;"!B2:B628"),0)))</f>
        <v>-19.894090521089858</v>
      </c>
      <c r="G539" s="160">
        <f>IF(H539&gt;0,F539-H539,0)</f>
        <v>0</v>
      </c>
      <c r="H539" s="161"/>
      <c r="I539" s="160">
        <f ca="1">F539*$A$2</f>
        <v>-19.894090521089858</v>
      </c>
      <c r="J539" s="160" t="s">
        <v>76</v>
      </c>
      <c r="K539" s="160">
        <f>IF(LeagueInfo!$F$7="Yahoo",IFERROR(INDEX(DefaultAuctionValues!$B$2:$B$1000,MATCH(A539,DefaultAuctionValues!$A$2:$A$1000,0)),0),IF(LeagueInfo!$F$7="ESPN",IFERROR(INDEX(DefaultAuctionValues!$C$2:$C$1000,MATCH(A539,DefaultAuctionValues!$A$2:$A$1000,0)),0),IF(LeagueInfo!$F$7="Custom",IFERROR(INDEX(DefaultAuctionValues!$D$2:$D$1000,MATCH(A539,DefaultAuctionValues!$A$2:$A$1000,0)),0))))</f>
        <v>0</v>
      </c>
      <c r="L539" s="160">
        <f ca="1">I539-K539</f>
        <v>-19.894090521089858</v>
      </c>
      <c r="M539" s="175"/>
      <c r="N539" s="170">
        <f ca="1">INDEX(INDIRECT(""&amp;$B539&amp;"!Z2:Z628"),MATCH($A539,INDIRECT(""&amp;$B539&amp;"!B2:B628"),0))</f>
        <v>-54.859999999999992</v>
      </c>
      <c r="O539" s="158" t="str">
        <f ca="1">IF(INDEX(INDIRECT(""&amp;$B539&amp;"!W2:W628"),MATCH($A539,INDIRECT(""&amp;$B539&amp;"!B2:B628"),0))=0,"",INDEX(INDIRECT(""&amp;$B539&amp;"!W2:W628"),MATCH($A539,INDIRECT(""&amp;$B539&amp;"!B2:B628"),0)))</f>
        <v/>
      </c>
    </row>
    <row r="540" spans="1:15" x14ac:dyDescent="0.25">
      <c r="A540" s="158" t="s">
        <v>838</v>
      </c>
      <c r="B540" s="158" t="s">
        <v>35</v>
      </c>
      <c r="C540" s="158">
        <f ca="1">IFERROR(INDEX(BYEs!$B$2:$B$33,MATCH(D540,BYEs!$A$2:$A$33,0)),"N/A")</f>
        <v>10</v>
      </c>
      <c r="D540" s="219" t="str">
        <f ca="1">INDEX(INDIRECT(""&amp;B540&amp;"!F2:F628"),MATCH(A540,INDIRECT(""&amp;B540&amp;"!B2:B628"),0))</f>
        <v>NYJ</v>
      </c>
      <c r="E540" s="218" t="str">
        <f ca="1">INDEX(INDIRECT(""&amp;$B540&amp;"!AA2:AA628"),MATCH($A540,INDIRECT(""&amp;$B540&amp;"!B2:B628"),0))</f>
        <v>WR11</v>
      </c>
      <c r="F540" s="159">
        <f ca="1">IF(LeagueInfo!$H$7="Starter/Bench",INDEX(INDIRECT(""&amp;B540&amp;"!T2:T628"),MATCH(A540,INDIRECT(""&amp;B540&amp;"!B2:B628"),0)),INDEX(INDIRECT(""&amp;B540&amp;"!AB2:AB628"),MATCH(A540,INDIRECT(""&amp;B540&amp;"!B2:B628"),0)))</f>
        <v>-19.923101225458925</v>
      </c>
      <c r="G540" s="160">
        <f>IF(H540&gt;0,F540-H540,0)</f>
        <v>0</v>
      </c>
      <c r="H540" s="161"/>
      <c r="I540" s="160">
        <f ca="1">F540*$A$2</f>
        <v>-19.923101225458925</v>
      </c>
      <c r="J540" s="160" t="s">
        <v>76</v>
      </c>
      <c r="K540" s="160">
        <f>IF(LeagueInfo!$F$7="Yahoo",IFERROR(INDEX(DefaultAuctionValues!$B$2:$B$1000,MATCH(A540,DefaultAuctionValues!$A$2:$A$1000,0)),0),IF(LeagueInfo!$F$7="ESPN",IFERROR(INDEX(DefaultAuctionValues!$C$2:$C$1000,MATCH(A540,DefaultAuctionValues!$A$2:$A$1000,0)),0),IF(LeagueInfo!$F$7="Custom",IFERROR(INDEX(DefaultAuctionValues!$D$2:$D$1000,MATCH(A540,DefaultAuctionValues!$A$2:$A$1000,0)),0))))</f>
        <v>0</v>
      </c>
      <c r="L540" s="160">
        <f ca="1">I540-K540</f>
        <v>-19.923101225458925</v>
      </c>
      <c r="M540" s="175"/>
      <c r="N540" s="170">
        <f ca="1">INDEX(INDIRECT(""&amp;$B540&amp;"!Z2:Z628"),MATCH($A540,INDIRECT(""&amp;$B540&amp;"!B2:B628"),0))</f>
        <v>-54.939999999999991</v>
      </c>
      <c r="O540" s="158" t="str">
        <f ca="1">IF(INDEX(INDIRECT(""&amp;$B540&amp;"!W2:W628"),MATCH($A540,INDIRECT(""&amp;$B540&amp;"!B2:B628"),0))=0,"",INDEX(INDIRECT(""&amp;$B540&amp;"!W2:W628"),MATCH($A540,INDIRECT(""&amp;$B540&amp;"!B2:B628"),0)))</f>
        <v/>
      </c>
    </row>
    <row r="541" spans="1:15" x14ac:dyDescent="0.25">
      <c r="A541" s="158" t="s">
        <v>995</v>
      </c>
      <c r="B541" s="158" t="s">
        <v>35</v>
      </c>
      <c r="C541" s="158">
        <f ca="1">IFERROR(INDEX(BYEs!$B$2:$B$33,MATCH(D541,BYEs!$A$2:$A$33,0)),"N/A")</f>
        <v>6</v>
      </c>
      <c r="D541" s="219" t="str">
        <f ca="1">INDEX(INDIRECT(""&amp;B541&amp;"!F2:F628"),MATCH(A541,INDIRECT(""&amp;B541&amp;"!B2:B628"),0))</f>
        <v>TEN</v>
      </c>
      <c r="E541" s="218" t="str">
        <f ca="1">INDEX(INDIRECT(""&amp;$B541&amp;"!AA2:AA628"),MATCH($A541,INDIRECT(""&amp;$B541&amp;"!B2:B628"),0))</f>
        <v>WR11</v>
      </c>
      <c r="F541" s="159">
        <f ca="1">IF(LeagueInfo!$H$7="Starter/Bench",INDEX(INDIRECT(""&amp;B541&amp;"!T2:T628"),MATCH(A541,INDIRECT(""&amp;B541&amp;"!B2:B628"),0)),INDEX(INDIRECT(""&amp;B541&amp;"!AB2:AB628"),MATCH(A541,INDIRECT(""&amp;B541&amp;"!B2:B628"),0)))</f>
        <v>-19.93941974666653</v>
      </c>
      <c r="G541" s="160">
        <f>IF(H541&gt;0,F541-H541,0)</f>
        <v>0</v>
      </c>
      <c r="H541" s="161"/>
      <c r="I541" s="160">
        <f ca="1">F541*$A$2</f>
        <v>-19.93941974666653</v>
      </c>
      <c r="J541" s="160" t="s">
        <v>76</v>
      </c>
      <c r="K541" s="160">
        <f>IF(LeagueInfo!$F$7="Yahoo",IFERROR(INDEX(DefaultAuctionValues!$B$2:$B$1000,MATCH(A541,DefaultAuctionValues!$A$2:$A$1000,0)),0),IF(LeagueInfo!$F$7="ESPN",IFERROR(INDEX(DefaultAuctionValues!$C$2:$C$1000,MATCH(A541,DefaultAuctionValues!$A$2:$A$1000,0)),0),IF(LeagueInfo!$F$7="Custom",IFERROR(INDEX(DefaultAuctionValues!$D$2:$D$1000,MATCH(A541,DefaultAuctionValues!$A$2:$A$1000,0)),0))))</f>
        <v>0</v>
      </c>
      <c r="L541" s="160">
        <f ca="1">I541-K541</f>
        <v>-19.93941974666653</v>
      </c>
      <c r="M541" s="175"/>
      <c r="N541" s="170">
        <f ca="1">INDEX(INDIRECT(""&amp;$B541&amp;"!Z2:Z628"),MATCH($A541,INDIRECT(""&amp;$B541&amp;"!B2:B628"),0))</f>
        <v>-54.984999999999992</v>
      </c>
      <c r="O541" s="158" t="str">
        <f ca="1">IF(INDEX(INDIRECT(""&amp;$B541&amp;"!W2:W628"),MATCH($A541,INDIRECT(""&amp;$B541&amp;"!B2:B628"),0))=0,"",INDEX(INDIRECT(""&amp;$B541&amp;"!W2:W628"),MATCH($A541,INDIRECT(""&amp;$B541&amp;"!B2:B628"),0)))</f>
        <v/>
      </c>
    </row>
    <row r="542" spans="1:15" x14ac:dyDescent="0.25">
      <c r="A542" s="158" t="s">
        <v>956</v>
      </c>
      <c r="B542" s="158" t="s">
        <v>35</v>
      </c>
      <c r="C542" s="158">
        <f ca="1">IFERROR(INDEX(BYEs!$B$2:$B$33,MATCH(D542,BYEs!$A$2:$A$33,0)),"N/A")</f>
        <v>6</v>
      </c>
      <c r="D542" s="219" t="str">
        <f ca="1">INDEX(INDIRECT(""&amp;B542&amp;"!F2:F628"),MATCH(A542,INDIRECT(""&amp;B542&amp;"!B2:B628"),0))</f>
        <v>LV</v>
      </c>
      <c r="E542" s="218" t="str">
        <f ca="1">INDEX(INDIRECT(""&amp;$B542&amp;"!AA2:AA628"),MATCH($A542,INDIRECT(""&amp;$B542&amp;"!B2:B628"),0))</f>
        <v>WR11</v>
      </c>
      <c r="F542" s="159">
        <f ca="1">IF(LeagueInfo!$H$7="Starter/Bench",INDEX(INDIRECT(""&amp;B542&amp;"!T2:T628"),MATCH(A542,INDIRECT(""&amp;B542&amp;"!B2:B628"),0)),INDEX(INDIRECT(""&amp;B542&amp;"!AB2:AB628"),MATCH(A542,INDIRECT(""&amp;B542&amp;"!B2:B628"),0)))</f>
        <v>-19.9629909439664</v>
      </c>
      <c r="G542" s="160">
        <f>IF(H542&gt;0,F542-H542,0)</f>
        <v>0</v>
      </c>
      <c r="H542" s="161"/>
      <c r="I542" s="160">
        <f ca="1">F542*$A$2</f>
        <v>-19.9629909439664</v>
      </c>
      <c r="J542" s="160" t="s">
        <v>76</v>
      </c>
      <c r="K542" s="160">
        <f>IF(LeagueInfo!$F$7="Yahoo",IFERROR(INDEX(DefaultAuctionValues!$B$2:$B$1000,MATCH(A542,DefaultAuctionValues!$A$2:$A$1000,0)),0),IF(LeagueInfo!$F$7="ESPN",IFERROR(INDEX(DefaultAuctionValues!$C$2:$C$1000,MATCH(A542,DefaultAuctionValues!$A$2:$A$1000,0)),0),IF(LeagueInfo!$F$7="Custom",IFERROR(INDEX(DefaultAuctionValues!$D$2:$D$1000,MATCH(A542,DefaultAuctionValues!$A$2:$A$1000,0)),0))))</f>
        <v>0</v>
      </c>
      <c r="L542" s="160">
        <f ca="1">I542-K542</f>
        <v>-19.9629909439664</v>
      </c>
      <c r="M542" s="175"/>
      <c r="N542" s="170">
        <f ca="1">INDEX(INDIRECT(""&amp;$B542&amp;"!Z2:Z628"),MATCH($A542,INDIRECT(""&amp;$B542&amp;"!B2:B628"),0))</f>
        <v>-55.04999999999999</v>
      </c>
      <c r="O542" s="158" t="str">
        <f ca="1">IF(INDEX(INDIRECT(""&amp;$B542&amp;"!W2:W628"),MATCH($A542,INDIRECT(""&amp;$B542&amp;"!B2:B628"),0))=0,"",INDEX(INDIRECT(""&amp;$B542&amp;"!W2:W628"),MATCH($A542,INDIRECT(""&amp;$B542&amp;"!B2:B628"),0)))</f>
        <v/>
      </c>
    </row>
    <row r="543" spans="1:15" x14ac:dyDescent="0.25">
      <c r="A543" s="158" t="s">
        <v>970</v>
      </c>
      <c r="B543" s="158" t="s">
        <v>35</v>
      </c>
      <c r="C543" s="158">
        <f ca="1">IFERROR(INDEX(BYEs!$B$2:$B$33,MATCH(D543,BYEs!$A$2:$A$33,0)),"N/A")</f>
        <v>9</v>
      </c>
      <c r="D543" s="219" t="str">
        <f ca="1">INDEX(INDIRECT(""&amp;B543&amp;"!F2:F628"),MATCH(A543,INDIRECT(""&amp;B543&amp;"!B2:B628"),0))</f>
        <v>DEN</v>
      </c>
      <c r="E543" s="218" t="str">
        <f ca="1">INDEX(INDIRECT(""&amp;$B543&amp;"!AA2:AA628"),MATCH($A543,INDIRECT(""&amp;$B543&amp;"!B2:B628"),0))</f>
        <v>WR11</v>
      </c>
      <c r="F543" s="159">
        <f ca="1">IF(LeagueInfo!$H$7="Starter/Bench",INDEX(INDIRECT(""&amp;B543&amp;"!T2:T628"),MATCH(A543,INDIRECT(""&amp;B543&amp;"!B2:B628"),0)),INDEX(INDIRECT(""&amp;B543&amp;"!AB2:AB628"),MATCH(A543,INDIRECT(""&amp;B543&amp;"!B2:B628"),0)))</f>
        <v>-19.975683127127869</v>
      </c>
      <c r="G543" s="160">
        <f>IF(H543&gt;0,F543-H543,0)</f>
        <v>0</v>
      </c>
      <c r="H543" s="161"/>
      <c r="I543" s="160">
        <f ca="1">F543*$A$2</f>
        <v>-19.975683127127869</v>
      </c>
      <c r="J543" s="160" t="s">
        <v>76</v>
      </c>
      <c r="K543" s="160">
        <f>IF(LeagueInfo!$F$7="Yahoo",IFERROR(INDEX(DefaultAuctionValues!$B$2:$B$1000,MATCH(A543,DefaultAuctionValues!$A$2:$A$1000,0)),0),IF(LeagueInfo!$F$7="ESPN",IFERROR(INDEX(DefaultAuctionValues!$C$2:$C$1000,MATCH(A543,DefaultAuctionValues!$A$2:$A$1000,0)),0),IF(LeagueInfo!$F$7="Custom",IFERROR(INDEX(DefaultAuctionValues!$D$2:$D$1000,MATCH(A543,DefaultAuctionValues!$A$2:$A$1000,0)),0))))</f>
        <v>0</v>
      </c>
      <c r="L543" s="160">
        <f ca="1">I543-K543</f>
        <v>-19.975683127127869</v>
      </c>
      <c r="M543" s="175"/>
      <c r="N543" s="170">
        <f ca="1">INDEX(INDIRECT(""&amp;$B543&amp;"!Z2:Z628"),MATCH($A543,INDIRECT(""&amp;$B543&amp;"!B2:B628"),0))</f>
        <v>-55.084999999999994</v>
      </c>
      <c r="O543" s="158" t="str">
        <f ca="1">IF(INDEX(INDIRECT(""&amp;$B543&amp;"!W2:W628"),MATCH($A543,INDIRECT(""&amp;$B543&amp;"!B2:B628"),0))=0,"",INDEX(INDIRECT(""&amp;$B543&amp;"!W2:W628"),MATCH($A543,INDIRECT(""&amp;$B543&amp;"!B2:B628"),0)))</f>
        <v/>
      </c>
    </row>
    <row r="544" spans="1:15" x14ac:dyDescent="0.25">
      <c r="A544" s="158" t="s">
        <v>582</v>
      </c>
      <c r="B544" s="158" t="s">
        <v>35</v>
      </c>
      <c r="C544" s="158">
        <f ca="1">IFERROR(INDEX(BYEs!$B$2:$B$33,MATCH(D544,BYEs!$A$2:$A$33,0)),"N/A")</f>
        <v>8</v>
      </c>
      <c r="D544" s="219" t="str">
        <f ca="1">INDEX(INDIRECT(""&amp;B544&amp;"!F2:F628"),MATCH(A544,INDIRECT(""&amp;B544&amp;"!B2:B628"),0))</f>
        <v>KC</v>
      </c>
      <c r="E544" s="218" t="str">
        <f ca="1">INDEX(INDIRECT(""&amp;$B544&amp;"!AA2:AA628"),MATCH($A544,INDIRECT(""&amp;$B544&amp;"!B2:B628"),0))</f>
        <v>WR11</v>
      </c>
      <c r="F544" s="159">
        <f ca="1">IF(LeagueInfo!$H$7="Starter/Bench",INDEX(INDIRECT(""&amp;B544&amp;"!T2:T628"),MATCH(A544,INDIRECT(""&amp;B544&amp;"!B2:B628"),0)),INDEX(INDIRECT(""&amp;B544&amp;"!AB2:AB628"),MATCH(A544,INDIRECT(""&amp;B544&amp;"!B2:B628"),0)))</f>
        <v>-20.008320169543069</v>
      </c>
      <c r="G544" s="160">
        <f>IF(H544&gt;0,F544-H544,0)</f>
        <v>0</v>
      </c>
      <c r="H544" s="161"/>
      <c r="I544" s="160">
        <f ca="1">F544*$A$2</f>
        <v>-20.008320169543069</v>
      </c>
      <c r="J544" s="160" t="s">
        <v>76</v>
      </c>
      <c r="K544" s="160">
        <f>IF(LeagueInfo!$F$7="Yahoo",IFERROR(INDEX(DefaultAuctionValues!$B$2:$B$1000,MATCH(A544,DefaultAuctionValues!$A$2:$A$1000,0)),0),IF(LeagueInfo!$F$7="ESPN",IFERROR(INDEX(DefaultAuctionValues!$C$2:$C$1000,MATCH(A544,DefaultAuctionValues!$A$2:$A$1000,0)),0),IF(LeagueInfo!$F$7="Custom",IFERROR(INDEX(DefaultAuctionValues!$D$2:$D$1000,MATCH(A544,DefaultAuctionValues!$A$2:$A$1000,0)),0))))</f>
        <v>0</v>
      </c>
      <c r="L544" s="160">
        <f ca="1">I544-K544</f>
        <v>-20.008320169543069</v>
      </c>
      <c r="M544" s="175"/>
      <c r="N544" s="170">
        <f ca="1">INDEX(INDIRECT(""&amp;$B544&amp;"!Z2:Z628"),MATCH($A544,INDIRECT(""&amp;$B544&amp;"!B2:B628"),0))</f>
        <v>-55.17499999999999</v>
      </c>
      <c r="O544" s="158" t="str">
        <f ca="1">IF(INDEX(INDIRECT(""&amp;$B544&amp;"!W2:W628"),MATCH($A544,INDIRECT(""&amp;$B544&amp;"!B2:B628"),0))=0,"",INDEX(INDIRECT(""&amp;$B544&amp;"!W2:W628"),MATCH($A544,INDIRECT(""&amp;$B544&amp;"!B2:B628"),0)))</f>
        <v/>
      </c>
    </row>
    <row r="545" spans="1:15" x14ac:dyDescent="0.25">
      <c r="A545" s="158" t="s">
        <v>710</v>
      </c>
      <c r="B545" s="158" t="s">
        <v>35</v>
      </c>
      <c r="C545" s="158">
        <f ca="1">IFERROR(INDEX(BYEs!$B$2:$B$33,MATCH(D545,BYEs!$A$2:$A$33,0)),"N/A")</f>
        <v>9</v>
      </c>
      <c r="D545" s="219" t="str">
        <f ca="1">INDEX(INDIRECT(""&amp;B545&amp;"!F2:F628"),MATCH(A545,INDIRECT(""&amp;B545&amp;"!B2:B628"),0))</f>
        <v>PIT</v>
      </c>
      <c r="E545" s="218" t="str">
        <f ca="1">INDEX(INDIRECT(""&amp;$B545&amp;"!AA2:AA628"),MATCH($A545,INDIRECT(""&amp;$B545&amp;"!B2:B628"),0))</f>
        <v>WR11</v>
      </c>
      <c r="F545" s="159">
        <f ca="1">IF(LeagueInfo!$H$7="Starter/Bench",INDEX(INDIRECT(""&amp;B545&amp;"!T2:T628"),MATCH(A545,INDIRECT(""&amp;B545&amp;"!B2:B628"),0)),INDEX(INDIRECT(""&amp;B545&amp;"!AB2:AB628"),MATCH(A545,INDIRECT(""&amp;B545&amp;"!B2:B628"),0)))</f>
        <v>-20.048209888050543</v>
      </c>
      <c r="G545" s="160">
        <f>IF(H545&gt;0,F545-H545,0)</f>
        <v>0</v>
      </c>
      <c r="H545" s="161"/>
      <c r="I545" s="160">
        <f ca="1">F545*$A$2</f>
        <v>-20.048209888050543</v>
      </c>
      <c r="J545" s="160" t="s">
        <v>76</v>
      </c>
      <c r="K545" s="160">
        <f>IF(LeagueInfo!$F$7="Yahoo",IFERROR(INDEX(DefaultAuctionValues!$B$2:$B$1000,MATCH(A545,DefaultAuctionValues!$A$2:$A$1000,0)),0),IF(LeagueInfo!$F$7="ESPN",IFERROR(INDEX(DefaultAuctionValues!$C$2:$C$1000,MATCH(A545,DefaultAuctionValues!$A$2:$A$1000,0)),0),IF(LeagueInfo!$F$7="Custom",IFERROR(INDEX(DefaultAuctionValues!$D$2:$D$1000,MATCH(A545,DefaultAuctionValues!$A$2:$A$1000,0)),0))))</f>
        <v>0</v>
      </c>
      <c r="L545" s="160">
        <f ca="1">I545-K545</f>
        <v>-20.048209888050543</v>
      </c>
      <c r="M545" s="175"/>
      <c r="N545" s="170">
        <f ca="1">INDEX(INDIRECT(""&amp;$B545&amp;"!Z2:Z628"),MATCH($A545,INDIRECT(""&amp;$B545&amp;"!B2:B628"),0))</f>
        <v>-55.284999999999989</v>
      </c>
      <c r="O545" s="158" t="str">
        <f ca="1">IF(INDEX(INDIRECT(""&amp;$B545&amp;"!W2:W628"),MATCH($A545,INDIRECT(""&amp;$B545&amp;"!B2:B628"),0))=0,"",INDEX(INDIRECT(""&amp;$B545&amp;"!W2:W628"),MATCH($A545,INDIRECT(""&amp;$B545&amp;"!B2:B628"),0)))</f>
        <v/>
      </c>
    </row>
    <row r="546" spans="1:15" x14ac:dyDescent="0.25">
      <c r="A546" s="158" t="s">
        <v>861</v>
      </c>
      <c r="B546" s="158" t="s">
        <v>35</v>
      </c>
      <c r="C546" s="158">
        <f ca="1">IFERROR(INDEX(BYEs!$B$2:$B$33,MATCH(D546,BYEs!$A$2:$A$33,0)),"N/A")</f>
        <v>14</v>
      </c>
      <c r="D546" s="219" t="str">
        <f ca="1">INDEX(INDIRECT(""&amp;B546&amp;"!F2:F628"),MATCH(A546,INDIRECT(""&amp;B546&amp;"!B2:B628"),0))</f>
        <v>CHI</v>
      </c>
      <c r="E546" s="218" t="str">
        <f ca="1">INDEX(INDIRECT(""&amp;$B546&amp;"!AA2:AA628"),MATCH($A546,INDIRECT(""&amp;$B546&amp;"!B2:B628"),0))</f>
        <v>WR11</v>
      </c>
      <c r="F546" s="159">
        <f ca="1">IF(LeagueInfo!$H$7="Starter/Bench",INDEX(INDIRECT(""&amp;B546&amp;"!T2:T628"),MATCH(A546,INDIRECT(""&amp;B546&amp;"!B2:B628"),0)),INDEX(INDIRECT(""&amp;B546&amp;"!AB2:AB628"),MATCH(A546,INDIRECT(""&amp;B546&amp;"!B2:B628"),0)))</f>
        <v>-20.051836226096679</v>
      </c>
      <c r="G546" s="160">
        <f>IF(H546&gt;0,F546-H546,0)</f>
        <v>0</v>
      </c>
      <c r="H546" s="161"/>
      <c r="I546" s="160">
        <f ca="1">F546*$A$2</f>
        <v>-20.051836226096679</v>
      </c>
      <c r="J546" s="160" t="s">
        <v>76</v>
      </c>
      <c r="K546" s="160">
        <f>IF(LeagueInfo!$F$7="Yahoo",IFERROR(INDEX(DefaultAuctionValues!$B$2:$B$1000,MATCH(A546,DefaultAuctionValues!$A$2:$A$1000,0)),0),IF(LeagueInfo!$F$7="ESPN",IFERROR(INDEX(DefaultAuctionValues!$C$2:$C$1000,MATCH(A546,DefaultAuctionValues!$A$2:$A$1000,0)),0),IF(LeagueInfo!$F$7="Custom",IFERROR(INDEX(DefaultAuctionValues!$D$2:$D$1000,MATCH(A546,DefaultAuctionValues!$A$2:$A$1000,0)),0))))</f>
        <v>0</v>
      </c>
      <c r="L546" s="160">
        <f ca="1">I546-K546</f>
        <v>-20.051836226096679</v>
      </c>
      <c r="M546" s="175"/>
      <c r="N546" s="170">
        <f ca="1">INDEX(INDIRECT(""&amp;$B546&amp;"!Z2:Z628"),MATCH($A546,INDIRECT(""&amp;$B546&amp;"!B2:B628"),0))</f>
        <v>-55.294999999999995</v>
      </c>
      <c r="O546" s="158" t="str">
        <f ca="1">IF(INDEX(INDIRECT(""&amp;$B546&amp;"!W2:W628"),MATCH($A546,INDIRECT(""&amp;$B546&amp;"!B2:B628"),0))=0,"",INDEX(INDIRECT(""&amp;$B546&amp;"!W2:W628"),MATCH($A546,INDIRECT(""&amp;$B546&amp;"!B2:B628"),0)))</f>
        <v/>
      </c>
    </row>
    <row r="547" spans="1:15" x14ac:dyDescent="0.25">
      <c r="A547" s="158" t="s">
        <v>644</v>
      </c>
      <c r="B547" s="158" t="s">
        <v>35</v>
      </c>
      <c r="C547" s="158">
        <f ca="1">IFERROR(INDEX(BYEs!$B$2:$B$33,MATCH(D547,BYEs!$A$2:$A$33,0)),"N/A")</f>
        <v>8</v>
      </c>
      <c r="D547" s="219" t="str">
        <f ca="1">INDEX(INDIRECT(""&amp;B547&amp;"!F2:F628"),MATCH(A547,INDIRECT(""&amp;B547&amp;"!B2:B628"),0))</f>
        <v>LAC</v>
      </c>
      <c r="E547" s="218" t="str">
        <f ca="1">INDEX(INDIRECT(""&amp;$B547&amp;"!AA2:AA628"),MATCH($A547,INDIRECT(""&amp;$B547&amp;"!B2:B628"),0))</f>
        <v>WR11</v>
      </c>
      <c r="F547" s="159">
        <f ca="1">IF(LeagueInfo!$H$7="Starter/Bench",INDEX(INDIRECT(""&amp;B547&amp;"!T2:T628"),MATCH(A547,INDIRECT(""&amp;B547&amp;"!B2:B628"),0)),INDEX(INDIRECT(""&amp;B547&amp;"!AB2:AB628"),MATCH(A547,INDIRECT(""&amp;B547&amp;"!B2:B628"),0)))</f>
        <v>-20.102604958742546</v>
      </c>
      <c r="G547" s="160">
        <f>IF(H547&gt;0,F547-H547,0)</f>
        <v>0</v>
      </c>
      <c r="H547" s="161"/>
      <c r="I547" s="160">
        <f ca="1">F547*$A$2</f>
        <v>-20.102604958742546</v>
      </c>
      <c r="J547" s="160" t="s">
        <v>76</v>
      </c>
      <c r="K547" s="160">
        <f>IF(LeagueInfo!$F$7="Yahoo",IFERROR(INDEX(DefaultAuctionValues!$B$2:$B$1000,MATCH(A547,DefaultAuctionValues!$A$2:$A$1000,0)),0),IF(LeagueInfo!$F$7="ESPN",IFERROR(INDEX(DefaultAuctionValues!$C$2:$C$1000,MATCH(A547,DefaultAuctionValues!$A$2:$A$1000,0)),0),IF(LeagueInfo!$F$7="Custom",IFERROR(INDEX(DefaultAuctionValues!$D$2:$D$1000,MATCH(A547,DefaultAuctionValues!$A$2:$A$1000,0)),0))))</f>
        <v>0</v>
      </c>
      <c r="L547" s="160">
        <f ca="1">I547-K547</f>
        <v>-20.102604958742546</v>
      </c>
      <c r="M547" s="175"/>
      <c r="N547" s="170">
        <f ca="1">INDEX(INDIRECT(""&amp;$B547&amp;"!Z2:Z628"),MATCH($A547,INDIRECT(""&amp;$B547&amp;"!B2:B628"),0))</f>
        <v>-55.434999999999988</v>
      </c>
      <c r="O547" s="158" t="str">
        <f ca="1">IF(INDEX(INDIRECT(""&amp;$B547&amp;"!W2:W628"),MATCH($A547,INDIRECT(""&amp;$B547&amp;"!B2:B628"),0))=0,"",INDEX(INDIRECT(""&amp;$B547&amp;"!W2:W628"),MATCH($A547,INDIRECT(""&amp;$B547&amp;"!B2:B628"),0)))</f>
        <v/>
      </c>
    </row>
    <row r="548" spans="1:15" x14ac:dyDescent="0.25">
      <c r="A548" s="158" t="s">
        <v>571</v>
      </c>
      <c r="B548" s="158" t="s">
        <v>35</v>
      </c>
      <c r="C548" s="158">
        <f ca="1">IFERROR(INDEX(BYEs!$B$2:$B$33,MATCH(D548,BYEs!$A$2:$A$33,0)),"N/A")</f>
        <v>14</v>
      </c>
      <c r="D548" s="219" t="str">
        <f ca="1">INDEX(INDIRECT(""&amp;B548&amp;"!F2:F628"),MATCH(A548,INDIRECT(""&amp;B548&amp;"!B2:B628"),0))</f>
        <v>NO</v>
      </c>
      <c r="E548" s="218" t="str">
        <f ca="1">INDEX(INDIRECT(""&amp;$B548&amp;"!AA2:AA628"),MATCH($A548,INDIRECT(""&amp;$B548&amp;"!B2:B628"),0))</f>
        <v>WR11</v>
      </c>
      <c r="F548" s="159">
        <f ca="1">IF(LeagueInfo!$H$7="Starter/Bench",INDEX(INDIRECT(""&amp;B548&amp;"!T2:T628"),MATCH(A548,INDIRECT(""&amp;B548&amp;"!B2:B628"),0)),INDEX(INDIRECT(""&amp;B548&amp;"!AB2:AB628"),MATCH(A548,INDIRECT(""&amp;B548&amp;"!B2:B628"),0)))</f>
        <v>-20.231339959380296</v>
      </c>
      <c r="G548" s="160">
        <f>IF(H548&gt;0,F548-H548,0)</f>
        <v>0</v>
      </c>
      <c r="H548" s="161"/>
      <c r="I548" s="160">
        <f ca="1">F548*$A$2</f>
        <v>-20.231339959380296</v>
      </c>
      <c r="J548" s="160" t="s">
        <v>76</v>
      </c>
      <c r="K548" s="160">
        <f>IF(LeagueInfo!$F$7="Yahoo",IFERROR(INDEX(DefaultAuctionValues!$B$2:$B$1000,MATCH(A548,DefaultAuctionValues!$A$2:$A$1000,0)),0),IF(LeagueInfo!$F$7="ESPN",IFERROR(INDEX(DefaultAuctionValues!$C$2:$C$1000,MATCH(A548,DefaultAuctionValues!$A$2:$A$1000,0)),0),IF(LeagueInfo!$F$7="Custom",IFERROR(INDEX(DefaultAuctionValues!$D$2:$D$1000,MATCH(A548,DefaultAuctionValues!$A$2:$A$1000,0)),0))))</f>
        <v>0</v>
      </c>
      <c r="L548" s="160">
        <f ca="1">I548-K548</f>
        <v>-20.231339959380296</v>
      </c>
      <c r="M548" s="175"/>
      <c r="N548" s="170">
        <f ca="1">INDEX(INDIRECT(""&amp;$B548&amp;"!Z2:Z628"),MATCH($A548,INDIRECT(""&amp;$B548&amp;"!B2:B628"),0))</f>
        <v>-55.789999999999992</v>
      </c>
      <c r="O548" s="158" t="str">
        <f ca="1">IF(INDEX(INDIRECT(""&amp;$B548&amp;"!W2:W628"),MATCH($A548,INDIRECT(""&amp;$B548&amp;"!B2:B628"),0))=0,"",INDEX(INDIRECT(""&amp;$B548&amp;"!W2:W628"),MATCH($A548,INDIRECT(""&amp;$B548&amp;"!B2:B628"),0)))</f>
        <v/>
      </c>
    </row>
    <row r="549" spans="1:15" x14ac:dyDescent="0.25">
      <c r="A549" s="158" t="s">
        <v>2677</v>
      </c>
      <c r="B549" s="158" t="s">
        <v>35</v>
      </c>
      <c r="C549" s="158">
        <f ca="1">IFERROR(INDEX(BYEs!$B$2:$B$33,MATCH(D549,BYEs!$A$2:$A$33,0)),"N/A")</f>
        <v>9</v>
      </c>
      <c r="D549" s="219" t="str">
        <f ca="1">INDEX(INDIRECT(""&amp;B549&amp;"!F2:F628"),MATCH(A549,INDIRECT(""&amp;B549&amp;"!B2:B628"),0))</f>
        <v>DEN</v>
      </c>
      <c r="E549" s="218" t="str">
        <f ca="1">INDEX(INDIRECT(""&amp;$B549&amp;"!AA2:AA628"),MATCH($A549,INDIRECT(""&amp;$B549&amp;"!B2:B628"),0))</f>
        <v>WR11</v>
      </c>
      <c r="F549" s="159">
        <f ca="1">IF(LeagueInfo!$H$7="Starter/Bench",INDEX(INDIRECT(""&amp;B549&amp;"!T2:T628"),MATCH(A549,INDIRECT(""&amp;B549&amp;"!B2:B628"),0)),INDEX(INDIRECT(""&amp;B549&amp;"!AB2:AB628"),MATCH(A549,INDIRECT(""&amp;B549&amp;"!B2:B628"),0)))</f>
        <v>-20.285735030072303</v>
      </c>
      <c r="G549" s="160">
        <f>IF(H549&gt;0,F549-H549,0)</f>
        <v>0</v>
      </c>
      <c r="H549" s="161"/>
      <c r="I549" s="160">
        <f ca="1">F549*$A$2</f>
        <v>-20.285735030072303</v>
      </c>
      <c r="J549" s="160" t="s">
        <v>76</v>
      </c>
      <c r="K549" s="160">
        <f>IF(LeagueInfo!$F$7="Yahoo",IFERROR(INDEX(DefaultAuctionValues!$B$2:$B$1000,MATCH(A549,DefaultAuctionValues!$A$2:$A$1000,0)),0),IF(LeagueInfo!$F$7="ESPN",IFERROR(INDEX(DefaultAuctionValues!$C$2:$C$1000,MATCH(A549,DefaultAuctionValues!$A$2:$A$1000,0)),0),IF(LeagueInfo!$F$7="Custom",IFERROR(INDEX(DefaultAuctionValues!$D$2:$D$1000,MATCH(A549,DefaultAuctionValues!$A$2:$A$1000,0)),0))))</f>
        <v>0</v>
      </c>
      <c r="L549" s="160">
        <f ca="1">I549-K549</f>
        <v>-20.285735030072303</v>
      </c>
      <c r="M549" s="175"/>
      <c r="N549" s="170">
        <f ca="1">INDEX(INDIRECT(""&amp;$B549&amp;"!Z2:Z628"),MATCH($A549,INDIRECT(""&amp;$B549&amp;"!B2:B628"),0))</f>
        <v>-55.939999999999991</v>
      </c>
      <c r="O549" s="158" t="str">
        <f ca="1">IF(INDEX(INDIRECT(""&amp;$B549&amp;"!W2:W628"),MATCH($A549,INDIRECT(""&amp;$B549&amp;"!B2:B628"),0))=0,"",INDEX(INDIRECT(""&amp;$B549&amp;"!W2:W628"),MATCH($A549,INDIRECT(""&amp;$B549&amp;"!B2:B628"),0)))</f>
        <v/>
      </c>
    </row>
    <row r="550" spans="1:15" x14ac:dyDescent="0.25">
      <c r="A550" s="158" t="s">
        <v>2439</v>
      </c>
      <c r="B550" s="158" t="s">
        <v>35</v>
      </c>
      <c r="C550" s="158">
        <f ca="1">IFERROR(INDEX(BYEs!$B$2:$B$33,MATCH(D550,BYEs!$A$2:$A$33,0)),"N/A")</f>
        <v>9</v>
      </c>
      <c r="D550" s="219" t="str">
        <f ca="1">INDEX(INDIRECT(""&amp;B550&amp;"!F2:F628"),MATCH(A550,INDIRECT(""&amp;B550&amp;"!B2:B628"),0))</f>
        <v>NYG</v>
      </c>
      <c r="E550" s="218" t="str">
        <f ca="1">INDEX(INDIRECT(""&amp;$B550&amp;"!AA2:AA628"),MATCH($A550,INDIRECT(""&amp;$B550&amp;"!B2:B628"),0))</f>
        <v>WR11</v>
      </c>
      <c r="F550" s="159">
        <f ca="1">IF(LeagueInfo!$H$7="Starter/Bench",INDEX(INDIRECT(""&amp;B550&amp;"!T2:T628"),MATCH(A550,INDIRECT(""&amp;B550&amp;"!B2:B628"),0)),INDEX(INDIRECT(""&amp;B550&amp;"!AB2:AB628"),MATCH(A550,INDIRECT(""&amp;B550&amp;"!B2:B628"),0)))</f>
        <v>-20.367327636110314</v>
      </c>
      <c r="G550" s="160">
        <f>IF(H550&gt;0,F550-H550,0)</f>
        <v>0</v>
      </c>
      <c r="H550" s="161"/>
      <c r="I550" s="160">
        <f ca="1">F550*$A$2</f>
        <v>-20.367327636110314</v>
      </c>
      <c r="J550" s="160" t="s">
        <v>76</v>
      </c>
      <c r="K550" s="160">
        <f>IF(LeagueInfo!$F$7="Yahoo",IFERROR(INDEX(DefaultAuctionValues!$B$2:$B$1000,MATCH(A550,DefaultAuctionValues!$A$2:$A$1000,0)),0),IF(LeagueInfo!$F$7="ESPN",IFERROR(INDEX(DefaultAuctionValues!$C$2:$C$1000,MATCH(A550,DefaultAuctionValues!$A$2:$A$1000,0)),0),IF(LeagueInfo!$F$7="Custom",IFERROR(INDEX(DefaultAuctionValues!$D$2:$D$1000,MATCH(A550,DefaultAuctionValues!$A$2:$A$1000,0)),0))))</f>
        <v>0</v>
      </c>
      <c r="L550" s="160">
        <f ca="1">I550-K550</f>
        <v>-20.367327636110314</v>
      </c>
      <c r="M550" s="175"/>
      <c r="N550" s="170">
        <f ca="1">INDEX(INDIRECT(""&amp;$B550&amp;"!Z2:Z628"),MATCH($A550,INDIRECT(""&amp;$B550&amp;"!B2:B628"),0))</f>
        <v>-56.164999999999992</v>
      </c>
      <c r="O550" s="158" t="str">
        <f ca="1">IF(INDEX(INDIRECT(""&amp;$B550&amp;"!W2:W628"),MATCH($A550,INDIRECT(""&amp;$B550&amp;"!B2:B628"),0))=0,"",INDEX(INDIRECT(""&amp;$B550&amp;"!W2:W628"),MATCH($A550,INDIRECT(""&amp;$B550&amp;"!B2:B628"),0)))</f>
        <v/>
      </c>
    </row>
    <row r="551" spans="1:15" x14ac:dyDescent="0.25">
      <c r="A551" s="158" t="s">
        <v>393</v>
      </c>
      <c r="B551" s="158" t="s">
        <v>35</v>
      </c>
      <c r="C551" s="158">
        <f ca="1">IFERROR(INDEX(BYEs!$B$2:$B$33,MATCH(D551,BYEs!$A$2:$A$33,0)),"N/A")</f>
        <v>13</v>
      </c>
      <c r="D551" s="219" t="str">
        <f ca="1">INDEX(INDIRECT(""&amp;B551&amp;"!F2:F628"),MATCH(A551,INDIRECT(""&amp;B551&amp;"!B2:B628"),0))</f>
        <v>CAR</v>
      </c>
      <c r="E551" s="218" t="str">
        <f ca="1">INDEX(INDIRECT(""&amp;$B551&amp;"!AA2:AA628"),MATCH($A551,INDIRECT(""&amp;$B551&amp;"!B2:B628"),0))</f>
        <v>WR11</v>
      </c>
      <c r="F551" s="159">
        <f ca="1">IF(LeagueInfo!$H$7="Starter/Bench",INDEX(INDIRECT(""&amp;B551&amp;"!T2:T628"),MATCH(A551,INDIRECT(""&amp;B551&amp;"!B2:B628"),0)),INDEX(INDIRECT(""&amp;B551&amp;"!AB2:AB628"),MATCH(A551,INDIRECT(""&amp;B551&amp;"!B2:B628"),0)))</f>
        <v>-20.545018200370869</v>
      </c>
      <c r="G551" s="160">
        <f>IF(H551&gt;0,F551-H551,0)</f>
        <v>0</v>
      </c>
      <c r="H551" s="161"/>
      <c r="I551" s="160">
        <f ca="1">F551*$A$2</f>
        <v>-20.545018200370869</v>
      </c>
      <c r="J551" s="160" t="s">
        <v>76</v>
      </c>
      <c r="K551" s="160">
        <f>IF(LeagueInfo!$F$7="Yahoo",IFERROR(INDEX(DefaultAuctionValues!$B$2:$B$1000,MATCH(A551,DefaultAuctionValues!$A$2:$A$1000,0)),0),IF(LeagueInfo!$F$7="ESPN",IFERROR(INDEX(DefaultAuctionValues!$C$2:$C$1000,MATCH(A551,DefaultAuctionValues!$A$2:$A$1000,0)),0),IF(LeagueInfo!$F$7="Custom",IFERROR(INDEX(DefaultAuctionValues!$D$2:$D$1000,MATCH(A551,DefaultAuctionValues!$A$2:$A$1000,0)),0))))</f>
        <v>0</v>
      </c>
      <c r="L551" s="160">
        <f ca="1">I551-K551</f>
        <v>-20.545018200370869</v>
      </c>
      <c r="M551" s="175"/>
      <c r="N551" s="170">
        <f ca="1">INDEX(INDIRECT(""&amp;$B551&amp;"!Z2:Z628"),MATCH($A551,INDIRECT(""&amp;$B551&amp;"!B2:B628"),0))</f>
        <v>-56.654999999999994</v>
      </c>
      <c r="O551" s="158" t="str">
        <f ca="1">IF(INDEX(INDIRECT(""&amp;$B551&amp;"!W2:W628"),MATCH($A551,INDIRECT(""&amp;$B551&amp;"!B2:B628"),0))=0,"",INDEX(INDIRECT(""&amp;$B551&amp;"!W2:W628"),MATCH($A551,INDIRECT(""&amp;$B551&amp;"!B2:B628"),0)))</f>
        <v/>
      </c>
    </row>
    <row r="552" spans="1:15" x14ac:dyDescent="0.25">
      <c r="A552" s="158" t="s">
        <v>865</v>
      </c>
      <c r="B552" s="158" t="s">
        <v>35</v>
      </c>
      <c r="C552" s="158">
        <f ca="1">IFERROR(INDEX(BYEs!$B$2:$B$33,MATCH(D552,BYEs!$A$2:$A$33,0)),"N/A")</f>
        <v>10</v>
      </c>
      <c r="D552" s="219" t="str">
        <f ca="1">INDEX(INDIRECT(""&amp;B552&amp;"!F2:F628"),MATCH(A552,INDIRECT(""&amp;B552&amp;"!B2:B628"),0))</f>
        <v>CIN</v>
      </c>
      <c r="E552" s="218" t="str">
        <f ca="1">INDEX(INDIRECT(""&amp;$B552&amp;"!AA2:AA628"),MATCH($A552,INDIRECT(""&amp;$B552&amp;"!B2:B628"),0))</f>
        <v>WR11</v>
      </c>
      <c r="F552" s="159">
        <f ca="1">IF(LeagueInfo!$H$7="Starter/Bench",INDEX(INDIRECT(""&amp;B552&amp;"!T2:T628"),MATCH(A552,INDIRECT(""&amp;B552&amp;"!B2:B628"),0)),INDEX(INDIRECT(""&amp;B552&amp;"!AB2:AB628"),MATCH(A552,INDIRECT(""&amp;B552&amp;"!B2:B628"),0)))</f>
        <v>-20.592160594970611</v>
      </c>
      <c r="G552" s="160">
        <f>IF(H552&gt;0,F552-H552,0)</f>
        <v>0</v>
      </c>
      <c r="H552" s="161"/>
      <c r="I552" s="160">
        <f ca="1">F552*$A$2</f>
        <v>-20.592160594970611</v>
      </c>
      <c r="J552" s="160" t="s">
        <v>76</v>
      </c>
      <c r="K552" s="160">
        <f>IF(LeagueInfo!$F$7="Yahoo",IFERROR(INDEX(DefaultAuctionValues!$B$2:$B$1000,MATCH(A552,DefaultAuctionValues!$A$2:$A$1000,0)),0),IF(LeagueInfo!$F$7="ESPN",IFERROR(INDEX(DefaultAuctionValues!$C$2:$C$1000,MATCH(A552,DefaultAuctionValues!$A$2:$A$1000,0)),0),IF(LeagueInfo!$F$7="Custom",IFERROR(INDEX(DefaultAuctionValues!$D$2:$D$1000,MATCH(A552,DefaultAuctionValues!$A$2:$A$1000,0)),0))))</f>
        <v>0</v>
      </c>
      <c r="L552" s="160">
        <f ca="1">I552-K552</f>
        <v>-20.592160594970611</v>
      </c>
      <c r="M552" s="175"/>
      <c r="N552" s="170">
        <f ca="1">INDEX(INDIRECT(""&amp;$B552&amp;"!Z2:Z628"),MATCH($A552,INDIRECT(""&amp;$B552&amp;"!B2:B628"),0))</f>
        <v>-56.784999999999997</v>
      </c>
      <c r="O552" s="158" t="str">
        <f ca="1">IF(INDEX(INDIRECT(""&amp;$B552&amp;"!W2:W628"),MATCH($A552,INDIRECT(""&amp;$B552&amp;"!B2:B628"),0))=0,"",INDEX(INDIRECT(""&amp;$B552&amp;"!W2:W628"),MATCH($A552,INDIRECT(""&amp;$B552&amp;"!B2:B628"),0)))</f>
        <v/>
      </c>
    </row>
    <row r="553" spans="1:15" x14ac:dyDescent="0.25">
      <c r="A553" s="158" t="s">
        <v>631</v>
      </c>
      <c r="B553" s="158" t="s">
        <v>35</v>
      </c>
      <c r="C553" s="158">
        <f ca="1">IFERROR(INDEX(BYEs!$B$2:$B$33,MATCH(D553,BYEs!$A$2:$A$33,0)),"N/A")</f>
        <v>10</v>
      </c>
      <c r="D553" s="219" t="str">
        <f ca="1">INDEX(INDIRECT(""&amp;B553&amp;"!F2:F628"),MATCH(A553,INDIRECT(""&amp;B553&amp;"!B2:B628"),0))</f>
        <v>CIN</v>
      </c>
      <c r="E553" s="218" t="str">
        <f ca="1">INDEX(INDIRECT(""&amp;$B553&amp;"!AA2:AA628"),MATCH($A553,INDIRECT(""&amp;$B553&amp;"!B2:B628"),0))</f>
        <v>WR11</v>
      </c>
      <c r="F553" s="159">
        <f ca="1">IF(LeagueInfo!$H$7="Starter/Bench",INDEX(INDIRECT(""&amp;B553&amp;"!T2:T628"),MATCH(A553,INDIRECT(""&amp;B553&amp;"!B2:B628"),0)),INDEX(INDIRECT(""&amp;B553&amp;"!AB2:AB628"),MATCH(A553,INDIRECT(""&amp;B553&amp;"!B2:B628"),0)))</f>
        <v>-20.651995172731812</v>
      </c>
      <c r="G553" s="160">
        <f>IF(H553&gt;0,F553-H553,0)</f>
        <v>0</v>
      </c>
      <c r="H553" s="161"/>
      <c r="I553" s="160">
        <f ca="1">F553*$A$2</f>
        <v>-20.651995172731812</v>
      </c>
      <c r="J553" s="160" t="s">
        <v>76</v>
      </c>
      <c r="K553" s="160">
        <f>IF(LeagueInfo!$F$7="Yahoo",IFERROR(INDEX(DefaultAuctionValues!$B$2:$B$1000,MATCH(A553,DefaultAuctionValues!$A$2:$A$1000,0)),0),IF(LeagueInfo!$F$7="ESPN",IFERROR(INDEX(DefaultAuctionValues!$C$2:$C$1000,MATCH(A553,DefaultAuctionValues!$A$2:$A$1000,0)),0),IF(LeagueInfo!$F$7="Custom",IFERROR(INDEX(DefaultAuctionValues!$D$2:$D$1000,MATCH(A553,DefaultAuctionValues!$A$2:$A$1000,0)),0))))</f>
        <v>0</v>
      </c>
      <c r="L553" s="160">
        <f ca="1">I553-K553</f>
        <v>-20.651995172731812</v>
      </c>
      <c r="M553" s="175"/>
      <c r="N553" s="170">
        <f ca="1">INDEX(INDIRECT(""&amp;$B553&amp;"!Z2:Z628"),MATCH($A553,INDIRECT(""&amp;$B553&amp;"!B2:B628"),0))</f>
        <v>-56.949999999999989</v>
      </c>
      <c r="O553" s="158" t="str">
        <f ca="1">IF(INDEX(INDIRECT(""&amp;$B553&amp;"!W2:W628"),MATCH($A553,INDIRECT(""&amp;$B553&amp;"!B2:B628"),0))=0,"",INDEX(INDIRECT(""&amp;$B553&amp;"!W2:W628"),MATCH($A553,INDIRECT(""&amp;$B553&amp;"!B2:B628"),0)))</f>
        <v/>
      </c>
    </row>
    <row r="554" spans="1:15" x14ac:dyDescent="0.25">
      <c r="A554" s="158" t="s">
        <v>738</v>
      </c>
      <c r="B554" s="158" t="s">
        <v>35</v>
      </c>
      <c r="C554" s="158">
        <f ca="1">IFERROR(INDEX(BYEs!$B$2:$B$33,MATCH(D554,BYEs!$A$2:$A$33,0)),"N/A")</f>
        <v>13</v>
      </c>
      <c r="D554" s="219" t="str">
        <f ca="1">INDEX(INDIRECT(""&amp;B554&amp;"!F2:F628"),MATCH(A554,INDIRECT(""&amp;B554&amp;"!B2:B628"),0))</f>
        <v>ARI</v>
      </c>
      <c r="E554" s="218" t="str">
        <f ca="1">INDEX(INDIRECT(""&amp;$B554&amp;"!AA2:AA628"),MATCH($A554,INDIRECT(""&amp;$B554&amp;"!B2:B628"),0))</f>
        <v>WR11</v>
      </c>
      <c r="F554" s="159">
        <f ca="1">IF(LeagueInfo!$H$7="Starter/Bench",INDEX(INDIRECT(""&amp;B554&amp;"!T2:T628"),MATCH(A554,INDIRECT(""&amp;B554&amp;"!B2:B628"),0)),INDEX(INDIRECT(""&amp;B554&amp;"!AB2:AB628"),MATCH(A554,INDIRECT(""&amp;B554&amp;"!B2:B628"),0)))</f>
        <v>-20.679192708077817</v>
      </c>
      <c r="G554" s="160">
        <f>IF(H554&gt;0,F554-H554,0)</f>
        <v>0</v>
      </c>
      <c r="H554" s="161"/>
      <c r="I554" s="160">
        <f ca="1">F554*$A$2</f>
        <v>-20.679192708077817</v>
      </c>
      <c r="J554" s="160" t="s">
        <v>76</v>
      </c>
      <c r="K554" s="160">
        <f>IF(LeagueInfo!$F$7="Yahoo",IFERROR(INDEX(DefaultAuctionValues!$B$2:$B$1000,MATCH(A554,DefaultAuctionValues!$A$2:$A$1000,0)),0),IF(LeagueInfo!$F$7="ESPN",IFERROR(INDEX(DefaultAuctionValues!$C$2:$C$1000,MATCH(A554,DefaultAuctionValues!$A$2:$A$1000,0)),0),IF(LeagueInfo!$F$7="Custom",IFERROR(INDEX(DefaultAuctionValues!$D$2:$D$1000,MATCH(A554,DefaultAuctionValues!$A$2:$A$1000,0)),0))))</f>
        <v>0</v>
      </c>
      <c r="L554" s="160">
        <f ca="1">I554-K554</f>
        <v>-20.679192708077817</v>
      </c>
      <c r="M554" s="175"/>
      <c r="N554" s="170">
        <f ca="1">INDEX(INDIRECT(""&amp;$B554&amp;"!Z2:Z628"),MATCH($A554,INDIRECT(""&amp;$B554&amp;"!B2:B628"),0))</f>
        <v>-57.024999999999991</v>
      </c>
      <c r="O554" s="158" t="str">
        <f ca="1">IF(INDEX(INDIRECT(""&amp;$B554&amp;"!W2:W628"),MATCH($A554,INDIRECT(""&amp;$B554&amp;"!B2:B628"),0))=0,"",INDEX(INDIRECT(""&amp;$B554&amp;"!W2:W628"),MATCH($A554,INDIRECT(""&amp;$B554&amp;"!B2:B628"),0)))</f>
        <v/>
      </c>
    </row>
    <row r="555" spans="1:15" x14ac:dyDescent="0.25">
      <c r="A555" s="158" t="s">
        <v>800</v>
      </c>
      <c r="B555" s="158" t="s">
        <v>35</v>
      </c>
      <c r="C555" s="158">
        <f ca="1">IFERROR(INDEX(BYEs!$B$2:$B$33,MATCH(D555,BYEs!$A$2:$A$33,0)),"N/A")</f>
        <v>14</v>
      </c>
      <c r="D555" s="219" t="str">
        <f ca="1">INDEX(INDIRECT(""&amp;B555&amp;"!F2:F628"),MATCH(A555,INDIRECT(""&amp;B555&amp;"!B2:B628"),0))</f>
        <v>ATL</v>
      </c>
      <c r="E555" s="218" t="str">
        <f ca="1">INDEX(INDIRECT(""&amp;$B555&amp;"!AA2:AA628"),MATCH($A555,INDIRECT(""&amp;$B555&amp;"!B2:B628"),0))</f>
        <v>WR11</v>
      </c>
      <c r="F555" s="159">
        <f ca="1">IF(LeagueInfo!$H$7="Starter/Bench",INDEX(INDIRECT(""&amp;B555&amp;"!T2:T628"),MATCH(A555,INDIRECT(""&amp;B555&amp;"!B2:B628"),0)),INDEX(INDIRECT(""&amp;B555&amp;"!AB2:AB628"),MATCH(A555,INDIRECT(""&amp;B555&amp;"!B2:B628"),0)))</f>
        <v>-20.697324398308485</v>
      </c>
      <c r="G555" s="160">
        <f>IF(H555&gt;0,F555-H555,0)</f>
        <v>0</v>
      </c>
      <c r="H555" s="161"/>
      <c r="I555" s="160">
        <f ca="1">F555*$A$2</f>
        <v>-20.697324398308485</v>
      </c>
      <c r="J555" s="160" t="s">
        <v>76</v>
      </c>
      <c r="K555" s="160">
        <f>IF(LeagueInfo!$F$7="Yahoo",IFERROR(INDEX(DefaultAuctionValues!$B$2:$B$1000,MATCH(A555,DefaultAuctionValues!$A$2:$A$1000,0)),0),IF(LeagueInfo!$F$7="ESPN",IFERROR(INDEX(DefaultAuctionValues!$C$2:$C$1000,MATCH(A555,DefaultAuctionValues!$A$2:$A$1000,0)),0),IF(LeagueInfo!$F$7="Custom",IFERROR(INDEX(DefaultAuctionValues!$D$2:$D$1000,MATCH(A555,DefaultAuctionValues!$A$2:$A$1000,0)),0))))</f>
        <v>0</v>
      </c>
      <c r="L555" s="160">
        <f ca="1">I555-K555</f>
        <v>-20.697324398308485</v>
      </c>
      <c r="M555" s="175"/>
      <c r="N555" s="170">
        <f ca="1">INDEX(INDIRECT(""&amp;$B555&amp;"!Z2:Z628"),MATCH($A555,INDIRECT(""&amp;$B555&amp;"!B2:B628"),0))</f>
        <v>-57.074999999999989</v>
      </c>
      <c r="O555" s="158" t="str">
        <f ca="1">IF(INDEX(INDIRECT(""&amp;$B555&amp;"!W2:W628"),MATCH($A555,INDIRECT(""&amp;$B555&amp;"!B2:B628"),0))=0,"",INDEX(INDIRECT(""&amp;$B555&amp;"!W2:W628"),MATCH($A555,INDIRECT(""&amp;$B555&amp;"!B2:B628"),0)))</f>
        <v/>
      </c>
    </row>
    <row r="556" spans="1:15" x14ac:dyDescent="0.25">
      <c r="A556" s="158" t="s">
        <v>2440</v>
      </c>
      <c r="B556" s="158" t="s">
        <v>35</v>
      </c>
      <c r="C556" s="158">
        <f ca="1">IFERROR(INDEX(BYEs!$B$2:$B$33,MATCH(D556,BYEs!$A$2:$A$33,0)),"N/A")</f>
        <v>11</v>
      </c>
      <c r="D556" s="219" t="str">
        <f ca="1">INDEX(INDIRECT(""&amp;B556&amp;"!F2:F628"),MATCH(A556,INDIRECT(""&amp;B556&amp;"!B2:B628"),0))</f>
        <v>SEA</v>
      </c>
      <c r="E556" s="218" t="str">
        <f ca="1">INDEX(INDIRECT(""&amp;$B556&amp;"!AA2:AA628"),MATCH($A556,INDIRECT(""&amp;$B556&amp;"!B2:B628"),0))</f>
        <v>WR11</v>
      </c>
      <c r="F556" s="159">
        <f ca="1">IF(LeagueInfo!$H$7="Starter/Bench",INDEX(INDIRECT(""&amp;B556&amp;"!T2:T628"),MATCH(A556,INDIRECT(""&amp;B556&amp;"!B2:B628"),0)),INDEX(INDIRECT(""&amp;B556&amp;"!AB2:AB628"),MATCH(A556,INDIRECT(""&amp;B556&amp;"!B2:B628"),0)))</f>
        <v>-20.702763905377687</v>
      </c>
      <c r="G556" s="160">
        <f>IF(H556&gt;0,F556-H556,0)</f>
        <v>0</v>
      </c>
      <c r="H556" s="161"/>
      <c r="I556" s="160">
        <f ca="1">F556*$A$2</f>
        <v>-20.702763905377687</v>
      </c>
      <c r="J556" s="160" t="s">
        <v>76</v>
      </c>
      <c r="K556" s="160">
        <f>IF(LeagueInfo!$F$7="Yahoo",IFERROR(INDEX(DefaultAuctionValues!$B$2:$B$1000,MATCH(A556,DefaultAuctionValues!$A$2:$A$1000,0)),0),IF(LeagueInfo!$F$7="ESPN",IFERROR(INDEX(DefaultAuctionValues!$C$2:$C$1000,MATCH(A556,DefaultAuctionValues!$A$2:$A$1000,0)),0),IF(LeagueInfo!$F$7="Custom",IFERROR(INDEX(DefaultAuctionValues!$D$2:$D$1000,MATCH(A556,DefaultAuctionValues!$A$2:$A$1000,0)),0))))</f>
        <v>0</v>
      </c>
      <c r="L556" s="160">
        <f ca="1">I556-K556</f>
        <v>-20.702763905377687</v>
      </c>
      <c r="M556" s="175"/>
      <c r="N556" s="170">
        <f ca="1">INDEX(INDIRECT(""&amp;$B556&amp;"!Z2:Z628"),MATCH($A556,INDIRECT(""&amp;$B556&amp;"!B2:B628"),0))</f>
        <v>-57.089999999999989</v>
      </c>
      <c r="O556" s="158" t="str">
        <f ca="1">IF(INDEX(INDIRECT(""&amp;$B556&amp;"!W2:W628"),MATCH($A556,INDIRECT(""&amp;$B556&amp;"!B2:B628"),0))=0,"",INDEX(INDIRECT(""&amp;$B556&amp;"!W2:W628"),MATCH($A556,INDIRECT(""&amp;$B556&amp;"!B2:B628"),0)))</f>
        <v/>
      </c>
    </row>
    <row r="557" spans="1:15" x14ac:dyDescent="0.25">
      <c r="A557" s="158" t="s">
        <v>2630</v>
      </c>
      <c r="B557" s="158" t="s">
        <v>35</v>
      </c>
      <c r="C557" s="158">
        <f ca="1">IFERROR(INDEX(BYEs!$B$2:$B$33,MATCH(D557,BYEs!$A$2:$A$33,0)),"N/A")</f>
        <v>14</v>
      </c>
      <c r="D557" s="219" t="str">
        <f ca="1">INDEX(INDIRECT(""&amp;B557&amp;"!F2:F628"),MATCH(A557,INDIRECT(""&amp;B557&amp;"!B2:B628"),0))</f>
        <v>GB</v>
      </c>
      <c r="E557" s="218" t="str">
        <f ca="1">INDEX(INDIRECT(""&amp;$B557&amp;"!AA2:AA628"),MATCH($A557,INDIRECT(""&amp;$B557&amp;"!B2:B628"),0))</f>
        <v>WR12</v>
      </c>
      <c r="F557" s="159">
        <f ca="1">IF(LeagueInfo!$H$7="Starter/Bench",INDEX(INDIRECT(""&amp;B557&amp;"!T2:T628"),MATCH(A557,INDIRECT(""&amp;B557&amp;"!B2:B628"),0)),INDEX(INDIRECT(""&amp;B557&amp;"!AB2:AB628"),MATCH(A557,INDIRECT(""&amp;B557&amp;"!B2:B628"),0)))</f>
        <v>-20.969299751768521</v>
      </c>
      <c r="G557" s="160">
        <f>IF(H557&gt;0,F557-H557,0)</f>
        <v>0</v>
      </c>
      <c r="H557" s="161"/>
      <c r="I557" s="160">
        <f ca="1">F557*$A$2</f>
        <v>-20.969299751768521</v>
      </c>
      <c r="J557" s="160" t="s">
        <v>76</v>
      </c>
      <c r="K557" s="160">
        <f>IF(LeagueInfo!$F$7="Yahoo",IFERROR(INDEX(DefaultAuctionValues!$B$2:$B$1000,MATCH(A557,DefaultAuctionValues!$A$2:$A$1000,0)),0),IF(LeagueInfo!$F$7="ESPN",IFERROR(INDEX(DefaultAuctionValues!$C$2:$C$1000,MATCH(A557,DefaultAuctionValues!$A$2:$A$1000,0)),0),IF(LeagueInfo!$F$7="Custom",IFERROR(INDEX(DefaultAuctionValues!$D$2:$D$1000,MATCH(A557,DefaultAuctionValues!$A$2:$A$1000,0)),0))))</f>
        <v>0</v>
      </c>
      <c r="L557" s="160">
        <f ca="1">I557-K557</f>
        <v>-20.969299751768521</v>
      </c>
      <c r="M557" s="175"/>
      <c r="N557" s="170">
        <f ca="1">INDEX(INDIRECT(""&amp;$B557&amp;"!Z2:Z628"),MATCH($A557,INDIRECT(""&amp;$B557&amp;"!B2:B628"),0))</f>
        <v>-57.824999999999996</v>
      </c>
      <c r="O557" s="158" t="str">
        <f ca="1">IF(INDEX(INDIRECT(""&amp;$B557&amp;"!W2:W628"),MATCH($A557,INDIRECT(""&amp;$B557&amp;"!B2:B628"),0))=0,"",INDEX(INDIRECT(""&amp;$B557&amp;"!W2:W628"),MATCH($A557,INDIRECT(""&amp;$B557&amp;"!B2:B628"),0)))</f>
        <v/>
      </c>
    </row>
    <row r="558" spans="1:15" x14ac:dyDescent="0.25">
      <c r="A558" s="158" t="s">
        <v>704</v>
      </c>
      <c r="B558" s="158" t="s">
        <v>35</v>
      </c>
      <c r="C558" s="158">
        <f ca="1">IFERROR(INDEX(BYEs!$B$2:$B$33,MATCH(D558,BYEs!$A$2:$A$33,0)),"N/A")</f>
        <v>13</v>
      </c>
      <c r="D558" s="219" t="str">
        <f ca="1">INDEX(INDIRECT(""&amp;B558&amp;"!F2:F628"),MATCH(A558,INDIRECT(""&amp;B558&amp;"!B2:B628"),0))</f>
        <v>ARI</v>
      </c>
      <c r="E558" s="218" t="str">
        <f ca="1">INDEX(INDIRECT(""&amp;$B558&amp;"!AA2:AA628"),MATCH($A558,INDIRECT(""&amp;$B558&amp;"!B2:B628"),0))</f>
        <v>WR12</v>
      </c>
      <c r="F558" s="159">
        <f ca="1">IF(LeagueInfo!$H$7="Starter/Bench",INDEX(INDIRECT(""&amp;B558&amp;"!T2:T628"),MATCH(A558,INDIRECT(""&amp;B558&amp;"!B2:B628"),0)),INDEX(INDIRECT(""&amp;B558&amp;"!AB2:AB628"),MATCH(A558,INDIRECT(""&amp;B558&amp;"!B2:B628"),0)))</f>
        <v>-21.009189470275992</v>
      </c>
      <c r="G558" s="160">
        <f>IF(H558&gt;0,F558-H558,0)</f>
        <v>0</v>
      </c>
      <c r="H558" s="161"/>
      <c r="I558" s="160">
        <f ca="1">F558*$A$2</f>
        <v>-21.009189470275992</v>
      </c>
      <c r="J558" s="160" t="s">
        <v>76</v>
      </c>
      <c r="K558" s="160">
        <f>IF(LeagueInfo!$F$7="Yahoo",IFERROR(INDEX(DefaultAuctionValues!$B$2:$B$1000,MATCH(A558,DefaultAuctionValues!$A$2:$A$1000,0)),0),IF(LeagueInfo!$F$7="ESPN",IFERROR(INDEX(DefaultAuctionValues!$C$2:$C$1000,MATCH(A558,DefaultAuctionValues!$A$2:$A$1000,0)),0),IF(LeagueInfo!$F$7="Custom",IFERROR(INDEX(DefaultAuctionValues!$D$2:$D$1000,MATCH(A558,DefaultAuctionValues!$A$2:$A$1000,0)),0))))</f>
        <v>0</v>
      </c>
      <c r="L558" s="160">
        <f ca="1">I558-K558</f>
        <v>-21.009189470275992</v>
      </c>
      <c r="M558" s="175"/>
      <c r="N558" s="170">
        <f ca="1">INDEX(INDIRECT(""&amp;$B558&amp;"!Z2:Z628"),MATCH($A558,INDIRECT(""&amp;$B558&amp;"!B2:B628"),0))</f>
        <v>-57.934999999999995</v>
      </c>
      <c r="O558" s="158" t="str">
        <f ca="1">IF(INDEX(INDIRECT(""&amp;$B558&amp;"!W2:W628"),MATCH($A558,INDIRECT(""&amp;$B558&amp;"!B2:B628"),0))=0,"",INDEX(INDIRECT(""&amp;$B558&amp;"!W2:W628"),MATCH($A558,INDIRECT(""&amp;$B558&amp;"!B2:B628"),0)))</f>
        <v/>
      </c>
    </row>
    <row r="559" spans="1:15" x14ac:dyDescent="0.25">
      <c r="A559" s="158" t="s">
        <v>2620</v>
      </c>
      <c r="B559" s="158" t="s">
        <v>35</v>
      </c>
      <c r="C559" s="158">
        <f ca="1">IFERROR(INDEX(BYEs!$B$2:$B$33,MATCH(D559,BYEs!$A$2:$A$33,0)),"N/A")</f>
        <v>9</v>
      </c>
      <c r="D559" s="219" t="str">
        <f ca="1">INDEX(INDIRECT(""&amp;B559&amp;"!F2:F628"),MATCH(A559,INDIRECT(""&amp;B559&amp;"!B2:B628"),0))</f>
        <v>DAL</v>
      </c>
      <c r="E559" s="218" t="str">
        <f ca="1">INDEX(INDIRECT(""&amp;$B559&amp;"!AA2:AA628"),MATCH($A559,INDIRECT(""&amp;$B559&amp;"!B2:B628"),0))</f>
        <v>WR12</v>
      </c>
      <c r="F559" s="159">
        <f ca="1">IF(LeagueInfo!$H$7="Starter/Bench",INDEX(INDIRECT(""&amp;B559&amp;"!T2:T628"),MATCH(A559,INDIRECT(""&amp;B559&amp;"!B2:B628"),0)),INDEX(INDIRECT(""&amp;B559&amp;"!AB2:AB628"),MATCH(A559,INDIRECT(""&amp;B559&amp;"!B2:B628"),0)))</f>
        <v>-21.016442146368259</v>
      </c>
      <c r="G559" s="160">
        <f>IF(H559&gt;0,F559-H559,0)</f>
        <v>0</v>
      </c>
      <c r="H559" s="161"/>
      <c r="I559" s="160">
        <f ca="1">F559*$A$2</f>
        <v>-21.016442146368259</v>
      </c>
      <c r="J559" s="160" t="s">
        <v>76</v>
      </c>
      <c r="K559" s="160">
        <f>IF(LeagueInfo!$F$7="Yahoo",IFERROR(INDEX(DefaultAuctionValues!$B$2:$B$1000,MATCH(A559,DefaultAuctionValues!$A$2:$A$1000,0)),0),IF(LeagueInfo!$F$7="ESPN",IFERROR(INDEX(DefaultAuctionValues!$C$2:$C$1000,MATCH(A559,DefaultAuctionValues!$A$2:$A$1000,0)),0),IF(LeagueInfo!$F$7="Custom",IFERROR(INDEX(DefaultAuctionValues!$D$2:$D$1000,MATCH(A559,DefaultAuctionValues!$A$2:$A$1000,0)),0))))</f>
        <v>0</v>
      </c>
      <c r="L559" s="160">
        <f ca="1">I559-K559</f>
        <v>-21.016442146368259</v>
      </c>
      <c r="M559" s="175"/>
      <c r="N559" s="170">
        <f ca="1">INDEX(INDIRECT(""&amp;$B559&amp;"!Z2:Z628"),MATCH($A559,INDIRECT(""&amp;$B559&amp;"!B2:B628"),0))</f>
        <v>-57.954999999999991</v>
      </c>
      <c r="O559" s="158" t="str">
        <f ca="1">IF(INDEX(INDIRECT(""&amp;$B559&amp;"!W2:W628"),MATCH($A559,INDIRECT(""&amp;$B559&amp;"!B2:B628"),0))=0,"",INDEX(INDIRECT(""&amp;$B559&amp;"!W2:W628"),MATCH($A559,INDIRECT(""&amp;$B559&amp;"!B2:B628"),0)))</f>
        <v/>
      </c>
    </row>
    <row r="560" spans="1:15" x14ac:dyDescent="0.25">
      <c r="A560" s="158" t="s">
        <v>1000</v>
      </c>
      <c r="B560" s="158" t="s">
        <v>35</v>
      </c>
      <c r="C560" s="158">
        <f ca="1">IFERROR(INDEX(BYEs!$B$2:$B$33,MATCH(D560,BYEs!$A$2:$A$33,0)),"N/A")</f>
        <v>7</v>
      </c>
      <c r="D560" s="219" t="str">
        <f ca="1">INDEX(INDIRECT(""&amp;B560&amp;"!F2:F628"),MATCH(A560,INDIRECT(""&amp;B560&amp;"!B2:B628"),0))</f>
        <v>BUF</v>
      </c>
      <c r="E560" s="218" t="str">
        <f ca="1">INDEX(INDIRECT(""&amp;$B560&amp;"!AA2:AA628"),MATCH($A560,INDIRECT(""&amp;$B560&amp;"!B2:B628"),0))</f>
        <v>WR12</v>
      </c>
      <c r="F560" s="159">
        <f ca="1">IF(LeagueInfo!$H$7="Starter/Bench",INDEX(INDIRECT(""&amp;B560&amp;"!T2:T628"),MATCH(A560,INDIRECT(""&amp;B560&amp;"!B2:B628"),0)),INDEX(INDIRECT(""&amp;B560&amp;"!AB2:AB628"),MATCH(A560,INDIRECT(""&amp;B560&amp;"!B2:B628"),0)))</f>
        <v>-21.023694822460527</v>
      </c>
      <c r="G560" s="160">
        <f>IF(H560&gt;0,F560-H560,0)</f>
        <v>0</v>
      </c>
      <c r="H560" s="161"/>
      <c r="I560" s="160">
        <f ca="1">F560*$A$2</f>
        <v>-21.023694822460527</v>
      </c>
      <c r="J560" s="160" t="s">
        <v>76</v>
      </c>
      <c r="K560" s="160">
        <f>IF(LeagueInfo!$F$7="Yahoo",IFERROR(INDEX(DefaultAuctionValues!$B$2:$B$1000,MATCH(A560,DefaultAuctionValues!$A$2:$A$1000,0)),0),IF(LeagueInfo!$F$7="ESPN",IFERROR(INDEX(DefaultAuctionValues!$C$2:$C$1000,MATCH(A560,DefaultAuctionValues!$A$2:$A$1000,0)),0),IF(LeagueInfo!$F$7="Custom",IFERROR(INDEX(DefaultAuctionValues!$D$2:$D$1000,MATCH(A560,DefaultAuctionValues!$A$2:$A$1000,0)),0))))</f>
        <v>0</v>
      </c>
      <c r="L560" s="160">
        <f ca="1">I560-K560</f>
        <v>-21.023694822460527</v>
      </c>
      <c r="M560" s="175"/>
      <c r="N560" s="170">
        <f ca="1">INDEX(INDIRECT(""&amp;$B560&amp;"!Z2:Z628"),MATCH($A560,INDIRECT(""&amp;$B560&amp;"!B2:B628"),0))</f>
        <v>-57.974999999999994</v>
      </c>
      <c r="O560" s="158" t="str">
        <f ca="1">IF(INDEX(INDIRECT(""&amp;$B560&amp;"!W2:W628"),MATCH($A560,INDIRECT(""&amp;$B560&amp;"!B2:B628"),0))=0,"",INDEX(INDIRECT(""&amp;$B560&amp;"!W2:W628"),MATCH($A560,INDIRECT(""&amp;$B560&amp;"!B2:B628"),0)))</f>
        <v/>
      </c>
    </row>
    <row r="561" spans="1:15" x14ac:dyDescent="0.25">
      <c r="A561" s="158" t="s">
        <v>697</v>
      </c>
      <c r="B561" s="158" t="s">
        <v>35</v>
      </c>
      <c r="C561" s="158">
        <f ca="1">IFERROR(INDEX(BYEs!$B$2:$B$33,MATCH(D561,BYEs!$A$2:$A$33,0)),"N/A")</f>
        <v>14</v>
      </c>
      <c r="D561" s="219" t="str">
        <f ca="1">INDEX(INDIRECT(""&amp;B561&amp;"!F2:F628"),MATCH(A561,INDIRECT(""&amp;B561&amp;"!B2:B628"),0))</f>
        <v>CHI</v>
      </c>
      <c r="E561" s="218" t="str">
        <f ca="1">INDEX(INDIRECT(""&amp;$B561&amp;"!AA2:AA628"),MATCH($A561,INDIRECT(""&amp;$B561&amp;"!B2:B628"),0))</f>
        <v>WR12</v>
      </c>
      <c r="F561" s="159">
        <f ca="1">IF(LeagueInfo!$H$7="Starter/Bench",INDEX(INDIRECT(""&amp;B561&amp;"!T2:T628"),MATCH(A561,INDIRECT(""&amp;B561&amp;"!B2:B628"),0)),INDEX(INDIRECT(""&amp;B561&amp;"!AB2:AB628"),MATCH(A561,INDIRECT(""&amp;B561&amp;"!B2:B628"),0)))</f>
        <v>-21.043639681714264</v>
      </c>
      <c r="G561" s="160">
        <f>IF(H561&gt;0,F561-H561,0)</f>
        <v>0</v>
      </c>
      <c r="H561" s="161"/>
      <c r="I561" s="160">
        <f ca="1">F561*$A$2</f>
        <v>-21.043639681714264</v>
      </c>
      <c r="J561" s="160" t="s">
        <v>76</v>
      </c>
      <c r="K561" s="160">
        <f>IF(LeagueInfo!$F$7="Yahoo",IFERROR(INDEX(DefaultAuctionValues!$B$2:$B$1000,MATCH(A561,DefaultAuctionValues!$A$2:$A$1000,0)),0),IF(LeagueInfo!$F$7="ESPN",IFERROR(INDEX(DefaultAuctionValues!$C$2:$C$1000,MATCH(A561,DefaultAuctionValues!$A$2:$A$1000,0)),0),IF(LeagueInfo!$F$7="Custom",IFERROR(INDEX(DefaultAuctionValues!$D$2:$D$1000,MATCH(A561,DefaultAuctionValues!$A$2:$A$1000,0)),0))))</f>
        <v>0</v>
      </c>
      <c r="L561" s="160">
        <f ca="1">I561-K561</f>
        <v>-21.043639681714264</v>
      </c>
      <c r="M561" s="175"/>
      <c r="N561" s="170">
        <f ca="1">INDEX(INDIRECT(""&amp;$B561&amp;"!Z2:Z628"),MATCH($A561,INDIRECT(""&amp;$B561&amp;"!B2:B628"),0))</f>
        <v>-58.029999999999994</v>
      </c>
      <c r="O561" s="158" t="str">
        <f ca="1">IF(INDEX(INDIRECT(""&amp;$B561&amp;"!W2:W628"),MATCH($A561,INDIRECT(""&amp;$B561&amp;"!B2:B628"),0))=0,"",INDEX(INDIRECT(""&amp;$B561&amp;"!W2:W628"),MATCH($A561,INDIRECT(""&amp;$B561&amp;"!B2:B628"),0)))</f>
        <v/>
      </c>
    </row>
    <row r="562" spans="1:15" x14ac:dyDescent="0.25">
      <c r="A562" s="158" t="s">
        <v>868</v>
      </c>
      <c r="B562" s="158" t="s">
        <v>35</v>
      </c>
      <c r="C562" s="158">
        <f ca="1">IFERROR(INDEX(BYEs!$B$2:$B$33,MATCH(D562,BYEs!$A$2:$A$33,0)),"N/A")</f>
        <v>10</v>
      </c>
      <c r="D562" s="219" t="str">
        <f ca="1">INDEX(INDIRECT(""&amp;B562&amp;"!F2:F628"),MATCH(A562,INDIRECT(""&amp;B562&amp;"!B2:B628"),0))</f>
        <v>CIN</v>
      </c>
      <c r="E562" s="218" t="str">
        <f ca="1">INDEX(INDIRECT(""&amp;$B562&amp;"!AA2:AA628"),MATCH($A562,INDIRECT(""&amp;$B562&amp;"!B2:B628"),0))</f>
        <v>WR12</v>
      </c>
      <c r="F562" s="159">
        <f ca="1">IF(LeagueInfo!$H$7="Starter/Bench",INDEX(INDIRECT(""&amp;B562&amp;"!T2:T628"),MATCH(A562,INDIRECT(""&amp;B562&amp;"!B2:B628"),0)),INDEX(INDIRECT(""&amp;B562&amp;"!AB2:AB628"),MATCH(A562,INDIRECT(""&amp;B562&amp;"!B2:B628"),0)))</f>
        <v>-21.050892357806529</v>
      </c>
      <c r="G562" s="160">
        <f>IF(H562&gt;0,F562-H562,0)</f>
        <v>0</v>
      </c>
      <c r="H562" s="161"/>
      <c r="I562" s="160">
        <f ca="1">F562*$A$2</f>
        <v>-21.050892357806529</v>
      </c>
      <c r="J562" s="160" t="s">
        <v>76</v>
      </c>
      <c r="K562" s="160">
        <f>IF(LeagueInfo!$F$7="Yahoo",IFERROR(INDEX(DefaultAuctionValues!$B$2:$B$1000,MATCH(A562,DefaultAuctionValues!$A$2:$A$1000,0)),0),IF(LeagueInfo!$F$7="ESPN",IFERROR(INDEX(DefaultAuctionValues!$C$2:$C$1000,MATCH(A562,DefaultAuctionValues!$A$2:$A$1000,0)),0),IF(LeagueInfo!$F$7="Custom",IFERROR(INDEX(DefaultAuctionValues!$D$2:$D$1000,MATCH(A562,DefaultAuctionValues!$A$2:$A$1000,0)),0))))</f>
        <v>0</v>
      </c>
      <c r="L562" s="160">
        <f ca="1">I562-K562</f>
        <v>-21.050892357806529</v>
      </c>
      <c r="M562" s="175"/>
      <c r="N562" s="170">
        <f ca="1">INDEX(INDIRECT(""&amp;$B562&amp;"!Z2:Z628"),MATCH($A562,INDIRECT(""&amp;$B562&amp;"!B2:B628"),0))</f>
        <v>-58.04999999999999</v>
      </c>
      <c r="O562" s="158" t="str">
        <f ca="1">IF(INDEX(INDIRECT(""&amp;$B562&amp;"!W2:W628"),MATCH($A562,INDIRECT(""&amp;$B562&amp;"!B2:B628"),0))=0,"",INDEX(INDIRECT(""&amp;$B562&amp;"!W2:W628"),MATCH($A562,INDIRECT(""&amp;$B562&amp;"!B2:B628"),0)))</f>
        <v/>
      </c>
    </row>
    <row r="563" spans="1:15" x14ac:dyDescent="0.25">
      <c r="A563" s="158" t="s">
        <v>2621</v>
      </c>
      <c r="B563" s="158" t="s">
        <v>35</v>
      </c>
      <c r="C563" s="158">
        <f ca="1">IFERROR(INDEX(BYEs!$B$2:$B$33,MATCH(D563,BYEs!$A$2:$A$33,0)),"N/A")</f>
        <v>9</v>
      </c>
      <c r="D563" s="219" t="str">
        <f ca="1">INDEX(INDIRECT(""&amp;B563&amp;"!F2:F628"),MATCH(A563,INDIRECT(""&amp;B563&amp;"!B2:B628"),0))</f>
        <v>SF</v>
      </c>
      <c r="E563" s="218" t="str">
        <f ca="1">INDEX(INDIRECT(""&amp;$B563&amp;"!AA2:AA628"),MATCH($A563,INDIRECT(""&amp;$B563&amp;"!B2:B628"),0))</f>
        <v>WR12</v>
      </c>
      <c r="F563" s="159">
        <f ca="1">IF(LeagueInfo!$H$7="Starter/Bench",INDEX(INDIRECT(""&amp;B563&amp;"!T2:T628"),MATCH(A563,INDIRECT(""&amp;B563&amp;"!B2:B628"),0)),INDEX(INDIRECT(""&amp;B563&amp;"!AB2:AB628"),MATCH(A563,INDIRECT(""&amp;B563&amp;"!B2:B628"),0)))</f>
        <v>-21.134298132867606</v>
      </c>
      <c r="G563" s="160">
        <f>IF(H563&gt;0,F563-H563,0)</f>
        <v>0</v>
      </c>
      <c r="H563" s="161"/>
      <c r="I563" s="160">
        <f ca="1">F563*$A$2</f>
        <v>-21.134298132867606</v>
      </c>
      <c r="J563" s="160" t="s">
        <v>76</v>
      </c>
      <c r="K563" s="160">
        <f>IF(LeagueInfo!$F$7="Yahoo",IFERROR(INDEX(DefaultAuctionValues!$B$2:$B$1000,MATCH(A563,DefaultAuctionValues!$A$2:$A$1000,0)),0),IF(LeagueInfo!$F$7="ESPN",IFERROR(INDEX(DefaultAuctionValues!$C$2:$C$1000,MATCH(A563,DefaultAuctionValues!$A$2:$A$1000,0)),0),IF(LeagueInfo!$F$7="Custom",IFERROR(INDEX(DefaultAuctionValues!$D$2:$D$1000,MATCH(A563,DefaultAuctionValues!$A$2:$A$1000,0)),0))))</f>
        <v>0</v>
      </c>
      <c r="L563" s="160">
        <f ca="1">I563-K563</f>
        <v>-21.134298132867606</v>
      </c>
      <c r="M563" s="175"/>
      <c r="N563" s="170">
        <f ca="1">INDEX(INDIRECT(""&amp;$B563&amp;"!Z2:Z628"),MATCH($A563,INDIRECT(""&amp;$B563&amp;"!B2:B628"),0))</f>
        <v>-58.279999999999994</v>
      </c>
      <c r="O563" s="158" t="str">
        <f ca="1">IF(INDEX(INDIRECT(""&amp;$B563&amp;"!W2:W628"),MATCH($A563,INDIRECT(""&amp;$B563&amp;"!B2:B628"),0))=0,"",INDEX(INDIRECT(""&amp;$B563&amp;"!W2:W628"),MATCH($A563,INDIRECT(""&amp;$B563&amp;"!B2:B628"),0)))</f>
        <v/>
      </c>
    </row>
    <row r="564" spans="1:15" x14ac:dyDescent="0.25">
      <c r="A564" s="158" t="s">
        <v>729</v>
      </c>
      <c r="B564" s="158" t="s">
        <v>35</v>
      </c>
      <c r="C564" s="158">
        <f ca="1">IFERROR(INDEX(BYEs!$B$2:$B$33,MATCH(D564,BYEs!$A$2:$A$33,0)),"N/A")</f>
        <v>9</v>
      </c>
      <c r="D564" s="219" t="str">
        <f ca="1">INDEX(INDIRECT(""&amp;B564&amp;"!F2:F628"),MATCH(A564,INDIRECT(""&amp;B564&amp;"!B2:B628"),0))</f>
        <v>SF</v>
      </c>
      <c r="E564" s="218" t="str">
        <f ca="1">INDEX(INDIRECT(""&amp;$B564&amp;"!AA2:AA628"),MATCH($A564,INDIRECT(""&amp;$B564&amp;"!B2:B628"),0))</f>
        <v>WR12</v>
      </c>
      <c r="F564" s="159">
        <f ca="1">IF(LeagueInfo!$H$7="Starter/Bench",INDEX(INDIRECT(""&amp;B564&amp;"!T2:T628"),MATCH(A564,INDIRECT(""&amp;B564&amp;"!B2:B628"),0)),INDEX(INDIRECT(""&amp;B564&amp;"!AB2:AB628"),MATCH(A564,INDIRECT(""&amp;B564&amp;"!B2:B628"),0)))</f>
        <v>-21.156056161144409</v>
      </c>
      <c r="G564" s="160">
        <f>IF(H564&gt;0,F564-H564,0)</f>
        <v>0</v>
      </c>
      <c r="H564" s="161"/>
      <c r="I564" s="160">
        <f ca="1">F564*$A$2</f>
        <v>-21.156056161144409</v>
      </c>
      <c r="J564" s="160" t="s">
        <v>76</v>
      </c>
      <c r="K564" s="160">
        <f>IF(LeagueInfo!$F$7="Yahoo",IFERROR(INDEX(DefaultAuctionValues!$B$2:$B$1000,MATCH(A564,DefaultAuctionValues!$A$2:$A$1000,0)),0),IF(LeagueInfo!$F$7="ESPN",IFERROR(INDEX(DefaultAuctionValues!$C$2:$C$1000,MATCH(A564,DefaultAuctionValues!$A$2:$A$1000,0)),0),IF(LeagueInfo!$F$7="Custom",IFERROR(INDEX(DefaultAuctionValues!$D$2:$D$1000,MATCH(A564,DefaultAuctionValues!$A$2:$A$1000,0)),0))))</f>
        <v>0</v>
      </c>
      <c r="L564" s="160">
        <f ca="1">I564-K564</f>
        <v>-21.156056161144409</v>
      </c>
      <c r="M564" s="175"/>
      <c r="N564" s="170">
        <f ca="1">INDEX(INDIRECT(""&amp;$B564&amp;"!Z2:Z628"),MATCH($A564,INDIRECT(""&amp;$B564&amp;"!B2:B628"),0))</f>
        <v>-58.339999999999989</v>
      </c>
      <c r="O564" s="158" t="str">
        <f ca="1">IF(INDEX(INDIRECT(""&amp;$B564&amp;"!W2:W628"),MATCH($A564,INDIRECT(""&amp;$B564&amp;"!B2:B628"),0))=0,"",INDEX(INDIRECT(""&amp;$B564&amp;"!W2:W628"),MATCH($A564,INDIRECT(""&amp;$B564&amp;"!B2:B628"),0)))</f>
        <v/>
      </c>
    </row>
    <row r="565" spans="1:15" x14ac:dyDescent="0.25">
      <c r="A565" s="158" t="s">
        <v>727</v>
      </c>
      <c r="B565" s="158" t="s">
        <v>35</v>
      </c>
      <c r="C565" s="158">
        <f ca="1">IFERROR(INDEX(BYEs!$B$2:$B$33,MATCH(D565,BYEs!$A$2:$A$33,0)),"N/A")</f>
        <v>11</v>
      </c>
      <c r="D565" s="219" t="str">
        <f ca="1">INDEX(INDIRECT(""&amp;B565&amp;"!F2:F628"),MATCH(A565,INDIRECT(""&amp;B565&amp;"!B2:B628"),0))</f>
        <v>MIA</v>
      </c>
      <c r="E565" s="218" t="str">
        <f ca="1">INDEX(INDIRECT(""&amp;$B565&amp;"!AA2:AA628"),MATCH($A565,INDIRECT(""&amp;$B565&amp;"!B2:B628"),0))</f>
        <v>WR12</v>
      </c>
      <c r="F565" s="159">
        <f ca="1">IF(LeagueInfo!$H$7="Starter/Bench",INDEX(INDIRECT(""&amp;B565&amp;"!T2:T628"),MATCH(A565,INDIRECT(""&amp;B565&amp;"!B2:B628"),0)),INDEX(INDIRECT(""&amp;B565&amp;"!AB2:AB628"),MATCH(A565,INDIRECT(""&amp;B565&amp;"!B2:B628"),0)))</f>
        <v>-21.174187851375077</v>
      </c>
      <c r="G565" s="160">
        <f>IF(H565&gt;0,F565-H565,0)</f>
        <v>0</v>
      </c>
      <c r="H565" s="161"/>
      <c r="I565" s="160">
        <f ca="1">F565*$A$2</f>
        <v>-21.174187851375077</v>
      </c>
      <c r="J565" s="160" t="s">
        <v>76</v>
      </c>
      <c r="K565" s="160">
        <f>IF(LeagueInfo!$F$7="Yahoo",IFERROR(INDEX(DefaultAuctionValues!$B$2:$B$1000,MATCH(A565,DefaultAuctionValues!$A$2:$A$1000,0)),0),IF(LeagueInfo!$F$7="ESPN",IFERROR(INDEX(DefaultAuctionValues!$C$2:$C$1000,MATCH(A565,DefaultAuctionValues!$A$2:$A$1000,0)),0),IF(LeagueInfo!$F$7="Custom",IFERROR(INDEX(DefaultAuctionValues!$D$2:$D$1000,MATCH(A565,DefaultAuctionValues!$A$2:$A$1000,0)),0))))</f>
        <v>0</v>
      </c>
      <c r="L565" s="160">
        <f ca="1">I565-K565</f>
        <v>-21.174187851375077</v>
      </c>
      <c r="M565" s="175"/>
      <c r="N565" s="170">
        <f ca="1">INDEX(INDIRECT(""&amp;$B565&amp;"!Z2:Z628"),MATCH($A565,INDIRECT(""&amp;$B565&amp;"!B2:B628"),0))</f>
        <v>-58.389999999999993</v>
      </c>
      <c r="O565" s="158" t="str">
        <f ca="1">IF(INDEX(INDIRECT(""&amp;$B565&amp;"!W2:W628"),MATCH($A565,INDIRECT(""&amp;$B565&amp;"!B2:B628"),0))=0,"",INDEX(INDIRECT(""&amp;$B565&amp;"!W2:W628"),MATCH($A565,INDIRECT(""&amp;$B565&amp;"!B2:B628"),0)))</f>
        <v/>
      </c>
    </row>
    <row r="566" spans="1:15" x14ac:dyDescent="0.25">
      <c r="A566" s="158" t="s">
        <v>863</v>
      </c>
      <c r="B566" s="158" t="s">
        <v>35</v>
      </c>
      <c r="C566" s="158">
        <f ca="1">IFERROR(INDEX(BYEs!$B$2:$B$33,MATCH(D566,BYEs!$A$2:$A$33,0)),"N/A")</f>
        <v>14</v>
      </c>
      <c r="D566" s="219" t="str">
        <f ca="1">INDEX(INDIRECT(""&amp;B566&amp;"!F2:F628"),MATCH(A566,INDIRECT(""&amp;B566&amp;"!B2:B628"),0))</f>
        <v>CHI</v>
      </c>
      <c r="E566" s="218" t="str">
        <f ca="1">INDEX(INDIRECT(""&amp;$B566&amp;"!AA2:AA628"),MATCH($A566,INDIRECT(""&amp;$B566&amp;"!B2:B628"),0))</f>
        <v>WR12</v>
      </c>
      <c r="F566" s="159">
        <f ca="1">IF(LeagueInfo!$H$7="Starter/Bench",INDEX(INDIRECT(""&amp;B566&amp;"!T2:T628"),MATCH(A566,INDIRECT(""&amp;B566&amp;"!B2:B628"),0)),INDEX(INDIRECT(""&amp;B566&amp;"!AB2:AB628"),MATCH(A566,INDIRECT(""&amp;B566&amp;"!B2:B628"),0)))</f>
        <v>-21.223143414997885</v>
      </c>
      <c r="G566" s="160">
        <f>IF(H566&gt;0,F566-H566,0)</f>
        <v>0</v>
      </c>
      <c r="H566" s="161"/>
      <c r="I566" s="160">
        <f ca="1">F566*$A$2</f>
        <v>-21.223143414997885</v>
      </c>
      <c r="J566" s="160" t="s">
        <v>76</v>
      </c>
      <c r="K566" s="160">
        <f>IF(LeagueInfo!$F$7="Yahoo",IFERROR(INDEX(DefaultAuctionValues!$B$2:$B$1000,MATCH(A566,DefaultAuctionValues!$A$2:$A$1000,0)),0),IF(LeagueInfo!$F$7="ESPN",IFERROR(INDEX(DefaultAuctionValues!$C$2:$C$1000,MATCH(A566,DefaultAuctionValues!$A$2:$A$1000,0)),0),IF(LeagueInfo!$F$7="Custom",IFERROR(INDEX(DefaultAuctionValues!$D$2:$D$1000,MATCH(A566,DefaultAuctionValues!$A$2:$A$1000,0)),0))))</f>
        <v>0</v>
      </c>
      <c r="L566" s="160">
        <f ca="1">I566-K566</f>
        <v>-21.223143414997885</v>
      </c>
      <c r="M566" s="175"/>
      <c r="N566" s="170">
        <f ca="1">INDEX(INDIRECT(""&amp;$B566&amp;"!Z2:Z628"),MATCH($A566,INDIRECT(""&amp;$B566&amp;"!B2:B628"),0))</f>
        <v>-58.524999999999991</v>
      </c>
      <c r="O566" s="158" t="str">
        <f ca="1">IF(INDEX(INDIRECT(""&amp;$B566&amp;"!W2:W628"),MATCH($A566,INDIRECT(""&amp;$B566&amp;"!B2:B628"),0))=0,"",INDEX(INDIRECT(""&amp;$B566&amp;"!W2:W628"),MATCH($A566,INDIRECT(""&amp;$B566&amp;"!B2:B628"),0)))</f>
        <v/>
      </c>
    </row>
    <row r="567" spans="1:15" x14ac:dyDescent="0.25">
      <c r="A567" s="158" t="s">
        <v>573</v>
      </c>
      <c r="B567" s="158" t="s">
        <v>35</v>
      </c>
      <c r="C567" s="158">
        <f ca="1">IFERROR(INDEX(BYEs!$B$2:$B$33,MATCH(D567,BYEs!$A$2:$A$33,0)),"N/A")</f>
        <v>14</v>
      </c>
      <c r="D567" s="219" t="str">
        <f ca="1">INDEX(INDIRECT(""&amp;B567&amp;"!F2:F628"),MATCH(A567,INDIRECT(""&amp;B567&amp;"!B2:B628"),0))</f>
        <v>CHI</v>
      </c>
      <c r="E567" s="218" t="str">
        <f ca="1">INDEX(INDIRECT(""&amp;$B567&amp;"!AA2:AA628"),MATCH($A567,INDIRECT(""&amp;$B567&amp;"!B2:B628"),0))</f>
        <v>WR12</v>
      </c>
      <c r="F567" s="159">
        <f ca="1">IF(LeagueInfo!$H$7="Starter/Bench",INDEX(INDIRECT(""&amp;B567&amp;"!T2:T628"),MATCH(A567,INDIRECT(""&amp;B567&amp;"!B2:B628"),0)),INDEX(INDIRECT(""&amp;B567&amp;"!AB2:AB628"),MATCH(A567,INDIRECT(""&amp;B567&amp;"!B2:B628"),0)))</f>
        <v>-21.228582922067083</v>
      </c>
      <c r="G567" s="160">
        <f>IF(H567&gt;0,F567-H567,0)</f>
        <v>0</v>
      </c>
      <c r="H567" s="161"/>
      <c r="I567" s="160">
        <f ca="1">F567*$A$2</f>
        <v>-21.228582922067083</v>
      </c>
      <c r="J567" s="160" t="s">
        <v>76</v>
      </c>
      <c r="K567" s="160">
        <f>IF(LeagueInfo!$F$7="Yahoo",IFERROR(INDEX(DefaultAuctionValues!$B$2:$B$1000,MATCH(A567,DefaultAuctionValues!$A$2:$A$1000,0)),0),IF(LeagueInfo!$F$7="ESPN",IFERROR(INDEX(DefaultAuctionValues!$C$2:$C$1000,MATCH(A567,DefaultAuctionValues!$A$2:$A$1000,0)),0),IF(LeagueInfo!$F$7="Custom",IFERROR(INDEX(DefaultAuctionValues!$D$2:$D$1000,MATCH(A567,DefaultAuctionValues!$A$2:$A$1000,0)),0))))</f>
        <v>0</v>
      </c>
      <c r="L567" s="160">
        <f ca="1">I567-K567</f>
        <v>-21.228582922067083</v>
      </c>
      <c r="M567" s="175"/>
      <c r="N567" s="170">
        <f ca="1">INDEX(INDIRECT(""&amp;$B567&amp;"!Z2:Z628"),MATCH($A567,INDIRECT(""&amp;$B567&amp;"!B2:B628"),0))</f>
        <v>-58.539999999999992</v>
      </c>
      <c r="O567" s="158" t="str">
        <f ca="1">IF(INDEX(INDIRECT(""&amp;$B567&amp;"!W2:W628"),MATCH($A567,INDIRECT(""&amp;$B567&amp;"!B2:B628"),0))=0,"",INDEX(INDIRECT(""&amp;$B567&amp;"!W2:W628"),MATCH($A567,INDIRECT(""&amp;$B567&amp;"!B2:B628"),0)))</f>
        <v/>
      </c>
    </row>
    <row r="568" spans="1:15" x14ac:dyDescent="0.25">
      <c r="A568" s="158" t="s">
        <v>852</v>
      </c>
      <c r="B568" s="158" t="s">
        <v>35</v>
      </c>
      <c r="C568" s="158">
        <f ca="1">IFERROR(INDEX(BYEs!$B$2:$B$33,MATCH(D568,BYEs!$A$2:$A$33,0)),"N/A")</f>
        <v>9</v>
      </c>
      <c r="D568" s="219" t="str">
        <f ca="1">INDEX(INDIRECT(""&amp;B568&amp;"!F2:F628"),MATCH(A568,INDIRECT(""&amp;B568&amp;"!B2:B628"),0))</f>
        <v>PIT</v>
      </c>
      <c r="E568" s="218" t="str">
        <f ca="1">INDEX(INDIRECT(""&amp;$B568&amp;"!AA2:AA628"),MATCH($A568,INDIRECT(""&amp;$B568&amp;"!B2:B628"),0))</f>
        <v>WR12</v>
      </c>
      <c r="F568" s="159">
        <f ca="1">IF(LeagueInfo!$H$7="Starter/Bench",INDEX(INDIRECT(""&amp;B568&amp;"!T2:T628"),MATCH(A568,INDIRECT(""&amp;B568&amp;"!B2:B628"),0)),INDEX(INDIRECT(""&amp;B568&amp;"!AB2:AB628"),MATCH(A568,INDIRECT(""&amp;B568&amp;"!B2:B628"),0)))</f>
        <v>-21.273912147643756</v>
      </c>
      <c r="G568" s="160">
        <f>IF(H568&gt;0,F568-H568,0)</f>
        <v>0</v>
      </c>
      <c r="H568" s="161"/>
      <c r="I568" s="160">
        <f ca="1">F568*$A$2</f>
        <v>-21.273912147643756</v>
      </c>
      <c r="J568" s="160" t="s">
        <v>76</v>
      </c>
      <c r="K568" s="160">
        <f>IF(LeagueInfo!$F$7="Yahoo",IFERROR(INDEX(DefaultAuctionValues!$B$2:$B$1000,MATCH(A568,DefaultAuctionValues!$A$2:$A$1000,0)),0),IF(LeagueInfo!$F$7="ESPN",IFERROR(INDEX(DefaultAuctionValues!$C$2:$C$1000,MATCH(A568,DefaultAuctionValues!$A$2:$A$1000,0)),0),IF(LeagueInfo!$F$7="Custom",IFERROR(INDEX(DefaultAuctionValues!$D$2:$D$1000,MATCH(A568,DefaultAuctionValues!$A$2:$A$1000,0)),0))))</f>
        <v>0</v>
      </c>
      <c r="L568" s="160">
        <f ca="1">I568-K568</f>
        <v>-21.273912147643756</v>
      </c>
      <c r="M568" s="175"/>
      <c r="N568" s="170">
        <f ca="1">INDEX(INDIRECT(""&amp;$B568&amp;"!Z2:Z628"),MATCH($A568,INDIRECT(""&amp;$B568&amp;"!B2:B628"),0))</f>
        <v>-58.664999999999992</v>
      </c>
      <c r="O568" s="158" t="str">
        <f ca="1">IF(INDEX(INDIRECT(""&amp;$B568&amp;"!W2:W628"),MATCH($A568,INDIRECT(""&amp;$B568&amp;"!B2:B628"),0))=0,"",INDEX(INDIRECT(""&amp;$B568&amp;"!W2:W628"),MATCH($A568,INDIRECT(""&amp;$B568&amp;"!B2:B628"),0)))</f>
        <v/>
      </c>
    </row>
    <row r="569" spans="1:15" x14ac:dyDescent="0.25">
      <c r="A569" s="158" t="s">
        <v>2745</v>
      </c>
      <c r="B569" s="158" t="s">
        <v>35</v>
      </c>
      <c r="C569" s="158">
        <f ca="1">IFERROR(INDEX(BYEs!$B$2:$B$33,MATCH(D569,BYEs!$A$2:$A$33,0)),"N/A")</f>
        <v>14</v>
      </c>
      <c r="D569" s="219" t="str">
        <f ca="1">INDEX(INDIRECT(""&amp;B569&amp;"!F2:F628"),MATCH(A569,INDIRECT(""&amp;B569&amp;"!B2:B628"),0))</f>
        <v>NO</v>
      </c>
      <c r="E569" s="218" t="str">
        <f ca="1">INDEX(INDIRECT(""&amp;$B569&amp;"!AA2:AA628"),MATCH($A569,INDIRECT(""&amp;$B569&amp;"!B2:B628"),0))</f>
        <v>WR12</v>
      </c>
      <c r="F569" s="159">
        <f ca="1">IF(LeagueInfo!$H$7="Starter/Bench",INDEX(INDIRECT(""&amp;B569&amp;"!T2:T628"),MATCH(A569,INDIRECT(""&amp;B569&amp;"!B2:B628"),0)),INDEX(INDIRECT(""&amp;B569&amp;"!AB2:AB628"),MATCH(A569,INDIRECT(""&amp;B569&amp;"!B2:B628"),0)))</f>
        <v>-22.412582294129759</v>
      </c>
      <c r="G569" s="160">
        <f>IF(H569&gt;0,F569-H569,0)</f>
        <v>0</v>
      </c>
      <c r="H569" s="161"/>
      <c r="I569" s="160">
        <f ca="1">F569*$A$2</f>
        <v>-22.412582294129759</v>
      </c>
      <c r="J569" s="160" t="s">
        <v>76</v>
      </c>
      <c r="K569" s="160">
        <f>IF(LeagueInfo!$F$7="Yahoo",IFERROR(INDEX(DefaultAuctionValues!$B$2:$B$1000,MATCH(A569,DefaultAuctionValues!$A$2:$A$1000,0)),0),IF(LeagueInfo!$F$7="ESPN",IFERROR(INDEX(DefaultAuctionValues!$C$2:$C$1000,MATCH(A569,DefaultAuctionValues!$A$2:$A$1000,0)),0),IF(LeagueInfo!$F$7="Custom",IFERROR(INDEX(DefaultAuctionValues!$D$2:$D$1000,MATCH(A569,DefaultAuctionValues!$A$2:$A$1000,0)),0))))</f>
        <v>0</v>
      </c>
      <c r="L569" s="160">
        <f ca="1">I569-K569</f>
        <v>-22.412582294129759</v>
      </c>
      <c r="M569" s="175"/>
      <c r="N569" s="170">
        <f ca="1">INDEX(INDIRECT(""&amp;$B569&amp;"!Z2:Z628"),MATCH($A569,INDIRECT(""&amp;$B569&amp;"!B2:B628"),0))</f>
        <v>-61.804999999999993</v>
      </c>
      <c r="O569" s="158" t="str">
        <f ca="1">IF(INDEX(INDIRECT(""&amp;$B569&amp;"!W2:W628"),MATCH($A569,INDIRECT(""&amp;$B569&amp;"!B2:B628"),0))=0,"",INDEX(INDIRECT(""&amp;$B569&amp;"!W2:W628"),MATCH($A569,INDIRECT(""&amp;$B569&amp;"!B2:B628"),0)))</f>
        <v/>
      </c>
    </row>
    <row r="570" spans="1:15" x14ac:dyDescent="0.25">
      <c r="A570" s="158" t="s">
        <v>208</v>
      </c>
      <c r="B570" s="158" t="s">
        <v>29</v>
      </c>
      <c r="C570" s="158">
        <f ca="1">IFERROR(INDEX(BYEs!$B$2:$B$33,MATCH(D570,BYEs!$A$2:$A$33,0)),"N/A")</f>
        <v>9</v>
      </c>
      <c r="D570" s="219" t="str">
        <f ca="1">INDEX(INDIRECT(""&amp;B570&amp;"!F2:F628"),MATCH(A570,INDIRECT(""&amp;B570&amp;"!B2:B628"),0))</f>
        <v>CLE</v>
      </c>
      <c r="E570" s="218" t="str">
        <f ca="1">INDEX(INDIRECT(""&amp;$B570&amp;"!AA2:AA628"),MATCH($A570,INDIRECT(""&amp;$B570&amp;"!B2:B628"),0))</f>
        <v>QB9</v>
      </c>
      <c r="F570" s="159">
        <f ca="1">IF(LeagueInfo!$H$7="Starter/Bench",INDEX(INDIRECT(""&amp;B570&amp;"!T2:T628"),MATCH(A570,INDIRECT(""&amp;B570&amp;"!B2:B628"),0)),INDEX(INDIRECT(""&amp;B570&amp;"!AB2:AB628"),MATCH(A570,INDIRECT(""&amp;B570&amp;"!B2:B628"),0)))</f>
        <v>-29.780213302459732</v>
      </c>
      <c r="G570" s="160">
        <f>IF(H570&gt;0,F570-H570,0)</f>
        <v>0</v>
      </c>
      <c r="H570" s="161"/>
      <c r="I570" s="160">
        <f ca="1">F570*$A$2</f>
        <v>-29.780213302459732</v>
      </c>
      <c r="J570" s="160" t="s">
        <v>76</v>
      </c>
      <c r="K570" s="160">
        <f>IF(LeagueInfo!$F$7="Yahoo",IFERROR(INDEX(DefaultAuctionValues!$B$2:$B$1000,MATCH(A570,DefaultAuctionValues!$A$2:$A$1000,0)),0),IF(LeagueInfo!$F$7="ESPN",IFERROR(INDEX(DefaultAuctionValues!$C$2:$C$1000,MATCH(A570,DefaultAuctionValues!$A$2:$A$1000,0)),0),IF(LeagueInfo!$F$7="Custom",IFERROR(INDEX(DefaultAuctionValues!$D$2:$D$1000,MATCH(A570,DefaultAuctionValues!$A$2:$A$1000,0)),0))))</f>
        <v>2</v>
      </c>
      <c r="L570" s="160">
        <f ca="1">I570-K570</f>
        <v>-31.780213302459732</v>
      </c>
      <c r="M570" s="175"/>
      <c r="N570" s="170">
        <f ca="1">INDEX(INDIRECT(""&amp;$B570&amp;"!Z2:Z628"),MATCH($A570,INDIRECT(""&amp;$B570&amp;"!B2:B628"),0))</f>
        <v>-82.121999999999971</v>
      </c>
      <c r="O570" s="158" t="str">
        <f ca="1">IF(INDEX(INDIRECT(""&amp;$B570&amp;"!W2:W628"),MATCH($A570,INDIRECT(""&amp;$B570&amp;"!B2:B628"),0))=0,"",INDEX(INDIRECT(""&amp;$B570&amp;"!W2:W628"),MATCH($A570,INDIRECT(""&amp;$B570&amp;"!B2:B628"),0)))</f>
        <v/>
      </c>
    </row>
    <row r="571" spans="1:15" x14ac:dyDescent="0.25">
      <c r="A571" s="158" t="s">
        <v>1031</v>
      </c>
      <c r="B571" s="158" t="s">
        <v>29</v>
      </c>
      <c r="C571" s="158">
        <f ca="1">IFERROR(INDEX(BYEs!$B$2:$B$33,MATCH(D571,BYEs!$A$2:$A$33,0)),"N/A")</f>
        <v>9</v>
      </c>
      <c r="D571" s="219" t="str">
        <f ca="1">INDEX(INDIRECT(""&amp;B571&amp;"!F2:F628"),MATCH(A571,INDIRECT(""&amp;B571&amp;"!B2:B628"),0))</f>
        <v>PIT</v>
      </c>
      <c r="E571" s="218" t="str">
        <f ca="1">INDEX(INDIRECT(""&amp;$B571&amp;"!AA2:AA628"),MATCH($A571,INDIRECT(""&amp;$B571&amp;"!B2:B628"),0))</f>
        <v>QB9</v>
      </c>
      <c r="F571" s="159">
        <f ca="1">IF(LeagueInfo!$H$7="Starter/Bench",INDEX(INDIRECT(""&amp;B571&amp;"!T2:T628"),MATCH(A571,INDIRECT(""&amp;B571&amp;"!B2:B628"),0)),INDEX(INDIRECT(""&amp;B571&amp;"!AB2:AB628"),MATCH(A571,INDIRECT(""&amp;B571&amp;"!B2:B628"),0)))</f>
        <v>-30.571117630321506</v>
      </c>
      <c r="G571" s="160">
        <f>IF(H571&gt;0,F571-H571,0)</f>
        <v>0</v>
      </c>
      <c r="H571" s="161"/>
      <c r="I571" s="160">
        <f ca="1">F571*$A$2</f>
        <v>-30.571117630321506</v>
      </c>
      <c r="J571" s="160" t="s">
        <v>76</v>
      </c>
      <c r="K571" s="160">
        <f>IF(LeagueInfo!$F$7="Yahoo",IFERROR(INDEX(DefaultAuctionValues!$B$2:$B$1000,MATCH(A571,DefaultAuctionValues!$A$2:$A$1000,0)),0),IF(LeagueInfo!$F$7="ESPN",IFERROR(INDEX(DefaultAuctionValues!$C$2:$C$1000,MATCH(A571,DefaultAuctionValues!$A$2:$A$1000,0)),0),IF(LeagueInfo!$F$7="Custom",IFERROR(INDEX(DefaultAuctionValues!$D$2:$D$1000,MATCH(A571,DefaultAuctionValues!$A$2:$A$1000,0)),0))))</f>
        <v>1</v>
      </c>
      <c r="L571" s="160">
        <f ca="1">I571-K571</f>
        <v>-31.571117630321506</v>
      </c>
      <c r="M571" s="175"/>
      <c r="N571" s="170">
        <f ca="1">INDEX(INDIRECT(""&amp;$B571&amp;"!Z2:Z628"),MATCH($A571,INDIRECT(""&amp;$B571&amp;"!B2:B628"),0))</f>
        <v>-84.302999999999969</v>
      </c>
      <c r="O571" s="158" t="str">
        <f ca="1">IF(INDEX(INDIRECT(""&amp;$B571&amp;"!W2:W628"),MATCH($A571,INDIRECT(""&amp;$B571&amp;"!B2:B628"),0))=0,"",INDEX(INDIRECT(""&amp;$B571&amp;"!W2:W628"),MATCH($A571,INDIRECT(""&amp;$B571&amp;"!B2:B628"),0)))</f>
        <v/>
      </c>
    </row>
    <row r="572" spans="1:15" x14ac:dyDescent="0.25">
      <c r="A572" s="158" t="s">
        <v>648</v>
      </c>
      <c r="B572" s="158" t="s">
        <v>29</v>
      </c>
      <c r="C572" s="158">
        <f ca="1">IFERROR(INDEX(BYEs!$B$2:$B$33,MATCH(D572,BYEs!$A$2:$A$33,0)),"N/A")</f>
        <v>11</v>
      </c>
      <c r="D572" s="219" t="str">
        <f ca="1">INDEX(INDIRECT(""&amp;B572&amp;"!F2:F628"),MATCH(A572,INDIRECT(""&amp;B572&amp;"!B2:B628"),0))</f>
        <v>SEA</v>
      </c>
      <c r="E572" s="218" t="str">
        <f ca="1">INDEX(INDIRECT(""&amp;$B572&amp;"!AA2:AA628"),MATCH($A572,INDIRECT(""&amp;$B572&amp;"!B2:B628"),0))</f>
        <v>QB9</v>
      </c>
      <c r="F572" s="159">
        <f ca="1">IF(LeagueInfo!$H$7="Starter/Bench",INDEX(INDIRECT(""&amp;B572&amp;"!T2:T628"),MATCH(A572,INDIRECT(""&amp;B572&amp;"!B2:B628"),0)),INDEX(INDIRECT(""&amp;B572&amp;"!AB2:AB628"),MATCH(A572,INDIRECT(""&amp;B572&amp;"!B2:B628"),0)))</f>
        <v>-33.592945124164778</v>
      </c>
      <c r="G572" s="160">
        <f>IF(H572&gt;0,F572-H572,0)</f>
        <v>0</v>
      </c>
      <c r="H572" s="161"/>
      <c r="I572" s="160">
        <f ca="1">F572*$A$2</f>
        <v>-33.592945124164778</v>
      </c>
      <c r="J572" s="160" t="s">
        <v>76</v>
      </c>
      <c r="K572" s="160">
        <f>IF(LeagueInfo!$F$7="Yahoo",IFERROR(INDEX(DefaultAuctionValues!$B$2:$B$1000,MATCH(A572,DefaultAuctionValues!$A$2:$A$1000,0)),0),IF(LeagueInfo!$F$7="ESPN",IFERROR(INDEX(DefaultAuctionValues!$C$2:$C$1000,MATCH(A572,DefaultAuctionValues!$A$2:$A$1000,0)),0),IF(LeagueInfo!$F$7="Custom",IFERROR(INDEX(DefaultAuctionValues!$D$2:$D$1000,MATCH(A572,DefaultAuctionValues!$A$2:$A$1000,0)),0))))</f>
        <v>0</v>
      </c>
      <c r="L572" s="160">
        <f ca="1">I572-K572</f>
        <v>-33.592945124164778</v>
      </c>
      <c r="M572" s="175"/>
      <c r="N572" s="170">
        <f ca="1">INDEX(INDIRECT(""&amp;$B572&amp;"!Z2:Z628"),MATCH($A572,INDIRECT(""&amp;$B572&amp;"!B2:B628"),0))</f>
        <v>-92.635999999999967</v>
      </c>
      <c r="O572" s="158" t="str">
        <f ca="1">IF(INDEX(INDIRECT(""&amp;$B572&amp;"!W2:W628"),MATCH($A572,INDIRECT(""&amp;$B572&amp;"!B2:B628"),0))=0,"",INDEX(INDIRECT(""&amp;$B572&amp;"!W2:W628"),MATCH($A572,INDIRECT(""&amp;$B572&amp;"!B2:B628"),0)))</f>
        <v/>
      </c>
    </row>
    <row r="573" spans="1:15" x14ac:dyDescent="0.25">
      <c r="A573" s="158" t="s">
        <v>1032</v>
      </c>
      <c r="B573" s="158" t="s">
        <v>29</v>
      </c>
      <c r="C573" s="158">
        <f ca="1">IFERROR(INDEX(BYEs!$B$2:$B$33,MATCH(D573,BYEs!$A$2:$A$33,0)),"N/A")</f>
        <v>14</v>
      </c>
      <c r="D573" s="219" t="str">
        <f ca="1">INDEX(INDIRECT(""&amp;B573&amp;"!F2:F628"),MATCH(A573,INDIRECT(""&amp;B573&amp;"!B2:B628"),0))</f>
        <v>ATL</v>
      </c>
      <c r="E573" s="218" t="str">
        <f ca="1">INDEX(INDIRECT(""&amp;$B573&amp;"!AA2:AA628"),MATCH($A573,INDIRECT(""&amp;$B573&amp;"!B2:B628"),0))</f>
        <v>QB10</v>
      </c>
      <c r="F573" s="159">
        <f ca="1">IF(LeagueInfo!$H$7="Starter/Bench",INDEX(INDIRECT(""&amp;B573&amp;"!T2:T628"),MATCH(A573,INDIRECT(""&amp;B573&amp;"!B2:B628"),0)),INDEX(INDIRECT(""&amp;B573&amp;"!AB2:AB628"),MATCH(A573,INDIRECT(""&amp;B573&amp;"!B2:B628"),0)))</f>
        <v>-34.429178677603225</v>
      </c>
      <c r="G573" s="160">
        <f>IF(H573&gt;0,F573-H573,0)</f>
        <v>0</v>
      </c>
      <c r="H573" s="161"/>
      <c r="I573" s="160">
        <f ca="1">F573*$A$2</f>
        <v>-34.429178677603225</v>
      </c>
      <c r="J573" s="160" t="s">
        <v>76</v>
      </c>
      <c r="K573" s="160">
        <f>IF(LeagueInfo!$F$7="Yahoo",IFERROR(INDEX(DefaultAuctionValues!$B$2:$B$1000,MATCH(A573,DefaultAuctionValues!$A$2:$A$1000,0)),0),IF(LeagueInfo!$F$7="ESPN",IFERROR(INDEX(DefaultAuctionValues!$C$2:$C$1000,MATCH(A573,DefaultAuctionValues!$A$2:$A$1000,0)),0),IF(LeagueInfo!$F$7="Custom",IFERROR(INDEX(DefaultAuctionValues!$D$2:$D$1000,MATCH(A573,DefaultAuctionValues!$A$2:$A$1000,0)),0))))</f>
        <v>0</v>
      </c>
      <c r="L573" s="160">
        <f ca="1">I573-K573</f>
        <v>-34.429178677603225</v>
      </c>
      <c r="M573" s="175"/>
      <c r="N573" s="170">
        <f ca="1">INDEX(INDIRECT(""&amp;$B573&amp;"!Z2:Z628"),MATCH($A573,INDIRECT(""&amp;$B573&amp;"!B2:B628"),0))</f>
        <v>-94.941999999999979</v>
      </c>
      <c r="O573" s="158" t="str">
        <f ca="1">IF(INDEX(INDIRECT(""&amp;$B573&amp;"!W2:W628"),MATCH($A573,INDIRECT(""&amp;$B573&amp;"!B2:B628"),0))=0,"",INDEX(INDIRECT(""&amp;$B573&amp;"!W2:W628"),MATCH($A573,INDIRECT(""&amp;$B573&amp;"!B2:B628"),0)))</f>
        <v/>
      </c>
    </row>
    <row r="574" spans="1:15" x14ac:dyDescent="0.25">
      <c r="A574" s="158" t="s">
        <v>191</v>
      </c>
      <c r="B574" s="158" t="s">
        <v>29</v>
      </c>
      <c r="C574" s="158">
        <f ca="1">IFERROR(INDEX(BYEs!$B$2:$B$33,MATCH(D574,BYEs!$A$2:$A$33,0)),"N/A")</f>
        <v>10</v>
      </c>
      <c r="D574" s="219" t="str">
        <f ca="1">INDEX(INDIRECT(""&amp;B574&amp;"!F2:F628"),MATCH(A574,INDIRECT(""&amp;B574&amp;"!B2:B628"),0))</f>
        <v>NYJ</v>
      </c>
      <c r="E574" s="218" t="str">
        <f ca="1">INDEX(INDIRECT(""&amp;$B574&amp;"!AA2:AA628"),MATCH($A574,INDIRECT(""&amp;$B574&amp;"!B2:B628"),0))</f>
        <v>QB10</v>
      </c>
      <c r="F574" s="159">
        <f ca="1">IF(LeagueInfo!$H$7="Starter/Bench",INDEX(INDIRECT(""&amp;B574&amp;"!T2:T628"),MATCH(A574,INDIRECT(""&amp;B574&amp;"!B2:B628"),0)),INDEX(INDIRECT(""&amp;B574&amp;"!AB2:AB628"),MATCH(A574,INDIRECT(""&amp;B574&amp;"!B2:B628"),0)))</f>
        <v>-38.827926727563487</v>
      </c>
      <c r="G574" s="160">
        <f>IF(H574&gt;0,F574-H574,0)</f>
        <v>0</v>
      </c>
      <c r="H574" s="161"/>
      <c r="I574" s="160">
        <f ca="1">F574*$A$2</f>
        <v>-38.827926727563487</v>
      </c>
      <c r="J574" s="160" t="s">
        <v>76</v>
      </c>
      <c r="K574" s="160">
        <f>IF(LeagueInfo!$F$7="Yahoo",IFERROR(INDEX(DefaultAuctionValues!$B$2:$B$1000,MATCH(A574,DefaultAuctionValues!$A$2:$A$1000,0)),0),IF(LeagueInfo!$F$7="ESPN",IFERROR(INDEX(DefaultAuctionValues!$C$2:$C$1000,MATCH(A574,DefaultAuctionValues!$A$2:$A$1000,0)),0),IF(LeagueInfo!$F$7="Custom",IFERROR(INDEX(DefaultAuctionValues!$D$2:$D$1000,MATCH(A574,DefaultAuctionValues!$A$2:$A$1000,0)),0))))</f>
        <v>0</v>
      </c>
      <c r="L574" s="160">
        <f ca="1">I574-K574</f>
        <v>-38.827926727563487</v>
      </c>
      <c r="M574" s="175"/>
      <c r="N574" s="170">
        <f ca="1">INDEX(INDIRECT(""&amp;$B574&amp;"!Z2:Z628"),MATCH($A574,INDIRECT(""&amp;$B574&amp;"!B2:B628"),0))</f>
        <v>-107.07199999999997</v>
      </c>
      <c r="O574" s="158" t="str">
        <f ca="1">IF(INDEX(INDIRECT(""&amp;$B574&amp;"!W2:W628"),MATCH($A574,INDIRECT(""&amp;$B574&amp;"!B2:B628"),0))=0,"",INDEX(INDIRECT(""&amp;$B574&amp;"!W2:W628"),MATCH($A574,INDIRECT(""&amp;$B574&amp;"!B2:B628"),0)))</f>
        <v/>
      </c>
    </row>
    <row r="575" spans="1:15" x14ac:dyDescent="0.25">
      <c r="A575" s="158" t="s">
        <v>197</v>
      </c>
      <c r="B575" s="158" t="s">
        <v>29</v>
      </c>
      <c r="C575" s="158">
        <f ca="1">IFERROR(INDEX(BYEs!$B$2:$B$33,MATCH(D575,BYEs!$A$2:$A$33,0)),"N/A")</f>
        <v>14</v>
      </c>
      <c r="D575" s="219" t="str">
        <f ca="1">INDEX(INDIRECT(""&amp;B575&amp;"!F2:F628"),MATCH(A575,INDIRECT(""&amp;B575&amp;"!B2:B628"),0))</f>
        <v>NO</v>
      </c>
      <c r="E575" s="218" t="str">
        <f ca="1">INDEX(INDIRECT(""&amp;$B575&amp;"!AA2:AA628"),MATCH($A575,INDIRECT(""&amp;$B575&amp;"!B2:B628"),0))</f>
        <v>QB10</v>
      </c>
      <c r="F575" s="159">
        <f ca="1">IF(LeagueInfo!$H$7="Starter/Bench",INDEX(INDIRECT(""&amp;B575&amp;"!T2:T628"),MATCH(A575,INDIRECT(""&amp;B575&amp;"!B2:B628"),0)),INDEX(INDIRECT(""&amp;B575&amp;"!AB2:AB628"),MATCH(A575,INDIRECT(""&amp;B575&amp;"!B2:B628"),0)))</f>
        <v>-41.907050362535671</v>
      </c>
      <c r="G575" s="160">
        <f>IF(H575&gt;0,F575-H575,0)</f>
        <v>0</v>
      </c>
      <c r="H575" s="161"/>
      <c r="I575" s="160">
        <f ca="1">F575*$A$2</f>
        <v>-41.907050362535671</v>
      </c>
      <c r="J575" s="160" t="s">
        <v>76</v>
      </c>
      <c r="K575" s="160">
        <f>IF(LeagueInfo!$F$7="Yahoo",IFERROR(INDEX(DefaultAuctionValues!$B$2:$B$1000,MATCH(A575,DefaultAuctionValues!$A$2:$A$1000,0)),0),IF(LeagueInfo!$F$7="ESPN",IFERROR(INDEX(DefaultAuctionValues!$C$2:$C$1000,MATCH(A575,DefaultAuctionValues!$A$2:$A$1000,0)),0),IF(LeagueInfo!$F$7="Custom",IFERROR(INDEX(DefaultAuctionValues!$D$2:$D$1000,MATCH(A575,DefaultAuctionValues!$A$2:$A$1000,0)),0))))</f>
        <v>0</v>
      </c>
      <c r="L575" s="160">
        <f ca="1">I575-K575</f>
        <v>-41.907050362535671</v>
      </c>
      <c r="M575" s="175"/>
      <c r="N575" s="170">
        <f ca="1">INDEX(INDIRECT(""&amp;$B575&amp;"!Z2:Z628"),MATCH($A575,INDIRECT(""&amp;$B575&amp;"!B2:B628"),0))</f>
        <v>-115.56299999999997</v>
      </c>
      <c r="O575" s="158" t="str">
        <f ca="1">IF(INDEX(INDIRECT(""&amp;$B575&amp;"!W2:W628"),MATCH($A575,INDIRECT(""&amp;$B575&amp;"!B2:B628"),0))=0,"",INDEX(INDIRECT(""&amp;$B575&amp;"!W2:W628"),MATCH($A575,INDIRECT(""&amp;$B575&amp;"!B2:B628"),0)))</f>
        <v/>
      </c>
    </row>
    <row r="576" spans="1:15" x14ac:dyDescent="0.25">
      <c r="A576" s="158" t="s">
        <v>198</v>
      </c>
      <c r="B576" s="158" t="s">
        <v>29</v>
      </c>
      <c r="C576" s="158">
        <f ca="1">IFERROR(INDEX(BYEs!$B$2:$B$33,MATCH(D576,BYEs!$A$2:$A$33,0)),"N/A")</f>
        <v>9</v>
      </c>
      <c r="D576" s="219" t="str">
        <f ca="1">INDEX(INDIRECT(""&amp;B576&amp;"!F2:F628"),MATCH(A576,INDIRECT(""&amp;B576&amp;"!B2:B628"),0))</f>
        <v>NYG</v>
      </c>
      <c r="E576" s="218" t="str">
        <f ca="1">INDEX(INDIRECT(""&amp;$B576&amp;"!AA2:AA628"),MATCH($A576,INDIRECT(""&amp;$B576&amp;"!B2:B628"),0))</f>
        <v>QB11</v>
      </c>
      <c r="F576" s="159">
        <f ca="1">IF(LeagueInfo!$H$7="Starter/Bench",INDEX(INDIRECT(""&amp;B576&amp;"!T2:T628"),MATCH(A576,INDIRECT(""&amp;B576&amp;"!B2:B628"),0)),INDEX(INDIRECT(""&amp;B576&amp;"!AB2:AB628"),MATCH(A576,INDIRECT(""&amp;B576&amp;"!B2:B628"),0)))</f>
        <v>-43.345618665436938</v>
      </c>
      <c r="G576" s="160">
        <f>IF(H576&gt;0,F576-H576,0)</f>
        <v>0</v>
      </c>
      <c r="H576" s="161"/>
      <c r="I576" s="160">
        <f ca="1">F576*$A$2</f>
        <v>-43.345618665436938</v>
      </c>
      <c r="J576" s="160" t="s">
        <v>76</v>
      </c>
      <c r="K576" s="160">
        <f>IF(LeagueInfo!$F$7="Yahoo",IFERROR(INDEX(DefaultAuctionValues!$B$2:$B$1000,MATCH(A576,DefaultAuctionValues!$A$2:$A$1000,0)),0),IF(LeagueInfo!$F$7="ESPN",IFERROR(INDEX(DefaultAuctionValues!$C$2:$C$1000,MATCH(A576,DefaultAuctionValues!$A$2:$A$1000,0)),0),IF(LeagueInfo!$F$7="Custom",IFERROR(INDEX(DefaultAuctionValues!$D$2:$D$1000,MATCH(A576,DefaultAuctionValues!$A$2:$A$1000,0)),0))))</f>
        <v>0</v>
      </c>
      <c r="L576" s="160">
        <f ca="1">I576-K576</f>
        <v>-43.345618665436938</v>
      </c>
      <c r="M576" s="175"/>
      <c r="N576" s="170">
        <f ca="1">INDEX(INDIRECT(""&amp;$B576&amp;"!Z2:Z628"),MATCH($A576,INDIRECT(""&amp;$B576&amp;"!B2:B628"),0))</f>
        <v>-119.52999999999997</v>
      </c>
      <c r="O576" s="158" t="str">
        <f ca="1">IF(INDEX(INDIRECT(""&amp;$B576&amp;"!W2:W628"),MATCH($A576,INDIRECT(""&amp;$B576&amp;"!B2:B628"),0))=0,"",INDEX(INDIRECT(""&amp;$B576&amp;"!W2:W628"),MATCH($A576,INDIRECT(""&amp;$B576&amp;"!B2:B628"),0)))</f>
        <v/>
      </c>
    </row>
    <row r="577" spans="1:15" x14ac:dyDescent="0.25">
      <c r="A577" s="158" t="s">
        <v>532</v>
      </c>
      <c r="B577" s="158" t="s">
        <v>29</v>
      </c>
      <c r="C577" s="158">
        <f ca="1">IFERROR(INDEX(BYEs!$B$2:$B$33,MATCH(D577,BYEs!$A$2:$A$33,0)),"N/A")</f>
        <v>13</v>
      </c>
      <c r="D577" s="219" t="str">
        <f ca="1">INDEX(INDIRECT(""&amp;B577&amp;"!F2:F628"),MATCH(A577,INDIRECT(""&amp;B577&amp;"!B2:B628"),0))</f>
        <v>CAR</v>
      </c>
      <c r="E577" s="218" t="str">
        <f ca="1">INDEX(INDIRECT(""&amp;$B577&amp;"!AA2:AA628"),MATCH($A577,INDIRECT(""&amp;$B577&amp;"!B2:B628"),0))</f>
        <v>QB11</v>
      </c>
      <c r="F577" s="159">
        <f ca="1">IF(LeagueInfo!$H$7="Starter/Bench",INDEX(INDIRECT(""&amp;B577&amp;"!T2:T628"),MATCH(A577,INDIRECT(""&amp;B577&amp;"!B2:B628"),0)),INDEX(INDIRECT(""&amp;B577&amp;"!AB2:AB628"),MATCH(A577,INDIRECT(""&amp;B577&amp;"!B2:B628"),0)))</f>
        <v>-43.39348632764591</v>
      </c>
      <c r="G577" s="160">
        <f>IF(H577&gt;0,F577-H577,0)</f>
        <v>0</v>
      </c>
      <c r="H577" s="161"/>
      <c r="I577" s="160">
        <f ca="1">F577*$A$2</f>
        <v>-43.39348632764591</v>
      </c>
      <c r="J577" s="160" t="s">
        <v>76</v>
      </c>
      <c r="K577" s="160">
        <f>IF(LeagueInfo!$F$7="Yahoo",IFERROR(INDEX(DefaultAuctionValues!$B$2:$B$1000,MATCH(A577,DefaultAuctionValues!$A$2:$A$1000,0)),0),IF(LeagueInfo!$F$7="ESPN",IFERROR(INDEX(DefaultAuctionValues!$C$2:$C$1000,MATCH(A577,DefaultAuctionValues!$A$2:$A$1000,0)),0),IF(LeagueInfo!$F$7="Custom",IFERROR(INDEX(DefaultAuctionValues!$D$2:$D$1000,MATCH(A577,DefaultAuctionValues!$A$2:$A$1000,0)),0))))</f>
        <v>0</v>
      </c>
      <c r="L577" s="160">
        <f ca="1">I577-K577</f>
        <v>-43.39348632764591</v>
      </c>
      <c r="M577" s="175"/>
      <c r="N577" s="170">
        <f ca="1">INDEX(INDIRECT(""&amp;$B577&amp;"!Z2:Z628"),MATCH($A577,INDIRECT(""&amp;$B577&amp;"!B2:B628"),0))</f>
        <v>-119.66199999999998</v>
      </c>
      <c r="O577" s="158" t="str">
        <f ca="1">IF(INDEX(INDIRECT(""&amp;$B577&amp;"!W2:W628"),MATCH($A577,INDIRECT(""&amp;$B577&amp;"!B2:B628"),0))=0,"",INDEX(INDIRECT(""&amp;$B577&amp;"!W2:W628"),MATCH($A577,INDIRECT(""&amp;$B577&amp;"!B2:B628"),0)))</f>
        <v/>
      </c>
    </row>
    <row r="578" spans="1:15" x14ac:dyDescent="0.25">
      <c r="A578" s="158" t="s">
        <v>539</v>
      </c>
      <c r="B578" s="158" t="s">
        <v>29</v>
      </c>
      <c r="C578" s="158">
        <f ca="1">IFERROR(INDEX(BYEs!$B$2:$B$33,MATCH(D578,BYEs!$A$2:$A$33,0)),"N/A")</f>
        <v>14</v>
      </c>
      <c r="D578" s="219" t="str">
        <f ca="1">INDEX(INDIRECT(""&amp;B578&amp;"!F2:F628"),MATCH(A578,INDIRECT(""&amp;B578&amp;"!B2:B628"),0))</f>
        <v>NO</v>
      </c>
      <c r="E578" s="218" t="str">
        <f ca="1">INDEX(INDIRECT(""&amp;$B578&amp;"!AA2:AA628"),MATCH($A578,INDIRECT(""&amp;$B578&amp;"!B2:B628"),0))</f>
        <v>QB11</v>
      </c>
      <c r="F578" s="159">
        <f ca="1">IF(LeagueInfo!$H$7="Starter/Bench",INDEX(INDIRECT(""&amp;B578&amp;"!T2:T628"),MATCH(A578,INDIRECT(""&amp;B578&amp;"!B2:B628"),0)),INDEX(INDIRECT(""&amp;B578&amp;"!AB2:AB628"),MATCH(A578,INDIRECT(""&amp;B578&amp;"!B2:B628"),0)))</f>
        <v>-43.444617694096387</v>
      </c>
      <c r="G578" s="160">
        <f>IF(H578&gt;0,F578-H578,0)</f>
        <v>0</v>
      </c>
      <c r="H578" s="161"/>
      <c r="I578" s="160">
        <f ca="1">F578*$A$2</f>
        <v>-43.444617694096387</v>
      </c>
      <c r="J578" s="160" t="s">
        <v>76</v>
      </c>
      <c r="K578" s="160">
        <f>IF(LeagueInfo!$F$7="Yahoo",IFERROR(INDEX(DefaultAuctionValues!$B$2:$B$1000,MATCH(A578,DefaultAuctionValues!$A$2:$A$1000,0)),0),IF(LeagueInfo!$F$7="ESPN",IFERROR(INDEX(DefaultAuctionValues!$C$2:$C$1000,MATCH(A578,DefaultAuctionValues!$A$2:$A$1000,0)),0),IF(LeagueInfo!$F$7="Custom",IFERROR(INDEX(DefaultAuctionValues!$D$2:$D$1000,MATCH(A578,DefaultAuctionValues!$A$2:$A$1000,0)),0))))</f>
        <v>1</v>
      </c>
      <c r="L578" s="160">
        <f ca="1">I578-K578</f>
        <v>-44.444617694096387</v>
      </c>
      <c r="M578" s="175"/>
      <c r="N578" s="170">
        <f ca="1">INDEX(INDIRECT(""&amp;$B578&amp;"!Z2:Z628"),MATCH($A578,INDIRECT(""&amp;$B578&amp;"!B2:B628"),0))</f>
        <v>-119.80299999999997</v>
      </c>
      <c r="O578" s="158" t="str">
        <f ca="1">IF(INDEX(INDIRECT(""&amp;$B578&amp;"!W2:W628"),MATCH($A578,INDIRECT(""&amp;$B578&amp;"!B2:B628"),0))=0,"",INDEX(INDIRECT(""&amp;$B578&amp;"!W2:W628"),MATCH($A578,INDIRECT(""&amp;$B578&amp;"!B2:B628"),0)))</f>
        <v/>
      </c>
    </row>
    <row r="579" spans="1:15" x14ac:dyDescent="0.25">
      <c r="A579" s="158" t="s">
        <v>925</v>
      </c>
      <c r="B579" s="158" t="s">
        <v>29</v>
      </c>
      <c r="C579" s="158">
        <f ca="1">IFERROR(INDEX(BYEs!$B$2:$B$33,MATCH(D579,BYEs!$A$2:$A$33,0)),"N/A")</f>
        <v>10</v>
      </c>
      <c r="D579" s="219" t="str">
        <f ca="1">INDEX(INDIRECT(""&amp;B579&amp;"!F2:F628"),MATCH(A579,INDIRECT(""&amp;B579&amp;"!B2:B628"),0))</f>
        <v>BAL</v>
      </c>
      <c r="E579" s="218" t="str">
        <f ca="1">INDEX(INDIRECT(""&amp;$B579&amp;"!AA2:AA628"),MATCH($A579,INDIRECT(""&amp;$B579&amp;"!B2:B628"),0))</f>
        <v>QB11</v>
      </c>
      <c r="F579" s="159">
        <f ca="1">IF(LeagueInfo!$H$7="Starter/Bench",INDEX(INDIRECT(""&amp;B579&amp;"!T2:T628"),MATCH(A579,INDIRECT(""&amp;B579&amp;"!B2:B628"),0)),INDEX(INDIRECT(""&amp;B579&amp;"!AB2:AB628"),MATCH(A579,INDIRECT(""&amp;B579&amp;"!B2:B628"),0)))</f>
        <v>-43.528386102962081</v>
      </c>
      <c r="G579" s="160">
        <f>IF(H579&gt;0,F579-H579,0)</f>
        <v>0</v>
      </c>
      <c r="H579" s="161"/>
      <c r="I579" s="160">
        <f ca="1">F579*$A$2</f>
        <v>-43.528386102962081</v>
      </c>
      <c r="J579" s="160" t="s">
        <v>76</v>
      </c>
      <c r="K579" s="160">
        <f>IF(LeagueInfo!$F$7="Yahoo",IFERROR(INDEX(DefaultAuctionValues!$B$2:$B$1000,MATCH(A579,DefaultAuctionValues!$A$2:$A$1000,0)),0),IF(LeagueInfo!$F$7="ESPN",IFERROR(INDEX(DefaultAuctionValues!$C$2:$C$1000,MATCH(A579,DefaultAuctionValues!$A$2:$A$1000,0)),0),IF(LeagueInfo!$F$7="Custom",IFERROR(INDEX(DefaultAuctionValues!$D$2:$D$1000,MATCH(A579,DefaultAuctionValues!$A$2:$A$1000,0)),0))))</f>
        <v>0</v>
      </c>
      <c r="L579" s="160">
        <f ca="1">I579-K579</f>
        <v>-43.528386102962081</v>
      </c>
      <c r="M579" s="175"/>
      <c r="N579" s="170">
        <f ca="1">INDEX(INDIRECT(""&amp;$B579&amp;"!Z2:Z628"),MATCH($A579,INDIRECT(""&amp;$B579&amp;"!B2:B628"),0))</f>
        <v>-120.03399999999998</v>
      </c>
      <c r="O579" s="158" t="str">
        <f ca="1">IF(INDEX(INDIRECT(""&amp;$B579&amp;"!W2:W628"),MATCH($A579,INDIRECT(""&amp;$B579&amp;"!B2:B628"),0))=0,"",INDEX(INDIRECT(""&amp;$B579&amp;"!W2:W628"),MATCH($A579,INDIRECT(""&amp;$B579&amp;"!B2:B628"),0)))</f>
        <v/>
      </c>
    </row>
    <row r="580" spans="1:15" x14ac:dyDescent="0.25">
      <c r="A580" s="158" t="s">
        <v>652</v>
      </c>
      <c r="B580" s="158" t="s">
        <v>29</v>
      </c>
      <c r="C580" s="158">
        <f ca="1">IFERROR(INDEX(BYEs!$B$2:$B$33,MATCH(D580,BYEs!$A$2:$A$33,0)),"N/A")</f>
        <v>9</v>
      </c>
      <c r="D580" s="219" t="str">
        <f ca="1">INDEX(INDIRECT(""&amp;B580&amp;"!F2:F628"),MATCH(A580,INDIRECT(""&amp;B580&amp;"!B2:B628"),0))</f>
        <v>CLE</v>
      </c>
      <c r="E580" s="218" t="str">
        <f ca="1">INDEX(INDIRECT(""&amp;$B580&amp;"!AA2:AA628"),MATCH($A580,INDIRECT(""&amp;$B580&amp;"!B2:B628"),0))</f>
        <v>QB11</v>
      </c>
      <c r="F580" s="159">
        <f ca="1">IF(LeagueInfo!$H$7="Starter/Bench",INDEX(INDIRECT(""&amp;B580&amp;"!T2:T628"),MATCH(A580,INDIRECT(""&amp;B580&amp;"!B2:B628"),0)),INDEX(INDIRECT(""&amp;B580&amp;"!AB2:AB628"),MATCH(A580,INDIRECT(""&amp;B580&amp;"!B2:B628"),0)))</f>
        <v>-43.773526554880725</v>
      </c>
      <c r="G580" s="160">
        <f>IF(H580&gt;0,F580-H580,0)</f>
        <v>0</v>
      </c>
      <c r="H580" s="161"/>
      <c r="I580" s="160">
        <f ca="1">F580*$A$2</f>
        <v>-43.773526554880725</v>
      </c>
      <c r="J580" s="160" t="s">
        <v>76</v>
      </c>
      <c r="K580" s="160">
        <f>IF(LeagueInfo!$F$7="Yahoo",IFERROR(INDEX(DefaultAuctionValues!$B$2:$B$1000,MATCH(A580,DefaultAuctionValues!$A$2:$A$1000,0)),0),IF(LeagueInfo!$F$7="ESPN",IFERROR(INDEX(DefaultAuctionValues!$C$2:$C$1000,MATCH(A580,DefaultAuctionValues!$A$2:$A$1000,0)),0),IF(LeagueInfo!$F$7="Custom",IFERROR(INDEX(DefaultAuctionValues!$D$2:$D$1000,MATCH(A580,DefaultAuctionValues!$A$2:$A$1000,0)),0))))</f>
        <v>0</v>
      </c>
      <c r="L580" s="160">
        <f ca="1">I580-K580</f>
        <v>-43.773526554880725</v>
      </c>
      <c r="M580" s="175"/>
      <c r="N580" s="170">
        <f ca="1">INDEX(INDIRECT(""&amp;$B580&amp;"!Z2:Z628"),MATCH($A580,INDIRECT(""&amp;$B580&amp;"!B2:B628"),0))</f>
        <v>-120.70999999999998</v>
      </c>
      <c r="O580" s="158" t="str">
        <f ca="1">IF(INDEX(INDIRECT(""&amp;$B580&amp;"!W2:W628"),MATCH($A580,INDIRECT(""&amp;$B580&amp;"!B2:B628"),0))=0,"",INDEX(INDIRECT(""&amp;$B580&amp;"!W2:W628"),MATCH($A580,INDIRECT(""&amp;$B580&amp;"!B2:B628"),0)))</f>
        <v/>
      </c>
    </row>
    <row r="581" spans="1:15" x14ac:dyDescent="0.25">
      <c r="A581" s="158" t="s">
        <v>2666</v>
      </c>
      <c r="B581" s="158" t="s">
        <v>29</v>
      </c>
      <c r="C581" s="158">
        <f ca="1">IFERROR(INDEX(BYEs!$B$2:$B$33,MATCH(D581,BYEs!$A$2:$A$33,0)),"N/A")</f>
        <v>8</v>
      </c>
      <c r="D581" s="219" t="str">
        <f ca="1">INDEX(INDIRECT(""&amp;B581&amp;"!F2:F628"),MATCH(A581,INDIRECT(""&amp;B581&amp;"!B2:B628"),0))</f>
        <v>KC</v>
      </c>
      <c r="E581" s="218" t="str">
        <f ca="1">INDEX(INDIRECT(""&amp;$B581&amp;"!AA2:AA628"),MATCH($A581,INDIRECT(""&amp;$B581&amp;"!B2:B628"),0))</f>
        <v>QB11</v>
      </c>
      <c r="F581" s="159">
        <f ca="1">IF(LeagueInfo!$H$7="Starter/Bench",INDEX(INDIRECT(""&amp;B581&amp;"!T2:T628"),MATCH(A581,INDIRECT(""&amp;B581&amp;"!B2:B628"),0)),INDEX(INDIRECT(""&amp;B581&amp;"!AB2:AB628"),MATCH(A581,INDIRECT(""&amp;B581&amp;"!B2:B628"),0)))</f>
        <v>-44.017216471580916</v>
      </c>
      <c r="G581" s="160">
        <f>IF(H581&gt;0,F581-H581,0)</f>
        <v>0</v>
      </c>
      <c r="H581" s="161"/>
      <c r="I581" s="160">
        <f ca="1">F581*$A$2</f>
        <v>-44.017216471580916</v>
      </c>
      <c r="J581" s="160" t="s">
        <v>76</v>
      </c>
      <c r="K581" s="160">
        <f>IF(LeagueInfo!$F$7="Yahoo",IFERROR(INDEX(DefaultAuctionValues!$B$2:$B$1000,MATCH(A581,DefaultAuctionValues!$A$2:$A$1000,0)),0),IF(LeagueInfo!$F$7="ESPN",IFERROR(INDEX(DefaultAuctionValues!$C$2:$C$1000,MATCH(A581,DefaultAuctionValues!$A$2:$A$1000,0)),0),IF(LeagueInfo!$F$7="Custom",IFERROR(INDEX(DefaultAuctionValues!$D$2:$D$1000,MATCH(A581,DefaultAuctionValues!$A$2:$A$1000,0)),0))))</f>
        <v>0</v>
      </c>
      <c r="L581" s="160">
        <f ca="1">I581-K581</f>
        <v>-44.017216471580916</v>
      </c>
      <c r="M581" s="175"/>
      <c r="N581" s="170">
        <f ca="1">INDEX(INDIRECT(""&amp;$B581&amp;"!Z2:Z628"),MATCH($A581,INDIRECT(""&amp;$B581&amp;"!B2:B628"),0))</f>
        <v>-121.38199999999998</v>
      </c>
      <c r="O581" s="158" t="str">
        <f ca="1">IF(INDEX(INDIRECT(""&amp;$B581&amp;"!W2:W628"),MATCH($A581,INDIRECT(""&amp;$B581&amp;"!B2:B628"),0))=0,"",INDEX(INDIRECT(""&amp;$B581&amp;"!W2:W628"),MATCH($A581,INDIRECT(""&amp;$B581&amp;"!B2:B628"),0)))</f>
        <v/>
      </c>
    </row>
    <row r="582" spans="1:15" x14ac:dyDescent="0.25">
      <c r="A582" s="158" t="s">
        <v>319</v>
      </c>
      <c r="B582" s="158" t="s">
        <v>29</v>
      </c>
      <c r="C582" s="158">
        <f ca="1">IFERROR(INDEX(BYEs!$B$2:$B$33,MATCH(D582,BYEs!$A$2:$A$33,0)),"N/A")</f>
        <v>9</v>
      </c>
      <c r="D582" s="219" t="str">
        <f ca="1">INDEX(INDIRECT(""&amp;B582&amp;"!F2:F628"),MATCH(A582,INDIRECT(""&amp;B582&amp;"!B2:B628"),0))</f>
        <v>SF</v>
      </c>
      <c r="E582" s="218" t="str">
        <f ca="1">INDEX(INDIRECT(""&amp;$B582&amp;"!AA2:AA628"),MATCH($A582,INDIRECT(""&amp;$B582&amp;"!B2:B628"),0))</f>
        <v>QB11</v>
      </c>
      <c r="F582" s="159">
        <f ca="1">IF(LeagueInfo!$H$7="Starter/Bench",INDEX(INDIRECT(""&amp;B582&amp;"!T2:T628"),MATCH(A582,INDIRECT(""&amp;B582&amp;"!B2:B628"),0)),INDEX(INDIRECT(""&amp;B582&amp;"!AB2:AB628"),MATCH(A582,INDIRECT(""&amp;B582&amp;"!B2:B628"),0)))</f>
        <v>-44.067622570422174</v>
      </c>
      <c r="G582" s="160">
        <f>IF(H582&gt;0,F582-H582,0)</f>
        <v>0</v>
      </c>
      <c r="H582" s="161"/>
      <c r="I582" s="160">
        <f ca="1">F582*$A$2</f>
        <v>-44.067622570422174</v>
      </c>
      <c r="J582" s="160" t="s">
        <v>76</v>
      </c>
      <c r="K582" s="160">
        <f>IF(LeagueInfo!$F$7="Yahoo",IFERROR(INDEX(DefaultAuctionValues!$B$2:$B$1000,MATCH(A582,DefaultAuctionValues!$A$2:$A$1000,0)),0),IF(LeagueInfo!$F$7="ESPN",IFERROR(INDEX(DefaultAuctionValues!$C$2:$C$1000,MATCH(A582,DefaultAuctionValues!$A$2:$A$1000,0)),0),IF(LeagueInfo!$F$7="Custom",IFERROR(INDEX(DefaultAuctionValues!$D$2:$D$1000,MATCH(A582,DefaultAuctionValues!$A$2:$A$1000,0)),0))))</f>
        <v>0</v>
      </c>
      <c r="L582" s="160">
        <f ca="1">I582-K582</f>
        <v>-44.067622570422174</v>
      </c>
      <c r="M582" s="175"/>
      <c r="N582" s="170">
        <f ca="1">INDEX(INDIRECT(""&amp;$B582&amp;"!Z2:Z628"),MATCH($A582,INDIRECT(""&amp;$B582&amp;"!B2:B628"),0))</f>
        <v>-121.52099999999997</v>
      </c>
      <c r="O582" s="158" t="str">
        <f ca="1">IF(INDEX(INDIRECT(""&amp;$B582&amp;"!W2:W628"),MATCH($A582,INDIRECT(""&amp;$B582&amp;"!B2:B628"),0))=0,"",INDEX(INDIRECT(""&amp;$B582&amp;"!W2:W628"),MATCH($A582,INDIRECT(""&amp;$B582&amp;"!B2:B628"),0)))</f>
        <v/>
      </c>
    </row>
    <row r="583" spans="1:15" x14ac:dyDescent="0.25">
      <c r="A583" s="158" t="s">
        <v>805</v>
      </c>
      <c r="B583" s="158" t="s">
        <v>29</v>
      </c>
      <c r="C583" s="158">
        <f ca="1">IFERROR(INDEX(BYEs!$B$2:$B$33,MATCH(D583,BYEs!$A$2:$A$33,0)),"N/A")</f>
        <v>9</v>
      </c>
      <c r="D583" s="219" t="str">
        <f ca="1">INDEX(INDIRECT(""&amp;B583&amp;"!F2:F628"),MATCH(A583,INDIRECT(""&amp;B583&amp;"!B2:B628"),0))</f>
        <v>DEN</v>
      </c>
      <c r="E583" s="218" t="str">
        <f ca="1">INDEX(INDIRECT(""&amp;$B583&amp;"!AA2:AA628"),MATCH($A583,INDIRECT(""&amp;$B583&amp;"!B2:B628"),0))</f>
        <v>QB11</v>
      </c>
      <c r="F583" s="159">
        <f ca="1">IF(LeagueInfo!$H$7="Starter/Bench",INDEX(INDIRECT(""&amp;B583&amp;"!T2:T628"),MATCH(A583,INDIRECT(""&amp;B583&amp;"!B2:B628"),0)),INDEX(INDIRECT(""&amp;B583&amp;"!AB2:AB628"),MATCH(A583,INDIRECT(""&amp;B583&amp;"!B2:B628"),0)))</f>
        <v>-44.136160359494106</v>
      </c>
      <c r="G583" s="160">
        <f>IF(H583&gt;0,F583-H583,0)</f>
        <v>0</v>
      </c>
      <c r="H583" s="161"/>
      <c r="I583" s="160">
        <f ca="1">F583*$A$2</f>
        <v>-44.136160359494106</v>
      </c>
      <c r="J583" s="160" t="s">
        <v>76</v>
      </c>
      <c r="K583" s="160">
        <f>IF(LeagueInfo!$F$7="Yahoo",IFERROR(INDEX(DefaultAuctionValues!$B$2:$B$1000,MATCH(A583,DefaultAuctionValues!$A$2:$A$1000,0)),0),IF(LeagueInfo!$F$7="ESPN",IFERROR(INDEX(DefaultAuctionValues!$C$2:$C$1000,MATCH(A583,DefaultAuctionValues!$A$2:$A$1000,0)),0),IF(LeagueInfo!$F$7="Custom",IFERROR(INDEX(DefaultAuctionValues!$D$2:$D$1000,MATCH(A583,DefaultAuctionValues!$A$2:$A$1000,0)),0))))</f>
        <v>0</v>
      </c>
      <c r="L583" s="160">
        <f ca="1">I583-K583</f>
        <v>-44.136160359494106</v>
      </c>
      <c r="M583" s="175"/>
      <c r="N583" s="170">
        <f ca="1">INDEX(INDIRECT(""&amp;$B583&amp;"!Z2:Z628"),MATCH($A583,INDIRECT(""&amp;$B583&amp;"!B2:B628"),0))</f>
        <v>-121.70999999999998</v>
      </c>
      <c r="O583" s="158" t="str">
        <f ca="1">IF(INDEX(INDIRECT(""&amp;$B583&amp;"!W2:W628"),MATCH($A583,INDIRECT(""&amp;$B583&amp;"!B2:B628"),0))=0,"",INDEX(INDIRECT(""&amp;$B583&amp;"!W2:W628"),MATCH($A583,INDIRECT(""&amp;$B583&amp;"!B2:B628"),0)))</f>
        <v/>
      </c>
    </row>
    <row r="584" spans="1:15" x14ac:dyDescent="0.25">
      <c r="A584" s="158" t="s">
        <v>536</v>
      </c>
      <c r="B584" s="158" t="s">
        <v>29</v>
      </c>
      <c r="C584" s="158">
        <f ca="1">IFERROR(INDEX(BYEs!$B$2:$B$33,MATCH(D584,BYEs!$A$2:$A$33,0)),"N/A")</f>
        <v>9</v>
      </c>
      <c r="D584" s="219" t="str">
        <f ca="1">INDEX(INDIRECT(""&amp;B584&amp;"!F2:F628"),MATCH(A584,INDIRECT(""&amp;B584&amp;"!B2:B628"),0))</f>
        <v>DAL</v>
      </c>
      <c r="E584" s="218" t="str">
        <f ca="1">INDEX(INDIRECT(""&amp;$B584&amp;"!AA2:AA628"),MATCH($A584,INDIRECT(""&amp;$B584&amp;"!B2:B628"),0))</f>
        <v>QB11</v>
      </c>
      <c r="F584" s="159">
        <f ca="1">IF(LeagueInfo!$H$7="Starter/Bench",INDEX(INDIRECT(""&amp;B584&amp;"!T2:T628"),MATCH(A584,INDIRECT(""&amp;B584&amp;"!B2:B628"),0)),INDEX(INDIRECT(""&amp;B584&amp;"!AB2:AB628"),MATCH(A584,INDIRECT(""&amp;B584&amp;"!B2:B628"),0)))</f>
        <v>-44.217390331727493</v>
      </c>
      <c r="G584" s="160">
        <f>IF(H584&gt;0,F584-H584,0)</f>
        <v>0</v>
      </c>
      <c r="H584" s="161"/>
      <c r="I584" s="160">
        <f ca="1">F584*$A$2</f>
        <v>-44.217390331727493</v>
      </c>
      <c r="J584" s="160" t="s">
        <v>76</v>
      </c>
      <c r="K584" s="160">
        <f>IF(LeagueInfo!$F$7="Yahoo",IFERROR(INDEX(DefaultAuctionValues!$B$2:$B$1000,MATCH(A584,DefaultAuctionValues!$A$2:$A$1000,0)),0),IF(LeagueInfo!$F$7="ESPN",IFERROR(INDEX(DefaultAuctionValues!$C$2:$C$1000,MATCH(A584,DefaultAuctionValues!$A$2:$A$1000,0)),0),IF(LeagueInfo!$F$7="Custom",IFERROR(INDEX(DefaultAuctionValues!$D$2:$D$1000,MATCH(A584,DefaultAuctionValues!$A$2:$A$1000,0)),0))))</f>
        <v>0</v>
      </c>
      <c r="L584" s="160">
        <f ca="1">I584-K584</f>
        <v>-44.217390331727493</v>
      </c>
      <c r="M584" s="175"/>
      <c r="N584" s="170">
        <f ca="1">INDEX(INDIRECT(""&amp;$B584&amp;"!Z2:Z628"),MATCH($A584,INDIRECT(""&amp;$B584&amp;"!B2:B628"),0))</f>
        <v>-121.93399999999997</v>
      </c>
      <c r="O584" s="158" t="str">
        <f ca="1">IF(INDEX(INDIRECT(""&amp;$B584&amp;"!W2:W628"),MATCH($A584,INDIRECT(""&amp;$B584&amp;"!B2:B628"),0))=0,"",INDEX(INDIRECT(""&amp;$B584&amp;"!W2:W628"),MATCH($A584,INDIRECT(""&amp;$B584&amp;"!B2:B628"),0)))</f>
        <v/>
      </c>
    </row>
    <row r="585" spans="1:15" x14ac:dyDescent="0.25">
      <c r="A585" s="158" t="s">
        <v>870</v>
      </c>
      <c r="B585" s="158" t="s">
        <v>29</v>
      </c>
      <c r="C585" s="158">
        <f ca="1">IFERROR(INDEX(BYEs!$B$2:$B$33,MATCH(D585,BYEs!$A$2:$A$33,0)),"N/A")</f>
        <v>7</v>
      </c>
      <c r="D585" s="219" t="str">
        <f ca="1">INDEX(INDIRECT(""&amp;B585&amp;"!F2:F628"),MATCH(A585,INDIRECT(""&amp;B585&amp;"!B2:B628"),0))</f>
        <v>PHI</v>
      </c>
      <c r="E585" s="218" t="str">
        <f ca="1">INDEX(INDIRECT(""&amp;$B585&amp;"!AA2:AA628"),MATCH($A585,INDIRECT(""&amp;$B585&amp;"!B2:B628"),0))</f>
        <v>QB11</v>
      </c>
      <c r="F585" s="159">
        <f ca="1">IF(LeagueInfo!$H$7="Starter/Bench",INDEX(INDIRECT(""&amp;B585&amp;"!T2:T628"),MATCH(A585,INDIRECT(""&amp;B585&amp;"!B2:B628"),0)),INDEX(INDIRECT(""&amp;B585&amp;"!AB2:AB628"),MATCH(A585,INDIRECT(""&amp;B585&amp;"!B2:B628"),0)))</f>
        <v>-44.235159388153555</v>
      </c>
      <c r="G585" s="160">
        <f>IF(H585&gt;0,F585-H585,0)</f>
        <v>0</v>
      </c>
      <c r="H585" s="161"/>
      <c r="I585" s="160">
        <f ca="1">F585*$A$2</f>
        <v>-44.235159388153555</v>
      </c>
      <c r="J585" s="160" t="s">
        <v>76</v>
      </c>
      <c r="K585" s="160">
        <f>IF(LeagueInfo!$F$7="Yahoo",IFERROR(INDEX(DefaultAuctionValues!$B$2:$B$1000,MATCH(A585,DefaultAuctionValues!$A$2:$A$1000,0)),0),IF(LeagueInfo!$F$7="ESPN",IFERROR(INDEX(DefaultAuctionValues!$C$2:$C$1000,MATCH(A585,DefaultAuctionValues!$A$2:$A$1000,0)),0),IF(LeagueInfo!$F$7="Custom",IFERROR(INDEX(DefaultAuctionValues!$D$2:$D$1000,MATCH(A585,DefaultAuctionValues!$A$2:$A$1000,0)),0))))</f>
        <v>0</v>
      </c>
      <c r="L585" s="160">
        <f ca="1">I585-K585</f>
        <v>-44.235159388153555</v>
      </c>
      <c r="M585" s="175"/>
      <c r="N585" s="170">
        <f ca="1">INDEX(INDIRECT(""&amp;$B585&amp;"!Z2:Z628"),MATCH($A585,INDIRECT(""&amp;$B585&amp;"!B2:B628"),0))</f>
        <v>-121.98299999999998</v>
      </c>
      <c r="O585" s="158" t="str">
        <f ca="1">IF(INDEX(INDIRECT(""&amp;$B585&amp;"!W2:W628"),MATCH($A585,INDIRECT(""&amp;$B585&amp;"!B2:B628"),0))=0,"",INDEX(INDIRECT(""&amp;$B585&amp;"!W2:W628"),MATCH($A585,INDIRECT(""&amp;$B585&amp;"!B2:B628"),0)))</f>
        <v/>
      </c>
    </row>
    <row r="586" spans="1:15" x14ac:dyDescent="0.25">
      <c r="A586" s="158" t="s">
        <v>305</v>
      </c>
      <c r="B586" s="158" t="s">
        <v>29</v>
      </c>
      <c r="C586" s="158">
        <f ca="1">IFERROR(INDEX(BYEs!$B$2:$B$33,MATCH(D586,BYEs!$A$2:$A$33,0)),"N/A")</f>
        <v>14</v>
      </c>
      <c r="D586" s="219" t="str">
        <f ca="1">INDEX(INDIRECT(""&amp;B586&amp;"!F2:F628"),MATCH(A586,INDIRECT(""&amp;B586&amp;"!B2:B628"),0))</f>
        <v>CHI</v>
      </c>
      <c r="E586" s="218" t="str">
        <f ca="1">INDEX(INDIRECT(""&amp;$B586&amp;"!AA2:AA628"),MATCH($A586,INDIRECT(""&amp;$B586&amp;"!B2:B628"),0))</f>
        <v>QB11</v>
      </c>
      <c r="F586" s="159">
        <f ca="1">IF(LeagueInfo!$H$7="Starter/Bench",INDEX(INDIRECT(""&amp;B586&amp;"!T2:T628"),MATCH(A586,INDIRECT(""&amp;B586&amp;"!B2:B628"),0)),INDEX(INDIRECT(""&amp;B586&amp;"!AB2:AB628"),MATCH(A586,INDIRECT(""&amp;B586&amp;"!B2:B628"),0)))</f>
        <v>-44.305147712443933</v>
      </c>
      <c r="G586" s="160">
        <f>IF(H586&gt;0,F586-H586,0)</f>
        <v>0</v>
      </c>
      <c r="H586" s="161"/>
      <c r="I586" s="160">
        <f ca="1">F586*$A$2</f>
        <v>-44.305147712443933</v>
      </c>
      <c r="J586" s="160" t="s">
        <v>76</v>
      </c>
      <c r="K586" s="160">
        <f>IF(LeagueInfo!$F$7="Yahoo",IFERROR(INDEX(DefaultAuctionValues!$B$2:$B$1000,MATCH(A586,DefaultAuctionValues!$A$2:$A$1000,0)),0),IF(LeagueInfo!$F$7="ESPN",IFERROR(INDEX(DefaultAuctionValues!$C$2:$C$1000,MATCH(A586,DefaultAuctionValues!$A$2:$A$1000,0)),0),IF(LeagueInfo!$F$7="Custom",IFERROR(INDEX(DefaultAuctionValues!$D$2:$D$1000,MATCH(A586,DefaultAuctionValues!$A$2:$A$1000,0)),0))))</f>
        <v>0</v>
      </c>
      <c r="L586" s="160">
        <f ca="1">I586-K586</f>
        <v>-44.305147712443933</v>
      </c>
      <c r="M586" s="175"/>
      <c r="N586" s="170">
        <f ca="1">INDEX(INDIRECT(""&amp;$B586&amp;"!Z2:Z628"),MATCH($A586,INDIRECT(""&amp;$B586&amp;"!B2:B628"),0))</f>
        <v>-122.17599999999997</v>
      </c>
      <c r="O586" s="158" t="str">
        <f ca="1">IF(INDEX(INDIRECT(""&amp;$B586&amp;"!W2:W628"),MATCH($A586,INDIRECT(""&amp;$B586&amp;"!B2:B628"),0))=0,"",INDEX(INDIRECT(""&amp;$B586&amp;"!W2:W628"),MATCH($A586,INDIRECT(""&amp;$B586&amp;"!B2:B628"),0)))</f>
        <v/>
      </c>
    </row>
    <row r="587" spans="1:15" x14ac:dyDescent="0.25">
      <c r="A587" s="158" t="s">
        <v>312</v>
      </c>
      <c r="B587" s="158" t="s">
        <v>29</v>
      </c>
      <c r="C587" s="158">
        <f ca="1">IFERROR(INDEX(BYEs!$B$2:$B$33,MATCH(D587,BYEs!$A$2:$A$33,0)),"N/A")</f>
        <v>11</v>
      </c>
      <c r="D587" s="219" t="str">
        <f ca="1">INDEX(INDIRECT(""&amp;B587&amp;"!F2:F628"),MATCH(A587,INDIRECT(""&amp;B587&amp;"!B2:B628"),0))</f>
        <v>MIA</v>
      </c>
      <c r="E587" s="218" t="str">
        <f ca="1">INDEX(INDIRECT(""&amp;$B587&amp;"!AA2:AA628"),MATCH($A587,INDIRECT(""&amp;$B587&amp;"!B2:B628"),0))</f>
        <v>QB11</v>
      </c>
      <c r="F587" s="159">
        <f ca="1">IF(LeagueInfo!$H$7="Starter/Bench",INDEX(INDIRECT(""&amp;B587&amp;"!T2:T628"),MATCH(A587,INDIRECT(""&amp;B587&amp;"!B2:B628"),0)),INDEX(INDIRECT(""&amp;B587&amp;"!AB2:AB628"),MATCH(A587,INDIRECT(""&amp;B587&amp;"!B2:B628"),0)))</f>
        <v>-44.637320277469783</v>
      </c>
      <c r="G587" s="160">
        <f>IF(H587&gt;0,F587-H587,0)</f>
        <v>0</v>
      </c>
      <c r="H587" s="161"/>
      <c r="I587" s="160">
        <f ca="1">F587*$A$2</f>
        <v>-44.637320277469783</v>
      </c>
      <c r="J587" s="160" t="s">
        <v>76</v>
      </c>
      <c r="K587" s="160">
        <f>IF(LeagueInfo!$F$7="Yahoo",IFERROR(INDEX(DefaultAuctionValues!$B$2:$B$1000,MATCH(A587,DefaultAuctionValues!$A$2:$A$1000,0)),0),IF(LeagueInfo!$F$7="ESPN",IFERROR(INDEX(DefaultAuctionValues!$C$2:$C$1000,MATCH(A587,DefaultAuctionValues!$A$2:$A$1000,0)),0),IF(LeagueInfo!$F$7="Custom",IFERROR(INDEX(DefaultAuctionValues!$D$2:$D$1000,MATCH(A587,DefaultAuctionValues!$A$2:$A$1000,0)),0))))</f>
        <v>0</v>
      </c>
      <c r="L587" s="160">
        <f ca="1">I587-K587</f>
        <v>-44.637320277469783</v>
      </c>
      <c r="M587" s="175"/>
      <c r="N587" s="170">
        <f ca="1">INDEX(INDIRECT(""&amp;$B587&amp;"!Z2:Z628"),MATCH($A587,INDIRECT(""&amp;$B587&amp;"!B2:B628"),0))</f>
        <v>-123.09199999999997</v>
      </c>
      <c r="O587" s="158" t="str">
        <f ca="1">IF(INDEX(INDIRECT(""&amp;$B587&amp;"!W2:W628"),MATCH($A587,INDIRECT(""&amp;$B587&amp;"!B2:B628"),0))=0,"",INDEX(INDIRECT(""&amp;$B587&amp;"!W2:W628"),MATCH($A587,INDIRECT(""&amp;$B587&amp;"!B2:B628"),0)))</f>
        <v/>
      </c>
    </row>
    <row r="588" spans="1:15" x14ac:dyDescent="0.25">
      <c r="A588" s="158" t="s">
        <v>538</v>
      </c>
      <c r="B588" s="158" t="s">
        <v>29</v>
      </c>
      <c r="C588" s="158">
        <f ca="1">IFERROR(INDEX(BYEs!$B$2:$B$33,MATCH(D588,BYEs!$A$2:$A$33,0)),"N/A")</f>
        <v>14</v>
      </c>
      <c r="D588" s="219" t="str">
        <f ca="1">INDEX(INDIRECT(""&amp;B588&amp;"!F2:F628"),MATCH(A588,INDIRECT(""&amp;B588&amp;"!B2:B628"),0))</f>
        <v>WAS</v>
      </c>
      <c r="E588" s="218" t="str">
        <f ca="1">INDEX(INDIRECT(""&amp;$B588&amp;"!AA2:AA628"),MATCH($A588,INDIRECT(""&amp;$B588&amp;"!B2:B628"),0))</f>
        <v>QB11</v>
      </c>
      <c r="F588" s="159">
        <f ca="1">IF(LeagueInfo!$H$7="Starter/Bench",INDEX(INDIRECT(""&amp;B588&amp;"!T2:T628"),MATCH(A588,INDIRECT(""&amp;B588&amp;"!B2:B628"),0)),INDEX(INDIRECT(""&amp;B588&amp;"!AB2:AB628"),MATCH(A588,INDIRECT(""&amp;B588&amp;"!B2:B628"),0)))</f>
        <v>-44.684825305874142</v>
      </c>
      <c r="G588" s="160">
        <f>IF(H588&gt;0,F588-H588,0)</f>
        <v>0</v>
      </c>
      <c r="H588" s="161"/>
      <c r="I588" s="160">
        <f ca="1">F588*$A$2</f>
        <v>-44.684825305874142</v>
      </c>
      <c r="J588" s="160" t="s">
        <v>76</v>
      </c>
      <c r="K588" s="160">
        <f>IF(LeagueInfo!$F$7="Yahoo",IFERROR(INDEX(DefaultAuctionValues!$B$2:$B$1000,MATCH(A588,DefaultAuctionValues!$A$2:$A$1000,0)),0),IF(LeagueInfo!$F$7="ESPN",IFERROR(INDEX(DefaultAuctionValues!$C$2:$C$1000,MATCH(A588,DefaultAuctionValues!$A$2:$A$1000,0)),0),IF(LeagueInfo!$F$7="Custom",IFERROR(INDEX(DefaultAuctionValues!$D$2:$D$1000,MATCH(A588,DefaultAuctionValues!$A$2:$A$1000,0)),0))))</f>
        <v>0</v>
      </c>
      <c r="L588" s="160">
        <f ca="1">I588-K588</f>
        <v>-44.684825305874142</v>
      </c>
      <c r="M588" s="175"/>
      <c r="N588" s="170">
        <f ca="1">INDEX(INDIRECT(""&amp;$B588&amp;"!Z2:Z628"),MATCH($A588,INDIRECT(""&amp;$B588&amp;"!B2:B628"),0))</f>
        <v>-123.22299999999997</v>
      </c>
      <c r="O588" s="158" t="str">
        <f ca="1">IF(INDEX(INDIRECT(""&amp;$B588&amp;"!W2:W628"),MATCH($A588,INDIRECT(""&amp;$B588&amp;"!B2:B628"),0))=0,"",INDEX(INDIRECT(""&amp;$B588&amp;"!W2:W628"),MATCH($A588,INDIRECT(""&amp;$B588&amp;"!B2:B628"),0)))</f>
        <v/>
      </c>
    </row>
    <row r="589" spans="1:15" x14ac:dyDescent="0.25">
      <c r="A589" s="158" t="s">
        <v>1033</v>
      </c>
      <c r="B589" s="158" t="s">
        <v>29</v>
      </c>
      <c r="C589" s="158">
        <f ca="1">IFERROR(INDEX(BYEs!$B$2:$B$33,MATCH(D589,BYEs!$A$2:$A$33,0)),"N/A")</f>
        <v>6</v>
      </c>
      <c r="D589" s="219" t="str">
        <f ca="1">INDEX(INDIRECT(""&amp;B589&amp;"!F2:F628"),MATCH(A589,INDIRECT(""&amp;B589&amp;"!B2:B628"),0))</f>
        <v>TEN</v>
      </c>
      <c r="E589" s="218" t="str">
        <f ca="1">INDEX(INDIRECT(""&amp;$B589&amp;"!AA2:AA628"),MATCH($A589,INDIRECT(""&amp;$B589&amp;"!B2:B628"),0))</f>
        <v>QB11</v>
      </c>
      <c r="F589" s="159">
        <f ca="1">IF(LeagueInfo!$H$7="Starter/Bench",INDEX(INDIRECT(""&amp;B589&amp;"!T2:T628"),MATCH(A589,INDIRECT(""&amp;B589&amp;"!B2:B628"),0)),INDEX(INDIRECT(""&amp;B589&amp;"!AB2:AB628"),MATCH(A589,INDIRECT(""&amp;B589&amp;"!B2:B628"),0)))</f>
        <v>-44.804131827591945</v>
      </c>
      <c r="G589" s="160">
        <f>IF(H589&gt;0,F589-H589,0)</f>
        <v>0</v>
      </c>
      <c r="H589" s="161"/>
      <c r="I589" s="160">
        <f ca="1">F589*$A$2</f>
        <v>-44.804131827591945</v>
      </c>
      <c r="J589" s="160" t="s">
        <v>76</v>
      </c>
      <c r="K589" s="160">
        <f>IF(LeagueInfo!$F$7="Yahoo",IFERROR(INDEX(DefaultAuctionValues!$B$2:$B$1000,MATCH(A589,DefaultAuctionValues!$A$2:$A$1000,0)),0),IF(LeagueInfo!$F$7="ESPN",IFERROR(INDEX(DefaultAuctionValues!$C$2:$C$1000,MATCH(A589,DefaultAuctionValues!$A$2:$A$1000,0)),0),IF(LeagueInfo!$F$7="Custom",IFERROR(INDEX(DefaultAuctionValues!$D$2:$D$1000,MATCH(A589,DefaultAuctionValues!$A$2:$A$1000,0)),0))))</f>
        <v>0</v>
      </c>
      <c r="L589" s="160">
        <f ca="1">I589-K589</f>
        <v>-44.804131827591945</v>
      </c>
      <c r="M589" s="175"/>
      <c r="N589" s="170">
        <f ca="1">INDEX(INDIRECT(""&amp;$B589&amp;"!Z2:Z628"),MATCH($A589,INDIRECT(""&amp;$B589&amp;"!B2:B628"),0))</f>
        <v>-123.55199999999998</v>
      </c>
      <c r="O589" s="158" t="str">
        <f ca="1">IF(INDEX(INDIRECT(""&amp;$B589&amp;"!W2:W628"),MATCH($A589,INDIRECT(""&amp;$B589&amp;"!B2:B628"),0))=0,"",INDEX(INDIRECT(""&amp;$B589&amp;"!W2:W628"),MATCH($A589,INDIRECT(""&amp;$B589&amp;"!B2:B628"),0)))</f>
        <v/>
      </c>
    </row>
    <row r="590" spans="1:15" x14ac:dyDescent="0.25">
      <c r="A590" s="158" t="s">
        <v>320</v>
      </c>
      <c r="B590" s="158" t="s">
        <v>29</v>
      </c>
      <c r="C590" s="158">
        <f ca="1">IFERROR(INDEX(BYEs!$B$2:$B$33,MATCH(D590,BYEs!$A$2:$A$33,0)),"N/A")</f>
        <v>13</v>
      </c>
      <c r="D590" s="219" t="str">
        <f ca="1">INDEX(INDIRECT(""&amp;B590&amp;"!F2:F628"),MATCH(A590,INDIRECT(""&amp;B590&amp;"!B2:B628"),0))</f>
        <v>ARI</v>
      </c>
      <c r="E590" s="218" t="str">
        <f ca="1">INDEX(INDIRECT(""&amp;$B590&amp;"!AA2:AA628"),MATCH($A590,INDIRECT(""&amp;$B590&amp;"!B2:B628"),0))</f>
        <v>QB11</v>
      </c>
      <c r="F590" s="159">
        <f ca="1">IF(LeagueInfo!$H$7="Starter/Bench",INDEX(INDIRECT(""&amp;B590&amp;"!T2:T628"),MATCH(A590,INDIRECT(""&amp;B590&amp;"!B2:B628"),0)),INDEX(INDIRECT(""&amp;B590&amp;"!AB2:AB628"),MATCH(A590,INDIRECT(""&amp;B590&amp;"!B2:B628"),0)))</f>
        <v>-44.837494137616375</v>
      </c>
      <c r="G590" s="160">
        <f>IF(H590&gt;0,F590-H590,0)</f>
        <v>0</v>
      </c>
      <c r="H590" s="161"/>
      <c r="I590" s="160">
        <f ca="1">F590*$A$2</f>
        <v>-44.837494137616375</v>
      </c>
      <c r="J590" s="160" t="s">
        <v>76</v>
      </c>
      <c r="K590" s="160">
        <f>IF(LeagueInfo!$F$7="Yahoo",IFERROR(INDEX(DefaultAuctionValues!$B$2:$B$1000,MATCH(A590,DefaultAuctionValues!$A$2:$A$1000,0)),0),IF(LeagueInfo!$F$7="ESPN",IFERROR(INDEX(DefaultAuctionValues!$C$2:$C$1000,MATCH(A590,DefaultAuctionValues!$A$2:$A$1000,0)),0),IF(LeagueInfo!$F$7="Custom",IFERROR(INDEX(DefaultAuctionValues!$D$2:$D$1000,MATCH(A590,DefaultAuctionValues!$A$2:$A$1000,0)),0))))</f>
        <v>0</v>
      </c>
      <c r="L590" s="160">
        <f ca="1">I590-K590</f>
        <v>-44.837494137616375</v>
      </c>
      <c r="M590" s="175"/>
      <c r="N590" s="170">
        <f ca="1">INDEX(INDIRECT(""&amp;$B590&amp;"!Z2:Z628"),MATCH($A590,INDIRECT(""&amp;$B590&amp;"!B2:B628"),0))</f>
        <v>-123.64399999999998</v>
      </c>
      <c r="O590" s="158" t="str">
        <f ca="1">IF(INDEX(INDIRECT(""&amp;$B590&amp;"!W2:W628"),MATCH($A590,INDIRECT(""&amp;$B590&amp;"!B2:B628"),0))=0,"",INDEX(INDIRECT(""&amp;$B590&amp;"!W2:W628"),MATCH($A590,INDIRECT(""&amp;$B590&amp;"!B2:B628"),0)))</f>
        <v/>
      </c>
    </row>
    <row r="591" spans="1:15" x14ac:dyDescent="0.25">
      <c r="A591" s="158" t="s">
        <v>876</v>
      </c>
      <c r="B591" s="158" t="s">
        <v>29</v>
      </c>
      <c r="C591" s="158">
        <f ca="1">IFERROR(INDEX(BYEs!$B$2:$B$33,MATCH(D591,BYEs!$A$2:$A$33,0)),"N/A")</f>
        <v>14</v>
      </c>
      <c r="D591" s="219" t="str">
        <f ca="1">INDEX(INDIRECT(""&amp;B591&amp;"!F2:F628"),MATCH(A591,INDIRECT(""&amp;B591&amp;"!B2:B628"),0))</f>
        <v>GB</v>
      </c>
      <c r="E591" s="218" t="str">
        <f ca="1">INDEX(INDIRECT(""&amp;$B591&amp;"!AA2:AA628"),MATCH($A591,INDIRECT(""&amp;$B591&amp;"!B2:B628"),0))</f>
        <v>QB11</v>
      </c>
      <c r="F591" s="159">
        <f ca="1">IF(LeagueInfo!$H$7="Starter/Bench",INDEX(INDIRECT(""&amp;B591&amp;"!T2:T628"),MATCH(A591,INDIRECT(""&amp;B591&amp;"!B2:B628"),0)),INDEX(INDIRECT(""&amp;B591&amp;"!AB2:AB628"),MATCH(A591,INDIRECT(""&amp;B591&amp;"!B2:B628"),0)))</f>
        <v>-44.846197348927092</v>
      </c>
      <c r="G591" s="160">
        <f>IF(H591&gt;0,F591-H591,0)</f>
        <v>0</v>
      </c>
      <c r="H591" s="161"/>
      <c r="I591" s="160">
        <f ca="1">F591*$A$2</f>
        <v>-44.846197348927092</v>
      </c>
      <c r="J591" s="160" t="s">
        <v>76</v>
      </c>
      <c r="K591" s="160">
        <f>IF(LeagueInfo!$F$7="Yahoo",IFERROR(INDEX(DefaultAuctionValues!$B$2:$B$1000,MATCH(A591,DefaultAuctionValues!$A$2:$A$1000,0)),0),IF(LeagueInfo!$F$7="ESPN",IFERROR(INDEX(DefaultAuctionValues!$C$2:$C$1000,MATCH(A591,DefaultAuctionValues!$A$2:$A$1000,0)),0),IF(LeagueInfo!$F$7="Custom",IFERROR(INDEX(DefaultAuctionValues!$D$2:$D$1000,MATCH(A591,DefaultAuctionValues!$A$2:$A$1000,0)),0))))</f>
        <v>0</v>
      </c>
      <c r="L591" s="160">
        <f ca="1">I591-K591</f>
        <v>-44.846197348927092</v>
      </c>
      <c r="M591" s="175"/>
      <c r="N591" s="170">
        <f ca="1">INDEX(INDIRECT(""&amp;$B591&amp;"!Z2:Z628"),MATCH($A591,INDIRECT(""&amp;$B591&amp;"!B2:B628"),0))</f>
        <v>-123.66799999999998</v>
      </c>
      <c r="O591" s="158" t="str">
        <f ca="1">IF(INDEX(INDIRECT(""&amp;$B591&amp;"!W2:W628"),MATCH($A591,INDIRECT(""&amp;$B591&amp;"!B2:B628"),0))=0,"",INDEX(INDIRECT(""&amp;$B591&amp;"!W2:W628"),MATCH($A591,INDIRECT(""&amp;$B591&amp;"!B2:B628"),0)))</f>
        <v/>
      </c>
    </row>
    <row r="592" spans="1:15" x14ac:dyDescent="0.25">
      <c r="A592" s="158" t="s">
        <v>656</v>
      </c>
      <c r="B592" s="158" t="s">
        <v>29</v>
      </c>
      <c r="C592" s="158">
        <f ca="1">IFERROR(INDEX(BYEs!$B$2:$B$33,MATCH(D592,BYEs!$A$2:$A$33,0)),"N/A")</f>
        <v>6</v>
      </c>
      <c r="D592" s="219" t="str">
        <f ca="1">INDEX(INDIRECT(""&amp;B592&amp;"!F2:F628"),MATCH(A592,INDIRECT(""&amp;B592&amp;"!B2:B628"),0))</f>
        <v>HOU</v>
      </c>
      <c r="E592" s="218" t="str">
        <f ca="1">INDEX(INDIRECT(""&amp;$B592&amp;"!AA2:AA628"),MATCH($A592,INDIRECT(""&amp;$B592&amp;"!B2:B628"),0))</f>
        <v>QB11</v>
      </c>
      <c r="F592" s="159">
        <f ca="1">IF(LeagueInfo!$H$7="Starter/Bench",INDEX(INDIRECT(""&amp;B592&amp;"!T2:T628"),MATCH(A592,INDIRECT(""&amp;B592&amp;"!B2:B628"),0)),INDEX(INDIRECT(""&amp;B592&amp;"!AB2:AB628"),MATCH(A592,INDIRECT(""&amp;B592&amp;"!B2:B628"),0)))</f>
        <v>-44.995965110232419</v>
      </c>
      <c r="G592" s="160">
        <f>IF(H592&gt;0,F592-H592,0)</f>
        <v>0</v>
      </c>
      <c r="H592" s="161"/>
      <c r="I592" s="160">
        <f ca="1">F592*$A$2</f>
        <v>-44.995965110232419</v>
      </c>
      <c r="J592" s="160" t="s">
        <v>76</v>
      </c>
      <c r="K592" s="160">
        <f>IF(LeagueInfo!$F$7="Yahoo",IFERROR(INDEX(DefaultAuctionValues!$B$2:$B$1000,MATCH(A592,DefaultAuctionValues!$A$2:$A$1000,0)),0),IF(LeagueInfo!$F$7="ESPN",IFERROR(INDEX(DefaultAuctionValues!$C$2:$C$1000,MATCH(A592,DefaultAuctionValues!$A$2:$A$1000,0)),0),IF(LeagueInfo!$F$7="Custom",IFERROR(INDEX(DefaultAuctionValues!$D$2:$D$1000,MATCH(A592,DefaultAuctionValues!$A$2:$A$1000,0)),0))))</f>
        <v>0</v>
      </c>
      <c r="L592" s="160">
        <f ca="1">I592-K592</f>
        <v>-44.995965110232419</v>
      </c>
      <c r="M592" s="175"/>
      <c r="N592" s="170">
        <f ca="1">INDEX(INDIRECT(""&amp;$B592&amp;"!Z2:Z628"),MATCH($A592,INDIRECT(""&amp;$B592&amp;"!B2:B628"),0))</f>
        <v>-124.08099999999997</v>
      </c>
      <c r="O592" s="158" t="str">
        <f ca="1">IF(INDEX(INDIRECT(""&amp;$B592&amp;"!W2:W628"),MATCH($A592,INDIRECT(""&amp;$B592&amp;"!B2:B628"),0))=0,"",INDEX(INDIRECT(""&amp;$B592&amp;"!W2:W628"),MATCH($A592,INDIRECT(""&amp;$B592&amp;"!B2:B628"),0)))</f>
        <v/>
      </c>
    </row>
    <row r="593" spans="1:15" x14ac:dyDescent="0.25">
      <c r="A593" s="158" t="s">
        <v>300</v>
      </c>
      <c r="B593" s="158" t="s">
        <v>29</v>
      </c>
      <c r="C593" s="158">
        <f ca="1">IFERROR(INDEX(BYEs!$B$2:$B$33,MATCH(D593,BYEs!$A$2:$A$33,0)),"N/A")</f>
        <v>10</v>
      </c>
      <c r="D593" s="219" t="str">
        <f ca="1">INDEX(INDIRECT(""&amp;B593&amp;"!F2:F628"),MATCH(A593,INDIRECT(""&amp;B593&amp;"!B2:B628"),0))</f>
        <v>NE</v>
      </c>
      <c r="E593" s="218" t="str">
        <f ca="1">INDEX(INDIRECT(""&amp;$B593&amp;"!AA2:AA628"),MATCH($A593,INDIRECT(""&amp;$B593&amp;"!B2:B628"),0))</f>
        <v>QB11</v>
      </c>
      <c r="F593" s="159">
        <f ca="1">IF(LeagueInfo!$H$7="Starter/Bench",INDEX(INDIRECT(""&amp;B593&amp;"!T2:T628"),MATCH(A593,INDIRECT(""&amp;B593&amp;"!B2:B628"),0)),INDEX(INDIRECT(""&amp;B593&amp;"!AB2:AB628"),MATCH(A593,INDIRECT(""&amp;B593&amp;"!B2:B628"),0)))</f>
        <v>-45.040569068199865</v>
      </c>
      <c r="G593" s="160">
        <f>IF(H593&gt;0,F593-H593,0)</f>
        <v>0</v>
      </c>
      <c r="H593" s="161"/>
      <c r="I593" s="160">
        <f ca="1">F593*$A$2</f>
        <v>-45.040569068199865</v>
      </c>
      <c r="J593" s="160" t="s">
        <v>76</v>
      </c>
      <c r="K593" s="160">
        <f>IF(LeagueInfo!$F$7="Yahoo",IFERROR(INDEX(DefaultAuctionValues!$B$2:$B$1000,MATCH(A593,DefaultAuctionValues!$A$2:$A$1000,0)),0),IF(LeagueInfo!$F$7="ESPN",IFERROR(INDEX(DefaultAuctionValues!$C$2:$C$1000,MATCH(A593,DefaultAuctionValues!$A$2:$A$1000,0)),0),IF(LeagueInfo!$F$7="Custom",IFERROR(INDEX(DefaultAuctionValues!$D$2:$D$1000,MATCH(A593,DefaultAuctionValues!$A$2:$A$1000,0)),0))))</f>
        <v>0</v>
      </c>
      <c r="L593" s="160">
        <f ca="1">I593-K593</f>
        <v>-45.040569068199865</v>
      </c>
      <c r="M593" s="175"/>
      <c r="N593" s="170">
        <f ca="1">INDEX(INDIRECT(""&amp;$B593&amp;"!Z2:Z628"),MATCH($A593,INDIRECT(""&amp;$B593&amp;"!B2:B628"),0))</f>
        <v>-124.20399999999998</v>
      </c>
      <c r="O593" s="158" t="str">
        <f ca="1">IF(INDEX(INDIRECT(""&amp;$B593&amp;"!W2:W628"),MATCH($A593,INDIRECT(""&amp;$B593&amp;"!B2:B628"),0))=0,"",INDEX(INDIRECT(""&amp;$B593&amp;"!W2:W628"),MATCH($A593,INDIRECT(""&amp;$B593&amp;"!B2:B628"),0)))</f>
        <v/>
      </c>
    </row>
    <row r="594" spans="1:15" x14ac:dyDescent="0.25">
      <c r="A594" s="158" t="s">
        <v>313</v>
      </c>
      <c r="B594" s="158" t="s">
        <v>29</v>
      </c>
      <c r="C594" s="158">
        <f ca="1">IFERROR(INDEX(BYEs!$B$2:$B$33,MATCH(D594,BYEs!$A$2:$A$33,0)),"N/A")</f>
        <v>11</v>
      </c>
      <c r="D594" s="219" t="str">
        <f ca="1">INDEX(INDIRECT(""&amp;B594&amp;"!F2:F628"),MATCH(A594,INDIRECT(""&amp;B594&amp;"!B2:B628"),0))</f>
        <v>TB</v>
      </c>
      <c r="E594" s="218" t="str">
        <f ca="1">INDEX(INDIRECT(""&amp;$B594&amp;"!AA2:AA628"),MATCH($A594,INDIRECT(""&amp;$B594&amp;"!B2:B628"),0))</f>
        <v>QB11</v>
      </c>
      <c r="F594" s="159">
        <f ca="1">IF(LeagueInfo!$H$7="Starter/Bench",INDEX(INDIRECT(""&amp;B594&amp;"!T2:T628"),MATCH(A594,INDIRECT(""&amp;B594&amp;"!B2:B628"),0)),INDEX(INDIRECT(""&amp;B594&amp;"!AB2:AB628"),MATCH(A594,INDIRECT(""&amp;B594&amp;"!B2:B628"),0)))</f>
        <v>-45.068129237350476</v>
      </c>
      <c r="G594" s="160">
        <f>IF(H594&gt;0,F594-H594,0)</f>
        <v>0</v>
      </c>
      <c r="H594" s="161"/>
      <c r="I594" s="160">
        <f ca="1">F594*$A$2</f>
        <v>-45.068129237350476</v>
      </c>
      <c r="J594" s="160" t="s">
        <v>76</v>
      </c>
      <c r="K594" s="160">
        <f>IF(LeagueInfo!$F$7="Yahoo",IFERROR(INDEX(DefaultAuctionValues!$B$2:$B$1000,MATCH(A594,DefaultAuctionValues!$A$2:$A$1000,0)),0),IF(LeagueInfo!$F$7="ESPN",IFERROR(INDEX(DefaultAuctionValues!$C$2:$C$1000,MATCH(A594,DefaultAuctionValues!$A$2:$A$1000,0)),0),IF(LeagueInfo!$F$7="Custom",IFERROR(INDEX(DefaultAuctionValues!$D$2:$D$1000,MATCH(A594,DefaultAuctionValues!$A$2:$A$1000,0)),0))))</f>
        <v>0</v>
      </c>
      <c r="L594" s="160">
        <f ca="1">I594-K594</f>
        <v>-45.068129237350476</v>
      </c>
      <c r="M594" s="175"/>
      <c r="N594" s="170">
        <f ca="1">INDEX(INDIRECT(""&amp;$B594&amp;"!Z2:Z628"),MATCH($A594,INDIRECT(""&amp;$B594&amp;"!B2:B628"),0))</f>
        <v>-124.27999999999997</v>
      </c>
      <c r="O594" s="158" t="str">
        <f ca="1">IF(INDEX(INDIRECT(""&amp;$B594&amp;"!W2:W628"),MATCH($A594,INDIRECT(""&amp;$B594&amp;"!B2:B628"),0))=0,"",INDEX(INDIRECT(""&amp;$B594&amp;"!W2:W628"),MATCH($A594,INDIRECT(""&amp;$B594&amp;"!B2:B628"),0)))</f>
        <v/>
      </c>
    </row>
    <row r="595" spans="1:15" x14ac:dyDescent="0.25">
      <c r="A595" s="158" t="s">
        <v>655</v>
      </c>
      <c r="B595" s="158" t="s">
        <v>29</v>
      </c>
      <c r="C595" s="158">
        <f ca="1">IFERROR(INDEX(BYEs!$B$2:$B$33,MATCH(D595,BYEs!$A$2:$A$33,0)),"N/A")</f>
        <v>9</v>
      </c>
      <c r="D595" s="219" t="str">
        <f ca="1">INDEX(INDIRECT(""&amp;B595&amp;"!F2:F628"),MATCH(A595,INDIRECT(""&amp;B595&amp;"!B2:B628"),0))</f>
        <v>DEN</v>
      </c>
      <c r="E595" s="218" t="str">
        <f ca="1">INDEX(INDIRECT(""&amp;$B595&amp;"!AA2:AA628"),MATCH($A595,INDIRECT(""&amp;$B595&amp;"!B2:B628"),0))</f>
        <v>QB11</v>
      </c>
      <c r="F595" s="159">
        <f ca="1">IF(LeagueInfo!$H$7="Starter/Bench",INDEX(INDIRECT(""&amp;B595&amp;"!T2:T628"),MATCH(A595,INDIRECT(""&amp;B595&amp;"!B2:B628"),0)),INDEX(INDIRECT(""&amp;B595&amp;"!AB2:AB628"),MATCH(A595,INDIRECT(""&amp;B595&amp;"!B2:B628"),0)))</f>
        <v>-45.183809421022147</v>
      </c>
      <c r="G595" s="160">
        <f>IF(H595&gt;0,F595-H595,0)</f>
        <v>0</v>
      </c>
      <c r="H595" s="161"/>
      <c r="I595" s="160">
        <f ca="1">F595*$A$2</f>
        <v>-45.183809421022147</v>
      </c>
      <c r="J595" s="160" t="s">
        <v>76</v>
      </c>
      <c r="K595" s="160">
        <f>IF(LeagueInfo!$F$7="Yahoo",IFERROR(INDEX(DefaultAuctionValues!$B$2:$B$1000,MATCH(A595,DefaultAuctionValues!$A$2:$A$1000,0)),0),IF(LeagueInfo!$F$7="ESPN",IFERROR(INDEX(DefaultAuctionValues!$C$2:$C$1000,MATCH(A595,DefaultAuctionValues!$A$2:$A$1000,0)),0),IF(LeagueInfo!$F$7="Custom",IFERROR(INDEX(DefaultAuctionValues!$D$2:$D$1000,MATCH(A595,DefaultAuctionValues!$A$2:$A$1000,0)),0))))</f>
        <v>0</v>
      </c>
      <c r="L595" s="160">
        <f ca="1">I595-K595</f>
        <v>-45.183809421022147</v>
      </c>
      <c r="M595" s="175"/>
      <c r="N595" s="170">
        <f ca="1">INDEX(INDIRECT(""&amp;$B595&amp;"!Z2:Z628"),MATCH($A595,INDIRECT(""&amp;$B595&amp;"!B2:B628"),0))</f>
        <v>-124.59899999999998</v>
      </c>
      <c r="O595" s="158" t="str">
        <f ca="1">IF(INDEX(INDIRECT(""&amp;$B595&amp;"!W2:W628"),MATCH($A595,INDIRECT(""&amp;$B595&amp;"!B2:B628"),0))=0,"",INDEX(INDIRECT(""&amp;$B595&amp;"!W2:W628"),MATCH($A595,INDIRECT(""&amp;$B595&amp;"!B2:B628"),0)))</f>
        <v/>
      </c>
    </row>
    <row r="596" spans="1:15" x14ac:dyDescent="0.25">
      <c r="A596" s="158" t="s">
        <v>921</v>
      </c>
      <c r="B596" s="158" t="s">
        <v>29</v>
      </c>
      <c r="C596" s="158">
        <f ca="1">IFERROR(INDEX(BYEs!$B$2:$B$33,MATCH(D596,BYEs!$A$2:$A$33,0)),"N/A")</f>
        <v>11</v>
      </c>
      <c r="D596" s="219" t="str">
        <f ca="1">INDEX(INDIRECT(""&amp;B596&amp;"!F2:F628"),MATCH(A596,INDIRECT(""&amp;B596&amp;"!B2:B628"),0))</f>
        <v>TB</v>
      </c>
      <c r="E596" s="218" t="str">
        <f ca="1">INDEX(INDIRECT(""&amp;$B596&amp;"!AA2:AA628"),MATCH($A596,INDIRECT(""&amp;$B596&amp;"!B2:B628"),0))</f>
        <v>QB11</v>
      </c>
      <c r="F596" s="159">
        <f ca="1">IF(LeagueInfo!$H$7="Starter/Bench",INDEX(INDIRECT(""&amp;B596&amp;"!T2:T628"),MATCH(A596,INDIRECT(""&amp;B596&amp;"!B2:B628"),0)),INDEX(INDIRECT(""&amp;B596&amp;"!AB2:AB628"),MATCH(A596,INDIRECT(""&amp;B596&amp;"!B2:B628"),0)))</f>
        <v>-45.198314773206683</v>
      </c>
      <c r="G596" s="160">
        <f>IF(H596&gt;0,F596-H596,0)</f>
        <v>0</v>
      </c>
      <c r="H596" s="161"/>
      <c r="I596" s="160">
        <f ca="1">F596*$A$2</f>
        <v>-45.198314773206683</v>
      </c>
      <c r="J596" s="160" t="s">
        <v>76</v>
      </c>
      <c r="K596" s="160">
        <f>IF(LeagueInfo!$F$7="Yahoo",IFERROR(INDEX(DefaultAuctionValues!$B$2:$B$1000,MATCH(A596,DefaultAuctionValues!$A$2:$A$1000,0)),0),IF(LeagueInfo!$F$7="ESPN",IFERROR(INDEX(DefaultAuctionValues!$C$2:$C$1000,MATCH(A596,DefaultAuctionValues!$A$2:$A$1000,0)),0),IF(LeagueInfo!$F$7="Custom",IFERROR(INDEX(DefaultAuctionValues!$D$2:$D$1000,MATCH(A596,DefaultAuctionValues!$A$2:$A$1000,0)),0))))</f>
        <v>0</v>
      </c>
      <c r="L596" s="160">
        <f ca="1">I596-K596</f>
        <v>-45.198314773206683</v>
      </c>
      <c r="M596" s="175"/>
      <c r="N596" s="170">
        <f ca="1">INDEX(INDIRECT(""&amp;$B596&amp;"!Z2:Z628"),MATCH($A596,INDIRECT(""&amp;$B596&amp;"!B2:B628"),0))</f>
        <v>-124.63899999999998</v>
      </c>
      <c r="O596" s="158" t="str">
        <f ca="1">IF(INDEX(INDIRECT(""&amp;$B596&amp;"!W2:W628"),MATCH($A596,INDIRECT(""&amp;$B596&amp;"!B2:B628"),0))=0,"",INDEX(INDIRECT(""&amp;$B596&amp;"!W2:W628"),MATCH($A596,INDIRECT(""&amp;$B596&amp;"!B2:B628"),0)))</f>
        <v/>
      </c>
    </row>
    <row r="597" spans="1:15" x14ac:dyDescent="0.25">
      <c r="A597" s="158" t="s">
        <v>540</v>
      </c>
      <c r="B597" s="158" t="s">
        <v>29</v>
      </c>
      <c r="C597" s="158">
        <f ca="1">IFERROR(INDEX(BYEs!$B$2:$B$33,MATCH(D597,BYEs!$A$2:$A$33,0)),"N/A")</f>
        <v>6</v>
      </c>
      <c r="D597" s="219" t="str">
        <f ca="1">INDEX(INDIRECT(""&amp;B597&amp;"!F2:F628"),MATCH(A597,INDIRECT(""&amp;B597&amp;"!B2:B628"),0))</f>
        <v>DET</v>
      </c>
      <c r="E597" s="218" t="str">
        <f ca="1">INDEX(INDIRECT(""&amp;$B597&amp;"!AA2:AA628"),MATCH($A597,INDIRECT(""&amp;$B597&amp;"!B2:B628"),0))</f>
        <v>QB11</v>
      </c>
      <c r="F597" s="159">
        <f ca="1">IF(LeagueInfo!$H$7="Starter/Bench",INDEX(INDIRECT(""&amp;B597&amp;"!T2:T628"),MATCH(A597,INDIRECT(""&amp;B597&amp;"!B2:B628"),0)),INDEX(INDIRECT(""&amp;B597&amp;"!AB2:AB628"),MATCH(A597,INDIRECT(""&amp;B597&amp;"!B2:B628"),0)))</f>
        <v>-45.221160702897322</v>
      </c>
      <c r="G597" s="160">
        <f>IF(H597&gt;0,F597-H597,0)</f>
        <v>0</v>
      </c>
      <c r="H597" s="161"/>
      <c r="I597" s="160">
        <f ca="1">F597*$A$2</f>
        <v>-45.221160702897322</v>
      </c>
      <c r="J597" s="160" t="s">
        <v>76</v>
      </c>
      <c r="K597" s="160">
        <f>IF(LeagueInfo!$F$7="Yahoo",IFERROR(INDEX(DefaultAuctionValues!$B$2:$B$1000,MATCH(A597,DefaultAuctionValues!$A$2:$A$1000,0)),0),IF(LeagueInfo!$F$7="ESPN",IFERROR(INDEX(DefaultAuctionValues!$C$2:$C$1000,MATCH(A597,DefaultAuctionValues!$A$2:$A$1000,0)),0),IF(LeagueInfo!$F$7="Custom",IFERROR(INDEX(DefaultAuctionValues!$D$2:$D$1000,MATCH(A597,DefaultAuctionValues!$A$2:$A$1000,0)),0))))</f>
        <v>0</v>
      </c>
      <c r="L597" s="160">
        <f ca="1">I597-K597</f>
        <v>-45.221160702897322</v>
      </c>
      <c r="M597" s="175"/>
      <c r="N597" s="170">
        <f ca="1">INDEX(INDIRECT(""&amp;$B597&amp;"!Z2:Z628"),MATCH($A597,INDIRECT(""&amp;$B597&amp;"!B2:B628"),0))</f>
        <v>-124.70199999999997</v>
      </c>
      <c r="O597" s="158" t="str">
        <f ca="1">IF(INDEX(INDIRECT(""&amp;$B597&amp;"!W2:W628"),MATCH($A597,INDIRECT(""&amp;$B597&amp;"!B2:B628"),0))=0,"",INDEX(INDIRECT(""&amp;$B597&amp;"!W2:W628"),MATCH($A597,INDIRECT(""&amp;$B597&amp;"!B2:B628"),0)))</f>
        <v/>
      </c>
    </row>
    <row r="598" spans="1:15" x14ac:dyDescent="0.25">
      <c r="A598" s="158" t="s">
        <v>314</v>
      </c>
      <c r="B598" s="158" t="s">
        <v>29</v>
      </c>
      <c r="C598" s="158">
        <f ca="1">IFERROR(INDEX(BYEs!$B$2:$B$33,MATCH(D598,BYEs!$A$2:$A$33,0)),"N/A")</f>
        <v>11</v>
      </c>
      <c r="D598" s="219" t="str">
        <f ca="1">INDEX(INDIRECT(""&amp;B598&amp;"!F2:F628"),MATCH(A598,INDIRECT(""&amp;B598&amp;"!B2:B628"),0))</f>
        <v>JAC</v>
      </c>
      <c r="E598" s="218" t="str">
        <f ca="1">INDEX(INDIRECT(""&amp;$B598&amp;"!AA2:AA628"),MATCH($A598,INDIRECT(""&amp;$B598&amp;"!B2:B628"),0))</f>
        <v>QB11</v>
      </c>
      <c r="F598" s="159">
        <f ca="1">IF(LeagueInfo!$H$7="Starter/Bench",INDEX(INDIRECT(""&amp;B598&amp;"!T2:T628"),MATCH(A598,INDIRECT(""&amp;B598&amp;"!B2:B628"),0)),INDEX(INDIRECT(""&amp;B598&amp;"!AB2:AB628"),MATCH(A598,INDIRECT(""&amp;B598&amp;"!B2:B628"),0)))</f>
        <v>-45.230226548012659</v>
      </c>
      <c r="G598" s="160">
        <f>IF(H598&gt;0,F598-H598,0)</f>
        <v>0</v>
      </c>
      <c r="H598" s="161"/>
      <c r="I598" s="160">
        <f ca="1">F598*$A$2</f>
        <v>-45.230226548012659</v>
      </c>
      <c r="J598" s="160" t="s">
        <v>76</v>
      </c>
      <c r="K598" s="160">
        <f>IF(LeagueInfo!$F$7="Yahoo",IFERROR(INDEX(DefaultAuctionValues!$B$2:$B$1000,MATCH(A598,DefaultAuctionValues!$A$2:$A$1000,0)),0),IF(LeagueInfo!$F$7="ESPN",IFERROR(INDEX(DefaultAuctionValues!$C$2:$C$1000,MATCH(A598,DefaultAuctionValues!$A$2:$A$1000,0)),0),IF(LeagueInfo!$F$7="Custom",IFERROR(INDEX(DefaultAuctionValues!$D$2:$D$1000,MATCH(A598,DefaultAuctionValues!$A$2:$A$1000,0)),0))))</f>
        <v>0</v>
      </c>
      <c r="L598" s="160">
        <f ca="1">I598-K598</f>
        <v>-45.230226548012659</v>
      </c>
      <c r="M598" s="175"/>
      <c r="N598" s="170">
        <f ca="1">INDEX(INDIRECT(""&amp;$B598&amp;"!Z2:Z628"),MATCH($A598,INDIRECT(""&amp;$B598&amp;"!B2:B628"),0))</f>
        <v>-124.72699999999998</v>
      </c>
      <c r="O598" s="158" t="str">
        <f ca="1">IF(INDEX(INDIRECT(""&amp;$B598&amp;"!W2:W628"),MATCH($A598,INDIRECT(""&amp;$B598&amp;"!B2:B628"),0))=0,"",INDEX(INDIRECT(""&amp;$B598&amp;"!W2:W628"),MATCH($A598,INDIRECT(""&amp;$B598&amp;"!B2:B628"),0)))</f>
        <v/>
      </c>
    </row>
    <row r="599" spans="1:15" x14ac:dyDescent="0.25">
      <c r="A599" s="158" t="s">
        <v>318</v>
      </c>
      <c r="B599" s="158" t="s">
        <v>29</v>
      </c>
      <c r="C599" s="158">
        <f ca="1">IFERROR(INDEX(BYEs!$B$2:$B$33,MATCH(D599,BYEs!$A$2:$A$33,0)),"N/A")</f>
        <v>7</v>
      </c>
      <c r="D599" s="219" t="str">
        <f ca="1">INDEX(INDIRECT(""&amp;B599&amp;"!F2:F628"),MATCH(A599,INDIRECT(""&amp;B599&amp;"!B2:B628"),0))</f>
        <v>BUF</v>
      </c>
      <c r="E599" s="218" t="str">
        <f ca="1">INDEX(INDIRECT(""&amp;$B599&amp;"!AA2:AA628"),MATCH($A599,INDIRECT(""&amp;$B599&amp;"!B2:B628"),0))</f>
        <v>QB11</v>
      </c>
      <c r="F599" s="159">
        <f ca="1">IF(LeagueInfo!$H$7="Starter/Bench",INDEX(INDIRECT(""&amp;B599&amp;"!T2:T628"),MATCH(A599,INDIRECT(""&amp;B599&amp;"!B2:B628"),0)),INDEX(INDIRECT(""&amp;B599&amp;"!AB2:AB628"),MATCH(A599,INDIRECT(""&amp;B599&amp;"!B2:B628"),0)))</f>
        <v>-45.266489928473995</v>
      </c>
      <c r="G599" s="160">
        <f>IF(H599&gt;0,F599-H599,0)</f>
        <v>0</v>
      </c>
      <c r="H599" s="161"/>
      <c r="I599" s="160">
        <f ca="1">F599*$A$2</f>
        <v>-45.266489928473995</v>
      </c>
      <c r="J599" s="160" t="s">
        <v>76</v>
      </c>
      <c r="K599" s="160">
        <f>IF(LeagueInfo!$F$7="Yahoo",IFERROR(INDEX(DefaultAuctionValues!$B$2:$B$1000,MATCH(A599,DefaultAuctionValues!$A$2:$A$1000,0)),0),IF(LeagueInfo!$F$7="ESPN",IFERROR(INDEX(DefaultAuctionValues!$C$2:$C$1000,MATCH(A599,DefaultAuctionValues!$A$2:$A$1000,0)),0),IF(LeagueInfo!$F$7="Custom",IFERROR(INDEX(DefaultAuctionValues!$D$2:$D$1000,MATCH(A599,DefaultAuctionValues!$A$2:$A$1000,0)),0))))</f>
        <v>0</v>
      </c>
      <c r="L599" s="160">
        <f ca="1">I599-K599</f>
        <v>-45.266489928473995</v>
      </c>
      <c r="M599" s="175"/>
      <c r="N599" s="170">
        <f ca="1">INDEX(INDIRECT(""&amp;$B599&amp;"!Z2:Z628"),MATCH($A599,INDIRECT(""&amp;$B599&amp;"!B2:B628"),0))</f>
        <v>-124.82699999999997</v>
      </c>
      <c r="O599" s="158" t="str">
        <f ca="1">IF(INDEX(INDIRECT(""&amp;$B599&amp;"!W2:W628"),MATCH($A599,INDIRECT(""&amp;$B599&amp;"!B2:B628"),0))=0,"",INDEX(INDIRECT(""&amp;$B599&amp;"!W2:W628"),MATCH($A599,INDIRECT(""&amp;$B599&amp;"!B2:B628"),0)))</f>
        <v/>
      </c>
    </row>
    <row r="600" spans="1:15" x14ac:dyDescent="0.25">
      <c r="A600" s="158" t="s">
        <v>654</v>
      </c>
      <c r="B600" s="158" t="s">
        <v>29</v>
      </c>
      <c r="C600" s="158">
        <f ca="1">IFERROR(INDEX(BYEs!$B$2:$B$33,MATCH(D600,BYEs!$A$2:$A$33,0)),"N/A")</f>
        <v>6</v>
      </c>
      <c r="D600" s="219" t="str">
        <f ca="1">INDEX(INDIRECT(""&amp;B600&amp;"!F2:F628"),MATCH(A600,INDIRECT(""&amp;B600&amp;"!B2:B628"),0))</f>
        <v>LV</v>
      </c>
      <c r="E600" s="218" t="str">
        <f ca="1">INDEX(INDIRECT(""&amp;$B600&amp;"!AA2:AA628"),MATCH($A600,INDIRECT(""&amp;$B600&amp;"!B2:B628"),0))</f>
        <v>QB11</v>
      </c>
      <c r="F600" s="159">
        <f ca="1">IF(LeagueInfo!$H$7="Starter/Bench",INDEX(INDIRECT(""&amp;B600&amp;"!T2:T628"),MATCH(A600,INDIRECT(""&amp;B600&amp;"!B2:B628"),0)),INDEX(INDIRECT(""&amp;B600&amp;"!AB2:AB628"),MATCH(A600,INDIRECT(""&amp;B600&amp;"!B2:B628"),0)))</f>
        <v>-45.275193139784719</v>
      </c>
      <c r="G600" s="160">
        <f>IF(H600&gt;0,F600-H600,0)</f>
        <v>0</v>
      </c>
      <c r="H600" s="161"/>
      <c r="I600" s="160">
        <f ca="1">F600*$A$2</f>
        <v>-45.275193139784719</v>
      </c>
      <c r="J600" s="160" t="s">
        <v>76</v>
      </c>
      <c r="K600" s="160">
        <f>IF(LeagueInfo!$F$7="Yahoo",IFERROR(INDEX(DefaultAuctionValues!$B$2:$B$1000,MATCH(A600,DefaultAuctionValues!$A$2:$A$1000,0)),0),IF(LeagueInfo!$F$7="ESPN",IFERROR(INDEX(DefaultAuctionValues!$C$2:$C$1000,MATCH(A600,DefaultAuctionValues!$A$2:$A$1000,0)),0),IF(LeagueInfo!$F$7="Custom",IFERROR(INDEX(DefaultAuctionValues!$D$2:$D$1000,MATCH(A600,DefaultAuctionValues!$A$2:$A$1000,0)),0))))</f>
        <v>0</v>
      </c>
      <c r="L600" s="160">
        <f ca="1">I600-K600</f>
        <v>-45.275193139784719</v>
      </c>
      <c r="M600" s="175"/>
      <c r="N600" s="170">
        <f ca="1">INDEX(INDIRECT(""&amp;$B600&amp;"!Z2:Z628"),MATCH($A600,INDIRECT(""&amp;$B600&amp;"!B2:B628"),0))</f>
        <v>-124.85099999999997</v>
      </c>
      <c r="O600" s="158" t="str">
        <f ca="1">IF(INDEX(INDIRECT(""&amp;$B600&amp;"!W2:W628"),MATCH($A600,INDIRECT(""&amp;$B600&amp;"!B2:B628"),0))=0,"",INDEX(INDIRECT(""&amp;$B600&amp;"!W2:W628"),MATCH($A600,INDIRECT(""&amp;$B600&amp;"!B2:B628"),0)))</f>
        <v/>
      </c>
    </row>
    <row r="601" spans="1:15" x14ac:dyDescent="0.25">
      <c r="A601" s="158" t="s">
        <v>875</v>
      </c>
      <c r="B601" s="158" t="s">
        <v>29</v>
      </c>
      <c r="C601" s="158">
        <f ca="1">IFERROR(INDEX(BYEs!$B$2:$B$33,MATCH(D601,BYEs!$A$2:$A$33,0)),"N/A")</f>
        <v>7</v>
      </c>
      <c r="D601" s="219" t="str">
        <f ca="1">INDEX(INDIRECT(""&amp;B601&amp;"!F2:F628"),MATCH(A601,INDIRECT(""&amp;B601&amp;"!B2:B628"),0))</f>
        <v>LAR</v>
      </c>
      <c r="E601" s="218" t="str">
        <f ca="1">INDEX(INDIRECT(""&amp;$B601&amp;"!AA2:AA628"),MATCH($A601,INDIRECT(""&amp;$B601&amp;"!B2:B628"),0))</f>
        <v>QB11</v>
      </c>
      <c r="F601" s="159">
        <f ca="1">IF(LeagueInfo!$H$7="Starter/Bench",INDEX(INDIRECT(""&amp;B601&amp;"!T2:T628"),MATCH(A601,INDIRECT(""&amp;B601&amp;"!B2:B628"),0)),INDEX(INDIRECT(""&amp;B601&amp;"!AB2:AB628"),MATCH(A601,INDIRECT(""&amp;B601&amp;"!B2:B628"),0)))</f>
        <v>-45.354247309190434</v>
      </c>
      <c r="G601" s="160">
        <f>IF(H601&gt;0,F601-H601,0)</f>
        <v>0</v>
      </c>
      <c r="H601" s="161"/>
      <c r="I601" s="160">
        <f ca="1">F601*$A$2</f>
        <v>-45.354247309190434</v>
      </c>
      <c r="J601" s="160" t="s">
        <v>76</v>
      </c>
      <c r="K601" s="160">
        <f>IF(LeagueInfo!$F$7="Yahoo",IFERROR(INDEX(DefaultAuctionValues!$B$2:$B$1000,MATCH(A601,DefaultAuctionValues!$A$2:$A$1000,0)),0),IF(LeagueInfo!$F$7="ESPN",IFERROR(INDEX(DefaultAuctionValues!$C$2:$C$1000,MATCH(A601,DefaultAuctionValues!$A$2:$A$1000,0)),0),IF(LeagueInfo!$F$7="Custom",IFERROR(INDEX(DefaultAuctionValues!$D$2:$D$1000,MATCH(A601,DefaultAuctionValues!$A$2:$A$1000,0)),0))))</f>
        <v>0</v>
      </c>
      <c r="L601" s="160">
        <f ca="1">I601-K601</f>
        <v>-45.354247309190434</v>
      </c>
      <c r="M601" s="175"/>
      <c r="N601" s="170">
        <f ca="1">INDEX(INDIRECT(""&amp;$B601&amp;"!Z2:Z628"),MATCH($A601,INDIRECT(""&amp;$B601&amp;"!B2:B628"),0))</f>
        <v>-125.06899999999997</v>
      </c>
      <c r="O601" s="158" t="str">
        <f ca="1">IF(INDEX(INDIRECT(""&amp;$B601&amp;"!W2:W628"),MATCH($A601,INDIRECT(""&amp;$B601&amp;"!B2:B628"),0))=0,"",INDEX(INDIRECT(""&amp;$B601&amp;"!W2:W628"),MATCH($A601,INDIRECT(""&amp;$B601&amp;"!B2:B628"),0)))</f>
        <v/>
      </c>
    </row>
    <row r="602" spans="1:15" x14ac:dyDescent="0.25">
      <c r="A602" s="158" t="s">
        <v>316</v>
      </c>
      <c r="B602" s="158" t="s">
        <v>29</v>
      </c>
      <c r="C602" s="158">
        <f ca="1">IFERROR(INDEX(BYEs!$B$2:$B$33,MATCH(D602,BYEs!$A$2:$A$33,0)),"N/A")</f>
        <v>14</v>
      </c>
      <c r="D602" s="219" t="str">
        <f ca="1">INDEX(INDIRECT(""&amp;B602&amp;"!F2:F628"),MATCH(A602,INDIRECT(""&amp;B602&amp;"!B2:B628"),0))</f>
        <v>IND</v>
      </c>
      <c r="E602" s="218" t="str">
        <f ca="1">INDEX(INDIRECT(""&amp;$B602&amp;"!AA2:AA628"),MATCH($A602,INDIRECT(""&amp;$B602&amp;"!B2:B628"),0))</f>
        <v>QB11</v>
      </c>
      <c r="F602" s="159">
        <f ca="1">IF(LeagueInfo!$H$7="Starter/Bench",INDEX(INDIRECT(""&amp;B602&amp;"!T2:T628"),MATCH(A602,INDIRECT(""&amp;B602&amp;"!B2:B628"),0)),INDEX(INDIRECT(""&amp;B602&amp;"!AB2:AB628"),MATCH(A602,INDIRECT(""&amp;B602&amp;"!B2:B628"),0)))</f>
        <v>-45.367302126156517</v>
      </c>
      <c r="G602" s="160">
        <f>IF(H602&gt;0,F602-H602,0)</f>
        <v>0</v>
      </c>
      <c r="H602" s="161"/>
      <c r="I602" s="160">
        <f ca="1">F602*$A$2</f>
        <v>-45.367302126156517</v>
      </c>
      <c r="J602" s="160" t="s">
        <v>76</v>
      </c>
      <c r="K602" s="160">
        <f>IF(LeagueInfo!$F$7="Yahoo",IFERROR(INDEX(DefaultAuctionValues!$B$2:$B$1000,MATCH(A602,DefaultAuctionValues!$A$2:$A$1000,0)),0),IF(LeagueInfo!$F$7="ESPN",IFERROR(INDEX(DefaultAuctionValues!$C$2:$C$1000,MATCH(A602,DefaultAuctionValues!$A$2:$A$1000,0)),0),IF(LeagueInfo!$F$7="Custom",IFERROR(INDEX(DefaultAuctionValues!$D$2:$D$1000,MATCH(A602,DefaultAuctionValues!$A$2:$A$1000,0)),0))))</f>
        <v>0</v>
      </c>
      <c r="L602" s="160">
        <f ca="1">I602-K602</f>
        <v>-45.367302126156517</v>
      </c>
      <c r="M602" s="175"/>
      <c r="N602" s="170">
        <f ca="1">INDEX(INDIRECT(""&amp;$B602&amp;"!Z2:Z628"),MATCH($A602,INDIRECT(""&amp;$B602&amp;"!B2:B628"),0))</f>
        <v>-125.10499999999998</v>
      </c>
      <c r="O602" s="158" t="str">
        <f ca="1">IF(INDEX(INDIRECT(""&amp;$B602&amp;"!W2:W628"),MATCH($A602,INDIRECT(""&amp;$B602&amp;"!B2:B628"),0))=0,"",INDEX(INDIRECT(""&amp;$B602&amp;"!W2:W628"),MATCH($A602,INDIRECT(""&amp;$B602&amp;"!B2:B628"),0)))</f>
        <v/>
      </c>
    </row>
    <row r="603" spans="1:15" x14ac:dyDescent="0.25">
      <c r="A603" s="158" t="s">
        <v>651</v>
      </c>
      <c r="B603" s="158" t="s">
        <v>29</v>
      </c>
      <c r="C603" s="158">
        <f ca="1">IFERROR(INDEX(BYEs!$B$2:$B$33,MATCH(D603,BYEs!$A$2:$A$33,0)),"N/A")</f>
        <v>7</v>
      </c>
      <c r="D603" s="219" t="str">
        <f ca="1">INDEX(INDIRECT(""&amp;B603&amp;"!F2:F628"),MATCH(A603,INDIRECT(""&amp;B603&amp;"!B2:B628"),0))</f>
        <v>MIN</v>
      </c>
      <c r="E603" s="218" t="str">
        <f ca="1">INDEX(INDIRECT(""&amp;$B603&amp;"!AA2:AA628"),MATCH($A603,INDIRECT(""&amp;$B603&amp;"!B2:B628"),0))</f>
        <v>QB11</v>
      </c>
      <c r="F603" s="159">
        <f ca="1">IF(LeagueInfo!$H$7="Starter/Bench",INDEX(INDIRECT(""&amp;B603&amp;"!T2:T628"),MATCH(A603,INDIRECT(""&amp;B603&amp;"!B2:B628"),0)),INDEX(INDIRECT(""&amp;B603&amp;"!AB2:AB628"),MATCH(A603,INDIRECT(""&amp;B603&amp;"!B2:B628"),0)))</f>
        <v>-45.428587239136178</v>
      </c>
      <c r="G603" s="160">
        <f>IF(H603&gt;0,F603-H603,0)</f>
        <v>0</v>
      </c>
      <c r="H603" s="161"/>
      <c r="I603" s="160">
        <f ca="1">F603*$A$2</f>
        <v>-45.428587239136178</v>
      </c>
      <c r="J603" s="160" t="s">
        <v>76</v>
      </c>
      <c r="K603" s="160">
        <f>IF(LeagueInfo!$F$7="Yahoo",IFERROR(INDEX(DefaultAuctionValues!$B$2:$B$1000,MATCH(A603,DefaultAuctionValues!$A$2:$A$1000,0)),0),IF(LeagueInfo!$F$7="ESPN",IFERROR(INDEX(DefaultAuctionValues!$C$2:$C$1000,MATCH(A603,DefaultAuctionValues!$A$2:$A$1000,0)),0),IF(LeagueInfo!$F$7="Custom",IFERROR(INDEX(DefaultAuctionValues!$D$2:$D$1000,MATCH(A603,DefaultAuctionValues!$A$2:$A$1000,0)),0))))</f>
        <v>0</v>
      </c>
      <c r="L603" s="160">
        <f ca="1">I603-K603</f>
        <v>-45.428587239136178</v>
      </c>
      <c r="M603" s="175"/>
      <c r="N603" s="170">
        <f ca="1">INDEX(INDIRECT(""&amp;$B603&amp;"!Z2:Z628"),MATCH($A603,INDIRECT(""&amp;$B603&amp;"!B2:B628"),0))</f>
        <v>-125.27399999999997</v>
      </c>
      <c r="O603" s="158" t="str">
        <f ca="1">IF(INDEX(INDIRECT(""&amp;$B603&amp;"!W2:W628"),MATCH($A603,INDIRECT(""&amp;$B603&amp;"!B2:B628"),0))=0,"",INDEX(INDIRECT(""&amp;$B603&amp;"!W2:W628"),MATCH($A603,INDIRECT(""&amp;$B603&amp;"!B2:B628"),0)))</f>
        <v/>
      </c>
    </row>
    <row r="604" spans="1:15" x14ac:dyDescent="0.25">
      <c r="A604" s="158" t="s">
        <v>1034</v>
      </c>
      <c r="B604" s="158" t="s">
        <v>29</v>
      </c>
      <c r="C604" s="158">
        <f ca="1">IFERROR(INDEX(BYEs!$B$2:$B$33,MATCH(D604,BYEs!$A$2:$A$33,0)),"N/A")</f>
        <v>14</v>
      </c>
      <c r="D604" s="219" t="str">
        <f ca="1">INDEX(INDIRECT(""&amp;B604&amp;"!F2:F628"),MATCH(A604,INDIRECT(""&amp;B604&amp;"!B2:B628"),0))</f>
        <v>WAS</v>
      </c>
      <c r="E604" s="218" t="str">
        <f ca="1">INDEX(INDIRECT(""&amp;$B604&amp;"!AA2:AA628"),MATCH($A604,INDIRECT(""&amp;$B604&amp;"!B2:B628"),0))</f>
        <v>QB11</v>
      </c>
      <c r="F604" s="159">
        <f ca="1">IF(LeagueInfo!$H$7="Starter/Bench",INDEX(INDIRECT(""&amp;B604&amp;"!T2:T628"),MATCH(A604,INDIRECT(""&amp;B604&amp;"!B2:B628"),0)),INDEX(INDIRECT(""&amp;B604&amp;"!AB2:AB628"),MATCH(A604,INDIRECT(""&amp;B604&amp;"!B2:B628"),0)))</f>
        <v>-45.518157788875683</v>
      </c>
      <c r="G604" s="160">
        <f>IF(H604&gt;0,F604-H604,0)</f>
        <v>0</v>
      </c>
      <c r="H604" s="161"/>
      <c r="I604" s="160">
        <f ca="1">F604*$A$2</f>
        <v>-45.518157788875683</v>
      </c>
      <c r="J604" s="160" t="s">
        <v>76</v>
      </c>
      <c r="K604" s="160">
        <f>IF(LeagueInfo!$F$7="Yahoo",IFERROR(INDEX(DefaultAuctionValues!$B$2:$B$1000,MATCH(A604,DefaultAuctionValues!$A$2:$A$1000,0)),0),IF(LeagueInfo!$F$7="ESPN",IFERROR(INDEX(DefaultAuctionValues!$C$2:$C$1000,MATCH(A604,DefaultAuctionValues!$A$2:$A$1000,0)),0),IF(LeagueInfo!$F$7="Custom",IFERROR(INDEX(DefaultAuctionValues!$D$2:$D$1000,MATCH(A604,DefaultAuctionValues!$A$2:$A$1000,0)),0))))</f>
        <v>0</v>
      </c>
      <c r="L604" s="160">
        <f ca="1">I604-K604</f>
        <v>-45.518157788875683</v>
      </c>
      <c r="M604" s="175"/>
      <c r="N604" s="170">
        <f ca="1">INDEX(INDIRECT(""&amp;$B604&amp;"!Z2:Z628"),MATCH($A604,INDIRECT(""&amp;$B604&amp;"!B2:B628"),0))</f>
        <v>-125.52099999999997</v>
      </c>
      <c r="O604" s="158" t="str">
        <f ca="1">IF(INDEX(INDIRECT(""&amp;$B604&amp;"!W2:W628"),MATCH($A604,INDIRECT(""&amp;$B604&amp;"!B2:B628"),0))=0,"",INDEX(INDIRECT(""&amp;$B604&amp;"!W2:W628"),MATCH($A604,INDIRECT(""&amp;$B604&amp;"!B2:B628"),0)))</f>
        <v/>
      </c>
    </row>
    <row r="605" spans="1:15" x14ac:dyDescent="0.25">
      <c r="A605" s="158" t="s">
        <v>323</v>
      </c>
      <c r="B605" s="158" t="s">
        <v>29</v>
      </c>
      <c r="C605" s="158">
        <f ca="1">IFERROR(INDEX(BYEs!$B$2:$B$33,MATCH(D605,BYEs!$A$2:$A$33,0)),"N/A")</f>
        <v>8</v>
      </c>
      <c r="D605" s="219" t="str">
        <f ca="1">INDEX(INDIRECT(""&amp;B605&amp;"!F2:F628"),MATCH(A605,INDIRECT(""&amp;B605&amp;"!B2:B628"),0))</f>
        <v>LAC</v>
      </c>
      <c r="E605" s="218" t="str">
        <f ca="1">INDEX(INDIRECT(""&amp;$B605&amp;"!AA2:AA628"),MATCH($A605,INDIRECT(""&amp;$B605&amp;"!B2:B628"),0))</f>
        <v>QB11</v>
      </c>
      <c r="F605" s="159">
        <f ca="1">IF(LeagueInfo!$H$7="Starter/Bench",INDEX(INDIRECT(""&amp;B605&amp;"!T2:T628"),MATCH(A605,INDIRECT(""&amp;B605&amp;"!B2:B628"),0)),INDEX(INDIRECT(""&amp;B605&amp;"!AB2:AB628"),MATCH(A605,INDIRECT(""&amp;B605&amp;"!B2:B628"),0)))</f>
        <v>-45.5268610001864</v>
      </c>
      <c r="G605" s="160">
        <f>IF(H605&gt;0,F605-H605,0)</f>
        <v>0</v>
      </c>
      <c r="H605" s="161"/>
      <c r="I605" s="160">
        <f ca="1">F605*$A$2</f>
        <v>-45.5268610001864</v>
      </c>
      <c r="J605" s="160" t="s">
        <v>76</v>
      </c>
      <c r="K605" s="160">
        <f>IF(LeagueInfo!$F$7="Yahoo",IFERROR(INDEX(DefaultAuctionValues!$B$2:$B$1000,MATCH(A605,DefaultAuctionValues!$A$2:$A$1000,0)),0),IF(LeagueInfo!$F$7="ESPN",IFERROR(INDEX(DefaultAuctionValues!$C$2:$C$1000,MATCH(A605,DefaultAuctionValues!$A$2:$A$1000,0)),0),IF(LeagueInfo!$F$7="Custom",IFERROR(INDEX(DefaultAuctionValues!$D$2:$D$1000,MATCH(A605,DefaultAuctionValues!$A$2:$A$1000,0)),0))))</f>
        <v>0</v>
      </c>
      <c r="L605" s="160">
        <f ca="1">I605-K605</f>
        <v>-45.5268610001864</v>
      </c>
      <c r="M605" s="175"/>
      <c r="N605" s="170">
        <f ca="1">INDEX(INDIRECT(""&amp;$B605&amp;"!Z2:Z628"),MATCH($A605,INDIRECT(""&amp;$B605&amp;"!B2:B628"),0))</f>
        <v>-125.54499999999997</v>
      </c>
      <c r="O605" s="158" t="str">
        <f ca="1">IF(INDEX(INDIRECT(""&amp;$B605&amp;"!W2:W628"),MATCH($A605,INDIRECT(""&amp;$B605&amp;"!B2:B628"),0))=0,"",INDEX(INDIRECT(""&amp;$B605&amp;"!W2:W628"),MATCH($A605,INDIRECT(""&amp;$B605&amp;"!B2:B628"),0)))</f>
        <v/>
      </c>
    </row>
    <row r="606" spans="1:15" x14ac:dyDescent="0.25">
      <c r="A606" s="158" t="s">
        <v>315</v>
      </c>
      <c r="B606" s="158" t="s">
        <v>29</v>
      </c>
      <c r="C606" s="158">
        <f ca="1">IFERROR(INDEX(BYEs!$B$2:$B$33,MATCH(D606,BYEs!$A$2:$A$33,0)),"N/A")</f>
        <v>8</v>
      </c>
      <c r="D606" s="219" t="str">
        <f ca="1">INDEX(INDIRECT(""&amp;B606&amp;"!F2:F628"),MATCH(A606,INDIRECT(""&amp;B606&amp;"!B2:B628"),0))</f>
        <v>KC</v>
      </c>
      <c r="E606" s="218" t="str">
        <f ca="1">INDEX(INDIRECT(""&amp;$B606&amp;"!AA2:AA628"),MATCH($A606,INDIRECT(""&amp;$B606&amp;"!B2:B628"),0))</f>
        <v>QB11</v>
      </c>
      <c r="F606" s="159">
        <f ca="1">IF(LeagueInfo!$H$7="Starter/Bench",INDEX(INDIRECT(""&amp;B606&amp;"!T2:T628"),MATCH(A606,INDIRECT(""&amp;B606&amp;"!B2:B628"),0)),INDEX(INDIRECT(""&amp;B606&amp;"!AB2:AB628"),MATCH(A606,INDIRECT(""&amp;B606&amp;"!B2:B628"),0)))</f>
        <v>-45.589596648384514</v>
      </c>
      <c r="G606" s="160">
        <f>IF(H606&gt;0,F606-H606,0)</f>
        <v>0</v>
      </c>
      <c r="H606" s="161"/>
      <c r="I606" s="160">
        <f ca="1">F606*$A$2</f>
        <v>-45.589596648384514</v>
      </c>
      <c r="J606" s="160" t="s">
        <v>76</v>
      </c>
      <c r="K606" s="160">
        <f>IF(LeagueInfo!$F$7="Yahoo",IFERROR(INDEX(DefaultAuctionValues!$B$2:$B$1000,MATCH(A606,DefaultAuctionValues!$A$2:$A$1000,0)),0),IF(LeagueInfo!$F$7="ESPN",IFERROR(INDEX(DefaultAuctionValues!$C$2:$C$1000,MATCH(A606,DefaultAuctionValues!$A$2:$A$1000,0)),0),IF(LeagueInfo!$F$7="Custom",IFERROR(INDEX(DefaultAuctionValues!$D$2:$D$1000,MATCH(A606,DefaultAuctionValues!$A$2:$A$1000,0)),0))))</f>
        <v>0</v>
      </c>
      <c r="L606" s="160">
        <f ca="1">I606-K606</f>
        <v>-45.589596648384514</v>
      </c>
      <c r="M606" s="175"/>
      <c r="N606" s="170">
        <f ca="1">INDEX(INDIRECT(""&amp;$B606&amp;"!Z2:Z628"),MATCH($A606,INDIRECT(""&amp;$B606&amp;"!B2:B628"),0))</f>
        <v>-125.71799999999998</v>
      </c>
      <c r="O606" s="158" t="str">
        <f ca="1">IF(INDEX(INDIRECT(""&amp;$B606&amp;"!W2:W628"),MATCH($A606,INDIRECT(""&amp;$B606&amp;"!B2:B628"),0))=0,"",INDEX(INDIRECT(""&amp;$B606&amp;"!W2:W628"),MATCH($A606,INDIRECT(""&amp;$B606&amp;"!B2:B628"),0)))</f>
        <v/>
      </c>
    </row>
    <row r="607" spans="1:15" x14ac:dyDescent="0.25">
      <c r="A607" s="158" t="s">
        <v>2734</v>
      </c>
      <c r="B607" s="158" t="s">
        <v>29</v>
      </c>
      <c r="C607" s="158">
        <f ca="1">IFERROR(INDEX(BYEs!$B$2:$B$33,MATCH(D607,BYEs!$A$2:$A$33,0)),"N/A")</f>
        <v>6</v>
      </c>
      <c r="D607" s="219" t="str">
        <f ca="1">INDEX(INDIRECT(""&amp;B607&amp;"!F2:F628"),MATCH(A607,INDIRECT(""&amp;B607&amp;"!B2:B628"),0))</f>
        <v>DET</v>
      </c>
      <c r="E607" s="218" t="str">
        <f ca="1">INDEX(INDIRECT(""&amp;$B607&amp;"!AA2:AA628"),MATCH($A607,INDIRECT(""&amp;$B607&amp;"!B2:B628"),0))</f>
        <v>QB11</v>
      </c>
      <c r="F607" s="159">
        <f ca="1">IF(LeagueInfo!$H$7="Starter/Bench",INDEX(INDIRECT(""&amp;B607&amp;"!T2:T628"),MATCH(A607,INDIRECT(""&amp;B607&amp;"!B2:B628"),0)),INDEX(INDIRECT(""&amp;B607&amp;"!AB2:AB628"),MATCH(A607,INDIRECT(""&amp;B607&amp;"!B2:B628"),0)))</f>
        <v>-45.644354352881138</v>
      </c>
      <c r="G607" s="160">
        <f>IF(H607&gt;0,F607-H607,0)</f>
        <v>0</v>
      </c>
      <c r="H607" s="161"/>
      <c r="I607" s="160">
        <f ca="1">F607*$A$2</f>
        <v>-45.644354352881138</v>
      </c>
      <c r="J607" s="160" t="s">
        <v>76</v>
      </c>
      <c r="K607" s="160">
        <f>IF(LeagueInfo!$F$7="Yahoo",IFERROR(INDEX(DefaultAuctionValues!$B$2:$B$1000,MATCH(A607,DefaultAuctionValues!$A$2:$A$1000,0)),0),IF(LeagueInfo!$F$7="ESPN",IFERROR(INDEX(DefaultAuctionValues!$C$2:$C$1000,MATCH(A607,DefaultAuctionValues!$A$2:$A$1000,0)),0),IF(LeagueInfo!$F$7="Custom",IFERROR(INDEX(DefaultAuctionValues!$D$2:$D$1000,MATCH(A607,DefaultAuctionValues!$A$2:$A$1000,0)),0))))</f>
        <v>0</v>
      </c>
      <c r="L607" s="160">
        <f ca="1">I607-K607</f>
        <v>-45.644354352881138</v>
      </c>
      <c r="M607" s="175"/>
      <c r="N607" s="170">
        <f ca="1">INDEX(INDIRECT(""&amp;$B607&amp;"!Z2:Z628"),MATCH($A607,INDIRECT(""&amp;$B607&amp;"!B2:B628"),0))</f>
        <v>-125.86899999999997</v>
      </c>
      <c r="O607" s="158" t="str">
        <f ca="1">IF(INDEX(INDIRECT(""&amp;$B607&amp;"!W2:W628"),MATCH($A607,INDIRECT(""&amp;$B607&amp;"!B2:B628"),0))=0,"",INDEX(INDIRECT(""&amp;$B607&amp;"!W2:W628"),MATCH($A607,INDIRECT(""&amp;$B607&amp;"!B2:B628"),0)))</f>
        <v/>
      </c>
    </row>
    <row r="608" spans="1:15" x14ac:dyDescent="0.25">
      <c r="A608" s="158" t="s">
        <v>653</v>
      </c>
      <c r="B608" s="158" t="s">
        <v>29</v>
      </c>
      <c r="C608" s="158">
        <f ca="1">IFERROR(INDEX(BYEs!$B$2:$B$33,MATCH(D608,BYEs!$A$2:$A$33,0)),"N/A")</f>
        <v>10</v>
      </c>
      <c r="D608" s="219" t="str">
        <f ca="1">INDEX(INDIRECT(""&amp;B608&amp;"!F2:F628"),MATCH(A608,INDIRECT(""&amp;B608&amp;"!B2:B628"),0))</f>
        <v>CIN</v>
      </c>
      <c r="E608" s="218" t="str">
        <f ca="1">INDEX(INDIRECT(""&amp;$B608&amp;"!AA2:AA628"),MATCH($A608,INDIRECT(""&amp;$B608&amp;"!B2:B628"),0))</f>
        <v>QB11</v>
      </c>
      <c r="F608" s="159">
        <f ca="1">IF(LeagueInfo!$H$7="Starter/Bench",INDEX(INDIRECT(""&amp;B608&amp;"!T2:T628"),MATCH(A608,INDIRECT(""&amp;B608&amp;"!B2:B628"),0)),INDEX(INDIRECT(""&amp;B608&amp;"!AB2:AB628"),MATCH(A608,INDIRECT(""&amp;B608&amp;"!B2:B628"),0)))</f>
        <v>-45.689320944653197</v>
      </c>
      <c r="G608" s="160">
        <f>IF(H608&gt;0,F608-H608,0)</f>
        <v>0</v>
      </c>
      <c r="H608" s="161"/>
      <c r="I608" s="160">
        <f ca="1">F608*$A$2</f>
        <v>-45.689320944653197</v>
      </c>
      <c r="J608" s="160" t="s">
        <v>76</v>
      </c>
      <c r="K608" s="160">
        <f>IF(LeagueInfo!$F$7="Yahoo",IFERROR(INDEX(DefaultAuctionValues!$B$2:$B$1000,MATCH(A608,DefaultAuctionValues!$A$2:$A$1000,0)),0),IF(LeagueInfo!$F$7="ESPN",IFERROR(INDEX(DefaultAuctionValues!$C$2:$C$1000,MATCH(A608,DefaultAuctionValues!$A$2:$A$1000,0)),0),IF(LeagueInfo!$F$7="Custom",IFERROR(INDEX(DefaultAuctionValues!$D$2:$D$1000,MATCH(A608,DefaultAuctionValues!$A$2:$A$1000,0)),0))))</f>
        <v>0</v>
      </c>
      <c r="L608" s="160">
        <f ca="1">I608-K608</f>
        <v>-45.689320944653197</v>
      </c>
      <c r="M608" s="175"/>
      <c r="N608" s="170">
        <f ca="1">INDEX(INDIRECT(""&amp;$B608&amp;"!Z2:Z628"),MATCH($A608,INDIRECT(""&amp;$B608&amp;"!B2:B628"),0))</f>
        <v>-125.99299999999998</v>
      </c>
      <c r="O608" s="158" t="str">
        <f ca="1">IF(INDEX(INDIRECT(""&amp;$B608&amp;"!W2:W628"),MATCH($A608,INDIRECT(""&amp;$B608&amp;"!B2:B628"),0))=0,"",INDEX(INDIRECT(""&amp;$B608&amp;"!W2:W628"),MATCH($A608,INDIRECT(""&amp;$B608&amp;"!B2:B628"),0)))</f>
        <v/>
      </c>
    </row>
    <row r="609" spans="1:15" x14ac:dyDescent="0.25">
      <c r="A609" s="158" t="s">
        <v>2619</v>
      </c>
      <c r="B609" s="158" t="s">
        <v>29</v>
      </c>
      <c r="C609" s="158">
        <f ca="1">IFERROR(INDEX(BYEs!$B$2:$B$33,MATCH(D609,BYEs!$A$2:$A$33,0)),"N/A")</f>
        <v>13</v>
      </c>
      <c r="D609" s="219" t="str">
        <f ca="1">INDEX(INDIRECT(""&amp;B609&amp;"!F2:F628"),MATCH(A609,INDIRECT(""&amp;B609&amp;"!B2:B628"),0))</f>
        <v>CAR</v>
      </c>
      <c r="E609" s="218" t="str">
        <f ca="1">INDEX(INDIRECT(""&amp;$B609&amp;"!AA2:AA628"),MATCH($A609,INDIRECT(""&amp;$B609&amp;"!B2:B628"),0))</f>
        <v>QB11</v>
      </c>
      <c r="F609" s="159">
        <f ca="1">IF(LeagueInfo!$H$7="Starter/Bench",INDEX(INDIRECT(""&amp;B609&amp;"!T2:T628"),MATCH(A609,INDIRECT(""&amp;B609&amp;"!B2:B628"),0)),INDEX(INDIRECT(""&amp;B609&amp;"!AB2:AB628"),MATCH(A609,INDIRECT(""&amp;B609&amp;"!B2:B628"),0)))</f>
        <v>-45.94679094592869</v>
      </c>
      <c r="G609" s="160">
        <f>IF(H609&gt;0,F609-H609,0)</f>
        <v>0</v>
      </c>
      <c r="H609" s="161"/>
      <c r="I609" s="160">
        <f ca="1">F609*$A$2</f>
        <v>-45.94679094592869</v>
      </c>
      <c r="J609" s="160" t="s">
        <v>76</v>
      </c>
      <c r="K609" s="160">
        <f>IF(LeagueInfo!$F$7="Yahoo",IFERROR(INDEX(DefaultAuctionValues!$B$2:$B$1000,MATCH(A609,DefaultAuctionValues!$A$2:$A$1000,0)),0),IF(LeagueInfo!$F$7="ESPN",IFERROR(INDEX(DefaultAuctionValues!$C$2:$C$1000,MATCH(A609,DefaultAuctionValues!$A$2:$A$1000,0)),0),IF(LeagueInfo!$F$7="Custom",IFERROR(INDEX(DefaultAuctionValues!$D$2:$D$1000,MATCH(A609,DefaultAuctionValues!$A$2:$A$1000,0)),0))))</f>
        <v>0</v>
      </c>
      <c r="L609" s="160">
        <f ca="1">I609-K609</f>
        <v>-45.94679094592869</v>
      </c>
      <c r="M609" s="175"/>
      <c r="N609" s="170">
        <f ca="1">INDEX(INDIRECT(""&amp;$B609&amp;"!Z2:Z628"),MATCH($A609,INDIRECT(""&amp;$B609&amp;"!B2:B628"),0))</f>
        <v>-126.70299999999997</v>
      </c>
      <c r="O609" s="158" t="str">
        <f ca="1">IF(INDEX(INDIRECT(""&amp;$B609&amp;"!W2:W628"),MATCH($A609,INDIRECT(""&amp;$B609&amp;"!B2:B628"),0))=0,"",INDEX(INDIRECT(""&amp;$B609&amp;"!W2:W628"),MATCH($A609,INDIRECT(""&amp;$B609&amp;"!B2:B628"),0)))</f>
        <v/>
      </c>
    </row>
    <row r="610" spans="1:15" x14ac:dyDescent="0.25">
      <c r="A610" s="158" t="s">
        <v>537</v>
      </c>
      <c r="B610" s="158" t="s">
        <v>29</v>
      </c>
      <c r="C610" s="158">
        <f ca="1">IFERROR(INDEX(BYEs!$B$2:$B$33,MATCH(D610,BYEs!$A$2:$A$33,0)),"N/A")</f>
        <v>9</v>
      </c>
      <c r="D610" s="219" t="str">
        <f ca="1">INDEX(INDIRECT(""&amp;B610&amp;"!F2:F628"),MATCH(A610,INDIRECT(""&amp;B610&amp;"!B2:B628"),0))</f>
        <v>PIT</v>
      </c>
      <c r="E610" s="218" t="str">
        <f ca="1">INDEX(INDIRECT(""&amp;$B610&amp;"!AA2:AA628"),MATCH($A610,INDIRECT(""&amp;$B610&amp;"!B2:B628"),0))</f>
        <v>QB11</v>
      </c>
      <c r="F610" s="159">
        <f ca="1">IF(LeagueInfo!$H$7="Starter/Bench",INDEX(INDIRECT(""&amp;B610&amp;"!T2:T628"),MATCH(A610,INDIRECT(""&amp;B610&amp;"!B2:B628"),0)),INDEX(INDIRECT(""&amp;B610&amp;"!AB2:AB628"),MATCH(A610,INDIRECT(""&amp;B610&amp;"!B2:B628"),0)))</f>
        <v>-45.99066963628691</v>
      </c>
      <c r="G610" s="160">
        <f>IF(H610&gt;0,F610-H610,0)</f>
        <v>0</v>
      </c>
      <c r="H610" s="161"/>
      <c r="I610" s="160">
        <f ca="1">F610*$A$2</f>
        <v>-45.99066963628691</v>
      </c>
      <c r="J610" s="160" t="s">
        <v>76</v>
      </c>
      <c r="K610" s="160">
        <f>IF(LeagueInfo!$F$7="Yahoo",IFERROR(INDEX(DefaultAuctionValues!$B$2:$B$1000,MATCH(A610,DefaultAuctionValues!$A$2:$A$1000,0)),0),IF(LeagueInfo!$F$7="ESPN",IFERROR(INDEX(DefaultAuctionValues!$C$2:$C$1000,MATCH(A610,DefaultAuctionValues!$A$2:$A$1000,0)),0),IF(LeagueInfo!$F$7="Custom",IFERROR(INDEX(DefaultAuctionValues!$D$2:$D$1000,MATCH(A610,DefaultAuctionValues!$A$2:$A$1000,0)),0))))</f>
        <v>0</v>
      </c>
      <c r="L610" s="160">
        <f ca="1">I610-K610</f>
        <v>-45.99066963628691</v>
      </c>
      <c r="M610" s="175"/>
      <c r="N610" s="170">
        <f ca="1">INDEX(INDIRECT(""&amp;$B610&amp;"!Z2:Z628"),MATCH($A610,INDIRECT(""&amp;$B610&amp;"!B2:B628"),0))</f>
        <v>-126.82399999999997</v>
      </c>
      <c r="O610" s="158" t="str">
        <f ca="1">IF(INDEX(INDIRECT(""&amp;$B610&amp;"!W2:W628"),MATCH($A610,INDIRECT(""&amp;$B610&amp;"!B2:B628"),0))=0,"",INDEX(INDIRECT(""&amp;$B610&amp;"!W2:W628"),MATCH($A610,INDIRECT(""&amp;$B610&amp;"!B2:B628"),0)))</f>
        <v/>
      </c>
    </row>
    <row r="611" spans="1:15" x14ac:dyDescent="0.25">
      <c r="A611" s="158" t="s">
        <v>659</v>
      </c>
      <c r="B611" s="158" t="s">
        <v>29</v>
      </c>
      <c r="C611" s="158">
        <f ca="1">IFERROR(INDEX(BYEs!$B$2:$B$33,MATCH(D611,BYEs!$A$2:$A$33,0)),"N/A")</f>
        <v>10</v>
      </c>
      <c r="D611" s="219" t="str">
        <f ca="1">INDEX(INDIRECT(""&amp;B611&amp;"!F2:F628"),MATCH(A611,INDIRECT(""&amp;B611&amp;"!B2:B628"),0))</f>
        <v>NYJ</v>
      </c>
      <c r="E611" s="218" t="str">
        <f ca="1">INDEX(INDIRECT(""&amp;$B611&amp;"!AA2:AA628"),MATCH($A611,INDIRECT(""&amp;$B611&amp;"!B2:B628"),0))</f>
        <v>QB11</v>
      </c>
      <c r="F611" s="159">
        <f ca="1">IF(LeagueInfo!$H$7="Starter/Bench",INDEX(INDIRECT(""&amp;B611&amp;"!T2:T628"),MATCH(A611,INDIRECT(""&amp;B611&amp;"!B2:B628"),0)),INDEX(INDIRECT(""&amp;B611&amp;"!AB2:AB628"),MATCH(A611,INDIRECT(""&amp;B611&amp;"!B2:B628"),0)))</f>
        <v>-46.132096820086126</v>
      </c>
      <c r="G611" s="160">
        <f>IF(H611&gt;0,F611-H611,0)</f>
        <v>0</v>
      </c>
      <c r="H611" s="161"/>
      <c r="I611" s="160">
        <f ca="1">F611*$A$2</f>
        <v>-46.132096820086126</v>
      </c>
      <c r="J611" s="160" t="s">
        <v>76</v>
      </c>
      <c r="K611" s="160">
        <f>IF(LeagueInfo!$F$7="Yahoo",IFERROR(INDEX(DefaultAuctionValues!$B$2:$B$1000,MATCH(A611,DefaultAuctionValues!$A$2:$A$1000,0)),0),IF(LeagueInfo!$F$7="ESPN",IFERROR(INDEX(DefaultAuctionValues!$C$2:$C$1000,MATCH(A611,DefaultAuctionValues!$A$2:$A$1000,0)),0),IF(LeagueInfo!$F$7="Custom",IFERROR(INDEX(DefaultAuctionValues!$D$2:$D$1000,MATCH(A611,DefaultAuctionValues!$A$2:$A$1000,0)),0))))</f>
        <v>0</v>
      </c>
      <c r="L611" s="160">
        <f ca="1">I611-K611</f>
        <v>-46.132096820086126</v>
      </c>
      <c r="M611" s="175"/>
      <c r="N611" s="170">
        <f ca="1">INDEX(INDIRECT(""&amp;$B611&amp;"!Z2:Z628"),MATCH($A611,INDIRECT(""&amp;$B611&amp;"!B2:B628"),0))</f>
        <v>-127.21399999999997</v>
      </c>
      <c r="O611" s="158" t="str">
        <f ca="1">IF(INDEX(INDIRECT(""&amp;$B611&amp;"!W2:W628"),MATCH($A611,INDIRECT(""&amp;$B611&amp;"!B2:B628"),0))=0,"",INDEX(INDIRECT(""&amp;$B611&amp;"!W2:W628"),MATCH($A611,INDIRECT(""&amp;$B611&amp;"!B2:B628"),0)))</f>
        <v/>
      </c>
    </row>
    <row r="612" spans="1:15" x14ac:dyDescent="0.25">
      <c r="A612" s="158" t="s">
        <v>310</v>
      </c>
      <c r="B612" s="158" t="s">
        <v>29</v>
      </c>
      <c r="C612" s="158">
        <f ca="1">IFERROR(INDEX(BYEs!$B$2:$B$33,MATCH(D612,BYEs!$A$2:$A$33,0)),"N/A")</f>
        <v>11</v>
      </c>
      <c r="D612" s="219" t="str">
        <f ca="1">INDEX(INDIRECT(""&amp;B612&amp;"!F2:F628"),MATCH(A612,INDIRECT(""&amp;B612&amp;"!B2:B628"),0))</f>
        <v>SEA</v>
      </c>
      <c r="E612" s="218" t="str">
        <f ca="1">INDEX(INDIRECT(""&amp;$B612&amp;"!AA2:AA628"),MATCH($A612,INDIRECT(""&amp;$B612&amp;"!B2:B628"),0))</f>
        <v>QB11</v>
      </c>
      <c r="F612" s="159">
        <f ca="1">IF(LeagueInfo!$H$7="Starter/Bench",INDEX(INDIRECT(""&amp;B612&amp;"!T2:T628"),MATCH(A612,INDIRECT(""&amp;B612&amp;"!B2:B628"),0)),INDEX(INDIRECT(""&amp;B612&amp;"!AB2:AB628"),MATCH(A612,INDIRECT(""&amp;B612&amp;"!B2:B628"),0)))</f>
        <v>-46.447225596295148</v>
      </c>
      <c r="G612" s="160">
        <f>IF(H612&gt;0,F612-H612,0)</f>
        <v>0</v>
      </c>
      <c r="H612" s="161"/>
      <c r="I612" s="160">
        <f ca="1">F612*$A$2</f>
        <v>-46.447225596295148</v>
      </c>
      <c r="J612" s="160" t="s">
        <v>76</v>
      </c>
      <c r="K612" s="160">
        <f>IF(LeagueInfo!$F$7="Yahoo",IFERROR(INDEX(DefaultAuctionValues!$B$2:$B$1000,MATCH(A612,DefaultAuctionValues!$A$2:$A$1000,0)),0),IF(LeagueInfo!$F$7="ESPN",IFERROR(INDEX(DefaultAuctionValues!$C$2:$C$1000,MATCH(A612,DefaultAuctionValues!$A$2:$A$1000,0)),0),IF(LeagueInfo!$F$7="Custom",IFERROR(INDEX(DefaultAuctionValues!$D$2:$D$1000,MATCH(A612,DefaultAuctionValues!$A$2:$A$1000,0)),0))))</f>
        <v>0</v>
      </c>
      <c r="L612" s="160">
        <f ca="1">I612-K612</f>
        <v>-46.447225596295148</v>
      </c>
      <c r="M612" s="175"/>
      <c r="N612" s="170">
        <f ca="1">INDEX(INDIRECT(""&amp;$B612&amp;"!Z2:Z628"),MATCH($A612,INDIRECT(""&amp;$B612&amp;"!B2:B628"),0))</f>
        <v>-128.08299999999997</v>
      </c>
      <c r="O612" s="158" t="str">
        <f ca="1">IF(INDEX(INDIRECT(""&amp;$B612&amp;"!W2:W628"),MATCH($A612,INDIRECT(""&amp;$B612&amp;"!B2:B628"),0))=0,"",INDEX(INDIRECT(""&amp;$B612&amp;"!W2:W628"),MATCH($A612,INDIRECT(""&amp;$B612&amp;"!B2:B628"),0)))</f>
        <v/>
      </c>
    </row>
    <row r="613" spans="1:15" x14ac:dyDescent="0.25">
      <c r="A613" s="158" t="s">
        <v>2667</v>
      </c>
      <c r="B613" s="158" t="s">
        <v>29</v>
      </c>
      <c r="C613" s="158">
        <f ca="1">IFERROR(INDEX(BYEs!$B$2:$B$33,MATCH(D613,BYEs!$A$2:$A$33,0)),"N/A")</f>
        <v>14</v>
      </c>
      <c r="D613" s="219" t="str">
        <f ca="1">INDEX(INDIRECT(""&amp;B613&amp;"!F2:F628"),MATCH(A613,INDIRECT(""&amp;B613&amp;"!B2:B628"),0))</f>
        <v>ATL</v>
      </c>
      <c r="E613" s="218" t="str">
        <f ca="1">INDEX(INDIRECT(""&amp;$B613&amp;"!AA2:AA628"),MATCH($A613,INDIRECT(""&amp;$B613&amp;"!B2:B628"),0))</f>
        <v>QB11</v>
      </c>
      <c r="F613" s="159">
        <f ca="1">IF(LeagueInfo!$H$7="Starter/Bench",INDEX(INDIRECT(""&amp;B613&amp;"!T2:T628"),MATCH(A613,INDIRECT(""&amp;B613&amp;"!B2:B628"),0)),INDEX(INDIRECT(""&amp;B613&amp;"!AB2:AB628"),MATCH(A613,INDIRECT(""&amp;B613&amp;"!B2:B628"),0)))</f>
        <v>-46.884561964658893</v>
      </c>
      <c r="G613" s="160">
        <f>IF(H613&gt;0,F613-H613,0)</f>
        <v>0</v>
      </c>
      <c r="H613" s="161"/>
      <c r="I613" s="160">
        <f ca="1">F613*$A$2</f>
        <v>-46.884561964658893</v>
      </c>
      <c r="J613" s="160" t="s">
        <v>76</v>
      </c>
      <c r="K613" s="160">
        <f>IF(LeagueInfo!$F$7="Yahoo",IFERROR(INDEX(DefaultAuctionValues!$B$2:$B$1000,MATCH(A613,DefaultAuctionValues!$A$2:$A$1000,0)),0),IF(LeagueInfo!$F$7="ESPN",IFERROR(INDEX(DefaultAuctionValues!$C$2:$C$1000,MATCH(A613,DefaultAuctionValues!$A$2:$A$1000,0)),0),IF(LeagueInfo!$F$7="Custom",IFERROR(INDEX(DefaultAuctionValues!$D$2:$D$1000,MATCH(A613,DefaultAuctionValues!$A$2:$A$1000,0)),0))))</f>
        <v>0</v>
      </c>
      <c r="L613" s="160">
        <f ca="1">I613-K613</f>
        <v>-46.884561964658893</v>
      </c>
      <c r="M613" s="175"/>
      <c r="N613" s="170">
        <f ca="1">INDEX(INDIRECT(""&amp;$B613&amp;"!Z2:Z628"),MATCH($A613,INDIRECT(""&amp;$B613&amp;"!B2:B628"),0))</f>
        <v>-129.28899999999999</v>
      </c>
      <c r="O613" s="158" t="str">
        <f ca="1">IF(INDEX(INDIRECT(""&amp;$B613&amp;"!W2:W628"),MATCH($A613,INDIRECT(""&amp;$B613&amp;"!B2:B628"),0))=0,"",INDEX(INDIRECT(""&amp;$B613&amp;"!W2:W628"),MATCH($A613,INDIRECT(""&amp;$B613&amp;"!B2:B628"),0)))</f>
        <v/>
      </c>
    </row>
    <row r="614" spans="1:15" x14ac:dyDescent="0.25">
      <c r="A614" s="158" t="s">
        <v>1003</v>
      </c>
      <c r="B614" s="158" t="s">
        <v>29</v>
      </c>
      <c r="C614" s="158">
        <f ca="1">IFERROR(INDEX(BYEs!$B$2:$B$33,MATCH(D614,BYEs!$A$2:$A$33,0)),"N/A")</f>
        <v>14</v>
      </c>
      <c r="D614" s="219" t="str">
        <f ca="1">INDEX(INDIRECT(""&amp;B614&amp;"!F2:F628"),MATCH(A614,INDIRECT(""&amp;B614&amp;"!B2:B628"),0))</f>
        <v>ATL</v>
      </c>
      <c r="E614" s="218" t="str">
        <f ca="1">INDEX(INDIRECT(""&amp;$B614&amp;"!AA2:AA628"),MATCH($A614,INDIRECT(""&amp;$B614&amp;"!B2:B628"),0))</f>
        <v>QB11</v>
      </c>
      <c r="F614" s="159">
        <f ca="1">IF(LeagueInfo!$H$7="Starter/Bench",INDEX(INDIRECT(""&amp;B614&amp;"!T2:T628"),MATCH(A614,INDIRECT(""&amp;B614&amp;"!B2:B628"),0)),INDEX(INDIRECT(""&amp;B614&amp;"!AB2:AB628"),MATCH(A614,INDIRECT(""&amp;B614&amp;"!B2:B628"),0)))</f>
        <v>-46.957088725581563</v>
      </c>
      <c r="G614" s="160">
        <f>IF(H614&gt;0,F614-H614,0)</f>
        <v>0</v>
      </c>
      <c r="H614" s="161"/>
      <c r="I614" s="160">
        <f ca="1">F614*$A$2</f>
        <v>-46.957088725581563</v>
      </c>
      <c r="J614" s="160" t="s">
        <v>76</v>
      </c>
      <c r="K614" s="160">
        <f>IF(LeagueInfo!$F$7="Yahoo",IFERROR(INDEX(DefaultAuctionValues!$B$2:$B$1000,MATCH(A614,DefaultAuctionValues!$A$2:$A$1000,0)),0),IF(LeagueInfo!$F$7="ESPN",IFERROR(INDEX(DefaultAuctionValues!$C$2:$C$1000,MATCH(A614,DefaultAuctionValues!$A$2:$A$1000,0)),0),IF(LeagueInfo!$F$7="Custom",IFERROR(INDEX(DefaultAuctionValues!$D$2:$D$1000,MATCH(A614,DefaultAuctionValues!$A$2:$A$1000,0)),0))))</f>
        <v>0</v>
      </c>
      <c r="L614" s="160">
        <f ca="1">I614-K614</f>
        <v>-46.957088725581563</v>
      </c>
      <c r="M614" s="175"/>
      <c r="N614" s="170">
        <f ca="1">INDEX(INDIRECT(""&amp;$B614&amp;"!Z2:Z628"),MATCH($A614,INDIRECT(""&amp;$B614&amp;"!B2:B628"),0))</f>
        <v>-129.48899999999998</v>
      </c>
      <c r="O614" s="158" t="str">
        <f ca="1">IF(INDEX(INDIRECT(""&amp;$B614&amp;"!W2:W628"),MATCH($A614,INDIRECT(""&amp;$B614&amp;"!B2:B628"),0))=0,"",INDEX(INDIRECT(""&amp;$B614&amp;"!W2:W628"),MATCH($A614,INDIRECT(""&amp;$B614&amp;"!B2:B628"),0)))</f>
        <v/>
      </c>
    </row>
    <row r="615" spans="1:15" x14ac:dyDescent="0.25">
      <c r="A615" s="158" t="s">
        <v>923</v>
      </c>
      <c r="B615" s="158" t="s">
        <v>29</v>
      </c>
      <c r="C615" s="158">
        <f ca="1">IFERROR(INDEX(BYEs!$B$2:$B$33,MATCH(D615,BYEs!$A$2:$A$33,0)),"N/A")</f>
        <v>14</v>
      </c>
      <c r="D615" s="219" t="str">
        <f ca="1">INDEX(INDIRECT(""&amp;B615&amp;"!F2:F628"),MATCH(A615,INDIRECT(""&amp;B615&amp;"!B2:B628"),0))</f>
        <v>IND</v>
      </c>
      <c r="E615" s="218" t="str">
        <f ca="1">INDEX(INDIRECT(""&amp;$B615&amp;"!AA2:AA628"),MATCH($A615,INDIRECT(""&amp;$B615&amp;"!B2:B628"),0))</f>
        <v>QB11</v>
      </c>
      <c r="F615" s="159">
        <f ca="1">IF(LeagueInfo!$H$7="Starter/Bench",INDEX(INDIRECT(""&amp;B615&amp;"!T2:T628"),MATCH(A615,INDIRECT(""&amp;B615&amp;"!B2:B628"),0)),INDEX(INDIRECT(""&amp;B615&amp;"!AB2:AB628"),MATCH(A615,INDIRECT(""&amp;B615&amp;"!B2:B628"),0)))</f>
        <v>-46.957088725581563</v>
      </c>
      <c r="G615" s="160">
        <f>IF(H615&gt;0,F615-H615,0)</f>
        <v>0</v>
      </c>
      <c r="H615" s="161"/>
      <c r="I615" s="160">
        <f ca="1">F615*$A$2</f>
        <v>-46.957088725581563</v>
      </c>
      <c r="J615" s="160" t="s">
        <v>76</v>
      </c>
      <c r="K615" s="160">
        <f>IF(LeagueInfo!$F$7="Yahoo",IFERROR(INDEX(DefaultAuctionValues!$B$2:$B$1000,MATCH(A615,DefaultAuctionValues!$A$2:$A$1000,0)),0),IF(LeagueInfo!$F$7="ESPN",IFERROR(INDEX(DefaultAuctionValues!$C$2:$C$1000,MATCH(A615,DefaultAuctionValues!$A$2:$A$1000,0)),0),IF(LeagueInfo!$F$7="Custom",IFERROR(INDEX(DefaultAuctionValues!$D$2:$D$1000,MATCH(A615,DefaultAuctionValues!$A$2:$A$1000,0)),0))))</f>
        <v>0</v>
      </c>
      <c r="L615" s="160">
        <f ca="1">I615-K615</f>
        <v>-46.957088725581563</v>
      </c>
      <c r="M615" s="175"/>
      <c r="N615" s="170">
        <f ca="1">INDEX(INDIRECT(""&amp;$B615&amp;"!Z2:Z628"),MATCH($A615,INDIRECT(""&amp;$B615&amp;"!B2:B628"),0))</f>
        <v>-129.48899999999998</v>
      </c>
      <c r="O615" s="158" t="str">
        <f ca="1">IF(INDEX(INDIRECT(""&amp;$B615&amp;"!W2:W628"),MATCH($A615,INDIRECT(""&amp;$B615&amp;"!B2:B628"),0))=0,"",INDEX(INDIRECT(""&amp;$B615&amp;"!W2:W628"),MATCH($A615,INDIRECT(""&amp;$B615&amp;"!B2:B628"),0)))</f>
        <v/>
      </c>
    </row>
    <row r="616" spans="1:15" x14ac:dyDescent="0.25">
      <c r="A616" s="158" t="s">
        <v>924</v>
      </c>
      <c r="B616" s="158" t="s">
        <v>29</v>
      </c>
      <c r="C616" s="158">
        <f ca="1">IFERROR(INDEX(BYEs!$B$2:$B$33,MATCH(D616,BYEs!$A$2:$A$33,0)),"N/A")</f>
        <v>7</v>
      </c>
      <c r="D616" s="219" t="str">
        <f ca="1">INDEX(INDIRECT(""&amp;B616&amp;"!F2:F628"),MATCH(A616,INDIRECT(""&amp;B616&amp;"!B2:B628"),0))</f>
        <v>PHI</v>
      </c>
      <c r="E616" s="218" t="str">
        <f ca="1">INDEX(INDIRECT(""&amp;$B616&amp;"!AA2:AA628"),MATCH($A616,INDIRECT(""&amp;$B616&amp;"!B2:B628"),0))</f>
        <v>QB11</v>
      </c>
      <c r="F616" s="159">
        <f ca="1">IF(LeagueInfo!$H$7="Starter/Bench",INDEX(INDIRECT(""&amp;B616&amp;"!T2:T628"),MATCH(A616,INDIRECT(""&amp;B616&amp;"!B2:B628"),0)),INDEX(INDIRECT(""&amp;B616&amp;"!AB2:AB628"),MATCH(A616,INDIRECT(""&amp;B616&amp;"!B2:B628"),0)))</f>
        <v>-46.957088725581563</v>
      </c>
      <c r="G616" s="160">
        <f>IF(H616&gt;0,F616-H616,0)</f>
        <v>0</v>
      </c>
      <c r="H616" s="161"/>
      <c r="I616" s="160">
        <f ca="1">F616*$A$2</f>
        <v>-46.957088725581563</v>
      </c>
      <c r="J616" s="160" t="s">
        <v>76</v>
      </c>
      <c r="K616" s="160">
        <f>IF(LeagueInfo!$F$7="Yahoo",IFERROR(INDEX(DefaultAuctionValues!$B$2:$B$1000,MATCH(A616,DefaultAuctionValues!$A$2:$A$1000,0)),0),IF(LeagueInfo!$F$7="ESPN",IFERROR(INDEX(DefaultAuctionValues!$C$2:$C$1000,MATCH(A616,DefaultAuctionValues!$A$2:$A$1000,0)),0),IF(LeagueInfo!$F$7="Custom",IFERROR(INDEX(DefaultAuctionValues!$D$2:$D$1000,MATCH(A616,DefaultAuctionValues!$A$2:$A$1000,0)),0))))</f>
        <v>0</v>
      </c>
      <c r="L616" s="160">
        <f ca="1">I616-K616</f>
        <v>-46.957088725581563</v>
      </c>
      <c r="M616" s="175"/>
      <c r="N616" s="170">
        <f ca="1">INDEX(INDIRECT(""&amp;$B616&amp;"!Z2:Z628"),MATCH($A616,INDIRECT(""&amp;$B616&amp;"!B2:B628"),0))</f>
        <v>-129.48899999999998</v>
      </c>
      <c r="O616" s="158" t="str">
        <f ca="1">IF(INDEX(INDIRECT(""&amp;$B616&amp;"!W2:W628"),MATCH($A616,INDIRECT(""&amp;$B616&amp;"!B2:B628"),0))=0,"",INDEX(INDIRECT(""&amp;$B616&amp;"!W2:W628"),MATCH($A616,INDIRECT(""&amp;$B616&amp;"!B2:B628"),0)))</f>
        <v/>
      </c>
    </row>
  </sheetData>
  <autoFilter ref="A12:O616" xr:uid="{00000000-0009-0000-0000-000013000000}">
    <sortState xmlns:xlrd2="http://schemas.microsoft.com/office/spreadsheetml/2017/richdata2" ref="A13:O616">
      <sortCondition descending="1" ref="I13:I650"/>
      <sortCondition descending="1" ref="N13:N650"/>
    </sortState>
  </autoFilter>
  <sortState xmlns:xlrd2="http://schemas.microsoft.com/office/spreadsheetml/2017/richdata2" ref="A13:O750">
    <sortCondition descending="1" ref="F13"/>
  </sortState>
  <mergeCells count="4">
    <mergeCell ref="C2:D2"/>
    <mergeCell ref="C4:D4"/>
    <mergeCell ref="C6:D6"/>
    <mergeCell ref="C8:D8"/>
  </mergeCells>
  <conditionalFormatting sqref="G13:G615">
    <cfRule type="expression" dxfId="52" priority="120">
      <formula>$G13&lt;0</formula>
    </cfRule>
    <cfRule type="expression" dxfId="51" priority="122">
      <formula>$G13&gt;0</formula>
    </cfRule>
  </conditionalFormatting>
  <conditionalFormatting sqref="L13:L615">
    <cfRule type="expression" dxfId="50" priority="29">
      <formula>$L13&lt;0</formula>
    </cfRule>
    <cfRule type="expression" dxfId="49" priority="145">
      <formula>$L13&gt;0</formula>
    </cfRule>
  </conditionalFormatting>
  <conditionalFormatting sqref="C145:C606 C607:O615 A13:C144 D13:O606">
    <cfRule type="expression" dxfId="48" priority="273">
      <formula>$H13&gt;0</formula>
    </cfRule>
    <cfRule type="expression" dxfId="47" priority="276">
      <formula>IF($O13="Upside",TRUE,FALSE)</formula>
    </cfRule>
    <cfRule type="expression" dxfId="46" priority="277">
      <formula>IF($O13="Sleeper",TRUE,FALSE)</formula>
    </cfRule>
    <cfRule type="expression" dxfId="45" priority="278">
      <formula>IF($O13="Target",TRUE,FALSE)</formula>
    </cfRule>
    <cfRule type="expression" dxfId="44" priority="279">
      <formula>IF($O13="Avoid",TRUE,FALSE)</formula>
    </cfRule>
  </conditionalFormatting>
  <conditionalFormatting sqref="A145:B205 A334:B615">
    <cfRule type="expression" dxfId="43" priority="34">
      <formula>$H145&gt;0</formula>
    </cfRule>
  </conditionalFormatting>
  <conditionalFormatting sqref="K2:K8">
    <cfRule type="expression" dxfId="42" priority="30">
      <formula>$K2&gt;0.2</formula>
    </cfRule>
  </conditionalFormatting>
  <conditionalFormatting sqref="A206:B325">
    <cfRule type="expression" dxfId="41" priority="27">
      <formula>$H206&gt;0</formula>
    </cfRule>
  </conditionalFormatting>
  <conditionalFormatting sqref="A326:B333">
    <cfRule type="expression" dxfId="40" priority="26">
      <formula>$H326&gt;0</formula>
    </cfRule>
  </conditionalFormatting>
  <conditionalFormatting sqref="G616">
    <cfRule type="expression" dxfId="39" priority="3">
      <formula>$G616&lt;0</formula>
    </cfRule>
    <cfRule type="expression" dxfId="38" priority="4">
      <formula>$G616&gt;0</formula>
    </cfRule>
  </conditionalFormatting>
  <conditionalFormatting sqref="L616">
    <cfRule type="expression" dxfId="37" priority="2">
      <formula>$L616&lt;0</formula>
    </cfRule>
    <cfRule type="expression" dxfId="36" priority="5">
      <formula>$L616&gt;0</formula>
    </cfRule>
  </conditionalFormatting>
  <conditionalFormatting sqref="C616:O616">
    <cfRule type="expression" dxfId="35" priority="6">
      <formula>$H616&gt;0</formula>
    </cfRule>
    <cfRule type="expression" dxfId="34" priority="7">
      <formula>IF($O616="Upside",TRUE,FALSE)</formula>
    </cfRule>
    <cfRule type="expression" dxfId="33" priority="8">
      <formula>IF($O616="Sleeper",TRUE,FALSE)</formula>
    </cfRule>
    <cfRule type="expression" dxfId="32" priority="9">
      <formula>IF($O616="Target",TRUE,FALSE)</formula>
    </cfRule>
    <cfRule type="expression" dxfId="31" priority="10">
      <formula>IF($O616="Avoid",TRUE,FALSE)</formula>
    </cfRule>
  </conditionalFormatting>
  <conditionalFormatting sqref="A616:B616">
    <cfRule type="expression" dxfId="30" priority="1">
      <formula>$H616&gt;0</formula>
    </cfRule>
  </conditionalFormatting>
  <dataValidations count="1">
    <dataValidation type="list" allowBlank="1" showInputMessage="1" showErrorMessage="1" sqref="M13:M616" xr:uid="{00000000-0002-0000-1300-000000000000}">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9525</xdr:colOff>
                    <xdr:row>8</xdr:row>
                    <xdr:rowOff>180975</xdr:rowOff>
                  </from>
                  <to>
                    <xdr:col>2</xdr:col>
                    <xdr:colOff>28575</xdr:colOff>
                    <xdr:row>9</xdr:row>
                    <xdr:rowOff>180975</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28575</xdr:colOff>
                    <xdr:row>8</xdr:row>
                    <xdr:rowOff>28575</xdr:rowOff>
                  </from>
                  <to>
                    <xdr:col>6</xdr:col>
                    <xdr:colOff>257175</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28575</xdr:colOff>
                    <xdr:row>9</xdr:row>
                    <xdr:rowOff>9525</xdr:rowOff>
                  </from>
                  <to>
                    <xdr:col>6</xdr:col>
                    <xdr:colOff>257175</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28575</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66675</xdr:colOff>
                    <xdr:row>8</xdr:row>
                    <xdr:rowOff>0</xdr:rowOff>
                  </from>
                  <to>
                    <xdr:col>10</xdr:col>
                    <xdr:colOff>238125</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66675</xdr:colOff>
                    <xdr:row>9</xdr:row>
                    <xdr:rowOff>9525</xdr:rowOff>
                  </from>
                  <to>
                    <xdr:col>10</xdr:col>
                    <xdr:colOff>238125</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485775</xdr:colOff>
                    <xdr:row>8</xdr:row>
                    <xdr:rowOff>0</xdr:rowOff>
                  </from>
                  <to>
                    <xdr:col>15</xdr:col>
                    <xdr:colOff>66675</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485775</xdr:colOff>
                    <xdr:row>9</xdr:row>
                    <xdr:rowOff>0</xdr:rowOff>
                  </from>
                  <to>
                    <xdr:col>12</xdr:col>
                    <xdr:colOff>523875</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561975</xdr:colOff>
                    <xdr:row>9</xdr:row>
                    <xdr:rowOff>9525</xdr:rowOff>
                  </from>
                  <to>
                    <xdr:col>15</xdr:col>
                    <xdr:colOff>66675</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523875</xdr:colOff>
                    <xdr:row>9</xdr:row>
                    <xdr:rowOff>0</xdr:rowOff>
                  </from>
                  <to>
                    <xdr:col>13</xdr:col>
                    <xdr:colOff>533400</xdr:colOff>
                    <xdr:row>10</xdr:row>
                    <xdr:rowOff>0</xdr:rowOff>
                  </to>
                </anchor>
              </controlPr>
            </control>
          </mc:Choice>
        </mc:AlternateContent>
        <mc:AlternateContent xmlns:mc="http://schemas.openxmlformats.org/markup-compatibility/2006">
          <mc:Choice Requires="x14">
            <control shapeId="9" r:id="rId14" name="Button 42">
              <controlPr defaultSize="0" print="0" autoFill="0" autoPict="0" macro="[0]!Fill_Auction">
                <anchor moveWithCells="1" sizeWithCells="1">
                  <from>
                    <xdr:col>11</xdr:col>
                    <xdr:colOff>438150</xdr:colOff>
                    <xdr:row>0</xdr:row>
                    <xdr:rowOff>0</xdr:rowOff>
                  </from>
                  <to>
                    <xdr:col>15</xdr:col>
                    <xdr:colOff>19050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1000000}">
          <x14:formula1>
            <xm:f>LeagueInfo!$I$89:$I$90</xm:f>
          </x14:formula1>
          <xm:sqref>J13:J616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Z265"/>
  <sheetViews>
    <sheetView workbookViewId="0">
      <selection activeCell="B3" sqref="B3"/>
    </sheetView>
  </sheetViews>
  <sheetFormatPr defaultColWidth="8.85546875" defaultRowHeight="15" x14ac:dyDescent="0.25"/>
  <cols>
    <col min="2" max="2" width="27.42578125" customWidth="1"/>
    <col min="3" max="3" width="11.140625" bestFit="1" customWidth="1"/>
    <col min="4" max="4" width="9.140625" bestFit="1" customWidth="1"/>
    <col min="5" max="5" width="9.140625" customWidth="1"/>
    <col min="6" max="6" width="1.42578125" customWidth="1"/>
    <col min="8" max="8" width="21.42578125" customWidth="1"/>
    <col min="9" max="9" width="15.42578125" bestFit="1" customWidth="1"/>
    <col min="10" max="10" width="7.140625" bestFit="1" customWidth="1"/>
    <col min="11" max="11" width="11.42578125" bestFit="1" customWidth="1"/>
    <col min="12" max="14" width="4.42578125" customWidth="1"/>
    <col min="15" max="15" width="4" customWidth="1"/>
    <col min="16" max="16" width="3.42578125" customWidth="1"/>
    <col min="17" max="17" width="3.85546875" bestFit="1" customWidth="1"/>
    <col min="18" max="19" width="8.42578125" bestFit="1" customWidth="1"/>
    <col min="20" max="20" width="9" bestFit="1" customWidth="1"/>
    <col min="21" max="21" width="7.85546875" bestFit="1" customWidth="1"/>
    <col min="22" max="22" width="1.42578125" customWidth="1"/>
    <col min="25" max="25" width="11.140625" bestFit="1" customWidth="1"/>
  </cols>
  <sheetData>
    <row r="1" spans="1:26" x14ac:dyDescent="0.25">
      <c r="A1" s="268" t="str">
        <f>H3</f>
        <v>My Team</v>
      </c>
      <c r="B1" s="269"/>
      <c r="C1" s="269"/>
      <c r="D1" s="269"/>
      <c r="E1" s="270"/>
      <c r="G1" s="268" t="s">
        <v>23</v>
      </c>
      <c r="H1" s="269"/>
      <c r="I1" s="269"/>
      <c r="J1" s="269"/>
      <c r="K1" s="269"/>
      <c r="L1" s="269"/>
      <c r="M1" s="269"/>
      <c r="N1" s="269"/>
      <c r="O1" s="269"/>
      <c r="P1" s="269"/>
      <c r="Q1" s="270"/>
      <c r="R1" s="271" t="s">
        <v>493</v>
      </c>
      <c r="S1" s="272"/>
      <c r="T1" s="272"/>
      <c r="U1" s="273"/>
      <c r="W1" s="268" t="s">
        <v>494</v>
      </c>
      <c r="X1" s="269"/>
      <c r="Y1" s="269"/>
      <c r="Z1" s="270"/>
    </row>
    <row r="2" spans="1:26" x14ac:dyDescent="0.25">
      <c r="A2" s="140" t="s">
        <v>495</v>
      </c>
      <c r="B2" s="148" t="s">
        <v>85</v>
      </c>
      <c r="C2" s="130" t="s">
        <v>496</v>
      </c>
      <c r="D2" s="130" t="s">
        <v>497</v>
      </c>
      <c r="E2" s="141" t="s">
        <v>440</v>
      </c>
      <c r="G2" s="129" t="s">
        <v>498</v>
      </c>
      <c r="H2" s="130" t="s">
        <v>410</v>
      </c>
      <c r="I2" s="131" t="s">
        <v>471</v>
      </c>
      <c r="J2" s="131" t="s">
        <v>499</v>
      </c>
      <c r="K2" s="131" t="s">
        <v>500</v>
      </c>
      <c r="L2" s="131" t="s">
        <v>29</v>
      </c>
      <c r="M2" s="131" t="s">
        <v>28</v>
      </c>
      <c r="N2" s="131" t="s">
        <v>35</v>
      </c>
      <c r="O2" s="131" t="s">
        <v>43</v>
      </c>
      <c r="P2" s="131" t="s">
        <v>48</v>
      </c>
      <c r="Q2" s="132" t="s">
        <v>54</v>
      </c>
      <c r="R2" s="194" t="s">
        <v>501</v>
      </c>
      <c r="S2" s="131" t="s">
        <v>502</v>
      </c>
      <c r="T2" s="131" t="s">
        <v>503</v>
      </c>
      <c r="U2" s="132" t="s">
        <v>504</v>
      </c>
      <c r="W2" s="140" t="s">
        <v>495</v>
      </c>
      <c r="X2" s="130" t="s">
        <v>505</v>
      </c>
      <c r="Y2" s="130" t="s">
        <v>506</v>
      </c>
      <c r="Z2" s="141" t="s">
        <v>507</v>
      </c>
    </row>
    <row r="3" spans="1:26" x14ac:dyDescent="0.25">
      <c r="A3" s="133" t="str">
        <f>IFERROR(INDEX(Auction!$B$13:$B$656,MATCH(B3,Auction!$A$13:$A$656,0)),"")</f>
        <v/>
      </c>
      <c r="B3" s="211" t="str">
        <f t="array" ref="B3">IF($A$1=0,"",IFERROR(INDEX(Auction!$A$13:$M$656,SMALL(IF(Auction!$M$13:$M$656=$A$1,(ROW(Auction!$M$13:$M$656)-MIN(ROW(Auction!$M$13:$M$656))+1),""),ROW(A1)),1),""))</f>
        <v/>
      </c>
      <c r="C3" s="142">
        <f>IF(ISERROR(VLOOKUP(B3,Auction!$A$13:$I$656,7,FALSE)),0,VLOOKUP(B3,Auction!$A$13:$I$656,8,FALSE))</f>
        <v>0</v>
      </c>
      <c r="D3" s="143">
        <f>IFERROR(VLOOKUP(B3,Auction!$A$13:$I$656,9,FALSE)-C3,0)</f>
        <v>0</v>
      </c>
      <c r="E3" s="149" t="str">
        <f>IFERROR(INDEX(Auction!$C$13:$C$656,MATCH(B3,Auction!$A$13:$A$656,0)),"")</f>
        <v/>
      </c>
      <c r="G3" s="133">
        <v>1</v>
      </c>
      <c r="H3" s="228" t="s">
        <v>492</v>
      </c>
      <c r="I3" s="123">
        <f>LeagueInfo!$F$3-SUMIF(Auction!$M$13:$M$656,$H3,Auction!$H$13:$H$656)</f>
        <v>200</v>
      </c>
      <c r="J3" s="124">
        <f>I3-(LeagueInfo!$F$4-COUNTIF(Auction!$M$13:$M$656,$H3))+1</f>
        <v>186</v>
      </c>
      <c r="K3" s="125">
        <f>SUM(L3:Q3)</f>
        <v>0</v>
      </c>
      <c r="L3" s="125">
        <f>COUNTIFS(Auction!$M$13:$M$656,Teams!$H3,Auction!$H$13:$H$656,"&gt;0",Auction!$B$13:$B$656,L$2)</f>
        <v>0</v>
      </c>
      <c r="M3" s="125">
        <f>COUNTIFS(Auction!$M$13:$M$656,Teams!$H3,Auction!$H$13:$H$656,"&gt;0",Auction!$B$13:$B$656,M$2)</f>
        <v>0</v>
      </c>
      <c r="N3" s="125">
        <f>COUNTIFS(Auction!$M$13:$M$656,Teams!$H3,Auction!$H$13:$H$656,"&gt;0",Auction!$B$13:$B$656,N$2)</f>
        <v>0</v>
      </c>
      <c r="O3" s="125">
        <f>COUNTIFS(Auction!$M$13:$M$656,Teams!$H3,Auction!$H$13:$H$656,"&gt;0",Auction!$B$13:$B$656,O$2)</f>
        <v>0</v>
      </c>
      <c r="P3" s="125">
        <f>COUNTIFS(Auction!$M$13:$M$656,Teams!$H3,Auction!$H$13:$H$656,"&gt;0",Auction!$B$13:$B$656,P$2)</f>
        <v>0</v>
      </c>
      <c r="Q3" s="134">
        <f>COUNTIFS(Auction!$M$13:$M$656,Teams!$H3,Auction!$H$13:$H$656,"&gt;0",Auction!$B$13:$B$656,Q$2)</f>
        <v>0</v>
      </c>
      <c r="R3" s="195">
        <f>SUMIFS(Auction!$H$13:$H$656,Auction!$M$13:$M$656,Teams!$H3,Auction!$B$13:$B$656,LEFT(R$2,2))</f>
        <v>0</v>
      </c>
      <c r="S3" s="191">
        <f>SUMIFS(Auction!$H$13:$H$656,Auction!$M$13:$M$656,Teams!$H3,Auction!$B$13:$B$656,LEFT(S$2,2))</f>
        <v>0</v>
      </c>
      <c r="T3" s="191">
        <f>SUMIFS(Auction!$H$13:$H$656,Auction!$M$13:$M$656,Teams!$H3,Auction!$B$13:$B$656,LEFT(T$2,2))</f>
        <v>0</v>
      </c>
      <c r="U3" s="196">
        <f>SUMIFS(Auction!$H$13:$H$656,Auction!$M$13:$M$656,Teams!$H3,Auction!$B$13:$B$656,LEFT(U$2,2))</f>
        <v>0</v>
      </c>
      <c r="W3" s="133" t="s">
        <v>29</v>
      </c>
      <c r="X3" s="189">
        <v>8</v>
      </c>
      <c r="Y3" s="188">
        <f>SUMIF($A$3:$A$22,W3,$C$3:$C$22)</f>
        <v>0</v>
      </c>
      <c r="Z3" s="190">
        <f>X3-Y3</f>
        <v>8</v>
      </c>
    </row>
    <row r="4" spans="1:26" x14ac:dyDescent="0.25">
      <c r="A4" s="133" t="str">
        <f>IFERROR(INDEX(Auction!$B$13:$B$656,MATCH(B4,Auction!$A$13:$A$656,0)),"")</f>
        <v/>
      </c>
      <c r="B4" s="211" t="str">
        <f t="array" ref="B4">IF($A$1=0,"",IFERROR(INDEX(Auction!$A$13:$M$656,SMALL(IF(Auction!$M$13:$M$656=$A$1,(ROW(Auction!$M$13:$M$656)-MIN(ROW(Auction!$M$13:$M$656))+1),""),ROW(A2)),1),""))</f>
        <v/>
      </c>
      <c r="C4" s="142">
        <f>IF(ISERROR(VLOOKUP(B4,Auction!$A$13:$I$656,7,FALSE)),0,VLOOKUP(B4,Auction!$A$13:$I$656,8,FALSE))</f>
        <v>0</v>
      </c>
      <c r="D4" s="143">
        <f>IFERROR(VLOOKUP(B4,Auction!$A$13:$I$656,9,FALSE)-C4,0)</f>
        <v>0</v>
      </c>
      <c r="E4" s="149" t="str">
        <f>IFERROR(INDEX(Auction!$C$13:$C$656,MATCH(B4,Auction!$A$13:$A$656,0)),"")</f>
        <v/>
      </c>
      <c r="G4" s="133">
        <v>2</v>
      </c>
      <c r="H4" s="229" t="s">
        <v>518</v>
      </c>
      <c r="I4" s="119">
        <f>LeagueInfo!$F$3-SUMIF(Auction!$M$13:$M$656,H4,Auction!$H$13:$H$656)</f>
        <v>200</v>
      </c>
      <c r="J4" s="120">
        <f>I4-(LeagueInfo!$F$4-COUNTIF(Auction!$M$13:$M$656,$H4))+1</f>
        <v>186</v>
      </c>
      <c r="K4" s="117">
        <f t="shared" ref="K4:K18" si="0">SUM(L4:Q4)</f>
        <v>0</v>
      </c>
      <c r="L4" s="117">
        <f>COUNTIFS(Auction!$M$13:$M$656,Teams!$H4,Auction!$H$13:$H$656,"&gt;0",Auction!$B$13:$B$656,L$2)</f>
        <v>0</v>
      </c>
      <c r="M4" s="117">
        <f>COUNTIFS(Auction!$M$13:$M$656,Teams!$H4,Auction!$H$13:$H$656,"&gt;0",Auction!$B$13:$B$656,M$2)</f>
        <v>0</v>
      </c>
      <c r="N4" s="117">
        <f>COUNTIFS(Auction!$M$13:$M$656,Teams!$H4,Auction!$H$13:$H$656,"&gt;0",Auction!$B$13:$B$656,N$2)</f>
        <v>0</v>
      </c>
      <c r="O4" s="117">
        <f>COUNTIFS(Auction!$M$13:$M$656,Teams!$H4,Auction!$H$13:$H$656,"&gt;0",Auction!$B$13:$B$656,O$2)</f>
        <v>0</v>
      </c>
      <c r="P4" s="117">
        <f>COUNTIFS(Auction!$M$13:$M$656,Teams!$H4,Auction!$H$13:$H$656,"&gt;0",Auction!$B$13:$B$656,P$2)</f>
        <v>0</v>
      </c>
      <c r="Q4" s="135">
        <f>COUNTIFS(Auction!$M$13:$M$656,Teams!$H4,Auction!$H$13:$H$656,"&gt;0",Auction!$B$13:$B$656,Q$2)</f>
        <v>0</v>
      </c>
      <c r="R4" s="197">
        <f>SUMIFS(Auction!$H$13:$H$656,Auction!$M$13:$M$656,Teams!$H4,Auction!$B$13:$B$656,LEFT(R$2,2))</f>
        <v>0</v>
      </c>
      <c r="S4" s="192">
        <f>SUMIFS(Auction!$H$13:$H$656,Auction!$M$13:$M$656,Teams!$H4,Auction!$B$13:$B$656,LEFT(S$2,2))</f>
        <v>0</v>
      </c>
      <c r="T4" s="192">
        <f>SUMIFS(Auction!$H$13:$H$656,Auction!$M$13:$M$656,Teams!$H4,Auction!$B$13:$B$656,LEFT(T$2,2))</f>
        <v>0</v>
      </c>
      <c r="U4" s="198">
        <f>SUMIFS(Auction!$H$13:$H$656,Auction!$M$13:$M$656,Teams!$H4,Auction!$B$13:$B$656,LEFT(U$2,2))</f>
        <v>0</v>
      </c>
      <c r="W4" s="133" t="s">
        <v>28</v>
      </c>
      <c r="X4" s="189">
        <v>100</v>
      </c>
      <c r="Y4" s="188">
        <f t="shared" ref="Y4:Y8" si="1">SUMIF($A$3:$A$22,W4,$C$3:$C$22)</f>
        <v>0</v>
      </c>
      <c r="Z4" s="190">
        <f t="shared" ref="Z4:Z8" si="2">X4-Y4</f>
        <v>100</v>
      </c>
    </row>
    <row r="5" spans="1:26" x14ac:dyDescent="0.25">
      <c r="A5" s="133" t="str">
        <f>IFERROR(INDEX(Auction!$B$13:$B$656,MATCH(B5,Auction!$A$13:$A$656,0)),"")</f>
        <v/>
      </c>
      <c r="B5" s="211" t="str">
        <f t="array" ref="B5">IF($A$1=0,"",IFERROR(INDEX(Auction!$A$13:$M$656,SMALL(IF(Auction!$M$13:$M$656=$A$1,(ROW(Auction!$M$13:$M$656)-MIN(ROW(Auction!$M$13:$M$656))+1),""),ROW(A3)),1),""))</f>
        <v/>
      </c>
      <c r="C5" s="142">
        <f>IF(ISERROR(VLOOKUP(B5,Auction!$A$13:$I$656,7,FALSE)),0,VLOOKUP(B5,Auction!$A$13:$I$656,8,FALSE))</f>
        <v>0</v>
      </c>
      <c r="D5" s="143">
        <f>IFERROR(VLOOKUP(B5,Auction!$A$13:$I$656,9,FALSE)-C5,0)</f>
        <v>0</v>
      </c>
      <c r="E5" s="149" t="str">
        <f>IFERROR(INDEX(Auction!$C$13:$C$656,MATCH(B5,Auction!$A$13:$A$656,0)),"")</f>
        <v/>
      </c>
      <c r="G5" s="133">
        <v>3</v>
      </c>
      <c r="H5" s="229" t="s">
        <v>521</v>
      </c>
      <c r="I5" s="126">
        <f>LeagueInfo!$F$3-SUMIF(Auction!$M$13:$M$656,H5,Auction!$H$13:$H$656)</f>
        <v>200</v>
      </c>
      <c r="J5" s="127">
        <f>I5-(LeagueInfo!$F$4-COUNTIF(Auction!$M$13:$M$656,$H5))+1</f>
        <v>186</v>
      </c>
      <c r="K5" s="128">
        <f t="shared" si="0"/>
        <v>0</v>
      </c>
      <c r="L5" s="128">
        <f>COUNTIFS(Auction!$M$13:$M$656,Teams!$H5,Auction!$H$13:$H$656,"&gt;0",Auction!$B$13:$B$656,L$2)</f>
        <v>0</v>
      </c>
      <c r="M5" s="128">
        <f>COUNTIFS(Auction!$M$13:$M$656,Teams!$H5,Auction!$H$13:$H$656,"&gt;0",Auction!$B$13:$B$656,M$2)</f>
        <v>0</v>
      </c>
      <c r="N5" s="128">
        <f>COUNTIFS(Auction!$M$13:$M$656,Teams!$H5,Auction!$H$13:$H$656,"&gt;0",Auction!$B$13:$B$656,N$2)</f>
        <v>0</v>
      </c>
      <c r="O5" s="128">
        <f>COUNTIFS(Auction!$M$13:$M$656,Teams!$H5,Auction!$H$13:$H$656,"&gt;0",Auction!$B$13:$B$656,O$2)</f>
        <v>0</v>
      </c>
      <c r="P5" s="128">
        <f>COUNTIFS(Auction!$M$13:$M$656,Teams!$H5,Auction!$H$13:$H$656,"&gt;0",Auction!$B$13:$B$656,P$2)</f>
        <v>0</v>
      </c>
      <c r="Q5" s="136">
        <f>COUNTIFS(Auction!$M$13:$M$656,Teams!$H5,Auction!$H$13:$H$656,"&gt;0",Auction!$B$13:$B$656,Q$2)</f>
        <v>0</v>
      </c>
      <c r="R5" s="195">
        <f>SUMIFS(Auction!$H$13:$H$656,Auction!$M$13:$M$656,Teams!$H5,Auction!$B$13:$B$656,LEFT(R$2,2))</f>
        <v>0</v>
      </c>
      <c r="S5" s="191">
        <f>SUMIFS(Auction!$H$13:$H$656,Auction!$M$13:$M$656,Teams!$H5,Auction!$B$13:$B$656,LEFT(S$2,2))</f>
        <v>0</v>
      </c>
      <c r="T5" s="191">
        <f>SUMIFS(Auction!$H$13:$H$656,Auction!$M$13:$M$656,Teams!$H5,Auction!$B$13:$B$656,LEFT(T$2,2))</f>
        <v>0</v>
      </c>
      <c r="U5" s="196">
        <f>SUMIFS(Auction!$H$13:$H$656,Auction!$M$13:$M$656,Teams!$H5,Auction!$B$13:$B$656,LEFT(U$2,2))</f>
        <v>0</v>
      </c>
      <c r="W5" s="133" t="s">
        <v>35</v>
      </c>
      <c r="X5" s="189">
        <v>82</v>
      </c>
      <c r="Y5" s="188">
        <f t="shared" si="1"/>
        <v>0</v>
      </c>
      <c r="Z5" s="190">
        <f t="shared" si="2"/>
        <v>82</v>
      </c>
    </row>
    <row r="6" spans="1:26" x14ac:dyDescent="0.25">
      <c r="A6" s="133" t="str">
        <f>IFERROR(INDEX(Auction!$B$13:$B$656,MATCH(B6,Auction!$A$13:$A$656,0)),"")</f>
        <v/>
      </c>
      <c r="B6" s="211" t="str">
        <f t="array" ref="B6">IF($A$1=0,"",IFERROR(INDEX(Auction!$A$13:$M$656,SMALL(IF(Auction!$M$13:$M$656=$A$1,(ROW(Auction!$M$13:$M$656)-MIN(ROW(Auction!$M$13:$M$656))+1),""),ROW(A4)),1),""))</f>
        <v/>
      </c>
      <c r="C6" s="142">
        <f>IF(ISERROR(VLOOKUP(B6,Auction!$A$13:$I$656,7,FALSE)),0,VLOOKUP(B6,Auction!$A$13:$I$656,8,FALSE))</f>
        <v>0</v>
      </c>
      <c r="D6" s="143">
        <f>IFERROR(VLOOKUP(B6,Auction!$A$13:$I$656,9,FALSE)-C6,0)</f>
        <v>0</v>
      </c>
      <c r="E6" s="149" t="str">
        <f>IFERROR(INDEX(Auction!$C$13:$C$656,MATCH(B6,Auction!$A$13:$A$656,0)),"")</f>
        <v/>
      </c>
      <c r="G6" s="133">
        <v>4</v>
      </c>
      <c r="H6" s="229" t="s">
        <v>522</v>
      </c>
      <c r="I6" s="119">
        <f>LeagueInfo!$F$3-SUMIF(Auction!$M$13:$M$656,H6,Auction!$H$13:$H$656)</f>
        <v>200</v>
      </c>
      <c r="J6" s="120">
        <f>I6-(LeagueInfo!$F$4-COUNTIF(Auction!$M$13:$M$656,$H6))+1</f>
        <v>186</v>
      </c>
      <c r="K6" s="117">
        <f t="shared" si="0"/>
        <v>0</v>
      </c>
      <c r="L6" s="117">
        <f>COUNTIFS(Auction!$M$13:$M$656,Teams!$H6,Auction!$H$13:$H$656,"&gt;0",Auction!$B$13:$B$656,L$2)</f>
        <v>0</v>
      </c>
      <c r="M6" s="117">
        <f>COUNTIFS(Auction!$M$13:$M$656,Teams!$H6,Auction!$H$13:$H$656,"&gt;0",Auction!$B$13:$B$656,M$2)</f>
        <v>0</v>
      </c>
      <c r="N6" s="117">
        <f>COUNTIFS(Auction!$M$13:$M$656,Teams!$H6,Auction!$H$13:$H$656,"&gt;0",Auction!$B$13:$B$656,N$2)</f>
        <v>0</v>
      </c>
      <c r="O6" s="117">
        <f>COUNTIFS(Auction!$M$13:$M$656,Teams!$H6,Auction!$H$13:$H$656,"&gt;0",Auction!$B$13:$B$656,O$2)</f>
        <v>0</v>
      </c>
      <c r="P6" s="117">
        <f>COUNTIFS(Auction!$M$13:$M$656,Teams!$H6,Auction!$H$13:$H$656,"&gt;0",Auction!$B$13:$B$656,P$2)</f>
        <v>0</v>
      </c>
      <c r="Q6" s="135">
        <f>COUNTIFS(Auction!$M$13:$M$656,Teams!$H6,Auction!$H$13:$H$656,"&gt;0",Auction!$B$13:$B$656,Q$2)</f>
        <v>0</v>
      </c>
      <c r="R6" s="197">
        <f>SUMIFS(Auction!$H$13:$H$656,Auction!$M$13:$M$656,Teams!$H6,Auction!$B$13:$B$656,LEFT(R$2,2))</f>
        <v>0</v>
      </c>
      <c r="S6" s="192">
        <f>SUMIFS(Auction!$H$13:$H$656,Auction!$M$13:$M$656,Teams!$H6,Auction!$B$13:$B$656,LEFT(S$2,2))</f>
        <v>0</v>
      </c>
      <c r="T6" s="192">
        <f>SUMIFS(Auction!$H$13:$H$656,Auction!$M$13:$M$656,Teams!$H6,Auction!$B$13:$B$656,LEFT(T$2,2))</f>
        <v>0</v>
      </c>
      <c r="U6" s="198">
        <f>SUMIFS(Auction!$H$13:$H$656,Auction!$M$13:$M$656,Teams!$H6,Auction!$B$13:$B$656,LEFT(U$2,2))</f>
        <v>0</v>
      </c>
      <c r="W6" s="133" t="s">
        <v>43</v>
      </c>
      <c r="X6" s="189">
        <v>8</v>
      </c>
      <c r="Y6" s="188">
        <f t="shared" si="1"/>
        <v>0</v>
      </c>
      <c r="Z6" s="190">
        <f t="shared" si="2"/>
        <v>8</v>
      </c>
    </row>
    <row r="7" spans="1:26" x14ac:dyDescent="0.25">
      <c r="A7" s="133" t="str">
        <f>IFERROR(INDEX(Auction!$B$13:$B$656,MATCH(B7,Auction!$A$13:$A$656,0)),"")</f>
        <v/>
      </c>
      <c r="B7" s="211" t="str">
        <f t="array" ref="B7">IF($A$1=0,"",IFERROR(INDEX(Auction!$A$13:$M$656,SMALL(IF(Auction!$M$13:$M$656=$A$1,(ROW(Auction!$M$13:$M$656)-MIN(ROW(Auction!$M$13:$M$656))+1),""),ROW(A5)),1),""))</f>
        <v/>
      </c>
      <c r="C7" s="142">
        <f>IF(ISERROR(VLOOKUP(B7,Auction!$A$13:$I$656,7,FALSE)),0,VLOOKUP(B7,Auction!$A$13:$I$656,8,FALSE))</f>
        <v>0</v>
      </c>
      <c r="D7" s="143">
        <f>IFERROR(VLOOKUP(B7,Auction!$A$13:$I$656,9,FALSE)-C7,0)</f>
        <v>0</v>
      </c>
      <c r="E7" s="149" t="str">
        <f>IFERROR(INDEX(Auction!$C$13:$C$656,MATCH(B7,Auction!$A$13:$A$656,0)),"")</f>
        <v/>
      </c>
      <c r="G7" s="133">
        <v>5</v>
      </c>
      <c r="H7" s="229" t="s">
        <v>524</v>
      </c>
      <c r="I7" s="126">
        <f>LeagueInfo!$F$3-SUMIF(Auction!$M$13:$M$656,H7,Auction!$H$13:$H$656)</f>
        <v>200</v>
      </c>
      <c r="J7" s="127">
        <f>I7-(LeagueInfo!$F$4-COUNTIF(Auction!$M$13:$M$656,$H7))+1</f>
        <v>186</v>
      </c>
      <c r="K7" s="128">
        <f t="shared" si="0"/>
        <v>0</v>
      </c>
      <c r="L7" s="128">
        <f>COUNTIFS(Auction!$M$13:$M$656,Teams!$H7,Auction!$H$13:$H$656,"&gt;0",Auction!$B$13:$B$656,L$2)</f>
        <v>0</v>
      </c>
      <c r="M7" s="128">
        <f>COUNTIFS(Auction!$M$13:$M$656,Teams!$H7,Auction!$H$13:$H$656,"&gt;0",Auction!$B$13:$B$656,M$2)</f>
        <v>0</v>
      </c>
      <c r="N7" s="128">
        <f>COUNTIFS(Auction!$M$13:$M$656,Teams!$H7,Auction!$H$13:$H$656,"&gt;0",Auction!$B$13:$B$656,N$2)</f>
        <v>0</v>
      </c>
      <c r="O7" s="128">
        <f>COUNTIFS(Auction!$M$13:$M$656,Teams!$H7,Auction!$H$13:$H$656,"&gt;0",Auction!$B$13:$B$656,O$2)</f>
        <v>0</v>
      </c>
      <c r="P7" s="128">
        <f>COUNTIFS(Auction!$M$13:$M$656,Teams!$H7,Auction!$H$13:$H$656,"&gt;0",Auction!$B$13:$B$656,P$2)</f>
        <v>0</v>
      </c>
      <c r="Q7" s="136">
        <f>COUNTIFS(Auction!$M$13:$M$656,Teams!$H7,Auction!$H$13:$H$656,"&gt;0",Auction!$B$13:$B$656,Q$2)</f>
        <v>0</v>
      </c>
      <c r="R7" s="195">
        <f>SUMIFS(Auction!$H$13:$H$656,Auction!$M$13:$M$656,Teams!$H7,Auction!$B$13:$B$656,LEFT(R$2,2))</f>
        <v>0</v>
      </c>
      <c r="S7" s="191">
        <f>SUMIFS(Auction!$H$13:$H$656,Auction!$M$13:$M$656,Teams!$H7,Auction!$B$13:$B$656,LEFT(S$2,2))</f>
        <v>0</v>
      </c>
      <c r="T7" s="191">
        <f>SUMIFS(Auction!$H$13:$H$656,Auction!$M$13:$M$656,Teams!$H7,Auction!$B$13:$B$656,LEFT(T$2,2))</f>
        <v>0</v>
      </c>
      <c r="U7" s="196">
        <f>SUMIFS(Auction!$H$13:$H$656,Auction!$M$13:$M$656,Teams!$H7,Auction!$B$13:$B$656,LEFT(U$2,2))</f>
        <v>0</v>
      </c>
      <c r="W7" s="133" t="s">
        <v>48</v>
      </c>
      <c r="X7" s="189">
        <v>1</v>
      </c>
      <c r="Y7" s="188">
        <f t="shared" si="1"/>
        <v>0</v>
      </c>
      <c r="Z7" s="190">
        <f t="shared" si="2"/>
        <v>1</v>
      </c>
    </row>
    <row r="8" spans="1:26" x14ac:dyDescent="0.25">
      <c r="A8" s="133" t="str">
        <f>IFERROR(INDEX(Auction!$B$13:$B$656,MATCH(B8,Auction!$A$13:$A$656,0)),"")</f>
        <v/>
      </c>
      <c r="B8" s="211" t="str">
        <f t="array" ref="B8">IF($A$1=0,"",IFERROR(INDEX(Auction!$A$13:$M$656,SMALL(IF(Auction!$M$13:$M$656=$A$1,(ROW(Auction!$M$13:$M$656)-MIN(ROW(Auction!$M$13:$M$656))+1),""),ROW(A6)),1),""))</f>
        <v/>
      </c>
      <c r="C8" s="142">
        <f>IF(ISERROR(VLOOKUP(B8,Auction!$A$13:$I$656,7,FALSE)),0,VLOOKUP(B8,Auction!$A$13:$I$656,8,FALSE))</f>
        <v>0</v>
      </c>
      <c r="D8" s="143">
        <f>IFERROR(VLOOKUP(B8,Auction!$A$13:$I$656,9,FALSE)-C8,0)</f>
        <v>0</v>
      </c>
      <c r="E8" s="149" t="str">
        <f>IFERROR(INDEX(Auction!$C$13:$C$656,MATCH(B8,Auction!$A$13:$A$656,0)),"")</f>
        <v/>
      </c>
      <c r="G8" s="133">
        <v>6</v>
      </c>
      <c r="H8" s="229" t="s">
        <v>523</v>
      </c>
      <c r="I8" s="119">
        <f>LeagueInfo!$F$3-SUMIF(Auction!$M$13:$M$656,H8,Auction!$H$13:$H$656)</f>
        <v>200</v>
      </c>
      <c r="J8" s="120">
        <f>I8-(LeagueInfo!$F$4-COUNTIF(Auction!$M$13:$M$656,$H8))+1</f>
        <v>186</v>
      </c>
      <c r="K8" s="117">
        <f t="shared" si="0"/>
        <v>0</v>
      </c>
      <c r="L8" s="117">
        <f>COUNTIFS(Auction!$M$13:$M$656,Teams!$H8,Auction!$H$13:$H$656,"&gt;0",Auction!$B$13:$B$656,L$2)</f>
        <v>0</v>
      </c>
      <c r="M8" s="117">
        <f>COUNTIFS(Auction!$M$13:$M$656,Teams!$H8,Auction!$H$13:$H$656,"&gt;0",Auction!$B$13:$B$656,M$2)</f>
        <v>0</v>
      </c>
      <c r="N8" s="117">
        <f>COUNTIFS(Auction!$M$13:$M$656,Teams!$H8,Auction!$H$13:$H$656,"&gt;0",Auction!$B$13:$B$656,N$2)</f>
        <v>0</v>
      </c>
      <c r="O8" s="117">
        <f>COUNTIFS(Auction!$M$13:$M$656,Teams!$H8,Auction!$H$13:$H$656,"&gt;0",Auction!$B$13:$B$656,O$2)</f>
        <v>0</v>
      </c>
      <c r="P8" s="117">
        <f>COUNTIFS(Auction!$M$13:$M$656,Teams!$H8,Auction!$H$13:$H$656,"&gt;0",Auction!$B$13:$B$656,P$2)</f>
        <v>0</v>
      </c>
      <c r="Q8" s="135">
        <f>COUNTIFS(Auction!$M$13:$M$656,Teams!$H8,Auction!$H$13:$H$656,"&gt;0",Auction!$B$13:$B$656,Q$2)</f>
        <v>0</v>
      </c>
      <c r="R8" s="197">
        <f>SUMIFS(Auction!$H$13:$H$656,Auction!$M$13:$M$656,Teams!$H8,Auction!$B$13:$B$656,LEFT(R$2,2))</f>
        <v>0</v>
      </c>
      <c r="S8" s="192">
        <f>SUMIFS(Auction!$H$13:$H$656,Auction!$M$13:$M$656,Teams!$H8,Auction!$B$13:$B$656,LEFT(S$2,2))</f>
        <v>0</v>
      </c>
      <c r="T8" s="192">
        <f>SUMIFS(Auction!$H$13:$H$656,Auction!$M$13:$M$656,Teams!$H8,Auction!$B$13:$B$656,LEFT(T$2,2))</f>
        <v>0</v>
      </c>
      <c r="U8" s="198">
        <f>SUMIFS(Auction!$H$13:$H$656,Auction!$M$13:$M$656,Teams!$H8,Auction!$B$13:$B$656,LEFT(U$2,2))</f>
        <v>0</v>
      </c>
      <c r="W8" s="133" t="s">
        <v>54</v>
      </c>
      <c r="X8" s="189">
        <v>1</v>
      </c>
      <c r="Y8" s="188">
        <f t="shared" si="1"/>
        <v>0</v>
      </c>
      <c r="Z8" s="190">
        <f t="shared" si="2"/>
        <v>1</v>
      </c>
    </row>
    <row r="9" spans="1:26" x14ac:dyDescent="0.25">
      <c r="A9" s="133" t="str">
        <f>IFERROR(INDEX(Auction!$B$13:$B$656,MATCH(B9,Auction!$A$13:$A$656,0)),"")</f>
        <v/>
      </c>
      <c r="B9" s="211" t="str">
        <f t="array" ref="B9">IF($A$1=0,"",IFERROR(INDEX(Auction!$A$13:$M$656,SMALL(IF(Auction!$M$13:$M$656=$A$1,(ROW(Auction!$M$13:$M$656)-MIN(ROW(Auction!$M$13:$M$656))+1),""),ROW(A7)),1),""))</f>
        <v/>
      </c>
      <c r="C9" s="142">
        <f>IF(ISERROR(VLOOKUP(B9,Auction!$A$13:$I$656,7,FALSE)),0,VLOOKUP(B9,Auction!$A$13:$I$656,8,FALSE))</f>
        <v>0</v>
      </c>
      <c r="D9" s="143">
        <f>IFERROR(VLOOKUP(B9,Auction!$A$13:$I$656,9,FALSE)-C9,0)</f>
        <v>0</v>
      </c>
      <c r="E9" s="149" t="str">
        <f>IFERROR(INDEX(Auction!$C$13:$C$656,MATCH(B9,Auction!$A$13:$A$656,0)),"")</f>
        <v/>
      </c>
      <c r="G9" s="133">
        <v>7</v>
      </c>
      <c r="H9" s="229" t="s">
        <v>525</v>
      </c>
      <c r="I9" s="126">
        <f>LeagueInfo!$F$3-SUMIF(Auction!$M$13:$M$656,H9,Auction!$H$13:$H$656)</f>
        <v>200</v>
      </c>
      <c r="J9" s="127">
        <f>I9-(LeagueInfo!$F$4-COUNTIF(Auction!$M$13:$M$656,$H9))+1</f>
        <v>186</v>
      </c>
      <c r="K9" s="128">
        <f t="shared" si="0"/>
        <v>0</v>
      </c>
      <c r="L9" s="128">
        <f>COUNTIFS(Auction!$M$13:$M$656,Teams!$H9,Auction!$H$13:$H$656,"&gt;0",Auction!$B$13:$B$656,L$2)</f>
        <v>0</v>
      </c>
      <c r="M9" s="128">
        <f>COUNTIFS(Auction!$M$13:$M$656,Teams!$H9,Auction!$H$13:$H$656,"&gt;0",Auction!$B$13:$B$656,M$2)</f>
        <v>0</v>
      </c>
      <c r="N9" s="128">
        <f>COUNTIFS(Auction!$M$13:$M$656,Teams!$H9,Auction!$H$13:$H$656,"&gt;0",Auction!$B$13:$B$656,N$2)</f>
        <v>0</v>
      </c>
      <c r="O9" s="128">
        <f>COUNTIFS(Auction!$M$13:$M$656,Teams!$H9,Auction!$H$13:$H$656,"&gt;0",Auction!$B$13:$B$656,O$2)</f>
        <v>0</v>
      </c>
      <c r="P9" s="128">
        <f>COUNTIFS(Auction!$M$13:$M$656,Teams!$H9,Auction!$H$13:$H$656,"&gt;0",Auction!$B$13:$B$656,P$2)</f>
        <v>0</v>
      </c>
      <c r="Q9" s="136">
        <f>COUNTIFS(Auction!$M$13:$M$656,Teams!$H9,Auction!$H$13:$H$656,"&gt;0",Auction!$B$13:$B$656,Q$2)</f>
        <v>0</v>
      </c>
      <c r="R9" s="195">
        <f>SUMIFS(Auction!$H$13:$H$656,Auction!$M$13:$M$656,Teams!$H9,Auction!$B$13:$B$656,LEFT(R$2,2))</f>
        <v>0</v>
      </c>
      <c r="S9" s="191">
        <f>SUMIFS(Auction!$H$13:$H$656,Auction!$M$13:$M$656,Teams!$H9,Auction!$B$13:$B$656,LEFT(S$2,2))</f>
        <v>0</v>
      </c>
      <c r="T9" s="191">
        <f>SUMIFS(Auction!$H$13:$H$656,Auction!$M$13:$M$656,Teams!$H9,Auction!$B$13:$B$656,LEFT(T$2,2))</f>
        <v>0</v>
      </c>
      <c r="U9" s="196">
        <f>SUMIFS(Auction!$H$13:$H$656,Auction!$M$13:$M$656,Teams!$H9,Auction!$B$13:$B$656,LEFT(U$2,2))</f>
        <v>0</v>
      </c>
      <c r="W9" s="144"/>
      <c r="X9" s="145">
        <f>SUM(X3:X8)</f>
        <v>200</v>
      </c>
      <c r="Y9" s="145">
        <f>SUM(Y3:Y8)</f>
        <v>0</v>
      </c>
      <c r="Z9" s="146">
        <f>SUM(Z3:Z8)</f>
        <v>200</v>
      </c>
    </row>
    <row r="10" spans="1:26" x14ac:dyDescent="0.25">
      <c r="A10" s="133" t="str">
        <f>IFERROR(INDEX(Auction!$B$13:$B$656,MATCH(B10,Auction!$A$13:$A$656,0)),"")</f>
        <v/>
      </c>
      <c r="B10" s="211" t="str">
        <f t="array" ref="B10">IF($A$1=0,"",IFERROR(INDEX(Auction!$A$13:$M$656,SMALL(IF(Auction!$M$13:$M$656=$A$1,(ROW(Auction!$M$13:$M$656)-MIN(ROW(Auction!$M$13:$M$656))+1),""),ROW(A8)),1),""))</f>
        <v/>
      </c>
      <c r="C10" s="142">
        <f>IF(ISERROR(VLOOKUP(B10,Auction!$A$13:$I$656,7,FALSE)),0,VLOOKUP(B10,Auction!$A$13:$I$656,8,FALSE))</f>
        <v>0</v>
      </c>
      <c r="D10" s="143">
        <f>IFERROR(VLOOKUP(B10,Auction!$A$13:$I$656,9,FALSE)-C10,0)</f>
        <v>0</v>
      </c>
      <c r="E10" s="149" t="str">
        <f>IFERROR(INDEX(Auction!$C$13:$C$656,MATCH(B10,Auction!$A$13:$A$656,0)),"")</f>
        <v/>
      </c>
      <c r="G10" s="133">
        <v>8</v>
      </c>
      <c r="H10" s="229" t="s">
        <v>526</v>
      </c>
      <c r="I10" s="119">
        <f>LeagueInfo!$F$3-SUMIF(Auction!$M$13:$M$656,H10,Auction!$H$13:$H$656)</f>
        <v>200</v>
      </c>
      <c r="J10" s="120">
        <f>I10-(LeagueInfo!$F$4-COUNTIF(Auction!$M$13:$M$656,$H10))+1</f>
        <v>186</v>
      </c>
      <c r="K10" s="117">
        <f t="shared" si="0"/>
        <v>0</v>
      </c>
      <c r="L10" s="117">
        <f>COUNTIFS(Auction!$M$13:$M$656,Teams!$H10,Auction!$H$13:$H$656,"&gt;0",Auction!$B$13:$B$656,L$2)</f>
        <v>0</v>
      </c>
      <c r="M10" s="117">
        <f>COUNTIFS(Auction!$M$13:$M$656,Teams!$H10,Auction!$H$13:$H$656,"&gt;0",Auction!$B$13:$B$656,M$2)</f>
        <v>0</v>
      </c>
      <c r="N10" s="117">
        <f>COUNTIFS(Auction!$M$13:$M$656,Teams!$H10,Auction!$H$13:$H$656,"&gt;0",Auction!$B$13:$B$656,N$2)</f>
        <v>0</v>
      </c>
      <c r="O10" s="117">
        <f>COUNTIFS(Auction!$M$13:$M$656,Teams!$H10,Auction!$H$13:$H$656,"&gt;0",Auction!$B$13:$B$656,O$2)</f>
        <v>0</v>
      </c>
      <c r="P10" s="117">
        <f>COUNTIFS(Auction!$M$13:$M$656,Teams!$H10,Auction!$H$13:$H$656,"&gt;0",Auction!$B$13:$B$656,P$2)</f>
        <v>0</v>
      </c>
      <c r="Q10" s="135">
        <f>COUNTIFS(Auction!$M$13:$M$656,Teams!$H10,Auction!$H$13:$H$656,"&gt;0",Auction!$B$13:$B$656,Q$2)</f>
        <v>0</v>
      </c>
      <c r="R10" s="197">
        <f>SUMIFS(Auction!$H$13:$H$656,Auction!$M$13:$M$656,Teams!$H10,Auction!$B$13:$B$656,LEFT(R$2,2))</f>
        <v>0</v>
      </c>
      <c r="S10" s="192">
        <f>SUMIFS(Auction!$H$13:$H$656,Auction!$M$13:$M$656,Teams!$H10,Auction!$B$13:$B$656,LEFT(S$2,2))</f>
        <v>0</v>
      </c>
      <c r="T10" s="192">
        <f>SUMIFS(Auction!$H$13:$H$656,Auction!$M$13:$M$656,Teams!$H10,Auction!$B$13:$B$656,LEFT(T$2,2))</f>
        <v>0</v>
      </c>
      <c r="U10" s="198">
        <f>SUMIFS(Auction!$H$13:$H$656,Auction!$M$13:$M$656,Teams!$H10,Auction!$B$13:$B$656,LEFT(U$2,2))</f>
        <v>0</v>
      </c>
      <c r="W10" s="147"/>
      <c r="X10" s="14" t="str">
        <f>IF(X9=LeagueInfo!$F$3,"Goal OK",IF(X9&gt;LeagueInfo!$F$3,"Goal over budget","Goal under budget"))</f>
        <v>Goal OK</v>
      </c>
      <c r="Y10" s="14"/>
      <c r="Z10" s="15"/>
    </row>
    <row r="11" spans="1:26" x14ac:dyDescent="0.25">
      <c r="A11" s="133" t="str">
        <f>IFERROR(INDEX(Auction!$B$13:$B$656,MATCH(B11,Auction!$A$13:$A$656,0)),"")</f>
        <v/>
      </c>
      <c r="B11" s="211" t="str">
        <f t="array" ref="B11">IF($A$1=0,"",IFERROR(INDEX(Auction!$A$13:$M$656,SMALL(IF(Auction!$M$13:$M$656=$A$1,(ROW(Auction!$M$13:$M$656)-MIN(ROW(Auction!$M$13:$M$656))+1),""),ROW(A9)),1),""))</f>
        <v/>
      </c>
      <c r="C11" s="142">
        <f>IF(ISERROR(VLOOKUP(B11,Auction!$A$13:$I$656,7,FALSE)),0,VLOOKUP(B11,Auction!$A$13:$I$656,8,FALSE))</f>
        <v>0</v>
      </c>
      <c r="D11" s="143">
        <f>IFERROR(VLOOKUP(B11,Auction!$A$13:$I$656,9,FALSE)-C11,0)</f>
        <v>0</v>
      </c>
      <c r="E11" s="150" t="str">
        <f>IFERROR(INDEX(Auction!$C$13:$C$656,MATCH(B11,Auction!$A$13:$A$656,0)),"")</f>
        <v/>
      </c>
      <c r="G11" s="133">
        <v>9</v>
      </c>
      <c r="H11" s="229" t="s">
        <v>527</v>
      </c>
      <c r="I11" s="126">
        <f>LeagueInfo!$F$3-SUMIF(Auction!$M$13:$M$656,H11,Auction!$H$13:$H$656)</f>
        <v>200</v>
      </c>
      <c r="J11" s="127">
        <f>I11-(LeagueInfo!$F$4-COUNTIF(Auction!$M$13:$M$656,$H11))+1</f>
        <v>186</v>
      </c>
      <c r="K11" s="128">
        <f t="shared" si="0"/>
        <v>0</v>
      </c>
      <c r="L11" s="128">
        <f>COUNTIFS(Auction!$M$13:$M$656,Teams!$H11,Auction!$H$13:$H$656,"&gt;0",Auction!$B$13:$B$656,L$2)</f>
        <v>0</v>
      </c>
      <c r="M11" s="128">
        <f>COUNTIFS(Auction!$M$13:$M$656,Teams!$H11,Auction!$H$13:$H$656,"&gt;0",Auction!$B$13:$B$656,M$2)</f>
        <v>0</v>
      </c>
      <c r="N11" s="128">
        <f>COUNTIFS(Auction!$M$13:$M$656,Teams!$H11,Auction!$H$13:$H$656,"&gt;0",Auction!$B$13:$B$656,N$2)</f>
        <v>0</v>
      </c>
      <c r="O11" s="128">
        <f>COUNTIFS(Auction!$M$13:$M$656,Teams!$H11,Auction!$H$13:$H$656,"&gt;0",Auction!$B$13:$B$656,O$2)</f>
        <v>0</v>
      </c>
      <c r="P11" s="128">
        <f>COUNTIFS(Auction!$M$13:$M$656,Teams!$H11,Auction!$H$13:$H$656,"&gt;0",Auction!$B$13:$B$656,P$2)</f>
        <v>0</v>
      </c>
      <c r="Q11" s="136">
        <f>COUNTIFS(Auction!$M$13:$M$656,Teams!$H11,Auction!$H$13:$H$656,"&gt;0",Auction!$B$13:$B$656,Q$2)</f>
        <v>0</v>
      </c>
      <c r="R11" s="195">
        <f>SUMIFS(Auction!$H$13:$H$656,Auction!$M$13:$M$656,Teams!$H11,Auction!$B$13:$B$656,LEFT(R$2,2))</f>
        <v>0</v>
      </c>
      <c r="S11" s="191">
        <f>SUMIFS(Auction!$H$13:$H$656,Auction!$M$13:$M$656,Teams!$H11,Auction!$B$13:$B$656,LEFT(S$2,2))</f>
        <v>0</v>
      </c>
      <c r="T11" s="191">
        <f>SUMIFS(Auction!$H$13:$H$656,Auction!$M$13:$M$656,Teams!$H11,Auction!$B$13:$B$656,LEFT(T$2,2))</f>
        <v>0</v>
      </c>
      <c r="U11" s="196">
        <f>SUMIFS(Auction!$H$13:$H$656,Auction!$M$13:$M$656,Teams!$H11,Auction!$B$13:$B$656,LEFT(U$2,2))</f>
        <v>0</v>
      </c>
    </row>
    <row r="12" spans="1:26" x14ac:dyDescent="0.25">
      <c r="A12" s="133" t="str">
        <f>IFERROR(INDEX(Auction!$B$13:$B$656,MATCH(B12,Auction!$A$13:$A$656,0)),"")</f>
        <v/>
      </c>
      <c r="B12" s="211" t="str">
        <f t="array" ref="B12">IF($A$1=0,"",IFERROR(INDEX(Auction!$A$13:$M$656,SMALL(IF(Auction!$M$13:$M$656=$A$1,(ROW(Auction!$M$13:$M$656)-MIN(ROW(Auction!$M$13:$M$656))+1),""),ROW(A10)),1),""))</f>
        <v/>
      </c>
      <c r="C12" s="142">
        <f>IF(ISERROR(VLOOKUP(B12,Auction!$A$13:$I$656,7,FALSE)),0,VLOOKUP(B12,Auction!$A$13:$I$656,8,FALSE))</f>
        <v>0</v>
      </c>
      <c r="D12" s="143">
        <f>IFERROR(VLOOKUP(B12,Auction!$A$13:$I$656,9,FALSE)-C12,0)</f>
        <v>0</v>
      </c>
      <c r="E12" s="150" t="str">
        <f>IFERROR(INDEX(Auction!$C$13:$C$656,MATCH(B12,Auction!$A$13:$A$656,0)),"")</f>
        <v/>
      </c>
      <c r="G12" s="133">
        <v>10</v>
      </c>
      <c r="H12" s="229" t="s">
        <v>528</v>
      </c>
      <c r="I12" s="119">
        <f>LeagueInfo!$F$3-SUMIF(Auction!$M$13:$M$656,H12,Auction!$H$13:$H$656)</f>
        <v>200</v>
      </c>
      <c r="J12" s="120">
        <f>I12-(LeagueInfo!$F$4-COUNTIF(Auction!$M$13:$M$656,$H12))+1</f>
        <v>186</v>
      </c>
      <c r="K12" s="117">
        <f t="shared" si="0"/>
        <v>0</v>
      </c>
      <c r="L12" s="117">
        <f>COUNTIFS(Auction!$M$13:$M$656,Teams!$H12,Auction!$H$13:$H$656,"&gt;0",Auction!$B$13:$B$656,L$2)</f>
        <v>0</v>
      </c>
      <c r="M12" s="117">
        <f>COUNTIFS(Auction!$M$13:$M$656,Teams!$H12,Auction!$H$13:$H$656,"&gt;0",Auction!$B$13:$B$656,M$2)</f>
        <v>0</v>
      </c>
      <c r="N12" s="117">
        <f>COUNTIFS(Auction!$M$13:$M$656,Teams!$H12,Auction!$H$13:$H$656,"&gt;0",Auction!$B$13:$B$656,N$2)</f>
        <v>0</v>
      </c>
      <c r="O12" s="117">
        <f>COUNTIFS(Auction!$M$13:$M$656,Teams!$H12,Auction!$H$13:$H$656,"&gt;0",Auction!$B$13:$B$656,O$2)</f>
        <v>0</v>
      </c>
      <c r="P12" s="117">
        <f>COUNTIFS(Auction!$M$13:$M$656,Teams!$H12,Auction!$H$13:$H$656,"&gt;0",Auction!$B$13:$B$656,P$2)</f>
        <v>0</v>
      </c>
      <c r="Q12" s="135">
        <f>COUNTIFS(Auction!$M$13:$M$656,Teams!$H12,Auction!$H$13:$H$656,"&gt;0",Auction!$B$13:$B$656,Q$2)</f>
        <v>0</v>
      </c>
      <c r="R12" s="197">
        <f>SUMIFS(Auction!$H$13:$H$656,Auction!$M$13:$M$656,Teams!$H12,Auction!$B$13:$B$656,LEFT(R$2,2))</f>
        <v>0</v>
      </c>
      <c r="S12" s="192">
        <f>SUMIFS(Auction!$H$13:$H$656,Auction!$M$13:$M$656,Teams!$H12,Auction!$B$13:$B$656,LEFT(S$2,2))</f>
        <v>0</v>
      </c>
      <c r="T12" s="192">
        <f>SUMIFS(Auction!$H$13:$H$656,Auction!$M$13:$M$656,Teams!$H12,Auction!$B$13:$B$656,LEFT(T$2,2))</f>
        <v>0</v>
      </c>
      <c r="U12" s="198">
        <f>SUMIFS(Auction!$H$13:$H$656,Auction!$M$13:$M$656,Teams!$H12,Auction!$B$13:$B$656,LEFT(U$2,2))</f>
        <v>0</v>
      </c>
    </row>
    <row r="13" spans="1:26" x14ac:dyDescent="0.25">
      <c r="A13" s="133" t="str">
        <f>IFERROR(INDEX(Auction!$B$13:$B$656,MATCH(B13,Auction!$A$13:$A$656,0)),"")</f>
        <v/>
      </c>
      <c r="B13" s="211" t="str">
        <f t="array" ref="B13">IF($A$1=0,"",IFERROR(INDEX(Auction!$A$13:$M$656,SMALL(IF(Auction!$M$13:$M$656=$A$1,(ROW(Auction!$M$13:$M$656)-MIN(ROW(Auction!$M$13:$M$656))+1),""),ROW(A11)),1),""))</f>
        <v/>
      </c>
      <c r="C13" s="142">
        <f>IF(ISERROR(VLOOKUP(B13,Auction!$A$13:$I$656,7,FALSE)),0,VLOOKUP(B13,Auction!$A$13:$I$656,8,FALSE))</f>
        <v>0</v>
      </c>
      <c r="D13" s="143">
        <f>IFERROR(VLOOKUP(B13,Auction!$A$13:$I$656,9,FALSE)-C13,0)</f>
        <v>0</v>
      </c>
      <c r="E13" s="150" t="str">
        <f>IFERROR(INDEX(Auction!$C$13:$C$656,MATCH(B13,Auction!$A$13:$A$656,0)),"")</f>
        <v/>
      </c>
      <c r="G13" s="133">
        <v>11</v>
      </c>
      <c r="H13" s="229" t="s">
        <v>519</v>
      </c>
      <c r="I13" s="126">
        <f>LeagueInfo!$F$3-SUMIF(Auction!$M$13:$M$656,H13,Auction!$H$13:$H$656)</f>
        <v>200</v>
      </c>
      <c r="J13" s="127">
        <f>I13-(LeagueInfo!$F$4-COUNTIF(Auction!$M$13:$M$656,$H13))+1</f>
        <v>186</v>
      </c>
      <c r="K13" s="128">
        <f t="shared" si="0"/>
        <v>0</v>
      </c>
      <c r="L13" s="128">
        <f>COUNTIFS(Auction!$M$13:$M$656,Teams!$H13,Auction!$H$13:$H$656,"&gt;0",Auction!$B$13:$B$656,L$2)</f>
        <v>0</v>
      </c>
      <c r="M13" s="128">
        <f>COUNTIFS(Auction!$M$13:$M$656,Teams!$H13,Auction!$H$13:$H$656,"&gt;0",Auction!$B$13:$B$656,M$2)</f>
        <v>0</v>
      </c>
      <c r="N13" s="128">
        <f>COUNTIFS(Auction!$M$13:$M$656,Teams!$H13,Auction!$H$13:$H$656,"&gt;0",Auction!$B$13:$B$656,N$2)</f>
        <v>0</v>
      </c>
      <c r="O13" s="128">
        <f>COUNTIFS(Auction!$M$13:$M$656,Teams!$H13,Auction!$H$13:$H$656,"&gt;0",Auction!$B$13:$B$656,O$2)</f>
        <v>0</v>
      </c>
      <c r="P13" s="128">
        <f>COUNTIFS(Auction!$M$13:$M$656,Teams!$H13,Auction!$H$13:$H$656,"&gt;0",Auction!$B$13:$B$656,P$2)</f>
        <v>0</v>
      </c>
      <c r="Q13" s="136">
        <f>COUNTIFS(Auction!$M$13:$M$656,Teams!$H13,Auction!$H$13:$H$656,"&gt;0",Auction!$B$13:$B$656,Q$2)</f>
        <v>0</v>
      </c>
      <c r="R13" s="195">
        <f>SUMIFS(Auction!$H$13:$H$656,Auction!$M$13:$M$656,Teams!$H13,Auction!$B$13:$B$656,LEFT(R$2,2))</f>
        <v>0</v>
      </c>
      <c r="S13" s="191">
        <f>SUMIFS(Auction!$H$13:$H$656,Auction!$M$13:$M$656,Teams!$H13,Auction!$B$13:$B$656,LEFT(S$2,2))</f>
        <v>0</v>
      </c>
      <c r="T13" s="191">
        <f>SUMIFS(Auction!$H$13:$H$656,Auction!$M$13:$M$656,Teams!$H13,Auction!$B$13:$B$656,LEFT(T$2,2))</f>
        <v>0</v>
      </c>
      <c r="U13" s="196">
        <f>SUMIFS(Auction!$H$13:$H$656,Auction!$M$13:$M$656,Teams!$H13,Auction!$B$13:$B$656,LEFT(U$2,2))</f>
        <v>0</v>
      </c>
    </row>
    <row r="14" spans="1:26" x14ac:dyDescent="0.25">
      <c r="A14" s="133" t="str">
        <f>IFERROR(INDEX(Auction!$B$13:$B$656,MATCH(B14,Auction!$A$13:$A$656,0)),"")</f>
        <v/>
      </c>
      <c r="B14" s="211" t="str">
        <f t="array" ref="B14">IF($A$1=0,"",IFERROR(INDEX(Auction!$A$13:$M$656,SMALL(IF(Auction!$M$13:$M$656=$A$1,(ROW(Auction!$M$13:$M$656)-MIN(ROW(Auction!$M$13:$M$656))+1),""),ROW(A12)),1),""))</f>
        <v/>
      </c>
      <c r="C14" s="142">
        <f>IF(ISERROR(VLOOKUP(B14,Auction!$A$13:$I$656,7,FALSE)),0,VLOOKUP(B14,Auction!$A$13:$I$656,8,FALSE))</f>
        <v>0</v>
      </c>
      <c r="D14" s="143">
        <f>IFERROR(VLOOKUP(B14,Auction!$A$13:$I$656,9,FALSE)-C14,0)</f>
        <v>0</v>
      </c>
      <c r="E14" s="150" t="str">
        <f>IFERROR(INDEX(Auction!$C$13:$C$656,MATCH(B14,Auction!$A$13:$A$656,0)),"")</f>
        <v/>
      </c>
      <c r="G14" s="133">
        <v>12</v>
      </c>
      <c r="H14" s="229" t="s">
        <v>520</v>
      </c>
      <c r="I14" s="119">
        <f>LeagueInfo!$F$3-SUMIF(Auction!$M$13:$M$656,H14,Auction!$H$13:$H$656)</f>
        <v>200</v>
      </c>
      <c r="J14" s="120">
        <f>I14-(LeagueInfo!$F$4-COUNTIF(Auction!$M$13:$M$656,$H14))+1</f>
        <v>186</v>
      </c>
      <c r="K14" s="117">
        <f t="shared" si="0"/>
        <v>0</v>
      </c>
      <c r="L14" s="117">
        <f>COUNTIFS(Auction!$M$13:$M$656,Teams!$H14,Auction!$H$13:$H$656,"&gt;0",Auction!$B$13:$B$656,L$2)</f>
        <v>0</v>
      </c>
      <c r="M14" s="117">
        <f>COUNTIFS(Auction!$M$13:$M$656,Teams!$H14,Auction!$H$13:$H$656,"&gt;0",Auction!$B$13:$B$656,M$2)</f>
        <v>0</v>
      </c>
      <c r="N14" s="117">
        <f>COUNTIFS(Auction!$M$13:$M$656,Teams!$H14,Auction!$H$13:$H$656,"&gt;0",Auction!$B$13:$B$656,N$2)</f>
        <v>0</v>
      </c>
      <c r="O14" s="117">
        <f>COUNTIFS(Auction!$M$13:$M$656,Teams!$H14,Auction!$H$13:$H$656,"&gt;0",Auction!$B$13:$B$656,O$2)</f>
        <v>0</v>
      </c>
      <c r="P14" s="117">
        <f>COUNTIFS(Auction!$M$13:$M$656,Teams!$H14,Auction!$H$13:$H$656,"&gt;0",Auction!$B$13:$B$656,P$2)</f>
        <v>0</v>
      </c>
      <c r="Q14" s="135">
        <f>COUNTIFS(Auction!$M$13:$M$656,Teams!$H14,Auction!$H$13:$H$656,"&gt;0",Auction!$B$13:$B$656,Q$2)</f>
        <v>0</v>
      </c>
      <c r="R14" s="197">
        <f>SUMIFS(Auction!$H$13:$H$656,Auction!$M$13:$M$656,Teams!$H14,Auction!$B$13:$B$656,LEFT(R$2,2))</f>
        <v>0</v>
      </c>
      <c r="S14" s="192">
        <f>SUMIFS(Auction!$H$13:$H$656,Auction!$M$13:$M$656,Teams!$H14,Auction!$B$13:$B$656,LEFT(S$2,2))</f>
        <v>0</v>
      </c>
      <c r="T14" s="192">
        <f>SUMIFS(Auction!$H$13:$H$656,Auction!$M$13:$M$656,Teams!$H14,Auction!$B$13:$B$656,LEFT(T$2,2))</f>
        <v>0</v>
      </c>
      <c r="U14" s="198">
        <f>SUMIFS(Auction!$H$13:$H$656,Auction!$M$13:$M$656,Teams!$H14,Auction!$B$13:$B$656,LEFT(U$2,2))</f>
        <v>0</v>
      </c>
    </row>
    <row r="15" spans="1:26" x14ac:dyDescent="0.25">
      <c r="A15" s="133" t="str">
        <f>IFERROR(INDEX(Auction!$B$13:$B$656,MATCH(B15,Auction!$A$13:$A$656,0)),"")</f>
        <v/>
      </c>
      <c r="B15" s="211" t="str">
        <f t="array" ref="B15">IF($A$1=0,"",IFERROR(INDEX(Auction!$A$13:$M$656,SMALL(IF(Auction!$M$13:$M$656=$A$1,(ROW(Auction!$M$13:$M$656)-MIN(ROW(Auction!$M$13:$M$656))+1),""),ROW(A13)),1),""))</f>
        <v/>
      </c>
      <c r="C15" s="142">
        <f>IF(ISERROR(VLOOKUP(B15,Auction!$A$13:$I$656,7,FALSE)),0,VLOOKUP(B15,Auction!$A$13:$I$656,8,FALSE))</f>
        <v>0</v>
      </c>
      <c r="D15" s="143">
        <f>IFERROR(VLOOKUP(B15,Auction!$A$13:$I$656,9,FALSE)-C15,0)</f>
        <v>0</v>
      </c>
      <c r="E15" s="150" t="str">
        <f>IFERROR(INDEX(Auction!$C$13:$C$656,MATCH(B15,Auction!$A$13:$A$656,0)),"")</f>
        <v/>
      </c>
      <c r="G15" s="133">
        <v>13</v>
      </c>
      <c r="H15" s="229"/>
      <c r="I15" s="126">
        <f>LeagueInfo!$F$3-SUMIF(Auction!$M$13:$M$656,H15,Auction!$H$13:$H$656)</f>
        <v>200</v>
      </c>
      <c r="J15" s="127">
        <f>I15-(LeagueInfo!$F$4-COUNTIF(Auction!$M$13:$M$656,$H15))+1</f>
        <v>186</v>
      </c>
      <c r="K15" s="128">
        <f t="shared" si="0"/>
        <v>0</v>
      </c>
      <c r="L15" s="128">
        <f>COUNTIFS(Auction!$M$13:$M$656,Teams!$H15,Auction!$H$13:$H$656,"&gt;0",Auction!$B$13:$B$656,L$2)</f>
        <v>0</v>
      </c>
      <c r="M15" s="128">
        <f>COUNTIFS(Auction!$M$13:$M$656,Teams!$H15,Auction!$H$13:$H$656,"&gt;0",Auction!$B$13:$B$656,M$2)</f>
        <v>0</v>
      </c>
      <c r="N15" s="128">
        <f>COUNTIFS(Auction!$M$13:$M$656,Teams!$H15,Auction!$H$13:$H$656,"&gt;0",Auction!$B$13:$B$656,N$2)</f>
        <v>0</v>
      </c>
      <c r="O15" s="128">
        <f>COUNTIFS(Auction!$M$13:$M$656,Teams!$H15,Auction!$H$13:$H$656,"&gt;0",Auction!$B$13:$B$656,O$2)</f>
        <v>0</v>
      </c>
      <c r="P15" s="128">
        <f>COUNTIFS(Auction!$M$13:$M$656,Teams!$H15,Auction!$H$13:$H$656,"&gt;0",Auction!$B$13:$B$656,P$2)</f>
        <v>0</v>
      </c>
      <c r="Q15" s="136">
        <f>COUNTIFS(Auction!$M$13:$M$656,Teams!$H15,Auction!$H$13:$H$656,"&gt;0",Auction!$B$13:$B$656,Q$2)</f>
        <v>0</v>
      </c>
      <c r="R15" s="195">
        <f>SUMIFS(Auction!$H$13:$H$656,Auction!$M$13:$M$656,Teams!$H15,Auction!$B$13:$B$656,LEFT(R$2,2))</f>
        <v>0</v>
      </c>
      <c r="S15" s="191">
        <f>SUMIFS(Auction!$H$13:$H$656,Auction!$M$13:$M$656,Teams!$H15,Auction!$B$13:$B$656,LEFT(S$2,2))</f>
        <v>0</v>
      </c>
      <c r="T15" s="191">
        <f>SUMIFS(Auction!$H$13:$H$656,Auction!$M$13:$M$656,Teams!$H15,Auction!$B$13:$B$656,LEFT(T$2,2))</f>
        <v>0</v>
      </c>
      <c r="U15" s="196">
        <f>SUMIFS(Auction!$H$13:$H$656,Auction!$M$13:$M$656,Teams!$H15,Auction!$B$13:$B$656,LEFT(U$2,2))</f>
        <v>0</v>
      </c>
    </row>
    <row r="16" spans="1:26" x14ac:dyDescent="0.25">
      <c r="A16" s="133" t="str">
        <f>IFERROR(INDEX(Auction!$B$13:$B$656,MATCH(B16,Auction!$A$13:$A$656,0)),"")</f>
        <v/>
      </c>
      <c r="B16" s="211" t="str">
        <f t="array" ref="B16">IF($A$1=0,"",IFERROR(INDEX(Auction!$A$13:$M$656,SMALL(IF(Auction!$M$13:$M$656=$A$1,(ROW(Auction!$M$13:$M$656)-MIN(ROW(Auction!$M$13:$M$656))+1),""),ROW(A14)),1),""))</f>
        <v/>
      </c>
      <c r="C16" s="142">
        <f>IF(ISERROR(VLOOKUP(B16,Auction!$A$13:$I$656,7,FALSE)),0,VLOOKUP(B16,Auction!$A$13:$I$656,8,FALSE))</f>
        <v>0</v>
      </c>
      <c r="D16" s="143">
        <f>IFERROR(VLOOKUP(B16,Auction!$A$13:$I$656,9,FALSE)-C16,0)</f>
        <v>0</v>
      </c>
      <c r="E16" s="150" t="str">
        <f>IFERROR(INDEX(Auction!$C$13:$C$656,MATCH(B16,Auction!$A$13:$A$656,0)),"")</f>
        <v/>
      </c>
      <c r="G16" s="133">
        <v>14</v>
      </c>
      <c r="H16" s="229"/>
      <c r="I16" s="119">
        <f>LeagueInfo!$F$3-SUMIF(Auction!$M$13:$M$656,H16,Auction!$H$13:$H$656)</f>
        <v>200</v>
      </c>
      <c r="J16" s="120">
        <f>I16-(LeagueInfo!$F$4-COUNTIF(Auction!$M$13:$M$656,$H16))+1</f>
        <v>186</v>
      </c>
      <c r="K16" s="117">
        <f t="shared" si="0"/>
        <v>0</v>
      </c>
      <c r="L16" s="117">
        <f>COUNTIFS(Auction!$M$13:$M$656,Teams!$H16,Auction!$H$13:$H$656,"&gt;0",Auction!$B$13:$B$656,L$2)</f>
        <v>0</v>
      </c>
      <c r="M16" s="117">
        <f>COUNTIFS(Auction!$M$13:$M$656,Teams!$H16,Auction!$H$13:$H$656,"&gt;0",Auction!$B$13:$B$656,M$2)</f>
        <v>0</v>
      </c>
      <c r="N16" s="117">
        <f>COUNTIFS(Auction!$M$13:$M$656,Teams!$H16,Auction!$H$13:$H$656,"&gt;0",Auction!$B$13:$B$656,N$2)</f>
        <v>0</v>
      </c>
      <c r="O16" s="117">
        <f>COUNTIFS(Auction!$M$13:$M$656,Teams!$H16,Auction!$H$13:$H$656,"&gt;0",Auction!$B$13:$B$656,O$2)</f>
        <v>0</v>
      </c>
      <c r="P16" s="117">
        <f>COUNTIFS(Auction!$M$13:$M$656,Teams!$H16,Auction!$H$13:$H$656,"&gt;0",Auction!$B$13:$B$656,P$2)</f>
        <v>0</v>
      </c>
      <c r="Q16" s="135">
        <f>COUNTIFS(Auction!$M$13:$M$656,Teams!$H16,Auction!$H$13:$H$656,"&gt;0",Auction!$B$13:$B$656,Q$2)</f>
        <v>0</v>
      </c>
      <c r="R16" s="197">
        <f>SUMIFS(Auction!$H$13:$H$656,Auction!$M$13:$M$656,Teams!$H16,Auction!$B$13:$B$656,LEFT(R$2,2))</f>
        <v>0</v>
      </c>
      <c r="S16" s="192">
        <f>SUMIFS(Auction!$H$13:$H$656,Auction!$M$13:$M$656,Teams!$H16,Auction!$B$13:$B$656,LEFT(S$2,2))</f>
        <v>0</v>
      </c>
      <c r="T16" s="192">
        <f>SUMIFS(Auction!$H$13:$H$656,Auction!$M$13:$M$656,Teams!$H16,Auction!$B$13:$B$656,LEFT(T$2,2))</f>
        <v>0</v>
      </c>
      <c r="U16" s="198">
        <f>SUMIFS(Auction!$H$13:$H$656,Auction!$M$13:$M$656,Teams!$H16,Auction!$B$13:$B$656,LEFT(U$2,2))</f>
        <v>0</v>
      </c>
    </row>
    <row r="17" spans="1:21" x14ac:dyDescent="0.25">
      <c r="A17" s="133" t="str">
        <f>IFERROR(INDEX(Auction!$B$13:$B$656,MATCH(B17,Auction!$A$13:$A$656,0)),"")</f>
        <v/>
      </c>
      <c r="B17" s="211" t="str">
        <f t="array" ref="B17">IF($A$1=0,"",IFERROR(INDEX(Auction!$A$13:$M$656,SMALL(IF(Auction!$M$13:$M$656=$A$1,(ROW(Auction!$M$13:$M$656)-MIN(ROW(Auction!$M$13:$M$656))+1),""),ROW(A15)),1),""))</f>
        <v/>
      </c>
      <c r="C17" s="142">
        <f>IF(ISERROR(VLOOKUP(B17,Auction!$A$13:$I$656,7,FALSE)),0,VLOOKUP(B17,Auction!$A$13:$I$656,8,FALSE))</f>
        <v>0</v>
      </c>
      <c r="D17" s="143">
        <f>IFERROR(VLOOKUP(B17,Auction!$A$13:$I$656,9,FALSE)-C17,0)</f>
        <v>0</v>
      </c>
      <c r="E17" s="150" t="str">
        <f>IFERROR(INDEX(Auction!$C$13:$C$656,MATCH(B17,Auction!$A$13:$A$656,0)),"")</f>
        <v/>
      </c>
      <c r="G17" s="133">
        <v>15</v>
      </c>
      <c r="H17" s="229"/>
      <c r="I17" s="126">
        <f>LeagueInfo!$F$3-SUMIF(Auction!$M$13:$M$656,H17,Auction!$H$13:$H$656)</f>
        <v>200</v>
      </c>
      <c r="J17" s="127">
        <f>I17-(LeagueInfo!$F$4-COUNTIF(Auction!$M$13:$M$656,$H17))+1</f>
        <v>186</v>
      </c>
      <c r="K17" s="128">
        <f t="shared" si="0"/>
        <v>0</v>
      </c>
      <c r="L17" s="128">
        <f>COUNTIFS(Auction!$M$13:$M$656,Teams!$H17,Auction!$H$13:$H$656,"&gt;0",Auction!$B$13:$B$656,L$2)</f>
        <v>0</v>
      </c>
      <c r="M17" s="128">
        <f>COUNTIFS(Auction!$M$13:$M$656,Teams!$H17,Auction!$H$13:$H$656,"&gt;0",Auction!$B$13:$B$656,M$2)</f>
        <v>0</v>
      </c>
      <c r="N17" s="128">
        <f>COUNTIFS(Auction!$M$13:$M$656,Teams!$H17,Auction!$H$13:$H$656,"&gt;0",Auction!$B$13:$B$656,N$2)</f>
        <v>0</v>
      </c>
      <c r="O17" s="128">
        <f>COUNTIFS(Auction!$M$13:$M$656,Teams!$H17,Auction!$H$13:$H$656,"&gt;0",Auction!$B$13:$B$656,O$2)</f>
        <v>0</v>
      </c>
      <c r="P17" s="128">
        <f>COUNTIFS(Auction!$M$13:$M$656,Teams!$H17,Auction!$H$13:$H$656,"&gt;0",Auction!$B$13:$B$656,P$2)</f>
        <v>0</v>
      </c>
      <c r="Q17" s="136">
        <f>COUNTIFS(Auction!$M$13:$M$656,Teams!$H17,Auction!$H$13:$H$656,"&gt;0",Auction!$B$13:$B$656,Q$2)</f>
        <v>0</v>
      </c>
      <c r="R17" s="195">
        <f>SUMIFS(Auction!$H$13:$H$656,Auction!$M$13:$M$656,Teams!$H17,Auction!$B$13:$B$656,LEFT(R$2,2))</f>
        <v>0</v>
      </c>
      <c r="S17" s="191">
        <f>SUMIFS(Auction!$H$13:$H$656,Auction!$M$13:$M$656,Teams!$H17,Auction!$B$13:$B$656,LEFT(S$2,2))</f>
        <v>0</v>
      </c>
      <c r="T17" s="191">
        <f>SUMIFS(Auction!$H$13:$H$656,Auction!$M$13:$M$656,Teams!$H17,Auction!$B$13:$B$656,LEFT(T$2,2))</f>
        <v>0</v>
      </c>
      <c r="U17" s="196">
        <f>SUMIFS(Auction!$H$13:$H$656,Auction!$M$13:$M$656,Teams!$H17,Auction!$B$13:$B$656,LEFT(U$2,2))</f>
        <v>0</v>
      </c>
    </row>
    <row r="18" spans="1:21" x14ac:dyDescent="0.25">
      <c r="A18" s="133" t="str">
        <f>IFERROR(INDEX(Auction!$B$13:$B$656,MATCH(B18,Auction!$A$13:$A$656,0)),"")</f>
        <v/>
      </c>
      <c r="B18" s="211" t="str">
        <f t="array" ref="B18">IF($A$1=0,"",IFERROR(INDEX(Auction!$A$13:$M$656,SMALL(IF(Auction!$M$13:$M$656=$A$1,(ROW(Auction!$M$13:$M$656)-MIN(ROW(Auction!$M$13:$M$656))+1),""),ROW(A16)),1),""))</f>
        <v/>
      </c>
      <c r="C18" s="142">
        <f>IF(ISERROR(VLOOKUP(B18,Auction!$A$13:$I$656,7,FALSE)),0,VLOOKUP(B18,Auction!$A$13:$I$656,8,FALSE))</f>
        <v>0</v>
      </c>
      <c r="D18" s="143">
        <f>IFERROR(VLOOKUP(B18,Auction!$A$13:$I$656,9,FALSE)-C18,0)</f>
        <v>0</v>
      </c>
      <c r="E18" s="150" t="str">
        <f>IFERROR(INDEX(Auction!$C$13:$C$656,MATCH(B18,Auction!$A$13:$A$656,0)),"")</f>
        <v/>
      </c>
      <c r="G18" s="133">
        <v>16</v>
      </c>
      <c r="H18" s="229"/>
      <c r="I18" s="119">
        <f>LeagueInfo!$F$3-SUMIF(Auction!$M$13:$M$656,H18,Auction!$H$13:$H$656)</f>
        <v>200</v>
      </c>
      <c r="J18" s="120">
        <f>I18-(LeagueInfo!$F$4-COUNTIF(Auction!$M$13:$M$656,$H18))+1</f>
        <v>186</v>
      </c>
      <c r="K18" s="117">
        <f t="shared" si="0"/>
        <v>0</v>
      </c>
      <c r="L18" s="117">
        <f>COUNTIFS(Auction!$M$13:$M$656,Teams!$H18,Auction!$H$13:$H$656,"&gt;0",Auction!$B$13:$B$656,L$2)</f>
        <v>0</v>
      </c>
      <c r="M18" s="117">
        <f>COUNTIFS(Auction!$M$13:$M$656,Teams!$H18,Auction!$H$13:$H$656,"&gt;0",Auction!$B$13:$B$656,M$2)</f>
        <v>0</v>
      </c>
      <c r="N18" s="117">
        <f>COUNTIFS(Auction!$M$13:$M$656,Teams!$H18,Auction!$H$13:$H$656,"&gt;0",Auction!$B$13:$B$656,N$2)</f>
        <v>0</v>
      </c>
      <c r="O18" s="117">
        <f>COUNTIFS(Auction!$M$13:$M$656,Teams!$H18,Auction!$H$13:$H$656,"&gt;0",Auction!$B$13:$B$656,O$2)</f>
        <v>0</v>
      </c>
      <c r="P18" s="117">
        <f>COUNTIFS(Auction!$M$13:$M$656,Teams!$H18,Auction!$H$13:$H$656,"&gt;0",Auction!$B$13:$B$656,P$2)</f>
        <v>0</v>
      </c>
      <c r="Q18" s="135">
        <f>COUNTIFS(Auction!$M$13:$M$656,Teams!$H18,Auction!$H$13:$H$656,"&gt;0",Auction!$B$13:$B$656,Q$2)</f>
        <v>0</v>
      </c>
      <c r="R18" s="197">
        <f>SUMIFS(Auction!$H$13:$H$656,Auction!$M$13:$M$656,Teams!$H18,Auction!$B$13:$B$656,LEFT(R$2,2))</f>
        <v>0</v>
      </c>
      <c r="S18" s="192">
        <f>SUMIFS(Auction!$H$13:$H$656,Auction!$M$13:$M$656,Teams!$H18,Auction!$B$13:$B$656,LEFT(S$2,2))</f>
        <v>0</v>
      </c>
      <c r="T18" s="192">
        <f>SUMIFS(Auction!$H$13:$H$656,Auction!$M$13:$M$656,Teams!$H18,Auction!$B$13:$B$656,LEFT(T$2,2))</f>
        <v>0</v>
      </c>
      <c r="U18" s="198">
        <f>SUMIFS(Auction!$H$13:$H$656,Auction!$M$13:$M$656,Teams!$H18,Auction!$B$13:$B$656,LEFT(U$2,2))</f>
        <v>0</v>
      </c>
    </row>
    <row r="19" spans="1:21" x14ac:dyDescent="0.25">
      <c r="A19" s="133" t="str">
        <f>IFERROR(INDEX(Auction!$B$13:$B$656,MATCH(B19,Auction!$A$13:$A$656,0)),"")</f>
        <v/>
      </c>
      <c r="B19" s="211" t="str">
        <f t="array" ref="B19">IF($A$1=0,"",IFERROR(INDEX(Auction!$A$13:$M$656,SMALL(IF(Auction!$M$13:$M$656=$A$1,(ROW(Auction!$M$13:$M$656)-MIN(ROW(Auction!$M$13:$M$656))+1),""),ROW(A17)),1),""))</f>
        <v/>
      </c>
      <c r="C19" s="142">
        <f>IF(ISERROR(VLOOKUP(B19,Auction!$A$13:$I$656,7,FALSE)),0,VLOOKUP(B19,Auction!$A$13:$I$656,8,FALSE))</f>
        <v>0</v>
      </c>
      <c r="D19" s="143">
        <f>IFERROR(VLOOKUP(B19,Auction!$A$13:$I$656,9,FALSE)-C19,0)</f>
        <v>0</v>
      </c>
      <c r="E19" s="150" t="str">
        <f>IFERROR(INDEX(Auction!$C$13:$C$656,MATCH(B19,Auction!$A$13:$A$656,0)),"")</f>
        <v/>
      </c>
      <c r="G19" s="133">
        <v>17</v>
      </c>
      <c r="H19" s="229"/>
      <c r="I19" s="126">
        <f>LeagueInfo!$F$3-SUMIF(Auction!$M$13:$M$656,H19,Auction!$H$13:$H$656)</f>
        <v>200</v>
      </c>
      <c r="J19" s="127">
        <f>I19-(LeagueInfo!$F$4-COUNTIF(Auction!$M$13:$M$656,$H19))+1</f>
        <v>186</v>
      </c>
      <c r="K19" s="128">
        <f t="shared" ref="K19:K22" si="3">SUM(L19:Q19)</f>
        <v>0</v>
      </c>
      <c r="L19" s="128">
        <f>COUNTIFS(Auction!$M$13:$M$656,Teams!$H19,Auction!$H$13:$H$656,"&gt;0",Auction!$B$13:$B$656,L$2)</f>
        <v>0</v>
      </c>
      <c r="M19" s="128">
        <f>COUNTIFS(Auction!$M$13:$M$656,Teams!$H19,Auction!$H$13:$H$656,"&gt;0",Auction!$B$13:$B$656,M$2)</f>
        <v>0</v>
      </c>
      <c r="N19" s="128">
        <f>COUNTIFS(Auction!$M$13:$M$656,Teams!$H19,Auction!$H$13:$H$656,"&gt;0",Auction!$B$13:$B$656,N$2)</f>
        <v>0</v>
      </c>
      <c r="O19" s="128">
        <f>COUNTIFS(Auction!$M$13:$M$656,Teams!$H19,Auction!$H$13:$H$656,"&gt;0",Auction!$B$13:$B$656,O$2)</f>
        <v>0</v>
      </c>
      <c r="P19" s="128">
        <f>COUNTIFS(Auction!$M$13:$M$656,Teams!$H19,Auction!$H$13:$H$656,"&gt;0",Auction!$B$13:$B$656,P$2)</f>
        <v>0</v>
      </c>
      <c r="Q19" s="136">
        <f>COUNTIFS(Auction!$M$13:$M$656,Teams!$H19,Auction!$H$13:$H$656,"&gt;0",Auction!$B$13:$B$656,Q$2)</f>
        <v>0</v>
      </c>
      <c r="R19" s="195">
        <f>SUMIFS(Auction!$H$13:$H$656,Auction!$M$13:$M$656,Teams!$H19,Auction!$B$13:$B$656,LEFT(R$2,2))</f>
        <v>0</v>
      </c>
      <c r="S19" s="191">
        <f>SUMIFS(Auction!$H$13:$H$656,Auction!$M$13:$M$656,Teams!$H19,Auction!$B$13:$B$656,LEFT(S$2,2))</f>
        <v>0</v>
      </c>
      <c r="T19" s="191">
        <f>SUMIFS(Auction!$H$13:$H$656,Auction!$M$13:$M$656,Teams!$H19,Auction!$B$13:$B$656,LEFT(T$2,2))</f>
        <v>0</v>
      </c>
      <c r="U19" s="196">
        <f>SUMIFS(Auction!$H$13:$H$656,Auction!$M$13:$M$656,Teams!$H19,Auction!$B$13:$B$656,LEFT(U$2,2))</f>
        <v>0</v>
      </c>
    </row>
    <row r="20" spans="1:21" x14ac:dyDescent="0.25">
      <c r="A20" s="133" t="str">
        <f>IFERROR(INDEX(Auction!$B$13:$B$656,MATCH(B20,Auction!$A$13:$A$656,0)),"")</f>
        <v/>
      </c>
      <c r="B20" s="211" t="str">
        <f t="array" ref="B20">IF($A$1=0,"",IFERROR(INDEX(Auction!$A$13:$M$656,SMALL(IF(Auction!$M$13:$M$656=$A$1,(ROW(Auction!$M$13:$M$656)-MIN(ROW(Auction!$M$13:$M$656))+1),""),ROW(A18)),1),""))</f>
        <v/>
      </c>
      <c r="C20" s="142">
        <f>IF(ISERROR(VLOOKUP(B20,Auction!$A$13:$I$656,7,FALSE)),0,VLOOKUP(B20,Auction!$A$13:$I$656,8,FALSE))</f>
        <v>0</v>
      </c>
      <c r="D20" s="143">
        <f>IFERROR(VLOOKUP(B20,Auction!$A$13:$I$656,9,FALSE)-C20,0)</f>
        <v>0</v>
      </c>
      <c r="E20" s="150" t="str">
        <f>IFERROR(INDEX(Auction!$C$13:$C$656,MATCH(B20,Auction!$A$13:$A$656,0)),"")</f>
        <v/>
      </c>
      <c r="G20" s="133">
        <v>18</v>
      </c>
      <c r="H20" s="229"/>
      <c r="I20" s="119">
        <f>LeagueInfo!$F$3-SUMIF(Auction!$M$13:$M$656,H20,Auction!$H$13:$H$656)</f>
        <v>200</v>
      </c>
      <c r="J20" s="120">
        <f>I20-(LeagueInfo!$F$4-COUNTIF(Auction!$M$13:$M$656,$H20))+1</f>
        <v>186</v>
      </c>
      <c r="K20" s="117">
        <f t="shared" si="3"/>
        <v>0</v>
      </c>
      <c r="L20" s="117">
        <f>COUNTIFS(Auction!$M$13:$M$656,Teams!$H20,Auction!$H$13:$H$656,"&gt;0",Auction!$B$13:$B$656,L$2)</f>
        <v>0</v>
      </c>
      <c r="M20" s="117">
        <f>COUNTIFS(Auction!$M$13:$M$656,Teams!$H20,Auction!$H$13:$H$656,"&gt;0",Auction!$B$13:$B$656,M$2)</f>
        <v>0</v>
      </c>
      <c r="N20" s="117">
        <f>COUNTIFS(Auction!$M$13:$M$656,Teams!$H20,Auction!$H$13:$H$656,"&gt;0",Auction!$B$13:$B$656,N$2)</f>
        <v>0</v>
      </c>
      <c r="O20" s="117">
        <f>COUNTIFS(Auction!$M$13:$M$656,Teams!$H20,Auction!$H$13:$H$656,"&gt;0",Auction!$B$13:$B$656,O$2)</f>
        <v>0</v>
      </c>
      <c r="P20" s="117">
        <f>COUNTIFS(Auction!$M$13:$M$656,Teams!$H20,Auction!$H$13:$H$656,"&gt;0",Auction!$B$13:$B$656,P$2)</f>
        <v>0</v>
      </c>
      <c r="Q20" s="135">
        <f>COUNTIFS(Auction!$M$13:$M$656,Teams!$H20,Auction!$H$13:$H$656,"&gt;0",Auction!$B$13:$B$656,Q$2)</f>
        <v>0</v>
      </c>
      <c r="R20" s="197">
        <f>SUMIFS(Auction!$H$13:$H$656,Auction!$M$13:$M$656,Teams!$H20,Auction!$B$13:$B$656,LEFT(R$2,2))</f>
        <v>0</v>
      </c>
      <c r="S20" s="192">
        <f>SUMIFS(Auction!$H$13:$H$656,Auction!$M$13:$M$656,Teams!$H20,Auction!$B$13:$B$656,LEFT(S$2,2))</f>
        <v>0</v>
      </c>
      <c r="T20" s="192">
        <f>SUMIFS(Auction!$H$13:$H$656,Auction!$M$13:$M$656,Teams!$H20,Auction!$B$13:$B$656,LEFT(T$2,2))</f>
        <v>0</v>
      </c>
      <c r="U20" s="198">
        <f>SUMIFS(Auction!$H$13:$H$656,Auction!$M$13:$M$656,Teams!$H20,Auction!$B$13:$B$656,LEFT(U$2,2))</f>
        <v>0</v>
      </c>
    </row>
    <row r="21" spans="1:21" x14ac:dyDescent="0.25">
      <c r="A21" s="133" t="str">
        <f>IFERROR(INDEX(Auction!$B$13:$B$656,MATCH(B21,Auction!$A$13:$A$656,0)),"")</f>
        <v/>
      </c>
      <c r="B21" s="211" t="str">
        <f t="array" ref="B21">IF($A$1=0,"",IFERROR(INDEX(Auction!$A$13:$M$656,SMALL(IF(Auction!$M$13:$M$656=$A$1,(ROW(Auction!$M$13:$M$656)-MIN(ROW(Auction!$M$13:$M$656))+1),""),ROW(A19)),1),""))</f>
        <v/>
      </c>
      <c r="C21" s="142">
        <f>IF(ISERROR(VLOOKUP(B21,Auction!$A$13:$I$656,7,FALSE)),0,VLOOKUP(B21,Auction!$A$13:$I$656,8,FALSE))</f>
        <v>0</v>
      </c>
      <c r="D21" s="143">
        <f>IFERROR(VLOOKUP(B21,Auction!$A$13:$I$656,9,FALSE)-C21,0)</f>
        <v>0</v>
      </c>
      <c r="E21" s="150" t="str">
        <f>IFERROR(INDEX(Auction!$C$13:$C$656,MATCH(B21,Auction!$A$13:$A$656,0)),"")</f>
        <v/>
      </c>
      <c r="G21" s="133">
        <v>19</v>
      </c>
      <c r="H21" s="229"/>
      <c r="I21" s="126">
        <f>LeagueInfo!$F$3-SUMIF(Auction!$M$13:$M$656,H21,Auction!$H$13:$H$656)</f>
        <v>200</v>
      </c>
      <c r="J21" s="127">
        <f>I21-(LeagueInfo!$F$4-COUNTIF(Auction!$M$13:$M$656,$H21))+1</f>
        <v>186</v>
      </c>
      <c r="K21" s="128">
        <f t="shared" si="3"/>
        <v>0</v>
      </c>
      <c r="L21" s="128">
        <f>COUNTIFS(Auction!$M$13:$M$656,Teams!$H21,Auction!$H$13:$H$656,"&gt;0",Auction!$B$13:$B$656,L$2)</f>
        <v>0</v>
      </c>
      <c r="M21" s="128">
        <f>COUNTIFS(Auction!$M$13:$M$656,Teams!$H21,Auction!$H$13:$H$656,"&gt;0",Auction!$B$13:$B$656,M$2)</f>
        <v>0</v>
      </c>
      <c r="N21" s="128">
        <f>COUNTIFS(Auction!$M$13:$M$656,Teams!$H21,Auction!$H$13:$H$656,"&gt;0",Auction!$B$13:$B$656,N$2)</f>
        <v>0</v>
      </c>
      <c r="O21" s="128">
        <f>COUNTIFS(Auction!$M$13:$M$656,Teams!$H21,Auction!$H$13:$H$656,"&gt;0",Auction!$B$13:$B$656,O$2)</f>
        <v>0</v>
      </c>
      <c r="P21" s="128">
        <f>COUNTIFS(Auction!$M$13:$M$656,Teams!$H21,Auction!$H$13:$H$656,"&gt;0",Auction!$B$13:$B$656,P$2)</f>
        <v>0</v>
      </c>
      <c r="Q21" s="136">
        <f>COUNTIFS(Auction!$M$13:$M$656,Teams!$H21,Auction!$H$13:$H$656,"&gt;0",Auction!$B$13:$B$656,Q$2)</f>
        <v>0</v>
      </c>
      <c r="R21" s="195">
        <f>SUMIFS(Auction!$H$13:$H$656,Auction!$M$13:$M$656,Teams!$H21,Auction!$B$13:$B$656,LEFT(R$2,2))</f>
        <v>0</v>
      </c>
      <c r="S21" s="191">
        <f>SUMIFS(Auction!$H$13:$H$656,Auction!$M$13:$M$656,Teams!$H21,Auction!$B$13:$B$656,LEFT(S$2,2))</f>
        <v>0</v>
      </c>
      <c r="T21" s="191">
        <f>SUMIFS(Auction!$H$13:$H$656,Auction!$M$13:$M$656,Teams!$H21,Auction!$B$13:$B$656,LEFT(T$2,2))</f>
        <v>0</v>
      </c>
      <c r="U21" s="196">
        <f>SUMIFS(Auction!$H$13:$H$656,Auction!$M$13:$M$656,Teams!$H21,Auction!$B$13:$B$656,LEFT(U$2,2))</f>
        <v>0</v>
      </c>
    </row>
    <row r="22" spans="1:21" x14ac:dyDescent="0.25">
      <c r="A22" s="133" t="str">
        <f>IFERROR(INDEX(Auction!$B$13:$B$656,MATCH(B22,Auction!$A$13:$A$656,0)),"")</f>
        <v/>
      </c>
      <c r="B22" s="211" t="str">
        <f t="array" ref="B22">IF($A$1=0,"",IFERROR(INDEX(Auction!$A$13:$M$656,SMALL(IF(Auction!$M$13:$M$656=$A$1,(ROW(Auction!$M$13:$M$656)-MIN(ROW(Auction!$M$13:$M$656))+1),""),ROW(A20)),1),""))</f>
        <v/>
      </c>
      <c r="C22" s="142">
        <f>IF(ISERROR(VLOOKUP(B22,Auction!$A$13:$I$656,7,FALSE)),0,VLOOKUP(B22,Auction!$A$13:$I$656,8,FALSE))</f>
        <v>0</v>
      </c>
      <c r="D22" s="143">
        <f>IFERROR(VLOOKUP(B22,Auction!$A$13:$I$656,9,FALSE)-C22,0)</f>
        <v>0</v>
      </c>
      <c r="E22" s="150" t="str">
        <f>IFERROR(INDEX(Auction!$C$13:$C$656,MATCH(B22,Auction!$A$13:$A$656,0)),"")</f>
        <v/>
      </c>
      <c r="G22" s="133">
        <v>20</v>
      </c>
      <c r="H22" s="230"/>
      <c r="I22" s="121">
        <f>LeagueInfo!$F$3-SUMIF(Auction!$M$13:$M$656,H22,Auction!$H$13:$H$656)</f>
        <v>200</v>
      </c>
      <c r="J22" s="122">
        <f>I22-(LeagueInfo!$F$4-COUNTIF(Auction!$M$13:$M$656,$H22))+1</f>
        <v>186</v>
      </c>
      <c r="K22" s="118">
        <f t="shared" si="3"/>
        <v>0</v>
      </c>
      <c r="L22" s="118">
        <f>COUNTIFS(Auction!$M$13:$M$656,Teams!$H22,Auction!$H$13:$H$656,"&gt;0",Auction!$B$13:$B$656,L$2)</f>
        <v>0</v>
      </c>
      <c r="M22" s="118">
        <f>COUNTIFS(Auction!$M$13:$M$656,Teams!$H22,Auction!$H$13:$H$656,"&gt;0",Auction!$B$13:$B$656,M$2)</f>
        <v>0</v>
      </c>
      <c r="N22" s="118">
        <f>COUNTIFS(Auction!$M$13:$M$656,Teams!$H22,Auction!$H$13:$H$656,"&gt;0",Auction!$B$13:$B$656,N$2)</f>
        <v>0</v>
      </c>
      <c r="O22" s="118">
        <f>COUNTIFS(Auction!$M$13:$M$656,Teams!$H22,Auction!$H$13:$H$656,"&gt;0",Auction!$B$13:$B$656,O$2)</f>
        <v>0</v>
      </c>
      <c r="P22" s="118">
        <f>COUNTIFS(Auction!$M$13:$M$656,Teams!$H22,Auction!$H$13:$H$656,"&gt;0",Auction!$B$13:$B$656,P$2)</f>
        <v>0</v>
      </c>
      <c r="Q22" s="137">
        <f>COUNTIFS(Auction!$M$13:$M$656,Teams!$H22,Auction!$H$13:$H$656,"&gt;0",Auction!$B$13:$B$656,Q$2)</f>
        <v>0</v>
      </c>
      <c r="R22" s="197">
        <f>SUMIFS(Auction!$H$13:$H$656,Auction!$M$13:$M$656,Teams!$H22,Auction!$B$13:$B$656,LEFT(R$2,2))</f>
        <v>0</v>
      </c>
      <c r="S22" s="192">
        <f>SUMIFS(Auction!$H$13:$H$656,Auction!$M$13:$M$656,Teams!$H22,Auction!$B$13:$B$656,LEFT(S$2,2))</f>
        <v>0</v>
      </c>
      <c r="T22" s="192">
        <f>SUMIFS(Auction!$H$13:$H$656,Auction!$M$13:$M$656,Teams!$H22,Auction!$B$13:$B$656,LEFT(T$2,2))</f>
        <v>0</v>
      </c>
      <c r="U22" s="198">
        <f>SUMIFS(Auction!$H$13:$H$656,Auction!$M$13:$M$656,Teams!$H22,Auction!$B$13:$B$656,LEFT(U$2,2))</f>
        <v>0</v>
      </c>
    </row>
    <row r="23" spans="1:21" x14ac:dyDescent="0.25">
      <c r="A23" s="151"/>
      <c r="B23" s="152"/>
      <c r="C23" s="153">
        <f>SUM(C3:C22)</f>
        <v>0</v>
      </c>
      <c r="D23" s="153">
        <f>SUM(D3:D22)</f>
        <v>0</v>
      </c>
      <c r="E23" s="154"/>
      <c r="G23" s="138" t="s">
        <v>58</v>
      </c>
      <c r="H23" s="139"/>
      <c r="I23" s="139"/>
      <c r="J23" s="139"/>
      <c r="K23" s="174">
        <f>SUM(K3:K22)</f>
        <v>0</v>
      </c>
      <c r="L23" s="174">
        <f t="shared" ref="L23:Q23" si="4">SUM(L3:L22)</f>
        <v>0</v>
      </c>
      <c r="M23" s="174">
        <f t="shared" si="4"/>
        <v>0</v>
      </c>
      <c r="N23" s="174">
        <f t="shared" si="4"/>
        <v>0</v>
      </c>
      <c r="O23" s="174">
        <f t="shared" si="4"/>
        <v>0</v>
      </c>
      <c r="P23" s="174">
        <f t="shared" si="4"/>
        <v>0</v>
      </c>
      <c r="Q23" s="174">
        <f t="shared" si="4"/>
        <v>0</v>
      </c>
      <c r="R23" s="193">
        <f>SUM(R3:R22)</f>
        <v>0</v>
      </c>
      <c r="S23" s="193">
        <f>SUM(S3:S22)</f>
        <v>0</v>
      </c>
      <c r="T23" s="193">
        <f>SUM(T3:T22)</f>
        <v>0</v>
      </c>
      <c r="U23" s="193">
        <f>SUM(U3:U22)</f>
        <v>0</v>
      </c>
    </row>
    <row r="24" spans="1:21" x14ac:dyDescent="0.25">
      <c r="A24" s="274" t="str">
        <f>CONCATENATE("This column will fill in when 'Drafted By' column in Auction sheet is set to '",H3,"'")</f>
        <v>This column will fill in when 'Drafted By' column in Auction sheet is set to 'My Team'</v>
      </c>
      <c r="B24" s="274"/>
      <c r="C24" s="274"/>
      <c r="D24" s="274"/>
      <c r="E24" s="274"/>
      <c r="G24" s="275" t="s">
        <v>508</v>
      </c>
      <c r="H24" s="275"/>
      <c r="I24" s="275"/>
      <c r="J24" s="275"/>
      <c r="K24" s="275"/>
      <c r="L24" s="275"/>
    </row>
    <row r="25" spans="1:21" x14ac:dyDescent="0.25">
      <c r="E25" s="5"/>
      <c r="G25" s="276" t="s">
        <v>509</v>
      </c>
      <c r="H25" s="276"/>
      <c r="I25" s="276"/>
      <c r="J25" s="276"/>
      <c r="K25" s="276"/>
      <c r="L25" s="276"/>
    </row>
    <row r="27" spans="1:21" x14ac:dyDescent="0.25">
      <c r="A27" s="268" t="str">
        <f>H4</f>
        <v>Team 2</v>
      </c>
      <c r="B27" s="269"/>
      <c r="C27" s="269"/>
      <c r="D27" s="269"/>
      <c r="E27" s="270"/>
      <c r="G27" s="268" t="str">
        <f>H5</f>
        <v>Team 3</v>
      </c>
      <c r="H27" s="269"/>
      <c r="I27" s="269"/>
      <c r="J27" s="269"/>
      <c r="K27" s="270"/>
    </row>
    <row r="28" spans="1:21" x14ac:dyDescent="0.25">
      <c r="A28" s="140" t="s">
        <v>495</v>
      </c>
      <c r="B28" s="148" t="s">
        <v>85</v>
      </c>
      <c r="C28" s="130" t="s">
        <v>496</v>
      </c>
      <c r="D28" s="130" t="s">
        <v>497</v>
      </c>
      <c r="E28" s="141" t="s">
        <v>440</v>
      </c>
      <c r="G28" s="140" t="s">
        <v>495</v>
      </c>
      <c r="H28" s="148" t="s">
        <v>85</v>
      </c>
      <c r="I28" s="130" t="s">
        <v>496</v>
      </c>
      <c r="J28" s="130" t="s">
        <v>497</v>
      </c>
      <c r="K28" s="141" t="s">
        <v>440</v>
      </c>
    </row>
    <row r="29" spans="1:21" x14ac:dyDescent="0.25">
      <c r="A29" s="133" t="str">
        <f>IFERROR(INDEX(Auction!$B$13:$B$656,MATCH(B29,Auction!$A$13:$A$656,0)),"")</f>
        <v/>
      </c>
      <c r="B29" s="211" t="str">
        <f t="array" ref="B29">IF($A$27=0,"",IFERROR(INDEX(Auction!$A$13:$M$656,SMALL(IF(Auction!$M$13:$M$656=$A$27,(ROW(Auction!$M$13:$M$656)-MIN(ROW(Auction!$M$13:$M$656))+1),""),ROW(A1)),1),""))</f>
        <v/>
      </c>
      <c r="C29" s="142">
        <f>IF(ISERROR(VLOOKUP(B29,Auction!$A$13:$I$656,7,FALSE)),0,VLOOKUP(B29,Auction!$A$13:$I$656,8,FALSE))</f>
        <v>0</v>
      </c>
      <c r="D29" s="143">
        <f>IFERROR(VLOOKUP(B29,Auction!$A$13:$I$656,9,FALSE)-C29,0)</f>
        <v>0</v>
      </c>
      <c r="E29" s="149" t="str">
        <f>IFERROR(INDEX(Auction!$C$13:$C$656,MATCH(B29,Auction!$A$13:$A$656,0)),"")</f>
        <v/>
      </c>
      <c r="G29" s="133" t="str">
        <f>IFERROR(INDEX(Auction!$B$13:$B$656,MATCH(H29,Auction!$A$13:$A$656,0)),"")</f>
        <v/>
      </c>
      <c r="H29" s="211" t="str">
        <f t="array" ref="H29">IF($G$27=0,"",IFERROR(INDEX(Auction!$A$13:$M$656,SMALL(IF(Auction!$M$13:$M$656=$G$27,(ROW(Auction!$M$13:$M$656)-MIN(ROW(Auction!$M$13:$M$656))+1),""),ROW(G1)),1),""))</f>
        <v/>
      </c>
      <c r="I29" s="142">
        <f>IF(ISERROR(VLOOKUP(H29,Auction!$A$13:$I$656,7,FALSE)),0,VLOOKUP(H29,Auction!$A$13:$I$656,8,FALSE))</f>
        <v>0</v>
      </c>
      <c r="J29" s="143">
        <f>IFERROR(VLOOKUP(H29,Auction!$A$13:$I$656,9,FALSE)-I29,0)</f>
        <v>0</v>
      </c>
      <c r="K29" s="149" t="str">
        <f>IFERROR(INDEX(Auction!$C$13:$C$656,MATCH(H29,Auction!$A$13:$A$656,0)),"")</f>
        <v/>
      </c>
    </row>
    <row r="30" spans="1:21" x14ac:dyDescent="0.25">
      <c r="A30" s="133" t="str">
        <f>IFERROR(INDEX(Auction!$B$13:$B$656,MATCH(B30,Auction!$A$13:$A$656,0)),"")</f>
        <v/>
      </c>
      <c r="B30" s="211" t="str">
        <f t="array" ref="B30">IF($A$27=0,"",IFERROR(INDEX(Auction!$A$13:$M$656,SMALL(IF(Auction!$M$13:$M$656=$A$27,(ROW(Auction!$M$13:$M$656)-MIN(ROW(Auction!$M$13:$M$656))+1),""),ROW(A2)),1),""))</f>
        <v/>
      </c>
      <c r="C30" s="142">
        <f>IF(ISERROR(VLOOKUP(B30,Auction!$A$13:$I$656,7,FALSE)),0,VLOOKUP(B30,Auction!$A$13:$I$656,8,FALSE))</f>
        <v>0</v>
      </c>
      <c r="D30" s="143">
        <f>IFERROR(VLOOKUP(B30,Auction!$A$13:$I$656,9,FALSE)-C30,0)</f>
        <v>0</v>
      </c>
      <c r="E30" s="149" t="str">
        <f>IFERROR(INDEX(Auction!$C$13:$C$656,MATCH(B30,Auction!$A$13:$A$656,0)),"")</f>
        <v/>
      </c>
      <c r="G30" s="133" t="str">
        <f>IFERROR(INDEX(Auction!$B$13:$B$656,MATCH(H30,Auction!$A$13:$A$656,0)),"")</f>
        <v/>
      </c>
      <c r="H30" s="211" t="str">
        <f t="array" ref="H30">IF($G$27=0,"",IFERROR(INDEX(Auction!$A$13:$M$656,SMALL(IF(Auction!$M$13:$M$656=$G$27,(ROW(Auction!$M$13:$M$656)-MIN(ROW(Auction!$M$13:$M$656))+1),""),ROW(G2)),1),""))</f>
        <v/>
      </c>
      <c r="I30" s="142">
        <f>IF(ISERROR(VLOOKUP(H30,Auction!$A$13:$I$656,7,FALSE)),0,VLOOKUP(H30,Auction!$A$13:$I$656,8,FALSE))</f>
        <v>0</v>
      </c>
      <c r="J30" s="143">
        <f>IFERROR(VLOOKUP(H30,Auction!$A$13:$I$656,9,FALSE)-I30,0)</f>
        <v>0</v>
      </c>
      <c r="K30" s="149" t="str">
        <f>IFERROR(INDEX(Auction!$C$13:$C$656,MATCH(H30,Auction!$A$13:$A$656,0)),"")</f>
        <v/>
      </c>
    </row>
    <row r="31" spans="1:21" x14ac:dyDescent="0.25">
      <c r="A31" s="133" t="str">
        <f>IFERROR(INDEX(Auction!$B$13:$B$656,MATCH(B31,Auction!$A$13:$A$656,0)),"")</f>
        <v/>
      </c>
      <c r="B31" s="211" t="str">
        <f t="array" ref="B31">IF($A$27=0,"",IFERROR(INDEX(Auction!$A$13:$M$656,SMALL(IF(Auction!$M$13:$M$656=$A$27,(ROW(Auction!$M$13:$M$656)-MIN(ROW(Auction!$M$13:$M$656))+1),""),ROW(A3)),1),""))</f>
        <v/>
      </c>
      <c r="C31" s="142">
        <f>IF(ISERROR(VLOOKUP(B31,Auction!$A$13:$I$656,7,FALSE)),0,VLOOKUP(B31,Auction!$A$13:$I$656,8,FALSE))</f>
        <v>0</v>
      </c>
      <c r="D31" s="143">
        <f>IFERROR(VLOOKUP(B31,Auction!$A$13:$I$656,9,FALSE)-C31,0)</f>
        <v>0</v>
      </c>
      <c r="E31" s="149" t="str">
        <f>IFERROR(INDEX(Auction!$C$13:$C$656,MATCH(B31,Auction!$A$13:$A$656,0)),"")</f>
        <v/>
      </c>
      <c r="G31" s="133" t="str">
        <f>IFERROR(INDEX(Auction!$B$13:$B$656,MATCH(H31,Auction!$A$13:$A$656,0)),"")</f>
        <v/>
      </c>
      <c r="H31" s="211" t="str">
        <f t="array" ref="H31">IF($G$27=0,"",IFERROR(INDEX(Auction!$A$13:$M$656,SMALL(IF(Auction!$M$13:$M$656=$G$27,(ROW(Auction!$M$13:$M$656)-MIN(ROW(Auction!$M$13:$M$656))+1),""),ROW(G3)),1),""))</f>
        <v/>
      </c>
      <c r="I31" s="142">
        <f>IF(ISERROR(VLOOKUP(H31,Auction!$A$13:$I$656,7,FALSE)),0,VLOOKUP(H31,Auction!$A$13:$I$656,8,FALSE))</f>
        <v>0</v>
      </c>
      <c r="J31" s="143">
        <f>IFERROR(VLOOKUP(H31,Auction!$A$13:$I$656,9,FALSE)-I31,0)</f>
        <v>0</v>
      </c>
      <c r="K31" s="149" t="str">
        <f>IFERROR(INDEX(Auction!$C$13:$C$656,MATCH(H31,Auction!$A$13:$A$656,0)),"")</f>
        <v/>
      </c>
    </row>
    <row r="32" spans="1:21" x14ac:dyDescent="0.25">
      <c r="A32" s="133" t="str">
        <f>IFERROR(INDEX(Auction!$B$13:$B$656,MATCH(B32,Auction!$A$13:$A$656,0)),"")</f>
        <v/>
      </c>
      <c r="B32" s="211" t="str">
        <f t="array" ref="B32">IF($A$27=0,"",IFERROR(INDEX(Auction!$A$13:$M$656,SMALL(IF(Auction!$M$13:$M$656=$A$27,(ROW(Auction!$M$13:$M$656)-MIN(ROW(Auction!$M$13:$M$656))+1),""),ROW(A4)),1),""))</f>
        <v/>
      </c>
      <c r="C32" s="142">
        <f>IF(ISERROR(VLOOKUP(B32,Auction!$A$13:$I$656,7,FALSE)),0,VLOOKUP(B32,Auction!$A$13:$I$656,8,FALSE))</f>
        <v>0</v>
      </c>
      <c r="D32" s="143">
        <f>IFERROR(VLOOKUP(B32,Auction!$A$13:$I$656,9,FALSE)-C32,0)</f>
        <v>0</v>
      </c>
      <c r="E32" s="149" t="str">
        <f>IFERROR(INDEX(Auction!$C$13:$C$656,MATCH(B32,Auction!$A$13:$A$656,0)),"")</f>
        <v/>
      </c>
      <c r="G32" s="133" t="str">
        <f>IFERROR(INDEX(Auction!$B$13:$B$656,MATCH(H32,Auction!$A$13:$A$656,0)),"")</f>
        <v/>
      </c>
      <c r="H32" s="211" t="str">
        <f t="array" ref="H32">IF($G$27=0,"",IFERROR(INDEX(Auction!$A$13:$M$656,SMALL(IF(Auction!$M$13:$M$656=$G$27,(ROW(Auction!$M$13:$M$656)-MIN(ROW(Auction!$M$13:$M$656))+1),""),ROW(G4)),1),""))</f>
        <v/>
      </c>
      <c r="I32" s="142">
        <f>IF(ISERROR(VLOOKUP(H32,Auction!$A$13:$I$656,7,FALSE)),0,VLOOKUP(H32,Auction!$A$13:$I$656,8,FALSE))</f>
        <v>0</v>
      </c>
      <c r="J32" s="143">
        <f>IFERROR(VLOOKUP(H32,Auction!$A$13:$I$656,9,FALSE)-I32,0)</f>
        <v>0</v>
      </c>
      <c r="K32" s="149" t="str">
        <f>IFERROR(INDEX(Auction!$C$13:$C$656,MATCH(H32,Auction!$A$13:$A$656,0)),"")</f>
        <v/>
      </c>
    </row>
    <row r="33" spans="1:11" x14ac:dyDescent="0.25">
      <c r="A33" s="133" t="str">
        <f>IFERROR(INDEX(Auction!$B$13:$B$656,MATCH(B33,Auction!$A$13:$A$656,0)),"")</f>
        <v/>
      </c>
      <c r="B33" s="211" t="str">
        <f t="array" ref="B33">IF($A$27=0,"",IFERROR(INDEX(Auction!$A$13:$M$656,SMALL(IF(Auction!$M$13:$M$656=$A$27,(ROW(Auction!$M$13:$M$656)-MIN(ROW(Auction!$M$13:$M$656))+1),""),ROW(A5)),1),""))</f>
        <v/>
      </c>
      <c r="C33" s="142">
        <f>IF(ISERROR(VLOOKUP(B33,Auction!$A$13:$I$656,7,FALSE)),0,VLOOKUP(B33,Auction!$A$13:$I$656,8,FALSE))</f>
        <v>0</v>
      </c>
      <c r="D33" s="143">
        <f>IFERROR(VLOOKUP(B33,Auction!$A$13:$I$656,9,FALSE)-C33,0)</f>
        <v>0</v>
      </c>
      <c r="E33" s="149" t="str">
        <f>IFERROR(INDEX(Auction!$C$13:$C$656,MATCH(B33,Auction!$A$13:$A$656,0)),"")</f>
        <v/>
      </c>
      <c r="G33" s="133" t="str">
        <f>IFERROR(INDEX(Auction!$B$13:$B$656,MATCH(H33,Auction!$A$13:$A$656,0)),"")</f>
        <v/>
      </c>
      <c r="H33" s="211" t="str">
        <f t="array" ref="H33">IF($G$27=0,"",IFERROR(INDEX(Auction!$A$13:$M$656,SMALL(IF(Auction!$M$13:$M$656=$G$27,(ROW(Auction!$M$13:$M$656)-MIN(ROW(Auction!$M$13:$M$656))+1),""),ROW(G5)),1),""))</f>
        <v/>
      </c>
      <c r="I33" s="142">
        <f>IF(ISERROR(VLOOKUP(H33,Auction!$A$13:$I$656,7,FALSE)),0,VLOOKUP(H33,Auction!$A$13:$I$656,8,FALSE))</f>
        <v>0</v>
      </c>
      <c r="J33" s="143">
        <f>IFERROR(VLOOKUP(H33,Auction!$A$13:$I$656,9,FALSE)-I33,0)</f>
        <v>0</v>
      </c>
      <c r="K33" s="149" t="str">
        <f>IFERROR(INDEX(Auction!$C$13:$C$656,MATCH(H33,Auction!$A$13:$A$656,0)),"")</f>
        <v/>
      </c>
    </row>
    <row r="34" spans="1:11" x14ac:dyDescent="0.25">
      <c r="A34" s="133" t="str">
        <f>IFERROR(INDEX(Auction!$B$13:$B$656,MATCH(B34,Auction!$A$13:$A$656,0)),"")</f>
        <v/>
      </c>
      <c r="B34" s="211" t="str">
        <f t="array" ref="B34">IF($A$27=0,"",IFERROR(INDEX(Auction!$A$13:$M$656,SMALL(IF(Auction!$M$13:$M$656=$A$27,(ROW(Auction!$M$13:$M$656)-MIN(ROW(Auction!$M$13:$M$656))+1),""),ROW(A6)),1),""))</f>
        <v/>
      </c>
      <c r="C34" s="142">
        <f>IF(ISERROR(VLOOKUP(B34,Auction!$A$13:$I$656,7,FALSE)),0,VLOOKUP(B34,Auction!$A$13:$I$656,8,FALSE))</f>
        <v>0</v>
      </c>
      <c r="D34" s="143">
        <f>IFERROR(VLOOKUP(B34,Auction!$A$13:$I$656,9,FALSE)-C34,0)</f>
        <v>0</v>
      </c>
      <c r="E34" s="149" t="str">
        <f>IFERROR(INDEX(Auction!$C$13:$C$656,MATCH(B34,Auction!$A$13:$A$656,0)),"")</f>
        <v/>
      </c>
      <c r="G34" s="133" t="str">
        <f>IFERROR(INDEX(Auction!$B$13:$B$656,MATCH(H34,Auction!$A$13:$A$656,0)),"")</f>
        <v/>
      </c>
      <c r="H34" s="211" t="str">
        <f t="array" ref="H34">IF($G$27=0,"",IFERROR(INDEX(Auction!$A$13:$M$656,SMALL(IF(Auction!$M$13:$M$656=$G$27,(ROW(Auction!$M$13:$M$656)-MIN(ROW(Auction!$M$13:$M$656))+1),""),ROW(G6)),1),""))</f>
        <v/>
      </c>
      <c r="I34" s="142">
        <f>IF(ISERROR(VLOOKUP(H34,Auction!$A$13:$I$656,7,FALSE)),0,VLOOKUP(H34,Auction!$A$13:$I$656,8,FALSE))</f>
        <v>0</v>
      </c>
      <c r="J34" s="143">
        <f>IFERROR(VLOOKUP(H34,Auction!$A$13:$I$656,9,FALSE)-I34,0)</f>
        <v>0</v>
      </c>
      <c r="K34" s="149" t="str">
        <f>IFERROR(INDEX(Auction!$C$13:$C$656,MATCH(H34,Auction!$A$13:$A$656,0)),"")</f>
        <v/>
      </c>
    </row>
    <row r="35" spans="1:11" x14ac:dyDescent="0.25">
      <c r="A35" s="133" t="str">
        <f>IFERROR(INDEX(Auction!$B$13:$B$656,MATCH(B35,Auction!$A$13:$A$656,0)),"")</f>
        <v/>
      </c>
      <c r="B35" s="211" t="str">
        <f t="array" ref="B35">IF($A$27=0,"",IFERROR(INDEX(Auction!$A$13:$M$656,SMALL(IF(Auction!$M$13:$M$656=$A$27,(ROW(Auction!$M$13:$M$656)-MIN(ROW(Auction!$M$13:$M$656))+1),""),ROW(A7)),1),""))</f>
        <v/>
      </c>
      <c r="C35" s="142">
        <f>IF(ISERROR(VLOOKUP(B35,Auction!$A$13:$I$656,7,FALSE)),0,VLOOKUP(B35,Auction!$A$13:$I$656,8,FALSE))</f>
        <v>0</v>
      </c>
      <c r="D35" s="143">
        <f>IFERROR(VLOOKUP(B35,Auction!$A$13:$I$656,9,FALSE)-C35,0)</f>
        <v>0</v>
      </c>
      <c r="E35" s="149" t="str">
        <f>IFERROR(INDEX(Auction!$C$13:$C$656,MATCH(B35,Auction!$A$13:$A$656,0)),"")</f>
        <v/>
      </c>
      <c r="G35" s="133" t="str">
        <f>IFERROR(INDEX(Auction!$B$13:$B$656,MATCH(H35,Auction!$A$13:$A$656,0)),"")</f>
        <v/>
      </c>
      <c r="H35" s="211" t="str">
        <f t="array" ref="H35">IF($G$27=0,"",IFERROR(INDEX(Auction!$A$13:$M$656,SMALL(IF(Auction!$M$13:$M$656=$G$27,(ROW(Auction!$M$13:$M$656)-MIN(ROW(Auction!$M$13:$M$656))+1),""),ROW(G7)),1),""))</f>
        <v/>
      </c>
      <c r="I35" s="142">
        <f>IF(ISERROR(VLOOKUP(H35,Auction!$A$13:$I$656,7,FALSE)),0,VLOOKUP(H35,Auction!$A$13:$I$656,8,FALSE))</f>
        <v>0</v>
      </c>
      <c r="J35" s="143">
        <f>IFERROR(VLOOKUP(H35,Auction!$A$13:$I$656,9,FALSE)-I35,0)</f>
        <v>0</v>
      </c>
      <c r="K35" s="149" t="str">
        <f>IFERROR(INDEX(Auction!$C$13:$C$656,MATCH(H35,Auction!$A$13:$A$656,0)),"")</f>
        <v/>
      </c>
    </row>
    <row r="36" spans="1:11" x14ac:dyDescent="0.25">
      <c r="A36" s="133" t="str">
        <f>IFERROR(INDEX(Auction!$B$13:$B$656,MATCH(B36,Auction!$A$13:$A$656,0)),"")</f>
        <v/>
      </c>
      <c r="B36" s="211" t="str">
        <f t="array" ref="B36">IF($A$27=0,"",IFERROR(INDEX(Auction!$A$13:$M$656,SMALL(IF(Auction!$M$13:$M$656=$A$27,(ROW(Auction!$M$13:$M$656)-MIN(ROW(Auction!$M$13:$M$656))+1),""),ROW(A8)),1),""))</f>
        <v/>
      </c>
      <c r="C36" s="142">
        <f>IF(ISERROR(VLOOKUP(B36,Auction!$A$13:$I$656,7,FALSE)),0,VLOOKUP(B36,Auction!$A$13:$I$656,8,FALSE))</f>
        <v>0</v>
      </c>
      <c r="D36" s="143">
        <f>IFERROR(VLOOKUP(B36,Auction!$A$13:$I$656,9,FALSE)-C36,0)</f>
        <v>0</v>
      </c>
      <c r="E36" s="149" t="str">
        <f>IFERROR(INDEX(Auction!$C$13:$C$656,MATCH(B36,Auction!$A$13:$A$656,0)),"")</f>
        <v/>
      </c>
      <c r="G36" s="133" t="str">
        <f>IFERROR(INDEX(Auction!$B$13:$B$656,MATCH(H36,Auction!$A$13:$A$656,0)),"")</f>
        <v/>
      </c>
      <c r="H36" s="211" t="str">
        <f t="array" ref="H36">IF($G$27=0,"",IFERROR(INDEX(Auction!$A$13:$M$656,SMALL(IF(Auction!$M$13:$M$656=$G$27,(ROW(Auction!$M$13:$M$656)-MIN(ROW(Auction!$M$13:$M$656))+1),""),ROW(G8)),1),""))</f>
        <v/>
      </c>
      <c r="I36" s="142">
        <f>IF(ISERROR(VLOOKUP(H36,Auction!$A$13:$I$656,7,FALSE)),0,VLOOKUP(H36,Auction!$A$13:$I$656,8,FALSE))</f>
        <v>0</v>
      </c>
      <c r="J36" s="143">
        <f>IFERROR(VLOOKUP(H36,Auction!$A$13:$I$656,9,FALSE)-I36,0)</f>
        <v>0</v>
      </c>
      <c r="K36" s="149" t="str">
        <f>IFERROR(INDEX(Auction!$C$13:$C$656,MATCH(H36,Auction!$A$13:$A$656,0)),"")</f>
        <v/>
      </c>
    </row>
    <row r="37" spans="1:11" x14ac:dyDescent="0.25">
      <c r="A37" s="133" t="str">
        <f>IFERROR(INDEX(Auction!$B$13:$B$656,MATCH(B37,Auction!$A$13:$A$656,0)),"")</f>
        <v/>
      </c>
      <c r="B37" s="211" t="str">
        <f t="array" ref="B37">IF($A$27=0,"",IFERROR(INDEX(Auction!$A$13:$M$656,SMALL(IF(Auction!$M$13:$M$656=$A$27,(ROW(Auction!$M$13:$M$656)-MIN(ROW(Auction!$M$13:$M$656))+1),""),ROW(A9)),1),""))</f>
        <v/>
      </c>
      <c r="C37" s="142">
        <f>IF(ISERROR(VLOOKUP(B37,Auction!$A$13:$I$656,7,FALSE)),0,VLOOKUP(B37,Auction!$A$13:$I$656,8,FALSE))</f>
        <v>0</v>
      </c>
      <c r="D37" s="143">
        <f>IFERROR(VLOOKUP(B37,Auction!$A$13:$I$656,9,FALSE)-C37,0)</f>
        <v>0</v>
      </c>
      <c r="E37" s="150" t="str">
        <f>IFERROR(INDEX(Auction!$C$13:$C$656,MATCH(B37,Auction!$A$13:$A$656,0)),"")</f>
        <v/>
      </c>
      <c r="G37" s="133" t="str">
        <f>IFERROR(INDEX(Auction!$B$13:$B$656,MATCH(H37,Auction!$A$13:$A$656,0)),"")</f>
        <v/>
      </c>
      <c r="H37" s="211" t="str">
        <f t="array" ref="H37">IF($G$27=0,"",IFERROR(INDEX(Auction!$A$13:$M$656,SMALL(IF(Auction!$M$13:$M$656=$G$27,(ROW(Auction!$M$13:$M$656)-MIN(ROW(Auction!$M$13:$M$656))+1),""),ROW(G9)),1),""))</f>
        <v/>
      </c>
      <c r="I37" s="142">
        <f>IF(ISERROR(VLOOKUP(H37,Auction!$A$13:$I$656,7,FALSE)),0,VLOOKUP(H37,Auction!$A$13:$I$656,8,FALSE))</f>
        <v>0</v>
      </c>
      <c r="J37" s="143">
        <f>IFERROR(VLOOKUP(H37,Auction!$A$13:$I$656,9,FALSE)-I37,0)</f>
        <v>0</v>
      </c>
      <c r="K37" s="150" t="str">
        <f>IFERROR(INDEX(Auction!$C$13:$C$656,MATCH(H37,Auction!$A$13:$A$656,0)),"")</f>
        <v/>
      </c>
    </row>
    <row r="38" spans="1:11" x14ac:dyDescent="0.25">
      <c r="A38" s="133" t="str">
        <f>IFERROR(INDEX(Auction!$B$13:$B$656,MATCH(B38,Auction!$A$13:$A$656,0)),"")</f>
        <v/>
      </c>
      <c r="B38" s="211" t="str">
        <f t="array" ref="B38">IF($A$27=0,"",IFERROR(INDEX(Auction!$A$13:$M$656,SMALL(IF(Auction!$M$13:$M$656=$A$27,(ROW(Auction!$M$13:$M$656)-MIN(ROW(Auction!$M$13:$M$656))+1),""),ROW(A10)),1),""))</f>
        <v/>
      </c>
      <c r="C38" s="142">
        <f>IF(ISERROR(VLOOKUP(B38,Auction!$A$13:$I$656,7,FALSE)),0,VLOOKUP(B38,Auction!$A$13:$I$656,8,FALSE))</f>
        <v>0</v>
      </c>
      <c r="D38" s="143">
        <f>IFERROR(VLOOKUP(B38,Auction!$A$13:$I$656,9,FALSE)-C38,0)</f>
        <v>0</v>
      </c>
      <c r="E38" s="150" t="str">
        <f>IFERROR(INDEX(Auction!$C$13:$C$656,MATCH(B38,Auction!$A$13:$A$656,0)),"")</f>
        <v/>
      </c>
      <c r="G38" s="133" t="str">
        <f>IFERROR(INDEX(Auction!$B$13:$B$656,MATCH(H38,Auction!$A$13:$A$656,0)),"")</f>
        <v/>
      </c>
      <c r="H38" s="211" t="str">
        <f t="array" ref="H38">IF($G$27=0,"",IFERROR(INDEX(Auction!$A$13:$M$656,SMALL(IF(Auction!$M$13:$M$656=$G$27,(ROW(Auction!$M$13:$M$656)-MIN(ROW(Auction!$M$13:$M$656))+1),""),ROW(G10)),1),""))</f>
        <v/>
      </c>
      <c r="I38" s="142">
        <f>IF(ISERROR(VLOOKUP(H38,Auction!$A$13:$I$656,7,FALSE)),0,VLOOKUP(H38,Auction!$A$13:$I$656,8,FALSE))</f>
        <v>0</v>
      </c>
      <c r="J38" s="143">
        <f>IFERROR(VLOOKUP(H38,Auction!$A$13:$I$656,9,FALSE)-I38,0)</f>
        <v>0</v>
      </c>
      <c r="K38" s="150" t="str">
        <f>IFERROR(INDEX(Auction!$C$13:$C$656,MATCH(H38,Auction!$A$13:$A$656,0)),"")</f>
        <v/>
      </c>
    </row>
    <row r="39" spans="1:11" x14ac:dyDescent="0.25">
      <c r="A39" s="133" t="str">
        <f>IFERROR(INDEX(Auction!$B$13:$B$656,MATCH(B39,Auction!$A$13:$A$656,0)),"")</f>
        <v/>
      </c>
      <c r="B39" s="211" t="str">
        <f t="array" ref="B39">IF($A$27=0,"",IFERROR(INDEX(Auction!$A$13:$M$656,SMALL(IF(Auction!$M$13:$M$656=$A$27,(ROW(Auction!$M$13:$M$656)-MIN(ROW(Auction!$M$13:$M$656))+1),""),ROW(A11)),1),""))</f>
        <v/>
      </c>
      <c r="C39" s="142">
        <f>IF(ISERROR(VLOOKUP(B39,Auction!$A$13:$I$656,7,FALSE)),0,VLOOKUP(B39,Auction!$A$13:$I$656,8,FALSE))</f>
        <v>0</v>
      </c>
      <c r="D39" s="143">
        <f>IFERROR(VLOOKUP(B39,Auction!$A$13:$I$656,9,FALSE)-C39,0)</f>
        <v>0</v>
      </c>
      <c r="E39" s="150" t="str">
        <f>IFERROR(INDEX(Auction!$C$13:$C$656,MATCH(B39,Auction!$A$13:$A$656,0)),"")</f>
        <v/>
      </c>
      <c r="G39" s="133" t="str">
        <f>IFERROR(INDEX(Auction!$B$13:$B$656,MATCH(H39,Auction!$A$13:$A$656,0)),"")</f>
        <v/>
      </c>
      <c r="H39" s="211" t="str">
        <f t="array" ref="H39">IF($G$27=0,"",IFERROR(INDEX(Auction!$A$13:$M$656,SMALL(IF(Auction!$M$13:$M$656=$G$27,(ROW(Auction!$M$13:$M$656)-MIN(ROW(Auction!$M$13:$M$656))+1),""),ROW(G11)),1),""))</f>
        <v/>
      </c>
      <c r="I39" s="142">
        <f>IF(ISERROR(VLOOKUP(H39,Auction!$A$13:$I$656,7,FALSE)),0,VLOOKUP(H39,Auction!$A$13:$I$656,8,FALSE))</f>
        <v>0</v>
      </c>
      <c r="J39" s="143">
        <f>IFERROR(VLOOKUP(H39,Auction!$A$13:$I$656,9,FALSE)-I39,0)</f>
        <v>0</v>
      </c>
      <c r="K39" s="150" t="str">
        <f>IFERROR(INDEX(Auction!$C$13:$C$656,MATCH(H39,Auction!$A$13:$A$656,0)),"")</f>
        <v/>
      </c>
    </row>
    <row r="40" spans="1:11" x14ac:dyDescent="0.25">
      <c r="A40" s="133" t="str">
        <f>IFERROR(INDEX(Auction!$B$13:$B$656,MATCH(B40,Auction!$A$13:$A$656,0)),"")</f>
        <v/>
      </c>
      <c r="B40" s="211" t="str">
        <f t="array" ref="B40">IF($A$27=0,"",IFERROR(INDEX(Auction!$A$13:$M$656,SMALL(IF(Auction!$M$13:$M$656=$A$27,(ROW(Auction!$M$13:$M$656)-MIN(ROW(Auction!$M$13:$M$656))+1),""),ROW(A12)),1),""))</f>
        <v/>
      </c>
      <c r="C40" s="142">
        <f>IF(ISERROR(VLOOKUP(B40,Auction!$A$13:$I$656,7,FALSE)),0,VLOOKUP(B40,Auction!$A$13:$I$656,8,FALSE))</f>
        <v>0</v>
      </c>
      <c r="D40" s="143">
        <f>IFERROR(VLOOKUP(B40,Auction!$A$13:$I$656,9,FALSE)-C40,0)</f>
        <v>0</v>
      </c>
      <c r="E40" s="150" t="str">
        <f>IFERROR(INDEX(Auction!$C$13:$C$656,MATCH(B40,Auction!$A$13:$A$656,0)),"")</f>
        <v/>
      </c>
      <c r="G40" s="133" t="str">
        <f>IFERROR(INDEX(Auction!$B$13:$B$656,MATCH(H40,Auction!$A$13:$A$656,0)),"")</f>
        <v/>
      </c>
      <c r="H40" s="211" t="str">
        <f t="array" ref="H40">IF($G$27=0,"",IFERROR(INDEX(Auction!$A$13:$M$656,SMALL(IF(Auction!$M$13:$M$656=$G$27,(ROW(Auction!$M$13:$M$656)-MIN(ROW(Auction!$M$13:$M$656))+1),""),ROW(G12)),1),""))</f>
        <v/>
      </c>
      <c r="I40" s="142">
        <f>IF(ISERROR(VLOOKUP(H40,Auction!$A$13:$I$656,7,FALSE)),0,VLOOKUP(H40,Auction!$A$13:$I$656,8,FALSE))</f>
        <v>0</v>
      </c>
      <c r="J40" s="143">
        <f>IFERROR(VLOOKUP(H40,Auction!$A$13:$I$656,9,FALSE)-I40,0)</f>
        <v>0</v>
      </c>
      <c r="K40" s="150" t="str">
        <f>IFERROR(INDEX(Auction!$C$13:$C$656,MATCH(H40,Auction!$A$13:$A$656,0)),"")</f>
        <v/>
      </c>
    </row>
    <row r="41" spans="1:11" x14ac:dyDescent="0.25">
      <c r="A41" s="133" t="str">
        <f>IFERROR(INDEX(Auction!$B$13:$B$656,MATCH(B41,Auction!$A$13:$A$656,0)),"")</f>
        <v/>
      </c>
      <c r="B41" s="211" t="str">
        <f t="array" ref="B41">IF($A$27=0,"",IFERROR(INDEX(Auction!$A$13:$M$656,SMALL(IF(Auction!$M$13:$M$656=$A$27,(ROW(Auction!$M$13:$M$656)-MIN(ROW(Auction!$M$13:$M$656))+1),""),ROW(A13)),1),""))</f>
        <v/>
      </c>
      <c r="C41" s="142">
        <f>IF(ISERROR(VLOOKUP(B41,Auction!$A$13:$I$656,7,FALSE)),0,VLOOKUP(B41,Auction!$A$13:$I$656,8,FALSE))</f>
        <v>0</v>
      </c>
      <c r="D41" s="143">
        <f>IFERROR(VLOOKUP(B41,Auction!$A$13:$I$656,9,FALSE)-C41,0)</f>
        <v>0</v>
      </c>
      <c r="E41" s="150" t="str">
        <f>IFERROR(INDEX(Auction!$C$13:$C$656,MATCH(B41,Auction!$A$13:$A$656,0)),"")</f>
        <v/>
      </c>
      <c r="G41" s="133" t="str">
        <f>IFERROR(INDEX(Auction!$B$13:$B$656,MATCH(H41,Auction!$A$13:$A$656,0)),"")</f>
        <v/>
      </c>
      <c r="H41" s="211" t="str">
        <f t="array" ref="H41">IF($G$27=0,"",IFERROR(INDEX(Auction!$A$13:$M$656,SMALL(IF(Auction!$M$13:$M$656=$G$27,(ROW(Auction!$M$13:$M$656)-MIN(ROW(Auction!$M$13:$M$656))+1),""),ROW(G13)),1),""))</f>
        <v/>
      </c>
      <c r="I41" s="142">
        <f>IF(ISERROR(VLOOKUP(H41,Auction!$A$13:$I$656,7,FALSE)),0,VLOOKUP(H41,Auction!$A$13:$I$656,8,FALSE))</f>
        <v>0</v>
      </c>
      <c r="J41" s="143">
        <f>IFERROR(VLOOKUP(H41,Auction!$A$13:$I$656,9,FALSE)-I41,0)</f>
        <v>0</v>
      </c>
      <c r="K41" s="150" t="str">
        <f>IFERROR(INDEX(Auction!$C$13:$C$656,MATCH(H41,Auction!$A$13:$A$656,0)),"")</f>
        <v/>
      </c>
    </row>
    <row r="42" spans="1:11" x14ac:dyDescent="0.25">
      <c r="A42" s="133" t="str">
        <f>IFERROR(INDEX(Auction!$B$13:$B$656,MATCH(B42,Auction!$A$13:$A$656,0)),"")</f>
        <v/>
      </c>
      <c r="B42" s="211" t="str">
        <f t="array" ref="B42">IF($A$27=0,"",IFERROR(INDEX(Auction!$A$13:$M$656,SMALL(IF(Auction!$M$13:$M$656=$A$27,(ROW(Auction!$M$13:$M$656)-MIN(ROW(Auction!$M$13:$M$656))+1),""),ROW(A14)),1),""))</f>
        <v/>
      </c>
      <c r="C42" s="142">
        <f>IF(ISERROR(VLOOKUP(B42,Auction!$A$13:$I$656,7,FALSE)),0,VLOOKUP(B42,Auction!$A$13:$I$656,8,FALSE))</f>
        <v>0</v>
      </c>
      <c r="D42" s="143">
        <f>IFERROR(VLOOKUP(B42,Auction!$A$13:$I$656,9,FALSE)-C42,0)</f>
        <v>0</v>
      </c>
      <c r="E42" s="150" t="str">
        <f>IFERROR(INDEX(Auction!$C$13:$C$656,MATCH(B42,Auction!$A$13:$A$656,0)),"")</f>
        <v/>
      </c>
      <c r="G42" s="133" t="str">
        <f>IFERROR(INDEX(Auction!$B$13:$B$656,MATCH(H42,Auction!$A$13:$A$656,0)),"")</f>
        <v/>
      </c>
      <c r="H42" s="211" t="str">
        <f t="array" ref="H42">IF($G$27=0,"",IFERROR(INDEX(Auction!$A$13:$M$656,SMALL(IF(Auction!$M$13:$M$656=$G$27,(ROW(Auction!$M$13:$M$656)-MIN(ROW(Auction!$M$13:$M$656))+1),""),ROW(G14)),1),""))</f>
        <v/>
      </c>
      <c r="I42" s="142">
        <f>IF(ISERROR(VLOOKUP(H42,Auction!$A$13:$I$656,7,FALSE)),0,VLOOKUP(H42,Auction!$A$13:$I$656,8,FALSE))</f>
        <v>0</v>
      </c>
      <c r="J42" s="143">
        <f>IFERROR(VLOOKUP(H42,Auction!$A$13:$I$656,9,FALSE)-I42,0)</f>
        <v>0</v>
      </c>
      <c r="K42" s="150" t="str">
        <f>IFERROR(INDEX(Auction!$C$13:$C$656,MATCH(H42,Auction!$A$13:$A$656,0)),"")</f>
        <v/>
      </c>
    </row>
    <row r="43" spans="1:11" x14ac:dyDescent="0.25">
      <c r="A43" s="133" t="str">
        <f>IFERROR(INDEX(Auction!$B$13:$B$656,MATCH(B43,Auction!$A$13:$A$656,0)),"")</f>
        <v/>
      </c>
      <c r="B43" s="211" t="str">
        <f t="array" ref="B43">IF($A$27=0,"",IFERROR(INDEX(Auction!$A$13:$M$656,SMALL(IF(Auction!$M$13:$M$656=$A$27,(ROW(Auction!$M$13:$M$656)-MIN(ROW(Auction!$M$13:$M$656))+1),""),ROW(A15)),1),""))</f>
        <v/>
      </c>
      <c r="C43" s="142">
        <f>IF(ISERROR(VLOOKUP(B43,Auction!$A$13:$I$656,7,FALSE)),0,VLOOKUP(B43,Auction!$A$13:$I$656,8,FALSE))</f>
        <v>0</v>
      </c>
      <c r="D43" s="143">
        <f>IFERROR(VLOOKUP(B43,Auction!$A$13:$I$656,9,FALSE)-C43,0)</f>
        <v>0</v>
      </c>
      <c r="E43" s="150" t="str">
        <f>IFERROR(INDEX(Auction!$C$13:$C$656,MATCH(B43,Auction!$A$13:$A$656,0)),"")</f>
        <v/>
      </c>
      <c r="G43" s="133" t="str">
        <f>IFERROR(INDEX(Auction!$B$13:$B$656,MATCH(H43,Auction!$A$13:$A$656,0)),"")</f>
        <v/>
      </c>
      <c r="H43" s="211" t="str">
        <f t="array" ref="H43">IF($G$27=0,"",IFERROR(INDEX(Auction!$A$13:$M$656,SMALL(IF(Auction!$M$13:$M$656=$G$27,(ROW(Auction!$M$13:$M$656)-MIN(ROW(Auction!$M$13:$M$656))+1),""),ROW(G15)),1),""))</f>
        <v/>
      </c>
      <c r="I43" s="142">
        <f>IF(ISERROR(VLOOKUP(H43,Auction!$A$13:$I$656,7,FALSE)),0,VLOOKUP(H43,Auction!$A$13:$I$656,8,FALSE))</f>
        <v>0</v>
      </c>
      <c r="J43" s="143">
        <f>IFERROR(VLOOKUP(H43,Auction!$A$13:$I$656,9,FALSE)-I43,0)</f>
        <v>0</v>
      </c>
      <c r="K43" s="150" t="str">
        <f>IFERROR(INDEX(Auction!$C$13:$C$656,MATCH(H43,Auction!$A$13:$A$656,0)),"")</f>
        <v/>
      </c>
    </row>
    <row r="44" spans="1:11" x14ac:dyDescent="0.25">
      <c r="A44" s="133" t="str">
        <f>IFERROR(INDEX(Auction!$B$13:$B$656,MATCH(B44,Auction!$A$13:$A$656,0)),"")</f>
        <v/>
      </c>
      <c r="B44" s="211" t="str">
        <f t="array" ref="B44">IF($A$27=0,"",IFERROR(INDEX(Auction!$A$13:$M$656,SMALL(IF(Auction!$M$13:$M$656=$A$27,(ROW(Auction!$M$13:$M$656)-MIN(ROW(Auction!$M$13:$M$656))+1),""),ROW(A16)),1),""))</f>
        <v/>
      </c>
      <c r="C44" s="142">
        <f>IF(ISERROR(VLOOKUP(B44,Auction!$A$13:$I$656,7,FALSE)),0,VLOOKUP(B44,Auction!$A$13:$I$656,8,FALSE))</f>
        <v>0</v>
      </c>
      <c r="D44" s="143">
        <f>IFERROR(VLOOKUP(B44,Auction!$A$13:$I$656,9,FALSE)-C44,0)</f>
        <v>0</v>
      </c>
      <c r="E44" s="150" t="str">
        <f>IFERROR(INDEX(Auction!$C$13:$C$656,MATCH(B44,Auction!$A$13:$A$656,0)),"")</f>
        <v/>
      </c>
      <c r="G44" s="133" t="str">
        <f>IFERROR(INDEX(Auction!$B$13:$B$656,MATCH(H44,Auction!$A$13:$A$656,0)),"")</f>
        <v/>
      </c>
      <c r="H44" s="211" t="str">
        <f t="array" ref="H44">IF($G$27=0,"",IFERROR(INDEX(Auction!$A$13:$M$656,SMALL(IF(Auction!$M$13:$M$656=$G$27,(ROW(Auction!$M$13:$M$656)-MIN(ROW(Auction!$M$13:$M$656))+1),""),ROW(G16)),1),""))</f>
        <v/>
      </c>
      <c r="I44" s="142">
        <f>IF(ISERROR(VLOOKUP(H44,Auction!$A$13:$I$656,7,FALSE)),0,VLOOKUP(H44,Auction!$A$13:$I$656,8,FALSE))</f>
        <v>0</v>
      </c>
      <c r="J44" s="143">
        <f>IFERROR(VLOOKUP(H44,Auction!$A$13:$I$656,9,FALSE)-I44,0)</f>
        <v>0</v>
      </c>
      <c r="K44" s="150" t="str">
        <f>IFERROR(INDEX(Auction!$C$13:$C$656,MATCH(H44,Auction!$A$13:$A$656,0)),"")</f>
        <v/>
      </c>
    </row>
    <row r="45" spans="1:11" x14ac:dyDescent="0.25">
      <c r="A45" s="133" t="str">
        <f>IFERROR(INDEX(Auction!$B$13:$B$656,MATCH(B45,Auction!$A$13:$A$656,0)),"")</f>
        <v/>
      </c>
      <c r="B45" s="211" t="str">
        <f t="array" ref="B45">IF($A$27=0,"",IFERROR(INDEX(Auction!$A$13:$M$656,SMALL(IF(Auction!$M$13:$M$656=$A$27,(ROW(Auction!$M$13:$M$656)-MIN(ROW(Auction!$M$13:$M$656))+1),""),ROW(A17)),1),""))</f>
        <v/>
      </c>
      <c r="C45" s="142">
        <f>IF(ISERROR(VLOOKUP(B45,Auction!$A$13:$I$656,7,FALSE)),0,VLOOKUP(B45,Auction!$A$13:$I$656,8,FALSE))</f>
        <v>0</v>
      </c>
      <c r="D45" s="143">
        <f>IFERROR(VLOOKUP(B45,Auction!$A$13:$I$656,9,FALSE)-C45,0)</f>
        <v>0</v>
      </c>
      <c r="E45" s="150" t="str">
        <f>IFERROR(INDEX(Auction!$C$13:$C$656,MATCH(B45,Auction!$A$13:$A$656,0)),"")</f>
        <v/>
      </c>
      <c r="G45" s="133" t="str">
        <f>IFERROR(INDEX(Auction!$B$13:$B$656,MATCH(H45,Auction!$A$13:$A$656,0)),"")</f>
        <v/>
      </c>
      <c r="H45" s="211" t="str">
        <f t="array" ref="H45">IF($G$27=0,"",IFERROR(INDEX(Auction!$A$13:$M$656,SMALL(IF(Auction!$M$13:$M$656=$G$27,(ROW(Auction!$M$13:$M$656)-MIN(ROW(Auction!$M$13:$M$656))+1),""),ROW(G17)),1),""))</f>
        <v/>
      </c>
      <c r="I45" s="142">
        <f>IF(ISERROR(VLOOKUP(H45,Auction!$A$13:$I$656,7,FALSE)),0,VLOOKUP(H45,Auction!$A$13:$I$656,8,FALSE))</f>
        <v>0</v>
      </c>
      <c r="J45" s="143">
        <f>IFERROR(VLOOKUP(H45,Auction!$A$13:$I$656,9,FALSE)-I45,0)</f>
        <v>0</v>
      </c>
      <c r="K45" s="150" t="str">
        <f>IFERROR(INDEX(Auction!$C$13:$C$656,MATCH(H45,Auction!$A$13:$A$656,0)),"")</f>
        <v/>
      </c>
    </row>
    <row r="46" spans="1:11" x14ac:dyDescent="0.25">
      <c r="A46" s="133" t="str">
        <f>IFERROR(INDEX(Auction!$B$13:$B$656,MATCH(B46,Auction!$A$13:$A$656,0)),"")</f>
        <v/>
      </c>
      <c r="B46" s="211" t="str">
        <f t="array" ref="B46">IF($A$27=0,"",IFERROR(INDEX(Auction!$A$13:$M$656,SMALL(IF(Auction!$M$13:$M$656=$A$27,(ROW(Auction!$M$13:$M$656)-MIN(ROW(Auction!$M$13:$M$656))+1),""),ROW(A18)),1),""))</f>
        <v/>
      </c>
      <c r="C46" s="142">
        <f>IF(ISERROR(VLOOKUP(B46,Auction!$A$13:$I$656,7,FALSE)),0,VLOOKUP(B46,Auction!$A$13:$I$656,8,FALSE))</f>
        <v>0</v>
      </c>
      <c r="D46" s="143">
        <f>IFERROR(VLOOKUP(B46,Auction!$A$13:$I$656,9,FALSE)-C46,0)</f>
        <v>0</v>
      </c>
      <c r="E46" s="150" t="str">
        <f>IFERROR(INDEX(Auction!$C$13:$C$656,MATCH(B46,Auction!$A$13:$A$656,0)),"")</f>
        <v/>
      </c>
      <c r="G46" s="133" t="str">
        <f>IFERROR(INDEX(Auction!$B$13:$B$656,MATCH(H46,Auction!$A$13:$A$656,0)),"")</f>
        <v/>
      </c>
      <c r="H46" s="211" t="str">
        <f t="array" ref="H46">IF($G$27=0,"",IFERROR(INDEX(Auction!$A$13:$M$656,SMALL(IF(Auction!$M$13:$M$656=$G$27,(ROW(Auction!$M$13:$M$656)-MIN(ROW(Auction!$M$13:$M$656))+1),""),ROW(G18)),1),""))</f>
        <v/>
      </c>
      <c r="I46" s="142">
        <f>IF(ISERROR(VLOOKUP(H46,Auction!$A$13:$I$656,7,FALSE)),0,VLOOKUP(H46,Auction!$A$13:$I$656,8,FALSE))</f>
        <v>0</v>
      </c>
      <c r="J46" s="143">
        <f>IFERROR(VLOOKUP(H46,Auction!$A$13:$I$656,9,FALSE)-I46,0)</f>
        <v>0</v>
      </c>
      <c r="K46" s="150" t="str">
        <f>IFERROR(INDEX(Auction!$C$13:$C$656,MATCH(H46,Auction!$A$13:$A$656,0)),"")</f>
        <v/>
      </c>
    </row>
    <row r="47" spans="1:11" x14ac:dyDescent="0.25">
      <c r="A47" s="133" t="str">
        <f>IFERROR(INDEX(Auction!$B$13:$B$656,MATCH(B47,Auction!$A$13:$A$656,0)),"")</f>
        <v/>
      </c>
      <c r="B47" s="211" t="str">
        <f t="array" ref="B47">IF($A$27=0,"",IFERROR(INDEX(Auction!$A$13:$M$656,SMALL(IF(Auction!$M$13:$M$656=$A$27,(ROW(Auction!$M$13:$M$656)-MIN(ROW(Auction!$M$13:$M$656))+1),""),ROW(A19)),1),""))</f>
        <v/>
      </c>
      <c r="C47" s="142">
        <f>IF(ISERROR(VLOOKUP(B47,Auction!$A$13:$I$656,7,FALSE)),0,VLOOKUP(B47,Auction!$A$13:$I$656,8,FALSE))</f>
        <v>0</v>
      </c>
      <c r="D47" s="143">
        <f>IFERROR(VLOOKUP(B47,Auction!$A$13:$I$656,9,FALSE)-C47,0)</f>
        <v>0</v>
      </c>
      <c r="E47" s="150" t="str">
        <f>IFERROR(INDEX(Auction!$C$13:$C$656,MATCH(B47,Auction!$A$13:$A$656,0)),"")</f>
        <v/>
      </c>
      <c r="G47" s="133" t="str">
        <f>IFERROR(INDEX(Auction!$B$13:$B$656,MATCH(H47,Auction!$A$13:$A$656,0)),"")</f>
        <v/>
      </c>
      <c r="H47" s="211" t="str">
        <f t="array" ref="H47">IF($G$27=0,"",IFERROR(INDEX(Auction!$A$13:$M$656,SMALL(IF(Auction!$M$13:$M$656=$G$27,(ROW(Auction!$M$13:$M$656)-MIN(ROW(Auction!$M$13:$M$656))+1),""),ROW(G19)),1),""))</f>
        <v/>
      </c>
      <c r="I47" s="142">
        <f>IF(ISERROR(VLOOKUP(H47,Auction!$A$13:$I$656,7,FALSE)),0,VLOOKUP(H47,Auction!$A$13:$I$656,8,FALSE))</f>
        <v>0</v>
      </c>
      <c r="J47" s="143">
        <f>IFERROR(VLOOKUP(H47,Auction!$A$13:$I$656,9,FALSE)-I47,0)</f>
        <v>0</v>
      </c>
      <c r="K47" s="150" t="str">
        <f>IFERROR(INDEX(Auction!$C$13:$C$656,MATCH(H47,Auction!$A$13:$A$656,0)),"")</f>
        <v/>
      </c>
    </row>
    <row r="48" spans="1:11" x14ac:dyDescent="0.25">
      <c r="A48" s="133" t="str">
        <f>IFERROR(INDEX(Auction!$B$13:$B$656,MATCH(B48,Auction!$A$13:$A$656,0)),"")</f>
        <v/>
      </c>
      <c r="B48" s="211" t="str">
        <f t="array" ref="B48">IF($A$27=0,"",IFERROR(INDEX(Auction!$A$13:$M$656,SMALL(IF(Auction!$M$13:$M$656=$A$27,(ROW(Auction!$M$13:$M$656)-MIN(ROW(Auction!$M$13:$M$656))+1),""),ROW(A20)),1),""))</f>
        <v/>
      </c>
      <c r="C48" s="142">
        <f>IF(ISERROR(VLOOKUP(B48,Auction!$A$13:$I$656,7,FALSE)),0,VLOOKUP(B48,Auction!$A$13:$I$656,8,FALSE))</f>
        <v>0</v>
      </c>
      <c r="D48" s="143">
        <f>IFERROR(VLOOKUP(B48,Auction!$A$13:$I$656,9,FALSE)-C48,0)</f>
        <v>0</v>
      </c>
      <c r="E48" s="150" t="str">
        <f>IFERROR(INDEX(Auction!$C$13:$C$656,MATCH(B48,Auction!$A$13:$A$656,0)),"")</f>
        <v/>
      </c>
      <c r="G48" s="133" t="str">
        <f>IFERROR(INDEX(Auction!$B$13:$B$656,MATCH(H48,Auction!$A$13:$A$656,0)),"")</f>
        <v/>
      </c>
      <c r="H48" s="211" t="str">
        <f t="array" ref="H48">IF($G$27=0,"",IFERROR(INDEX(Auction!$A$13:$M$656,SMALL(IF(Auction!$M$13:$M$656=$G$27,(ROW(Auction!$M$13:$M$656)-MIN(ROW(Auction!$M$13:$M$656))+1),""),ROW(G20)),1),""))</f>
        <v/>
      </c>
      <c r="I48" s="142">
        <f>IF(ISERROR(VLOOKUP(H48,Auction!$A$13:$I$656,7,FALSE)),0,VLOOKUP(H48,Auction!$A$13:$I$656,8,FALSE))</f>
        <v>0</v>
      </c>
      <c r="J48" s="143">
        <f>IFERROR(VLOOKUP(H48,Auction!$A$13:$I$656,9,FALSE)-I48,0)</f>
        <v>0</v>
      </c>
      <c r="K48" s="150" t="str">
        <f>IFERROR(INDEX(Auction!$C$13:$C$656,MATCH(H48,Auction!$A$13:$A$656,0)),"")</f>
        <v/>
      </c>
    </row>
    <row r="49" spans="1:11" x14ac:dyDescent="0.25">
      <c r="A49" s="151"/>
      <c r="B49" s="152"/>
      <c r="C49" s="153">
        <f>SUM(C29:C48)</f>
        <v>0</v>
      </c>
      <c r="D49" s="153">
        <f>SUM(D29:D48)</f>
        <v>0</v>
      </c>
      <c r="E49" s="154"/>
      <c r="G49" s="151"/>
      <c r="H49" s="152"/>
      <c r="I49" s="153">
        <f>SUM(I29:I48)</f>
        <v>0</v>
      </c>
      <c r="J49" s="153">
        <f>SUM(J29:J48)</f>
        <v>0</v>
      </c>
      <c r="K49" s="154"/>
    </row>
    <row r="51" spans="1:11" x14ac:dyDescent="0.25">
      <c r="A51" s="268" t="str">
        <f>H6</f>
        <v>Team 4</v>
      </c>
      <c r="B51" s="269"/>
      <c r="C51" s="269"/>
      <c r="D51" s="269"/>
      <c r="E51" s="270"/>
      <c r="G51" s="268" t="str">
        <f>H7</f>
        <v>Team 5</v>
      </c>
      <c r="H51" s="269"/>
      <c r="I51" s="269"/>
      <c r="J51" s="269"/>
      <c r="K51" s="270"/>
    </row>
    <row r="52" spans="1:11" x14ac:dyDescent="0.25">
      <c r="A52" s="140" t="s">
        <v>495</v>
      </c>
      <c r="B52" s="148" t="s">
        <v>85</v>
      </c>
      <c r="C52" s="130" t="s">
        <v>496</v>
      </c>
      <c r="D52" s="130" t="s">
        <v>497</v>
      </c>
      <c r="E52" s="141" t="s">
        <v>440</v>
      </c>
      <c r="G52" s="140" t="s">
        <v>495</v>
      </c>
      <c r="H52" s="148" t="s">
        <v>85</v>
      </c>
      <c r="I52" s="130" t="s">
        <v>496</v>
      </c>
      <c r="J52" s="130" t="s">
        <v>497</v>
      </c>
      <c r="K52" s="141" t="s">
        <v>440</v>
      </c>
    </row>
    <row r="53" spans="1:11" x14ac:dyDescent="0.25">
      <c r="A53" s="133" t="str">
        <f>IFERROR(INDEX(Auction!$B$13:$B$656,MATCH(B53,Auction!$A$13:$A$656,0)),"")</f>
        <v/>
      </c>
      <c r="B53" s="211" t="str">
        <f t="array" ref="B53">IF($A$51=0,"",IFERROR(INDEX(Auction!$A$13:$M$656,SMALL(IF(Auction!$M$13:$M$656=$A$51,(ROW(Auction!$M$13:$M$656)-MIN(ROW(Auction!$M$13:$M$656))+1),""),ROW(A1)),1),""))</f>
        <v/>
      </c>
      <c r="C53" s="142">
        <f>IF(ISERROR(VLOOKUP(B53,Auction!$A$13:$I$656,7,FALSE)),0,VLOOKUP(B53,Auction!$A$13:$I$656,8,FALSE))</f>
        <v>0</v>
      </c>
      <c r="D53" s="143">
        <f>IFERROR(VLOOKUP(B53,Auction!$A$13:$I$656,9,FALSE)-C53,0)</f>
        <v>0</v>
      </c>
      <c r="E53" s="149" t="str">
        <f>IFERROR(INDEX(Auction!$C$13:$C$656,MATCH(B53,Auction!$A$13:$A$656,0)),"")</f>
        <v/>
      </c>
      <c r="G53" s="133" t="str">
        <f>IFERROR(INDEX(Auction!$B$13:$B$656,MATCH(H53,Auction!$A$13:$A$656,0)),"")</f>
        <v/>
      </c>
      <c r="H53" s="211" t="str">
        <f t="array" ref="H53">IF($G$51=0,"",IFERROR(INDEX(Auction!$A$13:$M$656,SMALL(IF(Auction!$M$13:$M$656=$G$51,(ROW(Auction!$M$13:$M$656)-MIN(ROW(Auction!$M$13:$M$656))+1),""),ROW(G1)),1),""))</f>
        <v/>
      </c>
      <c r="I53" s="142">
        <f>IF(ISERROR(VLOOKUP(H53,Auction!$A$13:$I$656,7,FALSE)),0,VLOOKUP(H53,Auction!$A$13:$I$656,8,FALSE))</f>
        <v>0</v>
      </c>
      <c r="J53" s="143">
        <f>IFERROR(VLOOKUP(H53,Auction!$A$13:$I$656,9,FALSE)-I53,0)</f>
        <v>0</v>
      </c>
      <c r="K53" s="149" t="str">
        <f>IFERROR(INDEX(Auction!$C$13:$C$656,MATCH(H53,Auction!$A$13:$A$656,0)),"")</f>
        <v/>
      </c>
    </row>
    <row r="54" spans="1:11" x14ac:dyDescent="0.25">
      <c r="A54" s="133" t="str">
        <f>IFERROR(INDEX(Auction!$B$13:$B$656,MATCH(B54,Auction!$A$13:$A$656,0)),"")</f>
        <v/>
      </c>
      <c r="B54" s="211" t="str">
        <f t="array" ref="B54">IF($A$51=0,"",IFERROR(INDEX(Auction!$A$13:$M$656,SMALL(IF(Auction!$M$13:$M$656=$A$51,(ROW(Auction!$M$13:$M$656)-MIN(ROW(Auction!$M$13:$M$656))+1),""),ROW(A2)),1),""))</f>
        <v/>
      </c>
      <c r="C54" s="142">
        <f>IF(ISERROR(VLOOKUP(B54,Auction!$A$13:$I$656,7,FALSE)),0,VLOOKUP(B54,Auction!$A$13:$I$656,8,FALSE))</f>
        <v>0</v>
      </c>
      <c r="D54" s="143">
        <f>IFERROR(VLOOKUP(B54,Auction!$A$13:$I$656,9,FALSE)-C54,0)</f>
        <v>0</v>
      </c>
      <c r="E54" s="149" t="str">
        <f>IFERROR(INDEX(Auction!$C$13:$C$656,MATCH(B54,Auction!$A$13:$A$656,0)),"")</f>
        <v/>
      </c>
      <c r="G54" s="133" t="str">
        <f>IFERROR(INDEX(Auction!$B$13:$B$656,MATCH(H54,Auction!$A$13:$A$656,0)),"")</f>
        <v/>
      </c>
      <c r="H54" s="211" t="str">
        <f t="array" ref="H54">IF($G$51=0,"",IFERROR(INDEX(Auction!$A$13:$M$656,SMALL(IF(Auction!$M$13:$M$656=$G$51,(ROW(Auction!$M$13:$M$656)-MIN(ROW(Auction!$M$13:$M$656))+1),""),ROW(G2)),1),""))</f>
        <v/>
      </c>
      <c r="I54" s="142">
        <f>IF(ISERROR(VLOOKUP(H54,Auction!$A$13:$I$656,7,FALSE)),0,VLOOKUP(H54,Auction!$A$13:$I$656,8,FALSE))</f>
        <v>0</v>
      </c>
      <c r="J54" s="143">
        <f>IFERROR(VLOOKUP(H54,Auction!$A$13:$I$656,9,FALSE)-I54,0)</f>
        <v>0</v>
      </c>
      <c r="K54" s="149" t="str">
        <f>IFERROR(INDEX(Auction!$C$13:$C$656,MATCH(H54,Auction!$A$13:$A$656,0)),"")</f>
        <v/>
      </c>
    </row>
    <row r="55" spans="1:11" x14ac:dyDescent="0.25">
      <c r="A55" s="133" t="str">
        <f>IFERROR(INDEX(Auction!$B$13:$B$656,MATCH(B55,Auction!$A$13:$A$656,0)),"")</f>
        <v/>
      </c>
      <c r="B55" s="211" t="str">
        <f t="array" ref="B55">IF($A$51=0,"",IFERROR(INDEX(Auction!$A$13:$M$656,SMALL(IF(Auction!$M$13:$M$656=$A$51,(ROW(Auction!$M$13:$M$656)-MIN(ROW(Auction!$M$13:$M$656))+1),""),ROW(A3)),1),""))</f>
        <v/>
      </c>
      <c r="C55" s="142">
        <f>IF(ISERROR(VLOOKUP(B55,Auction!$A$13:$I$656,7,FALSE)),0,VLOOKUP(B55,Auction!$A$13:$I$656,8,FALSE))</f>
        <v>0</v>
      </c>
      <c r="D55" s="143">
        <f>IFERROR(VLOOKUP(B55,Auction!$A$13:$I$656,9,FALSE)-C55,0)</f>
        <v>0</v>
      </c>
      <c r="E55" s="149" t="str">
        <f>IFERROR(INDEX(Auction!$C$13:$C$656,MATCH(B55,Auction!$A$13:$A$656,0)),"")</f>
        <v/>
      </c>
      <c r="G55" s="133" t="str">
        <f>IFERROR(INDEX(Auction!$B$13:$B$656,MATCH(H55,Auction!$A$13:$A$656,0)),"")</f>
        <v/>
      </c>
      <c r="H55" s="211" t="str">
        <f t="array" ref="H55">IF($G$51=0,"",IFERROR(INDEX(Auction!$A$13:$M$656,SMALL(IF(Auction!$M$13:$M$656=$G$51,(ROW(Auction!$M$13:$M$656)-MIN(ROW(Auction!$M$13:$M$656))+1),""),ROW(G3)),1),""))</f>
        <v/>
      </c>
      <c r="I55" s="142">
        <f>IF(ISERROR(VLOOKUP(H55,Auction!$A$13:$I$656,7,FALSE)),0,VLOOKUP(H55,Auction!$A$13:$I$656,8,FALSE))</f>
        <v>0</v>
      </c>
      <c r="J55" s="143">
        <f>IFERROR(VLOOKUP(H55,Auction!$A$13:$I$656,9,FALSE)-I55,0)</f>
        <v>0</v>
      </c>
      <c r="K55" s="149" t="str">
        <f>IFERROR(INDEX(Auction!$C$13:$C$656,MATCH(H55,Auction!$A$13:$A$656,0)),"")</f>
        <v/>
      </c>
    </row>
    <row r="56" spans="1:11" x14ac:dyDescent="0.25">
      <c r="A56" s="133" t="str">
        <f>IFERROR(INDEX(Auction!$B$13:$B$656,MATCH(B56,Auction!$A$13:$A$656,0)),"")</f>
        <v/>
      </c>
      <c r="B56" s="211" t="str">
        <f t="array" ref="B56">IF($A$51=0,"",IFERROR(INDEX(Auction!$A$13:$M$656,SMALL(IF(Auction!$M$13:$M$656=$A$51,(ROW(Auction!$M$13:$M$656)-MIN(ROW(Auction!$M$13:$M$656))+1),""),ROW(A4)),1),""))</f>
        <v/>
      </c>
      <c r="C56" s="142">
        <f>IF(ISERROR(VLOOKUP(B56,Auction!$A$13:$I$656,7,FALSE)),0,VLOOKUP(B56,Auction!$A$13:$I$656,8,FALSE))</f>
        <v>0</v>
      </c>
      <c r="D56" s="143">
        <f>IFERROR(VLOOKUP(B56,Auction!$A$13:$I$656,9,FALSE)-C56,0)</f>
        <v>0</v>
      </c>
      <c r="E56" s="149" t="str">
        <f>IFERROR(INDEX(Auction!$C$13:$C$656,MATCH(B56,Auction!$A$13:$A$656,0)),"")</f>
        <v/>
      </c>
      <c r="G56" s="133" t="str">
        <f>IFERROR(INDEX(Auction!$B$13:$B$656,MATCH(H56,Auction!$A$13:$A$656,0)),"")</f>
        <v/>
      </c>
      <c r="H56" s="211" t="str">
        <f t="array" ref="H56">IF($G$51=0,"",IFERROR(INDEX(Auction!$A$13:$M$656,SMALL(IF(Auction!$M$13:$M$656=$G$51,(ROW(Auction!$M$13:$M$656)-MIN(ROW(Auction!$M$13:$M$656))+1),""),ROW(G4)),1),""))</f>
        <v/>
      </c>
      <c r="I56" s="142">
        <f>IF(ISERROR(VLOOKUP(H56,Auction!$A$13:$I$656,7,FALSE)),0,VLOOKUP(H56,Auction!$A$13:$I$656,8,FALSE))</f>
        <v>0</v>
      </c>
      <c r="J56" s="143">
        <f>IFERROR(VLOOKUP(H56,Auction!$A$13:$I$656,9,FALSE)-I56,0)</f>
        <v>0</v>
      </c>
      <c r="K56" s="149" t="str">
        <f>IFERROR(INDEX(Auction!$C$13:$C$656,MATCH(H56,Auction!$A$13:$A$656,0)),"")</f>
        <v/>
      </c>
    </row>
    <row r="57" spans="1:11" x14ac:dyDescent="0.25">
      <c r="A57" s="133" t="str">
        <f>IFERROR(INDEX(Auction!$B$13:$B$656,MATCH(B57,Auction!$A$13:$A$656,0)),"")</f>
        <v/>
      </c>
      <c r="B57" s="211" t="str">
        <f t="array" ref="B57">IF($A$51=0,"",IFERROR(INDEX(Auction!$A$13:$M$656,SMALL(IF(Auction!$M$13:$M$656=$A$51,(ROW(Auction!$M$13:$M$656)-MIN(ROW(Auction!$M$13:$M$656))+1),""),ROW(A5)),1),""))</f>
        <v/>
      </c>
      <c r="C57" s="142">
        <f>IF(ISERROR(VLOOKUP(B57,Auction!$A$13:$I$656,7,FALSE)),0,VLOOKUP(B57,Auction!$A$13:$I$656,8,FALSE))</f>
        <v>0</v>
      </c>
      <c r="D57" s="143">
        <f>IFERROR(VLOOKUP(B57,Auction!$A$13:$I$656,9,FALSE)-C57,0)</f>
        <v>0</v>
      </c>
      <c r="E57" s="149" t="str">
        <f>IFERROR(INDEX(Auction!$C$13:$C$656,MATCH(B57,Auction!$A$13:$A$656,0)),"")</f>
        <v/>
      </c>
      <c r="G57" s="133" t="str">
        <f>IFERROR(INDEX(Auction!$B$13:$B$656,MATCH(H57,Auction!$A$13:$A$656,0)),"")</f>
        <v/>
      </c>
      <c r="H57" s="211" t="str">
        <f t="array" ref="H57">IF($G$51=0,"",IFERROR(INDEX(Auction!$A$13:$M$656,SMALL(IF(Auction!$M$13:$M$656=$G$51,(ROW(Auction!$M$13:$M$656)-MIN(ROW(Auction!$M$13:$M$656))+1),""),ROW(G5)),1),""))</f>
        <v/>
      </c>
      <c r="I57" s="142">
        <f>IF(ISERROR(VLOOKUP(H57,Auction!$A$13:$I$656,7,FALSE)),0,VLOOKUP(H57,Auction!$A$13:$I$656,8,FALSE))</f>
        <v>0</v>
      </c>
      <c r="J57" s="143">
        <f>IFERROR(VLOOKUP(H57,Auction!$A$13:$I$656,9,FALSE)-I57,0)</f>
        <v>0</v>
      </c>
      <c r="K57" s="149" t="str">
        <f>IFERROR(INDEX(Auction!$C$13:$C$656,MATCH(H57,Auction!$A$13:$A$656,0)),"")</f>
        <v/>
      </c>
    </row>
    <row r="58" spans="1:11" x14ac:dyDescent="0.25">
      <c r="A58" s="133" t="str">
        <f>IFERROR(INDEX(Auction!$B$13:$B$656,MATCH(B58,Auction!$A$13:$A$656,0)),"")</f>
        <v/>
      </c>
      <c r="B58" s="211" t="str">
        <f t="array" ref="B58">IF($A$51=0,"",IFERROR(INDEX(Auction!$A$13:$M$656,SMALL(IF(Auction!$M$13:$M$656=$A$51,(ROW(Auction!$M$13:$M$656)-MIN(ROW(Auction!$M$13:$M$656))+1),""),ROW(A6)),1),""))</f>
        <v/>
      </c>
      <c r="C58" s="142">
        <f>IF(ISERROR(VLOOKUP(B58,Auction!$A$13:$I$656,7,FALSE)),0,VLOOKUP(B58,Auction!$A$13:$I$656,8,FALSE))</f>
        <v>0</v>
      </c>
      <c r="D58" s="143">
        <f>IFERROR(VLOOKUP(B58,Auction!$A$13:$I$656,9,FALSE)-C58,0)</f>
        <v>0</v>
      </c>
      <c r="E58" s="149" t="str">
        <f>IFERROR(INDEX(Auction!$C$13:$C$656,MATCH(B58,Auction!$A$13:$A$656,0)),"")</f>
        <v/>
      </c>
      <c r="G58" s="133" t="str">
        <f>IFERROR(INDEX(Auction!$B$13:$B$656,MATCH(H58,Auction!$A$13:$A$656,0)),"")</f>
        <v/>
      </c>
      <c r="H58" s="211" t="str">
        <f t="array" ref="H58">IF($G$51=0,"",IFERROR(INDEX(Auction!$A$13:$M$656,SMALL(IF(Auction!$M$13:$M$656=$G$51,(ROW(Auction!$M$13:$M$656)-MIN(ROW(Auction!$M$13:$M$656))+1),""),ROW(G6)),1),""))</f>
        <v/>
      </c>
      <c r="I58" s="142">
        <f>IF(ISERROR(VLOOKUP(H58,Auction!$A$13:$I$656,7,FALSE)),0,VLOOKUP(H58,Auction!$A$13:$I$656,8,FALSE))</f>
        <v>0</v>
      </c>
      <c r="J58" s="143">
        <f>IFERROR(VLOOKUP(H58,Auction!$A$13:$I$656,9,FALSE)-I58,0)</f>
        <v>0</v>
      </c>
      <c r="K58" s="149" t="str">
        <f>IFERROR(INDEX(Auction!$C$13:$C$656,MATCH(H58,Auction!$A$13:$A$656,0)),"")</f>
        <v/>
      </c>
    </row>
    <row r="59" spans="1:11" x14ac:dyDescent="0.25">
      <c r="A59" s="133" t="str">
        <f>IFERROR(INDEX(Auction!$B$13:$B$656,MATCH(B59,Auction!$A$13:$A$656,0)),"")</f>
        <v/>
      </c>
      <c r="B59" s="211" t="str">
        <f t="array" ref="B59">IF($A$51=0,"",IFERROR(INDEX(Auction!$A$13:$M$656,SMALL(IF(Auction!$M$13:$M$656=$A$51,(ROW(Auction!$M$13:$M$656)-MIN(ROW(Auction!$M$13:$M$656))+1),""),ROW(A7)),1),""))</f>
        <v/>
      </c>
      <c r="C59" s="142">
        <f>IF(ISERROR(VLOOKUP(B59,Auction!$A$13:$I$656,7,FALSE)),0,VLOOKUP(B59,Auction!$A$13:$I$656,8,FALSE))</f>
        <v>0</v>
      </c>
      <c r="D59" s="143">
        <f>IFERROR(VLOOKUP(B59,Auction!$A$13:$I$656,9,FALSE)-C59,0)</f>
        <v>0</v>
      </c>
      <c r="E59" s="149" t="str">
        <f>IFERROR(INDEX(Auction!$C$13:$C$656,MATCH(B59,Auction!$A$13:$A$656,0)),"")</f>
        <v/>
      </c>
      <c r="G59" s="133" t="str">
        <f>IFERROR(INDEX(Auction!$B$13:$B$656,MATCH(H59,Auction!$A$13:$A$656,0)),"")</f>
        <v/>
      </c>
      <c r="H59" s="211" t="str">
        <f t="array" ref="H59">IF($G$51=0,"",IFERROR(INDEX(Auction!$A$13:$M$656,SMALL(IF(Auction!$M$13:$M$656=$G$51,(ROW(Auction!$M$13:$M$656)-MIN(ROW(Auction!$M$13:$M$656))+1),""),ROW(G7)),1),""))</f>
        <v/>
      </c>
      <c r="I59" s="142">
        <f>IF(ISERROR(VLOOKUP(H59,Auction!$A$13:$I$656,7,FALSE)),0,VLOOKUP(H59,Auction!$A$13:$I$656,8,FALSE))</f>
        <v>0</v>
      </c>
      <c r="J59" s="143">
        <f>IFERROR(VLOOKUP(H59,Auction!$A$13:$I$656,9,FALSE)-I59,0)</f>
        <v>0</v>
      </c>
      <c r="K59" s="149" t="str">
        <f>IFERROR(INDEX(Auction!$C$13:$C$656,MATCH(H59,Auction!$A$13:$A$656,0)),"")</f>
        <v/>
      </c>
    </row>
    <row r="60" spans="1:11" x14ac:dyDescent="0.25">
      <c r="A60" s="133" t="str">
        <f>IFERROR(INDEX(Auction!$B$13:$B$656,MATCH(B60,Auction!$A$13:$A$656,0)),"")</f>
        <v/>
      </c>
      <c r="B60" s="211" t="str">
        <f t="array" ref="B60">IF($A$51=0,"",IFERROR(INDEX(Auction!$A$13:$M$656,SMALL(IF(Auction!$M$13:$M$656=$A$51,(ROW(Auction!$M$13:$M$656)-MIN(ROW(Auction!$M$13:$M$656))+1),""),ROW(A8)),1),""))</f>
        <v/>
      </c>
      <c r="C60" s="142">
        <f>IF(ISERROR(VLOOKUP(B60,Auction!$A$13:$I$656,7,FALSE)),0,VLOOKUP(B60,Auction!$A$13:$I$656,8,FALSE))</f>
        <v>0</v>
      </c>
      <c r="D60" s="143">
        <f>IFERROR(VLOOKUP(B60,Auction!$A$13:$I$656,9,FALSE)-C60,0)</f>
        <v>0</v>
      </c>
      <c r="E60" s="149" t="str">
        <f>IFERROR(INDEX(Auction!$C$13:$C$656,MATCH(B60,Auction!$A$13:$A$656,0)),"")</f>
        <v/>
      </c>
      <c r="G60" s="133" t="str">
        <f>IFERROR(INDEX(Auction!$B$13:$B$656,MATCH(H60,Auction!$A$13:$A$656,0)),"")</f>
        <v/>
      </c>
      <c r="H60" s="211" t="str">
        <f t="array" ref="H60">IF($G$51=0,"",IFERROR(INDEX(Auction!$A$13:$M$656,SMALL(IF(Auction!$M$13:$M$656=$G$51,(ROW(Auction!$M$13:$M$656)-MIN(ROW(Auction!$M$13:$M$656))+1),""),ROW(G8)),1),""))</f>
        <v/>
      </c>
      <c r="I60" s="142">
        <f>IF(ISERROR(VLOOKUP(H60,Auction!$A$13:$I$656,7,FALSE)),0,VLOOKUP(H60,Auction!$A$13:$I$656,8,FALSE))</f>
        <v>0</v>
      </c>
      <c r="J60" s="143">
        <f>IFERROR(VLOOKUP(H60,Auction!$A$13:$I$656,9,FALSE)-I60,0)</f>
        <v>0</v>
      </c>
      <c r="K60" s="149" t="str">
        <f>IFERROR(INDEX(Auction!$C$13:$C$656,MATCH(H60,Auction!$A$13:$A$656,0)),"")</f>
        <v/>
      </c>
    </row>
    <row r="61" spans="1:11" x14ac:dyDescent="0.25">
      <c r="A61" s="133" t="str">
        <f>IFERROR(INDEX(Auction!$B$13:$B$656,MATCH(B61,Auction!$A$13:$A$656,0)),"")</f>
        <v/>
      </c>
      <c r="B61" s="211" t="str">
        <f t="array" ref="B61">IF($A$51=0,"",IFERROR(INDEX(Auction!$A$13:$M$656,SMALL(IF(Auction!$M$13:$M$656=$A$51,(ROW(Auction!$M$13:$M$656)-MIN(ROW(Auction!$M$13:$M$656))+1),""),ROW(A9)),1),""))</f>
        <v/>
      </c>
      <c r="C61" s="142">
        <f>IF(ISERROR(VLOOKUP(B61,Auction!$A$13:$I$656,7,FALSE)),0,VLOOKUP(B61,Auction!$A$13:$I$656,8,FALSE))</f>
        <v>0</v>
      </c>
      <c r="D61" s="143">
        <f>IFERROR(VLOOKUP(B61,Auction!$A$13:$I$656,9,FALSE)-C61,0)</f>
        <v>0</v>
      </c>
      <c r="E61" s="150" t="str">
        <f>IFERROR(INDEX(Auction!$C$13:$C$656,MATCH(B61,Auction!$A$13:$A$656,0)),"")</f>
        <v/>
      </c>
      <c r="G61" s="133" t="str">
        <f>IFERROR(INDEX(Auction!$B$13:$B$656,MATCH(H61,Auction!$A$13:$A$656,0)),"")</f>
        <v/>
      </c>
      <c r="H61" s="211" t="str">
        <f t="array" ref="H61">IF($G$51=0,"",IFERROR(INDEX(Auction!$A$13:$M$656,SMALL(IF(Auction!$M$13:$M$656=$G$51,(ROW(Auction!$M$13:$M$656)-MIN(ROW(Auction!$M$13:$M$656))+1),""),ROW(G9)),1),""))</f>
        <v/>
      </c>
      <c r="I61" s="142">
        <f>IF(ISERROR(VLOOKUP(H61,Auction!$A$13:$I$656,7,FALSE)),0,VLOOKUP(H61,Auction!$A$13:$I$656,8,FALSE))</f>
        <v>0</v>
      </c>
      <c r="J61" s="143">
        <f>IFERROR(VLOOKUP(H61,Auction!$A$13:$I$656,9,FALSE)-I61,0)</f>
        <v>0</v>
      </c>
      <c r="K61" s="150" t="str">
        <f>IFERROR(INDEX(Auction!$C$13:$C$656,MATCH(H61,Auction!$A$13:$A$656,0)),"")</f>
        <v/>
      </c>
    </row>
    <row r="62" spans="1:11" x14ac:dyDescent="0.25">
      <c r="A62" s="133" t="str">
        <f>IFERROR(INDEX(Auction!$B$13:$B$656,MATCH(B62,Auction!$A$13:$A$656,0)),"")</f>
        <v/>
      </c>
      <c r="B62" s="211" t="str">
        <f t="array" ref="B62">IF($A$51=0,"",IFERROR(INDEX(Auction!$A$13:$M$656,SMALL(IF(Auction!$M$13:$M$656=$A$51,(ROW(Auction!$M$13:$M$656)-MIN(ROW(Auction!$M$13:$M$656))+1),""),ROW(A10)),1),""))</f>
        <v/>
      </c>
      <c r="C62" s="142">
        <f>IF(ISERROR(VLOOKUP(B62,Auction!$A$13:$I$656,7,FALSE)),0,VLOOKUP(B62,Auction!$A$13:$I$656,8,FALSE))</f>
        <v>0</v>
      </c>
      <c r="D62" s="143">
        <f>IFERROR(VLOOKUP(B62,Auction!$A$13:$I$656,9,FALSE)-C62,0)</f>
        <v>0</v>
      </c>
      <c r="E62" s="150" t="str">
        <f>IFERROR(INDEX(Auction!$C$13:$C$656,MATCH(B62,Auction!$A$13:$A$656,0)),"")</f>
        <v/>
      </c>
      <c r="G62" s="133" t="str">
        <f>IFERROR(INDEX(Auction!$B$13:$B$656,MATCH(H62,Auction!$A$13:$A$656,0)),"")</f>
        <v/>
      </c>
      <c r="H62" s="211" t="str">
        <f t="array" ref="H62">IF($G$51=0,"",IFERROR(INDEX(Auction!$A$13:$M$656,SMALL(IF(Auction!$M$13:$M$656=$G$51,(ROW(Auction!$M$13:$M$656)-MIN(ROW(Auction!$M$13:$M$656))+1),""),ROW(G10)),1),""))</f>
        <v/>
      </c>
      <c r="I62" s="142">
        <f>IF(ISERROR(VLOOKUP(H62,Auction!$A$13:$I$656,7,FALSE)),0,VLOOKUP(H62,Auction!$A$13:$I$656,8,FALSE))</f>
        <v>0</v>
      </c>
      <c r="J62" s="143">
        <f>IFERROR(VLOOKUP(H62,Auction!$A$13:$I$656,9,FALSE)-I62,0)</f>
        <v>0</v>
      </c>
      <c r="K62" s="150" t="str">
        <f>IFERROR(INDEX(Auction!$C$13:$C$656,MATCH(H62,Auction!$A$13:$A$656,0)),"")</f>
        <v/>
      </c>
    </row>
    <row r="63" spans="1:11" x14ac:dyDescent="0.25">
      <c r="A63" s="133" t="str">
        <f>IFERROR(INDEX(Auction!$B$13:$B$656,MATCH(B63,Auction!$A$13:$A$656,0)),"")</f>
        <v/>
      </c>
      <c r="B63" s="211" t="str">
        <f t="array" ref="B63">IF($A$51=0,"",IFERROR(INDEX(Auction!$A$13:$M$656,SMALL(IF(Auction!$M$13:$M$656=$A$51,(ROW(Auction!$M$13:$M$656)-MIN(ROW(Auction!$M$13:$M$656))+1),""),ROW(A11)),1),""))</f>
        <v/>
      </c>
      <c r="C63" s="142">
        <f>IF(ISERROR(VLOOKUP(B63,Auction!$A$13:$I$656,7,FALSE)),0,VLOOKUP(B63,Auction!$A$13:$I$656,8,FALSE))</f>
        <v>0</v>
      </c>
      <c r="D63" s="143">
        <f>IFERROR(VLOOKUP(B63,Auction!$A$13:$I$656,9,FALSE)-C63,0)</f>
        <v>0</v>
      </c>
      <c r="E63" s="150" t="str">
        <f>IFERROR(INDEX(Auction!$C$13:$C$656,MATCH(B63,Auction!$A$13:$A$656,0)),"")</f>
        <v/>
      </c>
      <c r="G63" s="133" t="str">
        <f>IFERROR(INDEX(Auction!$B$13:$B$656,MATCH(H63,Auction!$A$13:$A$656,0)),"")</f>
        <v/>
      </c>
      <c r="H63" s="211" t="str">
        <f t="array" ref="H63">IF($G$51=0,"",IFERROR(INDEX(Auction!$A$13:$M$656,SMALL(IF(Auction!$M$13:$M$656=$G$51,(ROW(Auction!$M$13:$M$656)-MIN(ROW(Auction!$M$13:$M$656))+1),""),ROW(G11)),1),""))</f>
        <v/>
      </c>
      <c r="I63" s="142">
        <f>IF(ISERROR(VLOOKUP(H63,Auction!$A$13:$I$656,7,FALSE)),0,VLOOKUP(H63,Auction!$A$13:$I$656,8,FALSE))</f>
        <v>0</v>
      </c>
      <c r="J63" s="143">
        <f>IFERROR(VLOOKUP(H63,Auction!$A$13:$I$656,9,FALSE)-I63,0)</f>
        <v>0</v>
      </c>
      <c r="K63" s="150" t="str">
        <f>IFERROR(INDEX(Auction!$C$13:$C$656,MATCH(H63,Auction!$A$13:$A$656,0)),"")</f>
        <v/>
      </c>
    </row>
    <row r="64" spans="1:11" x14ac:dyDescent="0.25">
      <c r="A64" s="133" t="str">
        <f>IFERROR(INDEX(Auction!$B$13:$B$656,MATCH(B64,Auction!$A$13:$A$656,0)),"")</f>
        <v/>
      </c>
      <c r="B64" s="211" t="str">
        <f t="array" ref="B64">IF($A$51=0,"",IFERROR(INDEX(Auction!$A$13:$M$656,SMALL(IF(Auction!$M$13:$M$656=$A$51,(ROW(Auction!$M$13:$M$656)-MIN(ROW(Auction!$M$13:$M$656))+1),""),ROW(A12)),1),""))</f>
        <v/>
      </c>
      <c r="C64" s="142">
        <f>IF(ISERROR(VLOOKUP(B64,Auction!$A$13:$I$656,7,FALSE)),0,VLOOKUP(B64,Auction!$A$13:$I$656,8,FALSE))</f>
        <v>0</v>
      </c>
      <c r="D64" s="143">
        <f>IFERROR(VLOOKUP(B64,Auction!$A$13:$I$656,9,FALSE)-C64,0)</f>
        <v>0</v>
      </c>
      <c r="E64" s="150" t="str">
        <f>IFERROR(INDEX(Auction!$C$13:$C$656,MATCH(B64,Auction!$A$13:$A$656,0)),"")</f>
        <v/>
      </c>
      <c r="G64" s="133" t="str">
        <f>IFERROR(INDEX(Auction!$B$13:$B$656,MATCH(H64,Auction!$A$13:$A$656,0)),"")</f>
        <v/>
      </c>
      <c r="H64" s="211" t="str">
        <f t="array" ref="H64">IF($G$51=0,"",IFERROR(INDEX(Auction!$A$13:$M$656,SMALL(IF(Auction!$M$13:$M$656=$G$51,(ROW(Auction!$M$13:$M$656)-MIN(ROW(Auction!$M$13:$M$656))+1),""),ROW(G12)),1),""))</f>
        <v/>
      </c>
      <c r="I64" s="142">
        <f>IF(ISERROR(VLOOKUP(H64,Auction!$A$13:$I$656,7,FALSE)),0,VLOOKUP(H64,Auction!$A$13:$I$656,8,FALSE))</f>
        <v>0</v>
      </c>
      <c r="J64" s="143">
        <f>IFERROR(VLOOKUP(H64,Auction!$A$13:$I$656,9,FALSE)-I64,0)</f>
        <v>0</v>
      </c>
      <c r="K64" s="150" t="str">
        <f>IFERROR(INDEX(Auction!$C$13:$C$656,MATCH(H64,Auction!$A$13:$A$656,0)),"")</f>
        <v/>
      </c>
    </row>
    <row r="65" spans="1:11" x14ac:dyDescent="0.25">
      <c r="A65" s="133" t="str">
        <f>IFERROR(INDEX(Auction!$B$13:$B$656,MATCH(B65,Auction!$A$13:$A$656,0)),"")</f>
        <v/>
      </c>
      <c r="B65" s="211" t="str">
        <f t="array" ref="B65">IF($A$51=0,"",IFERROR(INDEX(Auction!$A$13:$M$656,SMALL(IF(Auction!$M$13:$M$656=$A$51,(ROW(Auction!$M$13:$M$656)-MIN(ROW(Auction!$M$13:$M$656))+1),""),ROW(A13)),1),""))</f>
        <v/>
      </c>
      <c r="C65" s="142">
        <f>IF(ISERROR(VLOOKUP(B65,Auction!$A$13:$I$656,7,FALSE)),0,VLOOKUP(B65,Auction!$A$13:$I$656,8,FALSE))</f>
        <v>0</v>
      </c>
      <c r="D65" s="143">
        <f>IFERROR(VLOOKUP(B65,Auction!$A$13:$I$656,9,FALSE)-C65,0)</f>
        <v>0</v>
      </c>
      <c r="E65" s="150" t="str">
        <f>IFERROR(INDEX(Auction!$C$13:$C$656,MATCH(B65,Auction!$A$13:$A$656,0)),"")</f>
        <v/>
      </c>
      <c r="G65" s="133" t="str">
        <f>IFERROR(INDEX(Auction!$B$13:$B$656,MATCH(H65,Auction!$A$13:$A$656,0)),"")</f>
        <v/>
      </c>
      <c r="H65" s="211" t="str">
        <f t="array" ref="H65">IF($G$51=0,"",IFERROR(INDEX(Auction!$A$13:$M$656,SMALL(IF(Auction!$M$13:$M$656=$G$51,(ROW(Auction!$M$13:$M$656)-MIN(ROW(Auction!$M$13:$M$656))+1),""),ROW(G13)),1),""))</f>
        <v/>
      </c>
      <c r="I65" s="142">
        <f>IF(ISERROR(VLOOKUP(H65,Auction!$A$13:$I$656,7,FALSE)),0,VLOOKUP(H65,Auction!$A$13:$I$656,8,FALSE))</f>
        <v>0</v>
      </c>
      <c r="J65" s="143">
        <f>IFERROR(VLOOKUP(H65,Auction!$A$13:$I$656,9,FALSE)-I65,0)</f>
        <v>0</v>
      </c>
      <c r="K65" s="150" t="str">
        <f>IFERROR(INDEX(Auction!$C$13:$C$656,MATCH(H65,Auction!$A$13:$A$656,0)),"")</f>
        <v/>
      </c>
    </row>
    <row r="66" spans="1:11" x14ac:dyDescent="0.25">
      <c r="A66" s="133" t="str">
        <f>IFERROR(INDEX(Auction!$B$13:$B$656,MATCH(B66,Auction!$A$13:$A$656,0)),"")</f>
        <v/>
      </c>
      <c r="B66" s="211" t="str">
        <f t="array" ref="B66">IF($A$51=0,"",IFERROR(INDEX(Auction!$A$13:$M$656,SMALL(IF(Auction!$M$13:$M$656=$A$51,(ROW(Auction!$M$13:$M$656)-MIN(ROW(Auction!$M$13:$M$656))+1),""),ROW(A14)),1),""))</f>
        <v/>
      </c>
      <c r="C66" s="142">
        <f>IF(ISERROR(VLOOKUP(B66,Auction!$A$13:$I$656,7,FALSE)),0,VLOOKUP(B66,Auction!$A$13:$I$656,8,FALSE))</f>
        <v>0</v>
      </c>
      <c r="D66" s="143">
        <f>IFERROR(VLOOKUP(B66,Auction!$A$13:$I$656,9,FALSE)-C66,0)</f>
        <v>0</v>
      </c>
      <c r="E66" s="150" t="str">
        <f>IFERROR(INDEX(Auction!$C$13:$C$656,MATCH(B66,Auction!$A$13:$A$656,0)),"")</f>
        <v/>
      </c>
      <c r="G66" s="133" t="str">
        <f>IFERROR(INDEX(Auction!$B$13:$B$656,MATCH(H66,Auction!$A$13:$A$656,0)),"")</f>
        <v/>
      </c>
      <c r="H66" s="211" t="str">
        <f t="array" ref="H66">IF($G$51=0,"",IFERROR(INDEX(Auction!$A$13:$M$656,SMALL(IF(Auction!$M$13:$M$656=$G$51,(ROW(Auction!$M$13:$M$656)-MIN(ROW(Auction!$M$13:$M$656))+1),""),ROW(G14)),1),""))</f>
        <v/>
      </c>
      <c r="I66" s="142">
        <f>IF(ISERROR(VLOOKUP(H66,Auction!$A$13:$I$656,7,FALSE)),0,VLOOKUP(H66,Auction!$A$13:$I$656,8,FALSE))</f>
        <v>0</v>
      </c>
      <c r="J66" s="143">
        <f>IFERROR(VLOOKUP(H66,Auction!$A$13:$I$656,9,FALSE)-I66,0)</f>
        <v>0</v>
      </c>
      <c r="K66" s="150" t="str">
        <f>IFERROR(INDEX(Auction!$C$13:$C$656,MATCH(H66,Auction!$A$13:$A$656,0)),"")</f>
        <v/>
      </c>
    </row>
    <row r="67" spans="1:11" x14ac:dyDescent="0.25">
      <c r="A67" s="133" t="str">
        <f>IFERROR(INDEX(Auction!$B$13:$B$656,MATCH(B67,Auction!$A$13:$A$656,0)),"")</f>
        <v/>
      </c>
      <c r="B67" s="211" t="str">
        <f t="array" ref="B67">IF($A$51=0,"",IFERROR(INDEX(Auction!$A$13:$M$656,SMALL(IF(Auction!$M$13:$M$656=$A$51,(ROW(Auction!$M$13:$M$656)-MIN(ROW(Auction!$M$13:$M$656))+1),""),ROW(A15)),1),""))</f>
        <v/>
      </c>
      <c r="C67" s="142">
        <f>IF(ISERROR(VLOOKUP(B67,Auction!$A$13:$I$656,7,FALSE)),0,VLOOKUP(B67,Auction!$A$13:$I$656,8,FALSE))</f>
        <v>0</v>
      </c>
      <c r="D67" s="143">
        <f>IFERROR(VLOOKUP(B67,Auction!$A$13:$I$656,9,FALSE)-C67,0)</f>
        <v>0</v>
      </c>
      <c r="E67" s="150" t="str">
        <f>IFERROR(INDEX(Auction!$C$13:$C$656,MATCH(B67,Auction!$A$13:$A$656,0)),"")</f>
        <v/>
      </c>
      <c r="G67" s="133" t="str">
        <f>IFERROR(INDEX(Auction!$B$13:$B$656,MATCH(H67,Auction!$A$13:$A$656,0)),"")</f>
        <v/>
      </c>
      <c r="H67" s="211" t="str">
        <f t="array" ref="H67">IF($G$51=0,"",IFERROR(INDEX(Auction!$A$13:$M$656,SMALL(IF(Auction!$M$13:$M$656=$G$51,(ROW(Auction!$M$13:$M$656)-MIN(ROW(Auction!$M$13:$M$656))+1),""),ROW(G15)),1),""))</f>
        <v/>
      </c>
      <c r="I67" s="142">
        <f>IF(ISERROR(VLOOKUP(H67,Auction!$A$13:$I$656,7,FALSE)),0,VLOOKUP(H67,Auction!$A$13:$I$656,8,FALSE))</f>
        <v>0</v>
      </c>
      <c r="J67" s="143">
        <f>IFERROR(VLOOKUP(H67,Auction!$A$13:$I$656,9,FALSE)-I67,0)</f>
        <v>0</v>
      </c>
      <c r="K67" s="150" t="str">
        <f>IFERROR(INDEX(Auction!$C$13:$C$656,MATCH(H67,Auction!$A$13:$A$656,0)),"")</f>
        <v/>
      </c>
    </row>
    <row r="68" spans="1:11" x14ac:dyDescent="0.25">
      <c r="A68" s="133" t="str">
        <f>IFERROR(INDEX(Auction!$B$13:$B$656,MATCH(B68,Auction!$A$13:$A$656,0)),"")</f>
        <v/>
      </c>
      <c r="B68" s="211" t="str">
        <f t="array" ref="B68">IF($A$51=0,"",IFERROR(INDEX(Auction!$A$13:$M$656,SMALL(IF(Auction!$M$13:$M$656=$A$51,(ROW(Auction!$M$13:$M$656)-MIN(ROW(Auction!$M$13:$M$656))+1),""),ROW(A16)),1),""))</f>
        <v/>
      </c>
      <c r="C68" s="142">
        <f>IF(ISERROR(VLOOKUP(B68,Auction!$A$13:$I$656,7,FALSE)),0,VLOOKUP(B68,Auction!$A$13:$I$656,8,FALSE))</f>
        <v>0</v>
      </c>
      <c r="D68" s="143">
        <f>IFERROR(VLOOKUP(B68,Auction!$A$13:$I$656,9,FALSE)-C68,0)</f>
        <v>0</v>
      </c>
      <c r="E68" s="150" t="str">
        <f>IFERROR(INDEX(Auction!$C$13:$C$656,MATCH(B68,Auction!$A$13:$A$656,0)),"")</f>
        <v/>
      </c>
      <c r="G68" s="133" t="str">
        <f>IFERROR(INDEX(Auction!$B$13:$B$656,MATCH(H68,Auction!$A$13:$A$656,0)),"")</f>
        <v/>
      </c>
      <c r="H68" s="211" t="str">
        <f t="array" ref="H68">IF($G$51=0,"",IFERROR(INDEX(Auction!$A$13:$M$656,SMALL(IF(Auction!$M$13:$M$656=$G$51,(ROW(Auction!$M$13:$M$656)-MIN(ROW(Auction!$M$13:$M$656))+1),""),ROW(G16)),1),""))</f>
        <v/>
      </c>
      <c r="I68" s="142">
        <f>IF(ISERROR(VLOOKUP(H68,Auction!$A$13:$I$656,7,FALSE)),0,VLOOKUP(H68,Auction!$A$13:$I$656,8,FALSE))</f>
        <v>0</v>
      </c>
      <c r="J68" s="143">
        <f>IFERROR(VLOOKUP(H68,Auction!$A$13:$I$656,9,FALSE)-I68,0)</f>
        <v>0</v>
      </c>
      <c r="K68" s="150" t="str">
        <f>IFERROR(INDEX(Auction!$C$13:$C$656,MATCH(H68,Auction!$A$13:$A$656,0)),"")</f>
        <v/>
      </c>
    </row>
    <row r="69" spans="1:11" x14ac:dyDescent="0.25">
      <c r="A69" s="133" t="str">
        <f>IFERROR(INDEX(Auction!$B$13:$B$656,MATCH(B69,Auction!$A$13:$A$656,0)),"")</f>
        <v/>
      </c>
      <c r="B69" s="211" t="str">
        <f t="array" ref="B69">IF($A$51=0,"",IFERROR(INDEX(Auction!$A$13:$M$656,SMALL(IF(Auction!$M$13:$M$656=$A$51,(ROW(Auction!$M$13:$M$656)-MIN(ROW(Auction!$M$13:$M$656))+1),""),ROW(A17)),1),""))</f>
        <v/>
      </c>
      <c r="C69" s="142">
        <f>IF(ISERROR(VLOOKUP(B69,Auction!$A$13:$I$656,7,FALSE)),0,VLOOKUP(B69,Auction!$A$13:$I$656,8,FALSE))</f>
        <v>0</v>
      </c>
      <c r="D69" s="143">
        <f>IFERROR(VLOOKUP(B69,Auction!$A$13:$I$656,9,FALSE)-C69,0)</f>
        <v>0</v>
      </c>
      <c r="E69" s="150" t="str">
        <f>IFERROR(INDEX(Auction!$C$13:$C$656,MATCH(B69,Auction!$A$13:$A$656,0)),"")</f>
        <v/>
      </c>
      <c r="G69" s="133" t="str">
        <f>IFERROR(INDEX(Auction!$B$13:$B$656,MATCH(H69,Auction!$A$13:$A$656,0)),"")</f>
        <v/>
      </c>
      <c r="H69" s="211" t="str">
        <f t="array" ref="H69">IF($G$51=0,"",IFERROR(INDEX(Auction!$A$13:$M$656,SMALL(IF(Auction!$M$13:$M$656=$G$51,(ROW(Auction!$M$13:$M$656)-MIN(ROW(Auction!$M$13:$M$656))+1),""),ROW(G17)),1),""))</f>
        <v/>
      </c>
      <c r="I69" s="142">
        <f>IF(ISERROR(VLOOKUP(H69,Auction!$A$13:$I$656,7,FALSE)),0,VLOOKUP(H69,Auction!$A$13:$I$656,8,FALSE))</f>
        <v>0</v>
      </c>
      <c r="J69" s="143">
        <f>IFERROR(VLOOKUP(H69,Auction!$A$13:$I$656,9,FALSE)-I69,0)</f>
        <v>0</v>
      </c>
      <c r="K69" s="150" t="str">
        <f>IFERROR(INDEX(Auction!$C$13:$C$656,MATCH(H69,Auction!$A$13:$A$656,0)),"")</f>
        <v/>
      </c>
    </row>
    <row r="70" spans="1:11" x14ac:dyDescent="0.25">
      <c r="A70" s="133" t="str">
        <f>IFERROR(INDEX(Auction!$B$13:$B$656,MATCH(B70,Auction!$A$13:$A$656,0)),"")</f>
        <v/>
      </c>
      <c r="B70" s="211" t="str">
        <f t="array" ref="B70">IF($A$51=0,"",IFERROR(INDEX(Auction!$A$13:$M$656,SMALL(IF(Auction!$M$13:$M$656=$A$51,(ROW(Auction!$M$13:$M$656)-MIN(ROW(Auction!$M$13:$M$656))+1),""),ROW(A18)),1),""))</f>
        <v/>
      </c>
      <c r="C70" s="142">
        <f>IF(ISERROR(VLOOKUP(B70,Auction!$A$13:$I$656,7,FALSE)),0,VLOOKUP(B70,Auction!$A$13:$I$656,8,FALSE))</f>
        <v>0</v>
      </c>
      <c r="D70" s="143">
        <f>IFERROR(VLOOKUP(B70,Auction!$A$13:$I$656,9,FALSE)-C70,0)</f>
        <v>0</v>
      </c>
      <c r="E70" s="150" t="str">
        <f>IFERROR(INDEX(Auction!$C$13:$C$656,MATCH(B70,Auction!$A$13:$A$656,0)),"")</f>
        <v/>
      </c>
      <c r="G70" s="133" t="str">
        <f>IFERROR(INDEX(Auction!$B$13:$B$656,MATCH(H70,Auction!$A$13:$A$656,0)),"")</f>
        <v/>
      </c>
      <c r="H70" s="211" t="str">
        <f t="array" ref="H70">IF($G$51=0,"",IFERROR(INDEX(Auction!$A$13:$M$656,SMALL(IF(Auction!$M$13:$M$656=$G$51,(ROW(Auction!$M$13:$M$656)-MIN(ROW(Auction!$M$13:$M$656))+1),""),ROW(G18)),1),""))</f>
        <v/>
      </c>
      <c r="I70" s="142">
        <f>IF(ISERROR(VLOOKUP(H70,Auction!$A$13:$I$656,7,FALSE)),0,VLOOKUP(H70,Auction!$A$13:$I$656,8,FALSE))</f>
        <v>0</v>
      </c>
      <c r="J70" s="143">
        <f>IFERROR(VLOOKUP(H70,Auction!$A$13:$I$656,9,FALSE)-I70,0)</f>
        <v>0</v>
      </c>
      <c r="K70" s="150" t="str">
        <f>IFERROR(INDEX(Auction!$C$13:$C$656,MATCH(H70,Auction!$A$13:$A$656,0)),"")</f>
        <v/>
      </c>
    </row>
    <row r="71" spans="1:11" x14ac:dyDescent="0.25">
      <c r="A71" s="133" t="str">
        <f>IFERROR(INDEX(Auction!$B$13:$B$656,MATCH(B71,Auction!$A$13:$A$656,0)),"")</f>
        <v/>
      </c>
      <c r="B71" s="211" t="str">
        <f t="array" ref="B71">IF($A$51=0,"",IFERROR(INDEX(Auction!$A$13:$M$656,SMALL(IF(Auction!$M$13:$M$656=$A$51,(ROW(Auction!$M$13:$M$656)-MIN(ROW(Auction!$M$13:$M$656))+1),""),ROW(A19)),1),""))</f>
        <v/>
      </c>
      <c r="C71" s="142">
        <f>IF(ISERROR(VLOOKUP(B71,Auction!$A$13:$I$656,7,FALSE)),0,VLOOKUP(B71,Auction!$A$13:$I$656,8,FALSE))</f>
        <v>0</v>
      </c>
      <c r="D71" s="143">
        <f>IFERROR(VLOOKUP(B71,Auction!$A$13:$I$656,9,FALSE)-C71,0)</f>
        <v>0</v>
      </c>
      <c r="E71" s="150" t="str">
        <f>IFERROR(INDEX(Auction!$C$13:$C$656,MATCH(B71,Auction!$A$13:$A$656,0)),"")</f>
        <v/>
      </c>
      <c r="G71" s="133" t="str">
        <f>IFERROR(INDEX(Auction!$B$13:$B$656,MATCH(H71,Auction!$A$13:$A$656,0)),"")</f>
        <v/>
      </c>
      <c r="H71" s="211" t="str">
        <f t="array" ref="H71">IF($G$51=0,"",IFERROR(INDEX(Auction!$A$13:$M$656,SMALL(IF(Auction!$M$13:$M$656=$G$51,(ROW(Auction!$M$13:$M$656)-MIN(ROW(Auction!$M$13:$M$656))+1),""),ROW(G19)),1),""))</f>
        <v/>
      </c>
      <c r="I71" s="142">
        <f>IF(ISERROR(VLOOKUP(H71,Auction!$A$13:$I$656,7,FALSE)),0,VLOOKUP(H71,Auction!$A$13:$I$656,8,FALSE))</f>
        <v>0</v>
      </c>
      <c r="J71" s="143">
        <f>IFERROR(VLOOKUP(H71,Auction!$A$13:$I$656,9,FALSE)-I71,0)</f>
        <v>0</v>
      </c>
      <c r="K71" s="150" t="str">
        <f>IFERROR(INDEX(Auction!$C$13:$C$656,MATCH(H71,Auction!$A$13:$A$656,0)),"")</f>
        <v/>
      </c>
    </row>
    <row r="72" spans="1:11" x14ac:dyDescent="0.25">
      <c r="A72" s="133" t="str">
        <f>IFERROR(INDEX(Auction!$B$13:$B$656,MATCH(B72,Auction!$A$13:$A$656,0)),"")</f>
        <v/>
      </c>
      <c r="B72" s="211" t="str">
        <f t="array" ref="B72">IF($A$51=0,"",IFERROR(INDEX(Auction!$A$13:$M$656,SMALL(IF(Auction!$M$13:$M$656=$A$51,(ROW(Auction!$M$13:$M$656)-MIN(ROW(Auction!$M$13:$M$656))+1),""),ROW(A20)),1),""))</f>
        <v/>
      </c>
      <c r="C72" s="142">
        <f>IF(ISERROR(VLOOKUP(B72,Auction!$A$13:$I$656,7,FALSE)),0,VLOOKUP(B72,Auction!$A$13:$I$656,8,FALSE))</f>
        <v>0</v>
      </c>
      <c r="D72" s="143">
        <f>IFERROR(VLOOKUP(B72,Auction!$A$13:$I$656,9,FALSE)-C72,0)</f>
        <v>0</v>
      </c>
      <c r="E72" s="150" t="str">
        <f>IFERROR(INDEX(Auction!$C$13:$C$656,MATCH(B72,Auction!$A$13:$A$656,0)),"")</f>
        <v/>
      </c>
      <c r="G72" s="133" t="str">
        <f>IFERROR(INDEX(Auction!$B$13:$B$656,MATCH(H72,Auction!$A$13:$A$656,0)),"")</f>
        <v/>
      </c>
      <c r="H72" s="211" t="str">
        <f t="array" ref="H72">IF($G$51=0,"",IFERROR(INDEX(Auction!$A$13:$M$656,SMALL(IF(Auction!$M$13:$M$656=$G$51,(ROW(Auction!$M$13:$M$656)-MIN(ROW(Auction!$M$13:$M$656))+1),""),ROW(G20)),1),""))</f>
        <v/>
      </c>
      <c r="I72" s="142">
        <f>IF(ISERROR(VLOOKUP(H72,Auction!$A$13:$I$656,7,FALSE)),0,VLOOKUP(H72,Auction!$A$13:$I$656,8,FALSE))</f>
        <v>0</v>
      </c>
      <c r="J72" s="143">
        <f>IFERROR(VLOOKUP(H72,Auction!$A$13:$I$656,9,FALSE)-I72,0)</f>
        <v>0</v>
      </c>
      <c r="K72" s="150" t="str">
        <f>IFERROR(INDEX(Auction!$C$13:$C$656,MATCH(H72,Auction!$A$13:$A$656,0)),"")</f>
        <v/>
      </c>
    </row>
    <row r="73" spans="1:11" x14ac:dyDescent="0.25">
      <c r="A73" s="151"/>
      <c r="B73" s="152"/>
      <c r="C73" s="153">
        <f>SUM(C53:C72)</f>
        <v>0</v>
      </c>
      <c r="D73" s="153">
        <f>SUM(D53:D72)</f>
        <v>0</v>
      </c>
      <c r="E73" s="154"/>
      <c r="G73" s="151"/>
      <c r="H73" s="152"/>
      <c r="I73" s="153">
        <f>SUM(I53:I72)</f>
        <v>0</v>
      </c>
      <c r="J73" s="153">
        <f>SUM(J53:J72)</f>
        <v>0</v>
      </c>
      <c r="K73" s="154"/>
    </row>
    <row r="75" spans="1:11" x14ac:dyDescent="0.25">
      <c r="A75" s="268" t="str">
        <f>H8</f>
        <v>Team 6</v>
      </c>
      <c r="B75" s="269"/>
      <c r="C75" s="269"/>
      <c r="D75" s="269"/>
      <c r="E75" s="270"/>
      <c r="G75" s="268" t="str">
        <f>H9</f>
        <v>Team 7</v>
      </c>
      <c r="H75" s="269"/>
      <c r="I75" s="269"/>
      <c r="J75" s="269"/>
      <c r="K75" s="270"/>
    </row>
    <row r="76" spans="1:11" x14ac:dyDescent="0.25">
      <c r="A76" s="140" t="s">
        <v>495</v>
      </c>
      <c r="B76" s="148" t="s">
        <v>85</v>
      </c>
      <c r="C76" s="130" t="s">
        <v>496</v>
      </c>
      <c r="D76" s="130" t="s">
        <v>497</v>
      </c>
      <c r="E76" s="141" t="s">
        <v>440</v>
      </c>
      <c r="G76" s="140" t="s">
        <v>495</v>
      </c>
      <c r="H76" s="148" t="s">
        <v>85</v>
      </c>
      <c r="I76" s="130" t="s">
        <v>496</v>
      </c>
      <c r="J76" s="130" t="s">
        <v>497</v>
      </c>
      <c r="K76" s="141" t="s">
        <v>440</v>
      </c>
    </row>
    <row r="77" spans="1:11" x14ac:dyDescent="0.25">
      <c r="A77" s="133" t="str">
        <f>IFERROR(INDEX(Auction!$B$13:$B$656,MATCH(B77,Auction!$A$13:$A$656,0)),"")</f>
        <v/>
      </c>
      <c r="B77" s="211" t="str">
        <f t="array" ref="B77">IF($A$75=0,"",IFERROR(INDEX(Auction!$A$13:$M$656,SMALL(IF(Auction!$M$13:$M$656=$A$75,(ROW(Auction!$M$13:$M$656)-MIN(ROW(Auction!$M$13:$M$656))+1),""),ROW(A1)),1),""))</f>
        <v/>
      </c>
      <c r="C77" s="142">
        <f>IF(ISERROR(VLOOKUP(B77,Auction!$A$13:$I$656,7,FALSE)),0,VLOOKUP(B77,Auction!$A$13:$I$656,8,FALSE))</f>
        <v>0</v>
      </c>
      <c r="D77" s="143">
        <f>IFERROR(VLOOKUP(B77,Auction!$A$13:$I$656,9,FALSE)-C77,0)</f>
        <v>0</v>
      </c>
      <c r="E77" s="149" t="str">
        <f>IFERROR(INDEX(Auction!$C$13:$C$656,MATCH(B77,Auction!$A$13:$A$656,0)),"")</f>
        <v/>
      </c>
      <c r="G77" s="133" t="str">
        <f>IFERROR(INDEX(Auction!$B$13:$B$656,MATCH(H77,Auction!$A$13:$A$656,0)),"")</f>
        <v/>
      </c>
      <c r="H77" s="211" t="str">
        <f t="array" ref="H77">IF($G$75=0,"",IFERROR(INDEX(Auction!$A$13:$M$656,SMALL(IF(Auction!$M$13:$M$656=$G$75,(ROW(Auction!$M$13:$M$656)-MIN(ROW(Auction!$M$13:$M$656))+1),""),ROW(G1)),1),""))</f>
        <v/>
      </c>
      <c r="I77" s="142">
        <f>IF(ISERROR(VLOOKUP(H77,Auction!$A$13:$I$656,7,FALSE)),0,VLOOKUP(H77,Auction!$A$13:$I$656,8,FALSE))</f>
        <v>0</v>
      </c>
      <c r="J77" s="143">
        <f>IFERROR(VLOOKUP(H77,Auction!$A$13:$I$656,9,FALSE)-I77,0)</f>
        <v>0</v>
      </c>
      <c r="K77" s="149" t="str">
        <f>IFERROR(INDEX(Auction!$C$13:$C$656,MATCH(H77,Auction!$A$13:$A$656,0)),"")</f>
        <v/>
      </c>
    </row>
    <row r="78" spans="1:11" x14ac:dyDescent="0.25">
      <c r="A78" s="133" t="str">
        <f>IFERROR(INDEX(Auction!$B$13:$B$656,MATCH(B78,Auction!$A$13:$A$656,0)),"")</f>
        <v/>
      </c>
      <c r="B78" s="211" t="str">
        <f t="array" ref="B78">IF($A$75=0,"",IFERROR(INDEX(Auction!$A$13:$M$656,SMALL(IF(Auction!$M$13:$M$656=$A$75,(ROW(Auction!$M$13:$M$656)-MIN(ROW(Auction!$M$13:$M$656))+1),""),ROW(A2)),1),""))</f>
        <v/>
      </c>
      <c r="C78" s="142">
        <f>IF(ISERROR(VLOOKUP(B78,Auction!$A$13:$I$656,7,FALSE)),0,VLOOKUP(B78,Auction!$A$13:$I$656,8,FALSE))</f>
        <v>0</v>
      </c>
      <c r="D78" s="143">
        <f>IFERROR(VLOOKUP(B78,Auction!$A$13:$I$656,9,FALSE)-C78,0)</f>
        <v>0</v>
      </c>
      <c r="E78" s="149" t="str">
        <f>IFERROR(INDEX(Auction!$C$13:$C$656,MATCH(B78,Auction!$A$13:$A$656,0)),"")</f>
        <v/>
      </c>
      <c r="G78" s="133" t="str">
        <f>IFERROR(INDEX(Auction!$B$13:$B$656,MATCH(H78,Auction!$A$13:$A$656,0)),"")</f>
        <v/>
      </c>
      <c r="H78" s="211" t="str">
        <f t="array" ref="H78">IF($G$75=0,"",IFERROR(INDEX(Auction!$A$13:$M$656,SMALL(IF(Auction!$M$13:$M$656=$G$75,(ROW(Auction!$M$13:$M$656)-MIN(ROW(Auction!$M$13:$M$656))+1),""),ROW(G2)),1),""))</f>
        <v/>
      </c>
      <c r="I78" s="142">
        <f>IF(ISERROR(VLOOKUP(H78,Auction!$A$13:$I$656,7,FALSE)),0,VLOOKUP(H78,Auction!$A$13:$I$656,8,FALSE))</f>
        <v>0</v>
      </c>
      <c r="J78" s="143">
        <f>IFERROR(VLOOKUP(H78,Auction!$A$13:$I$656,9,FALSE)-I78,0)</f>
        <v>0</v>
      </c>
      <c r="K78" s="149" t="str">
        <f>IFERROR(INDEX(Auction!$C$13:$C$656,MATCH(H78,Auction!$A$13:$A$656,0)),"")</f>
        <v/>
      </c>
    </row>
    <row r="79" spans="1:11" x14ac:dyDescent="0.25">
      <c r="A79" s="133" t="str">
        <f>IFERROR(INDEX(Auction!$B$13:$B$656,MATCH(B79,Auction!$A$13:$A$656,0)),"")</f>
        <v/>
      </c>
      <c r="B79" s="211" t="str">
        <f t="array" ref="B79">IF($A$75=0,"",IFERROR(INDEX(Auction!$A$13:$M$656,SMALL(IF(Auction!$M$13:$M$656=$A$75,(ROW(Auction!$M$13:$M$656)-MIN(ROW(Auction!$M$13:$M$656))+1),""),ROW(A3)),1),""))</f>
        <v/>
      </c>
      <c r="C79" s="142">
        <f>IF(ISERROR(VLOOKUP(B79,Auction!$A$13:$I$656,7,FALSE)),0,VLOOKUP(B79,Auction!$A$13:$I$656,8,FALSE))</f>
        <v>0</v>
      </c>
      <c r="D79" s="143">
        <f>IFERROR(VLOOKUP(B79,Auction!$A$13:$I$656,9,FALSE)-C79,0)</f>
        <v>0</v>
      </c>
      <c r="E79" s="149" t="str">
        <f>IFERROR(INDEX(Auction!$C$13:$C$656,MATCH(B79,Auction!$A$13:$A$656,0)),"")</f>
        <v/>
      </c>
      <c r="G79" s="133" t="str">
        <f>IFERROR(INDEX(Auction!$B$13:$B$656,MATCH(H79,Auction!$A$13:$A$656,0)),"")</f>
        <v/>
      </c>
      <c r="H79" s="211" t="str">
        <f t="array" ref="H79">IF($G$75=0,"",IFERROR(INDEX(Auction!$A$13:$M$656,SMALL(IF(Auction!$M$13:$M$656=$G$75,(ROW(Auction!$M$13:$M$656)-MIN(ROW(Auction!$M$13:$M$656))+1),""),ROW(G3)),1),""))</f>
        <v/>
      </c>
      <c r="I79" s="142">
        <f>IF(ISERROR(VLOOKUP(H79,Auction!$A$13:$I$656,7,FALSE)),0,VLOOKUP(H79,Auction!$A$13:$I$656,8,FALSE))</f>
        <v>0</v>
      </c>
      <c r="J79" s="143">
        <f>IFERROR(VLOOKUP(H79,Auction!$A$13:$I$656,9,FALSE)-I79,0)</f>
        <v>0</v>
      </c>
      <c r="K79" s="149" t="str">
        <f>IFERROR(INDEX(Auction!$C$13:$C$656,MATCH(H79,Auction!$A$13:$A$656,0)),"")</f>
        <v/>
      </c>
    </row>
    <row r="80" spans="1:11" x14ac:dyDescent="0.25">
      <c r="A80" s="133" t="str">
        <f>IFERROR(INDEX(Auction!$B$13:$B$656,MATCH(B80,Auction!$A$13:$A$656,0)),"")</f>
        <v/>
      </c>
      <c r="B80" s="211" t="str">
        <f t="array" ref="B80">IF($A$75=0,"",IFERROR(INDEX(Auction!$A$13:$M$656,SMALL(IF(Auction!$M$13:$M$656=$A$75,(ROW(Auction!$M$13:$M$656)-MIN(ROW(Auction!$M$13:$M$656))+1),""),ROW(A4)),1),""))</f>
        <v/>
      </c>
      <c r="C80" s="142">
        <f>IF(ISERROR(VLOOKUP(B80,Auction!$A$13:$I$656,7,FALSE)),0,VLOOKUP(B80,Auction!$A$13:$I$656,8,FALSE))</f>
        <v>0</v>
      </c>
      <c r="D80" s="143">
        <f>IFERROR(VLOOKUP(B80,Auction!$A$13:$I$656,9,FALSE)-C80,0)</f>
        <v>0</v>
      </c>
      <c r="E80" s="149" t="str">
        <f>IFERROR(INDEX(Auction!$C$13:$C$656,MATCH(B80,Auction!$A$13:$A$656,0)),"")</f>
        <v/>
      </c>
      <c r="G80" s="133" t="str">
        <f>IFERROR(INDEX(Auction!$B$13:$B$656,MATCH(H80,Auction!$A$13:$A$656,0)),"")</f>
        <v/>
      </c>
      <c r="H80" s="211" t="str">
        <f t="array" ref="H80">IF($G$75=0,"",IFERROR(INDEX(Auction!$A$13:$M$656,SMALL(IF(Auction!$M$13:$M$656=$G$75,(ROW(Auction!$M$13:$M$656)-MIN(ROW(Auction!$M$13:$M$656))+1),""),ROW(G4)),1),""))</f>
        <v/>
      </c>
      <c r="I80" s="142">
        <f>IF(ISERROR(VLOOKUP(H80,Auction!$A$13:$I$656,7,FALSE)),0,VLOOKUP(H80,Auction!$A$13:$I$656,8,FALSE))</f>
        <v>0</v>
      </c>
      <c r="J80" s="143">
        <f>IFERROR(VLOOKUP(H80,Auction!$A$13:$I$656,9,FALSE)-I80,0)</f>
        <v>0</v>
      </c>
      <c r="K80" s="149" t="str">
        <f>IFERROR(INDEX(Auction!$C$13:$C$656,MATCH(H80,Auction!$A$13:$A$656,0)),"")</f>
        <v/>
      </c>
    </row>
    <row r="81" spans="1:11" x14ac:dyDescent="0.25">
      <c r="A81" s="133" t="str">
        <f>IFERROR(INDEX(Auction!$B$13:$B$656,MATCH(B81,Auction!$A$13:$A$656,0)),"")</f>
        <v/>
      </c>
      <c r="B81" s="211" t="str">
        <f t="array" ref="B81">IF($A$75=0,"",IFERROR(INDEX(Auction!$A$13:$M$656,SMALL(IF(Auction!$M$13:$M$656=$A$75,(ROW(Auction!$M$13:$M$656)-MIN(ROW(Auction!$M$13:$M$656))+1),""),ROW(A5)),1),""))</f>
        <v/>
      </c>
      <c r="C81" s="142">
        <f>IF(ISERROR(VLOOKUP(B81,Auction!$A$13:$I$656,7,FALSE)),0,VLOOKUP(B81,Auction!$A$13:$I$656,8,FALSE))</f>
        <v>0</v>
      </c>
      <c r="D81" s="143">
        <f>IFERROR(VLOOKUP(B81,Auction!$A$13:$I$656,9,FALSE)-C81,0)</f>
        <v>0</v>
      </c>
      <c r="E81" s="149" t="str">
        <f>IFERROR(INDEX(Auction!$C$13:$C$656,MATCH(B81,Auction!$A$13:$A$656,0)),"")</f>
        <v/>
      </c>
      <c r="G81" s="133" t="str">
        <f>IFERROR(INDEX(Auction!$B$13:$B$656,MATCH(H81,Auction!$A$13:$A$656,0)),"")</f>
        <v/>
      </c>
      <c r="H81" s="211" t="str">
        <f t="array" ref="H81">IF($G$75=0,"",IFERROR(INDEX(Auction!$A$13:$M$656,SMALL(IF(Auction!$M$13:$M$656=$G$75,(ROW(Auction!$M$13:$M$656)-MIN(ROW(Auction!$M$13:$M$656))+1),""),ROW(G5)),1),""))</f>
        <v/>
      </c>
      <c r="I81" s="142">
        <f>IF(ISERROR(VLOOKUP(H81,Auction!$A$13:$I$656,7,FALSE)),0,VLOOKUP(H81,Auction!$A$13:$I$656,8,FALSE))</f>
        <v>0</v>
      </c>
      <c r="J81" s="143">
        <f>IFERROR(VLOOKUP(H81,Auction!$A$13:$I$656,9,FALSE)-I81,0)</f>
        <v>0</v>
      </c>
      <c r="K81" s="149" t="str">
        <f>IFERROR(INDEX(Auction!$C$13:$C$656,MATCH(H81,Auction!$A$13:$A$656,0)),"")</f>
        <v/>
      </c>
    </row>
    <row r="82" spans="1:11" x14ac:dyDescent="0.25">
      <c r="A82" s="133" t="str">
        <f>IFERROR(INDEX(Auction!$B$13:$B$656,MATCH(B82,Auction!$A$13:$A$656,0)),"")</f>
        <v/>
      </c>
      <c r="B82" s="211" t="str">
        <f t="array" ref="B82">IF($A$75=0,"",IFERROR(INDEX(Auction!$A$13:$M$656,SMALL(IF(Auction!$M$13:$M$656=$A$75,(ROW(Auction!$M$13:$M$656)-MIN(ROW(Auction!$M$13:$M$656))+1),""),ROW(A6)),1),""))</f>
        <v/>
      </c>
      <c r="C82" s="142">
        <f>IF(ISERROR(VLOOKUP(B82,Auction!$A$13:$I$656,7,FALSE)),0,VLOOKUP(B82,Auction!$A$13:$I$656,8,FALSE))</f>
        <v>0</v>
      </c>
      <c r="D82" s="143">
        <f>IFERROR(VLOOKUP(B82,Auction!$A$13:$I$656,9,FALSE)-C82,0)</f>
        <v>0</v>
      </c>
      <c r="E82" s="149" t="str">
        <f>IFERROR(INDEX(Auction!$C$13:$C$656,MATCH(B82,Auction!$A$13:$A$656,0)),"")</f>
        <v/>
      </c>
      <c r="G82" s="133" t="str">
        <f>IFERROR(INDEX(Auction!$B$13:$B$656,MATCH(H82,Auction!$A$13:$A$656,0)),"")</f>
        <v/>
      </c>
      <c r="H82" s="211" t="str">
        <f t="array" ref="H82">IF($G$75=0,"",IFERROR(INDEX(Auction!$A$13:$M$656,SMALL(IF(Auction!$M$13:$M$656=$G$75,(ROW(Auction!$M$13:$M$656)-MIN(ROW(Auction!$M$13:$M$656))+1),""),ROW(G6)),1),""))</f>
        <v/>
      </c>
      <c r="I82" s="142">
        <f>IF(ISERROR(VLOOKUP(H82,Auction!$A$13:$I$656,7,FALSE)),0,VLOOKUP(H82,Auction!$A$13:$I$656,8,FALSE))</f>
        <v>0</v>
      </c>
      <c r="J82" s="143">
        <f>IFERROR(VLOOKUP(H82,Auction!$A$13:$I$656,9,FALSE)-I82,0)</f>
        <v>0</v>
      </c>
      <c r="K82" s="149" t="str">
        <f>IFERROR(INDEX(Auction!$C$13:$C$656,MATCH(H82,Auction!$A$13:$A$656,0)),"")</f>
        <v/>
      </c>
    </row>
    <row r="83" spans="1:11" x14ac:dyDescent="0.25">
      <c r="A83" s="133" t="str">
        <f>IFERROR(INDEX(Auction!$B$13:$B$656,MATCH(B83,Auction!$A$13:$A$656,0)),"")</f>
        <v/>
      </c>
      <c r="B83" s="211" t="str">
        <f t="array" ref="B83">IF($A$75=0,"",IFERROR(INDEX(Auction!$A$13:$M$656,SMALL(IF(Auction!$M$13:$M$656=$A$75,(ROW(Auction!$M$13:$M$656)-MIN(ROW(Auction!$M$13:$M$656))+1),""),ROW(A7)),1),""))</f>
        <v/>
      </c>
      <c r="C83" s="142">
        <f>IF(ISERROR(VLOOKUP(B83,Auction!$A$13:$I$656,7,FALSE)),0,VLOOKUP(B83,Auction!$A$13:$I$656,8,FALSE))</f>
        <v>0</v>
      </c>
      <c r="D83" s="143">
        <f>IFERROR(VLOOKUP(B83,Auction!$A$13:$I$656,9,FALSE)-C83,0)</f>
        <v>0</v>
      </c>
      <c r="E83" s="149" t="str">
        <f>IFERROR(INDEX(Auction!$C$13:$C$656,MATCH(B83,Auction!$A$13:$A$656,0)),"")</f>
        <v/>
      </c>
      <c r="G83" s="133" t="str">
        <f>IFERROR(INDEX(Auction!$B$13:$B$656,MATCH(H83,Auction!$A$13:$A$656,0)),"")</f>
        <v/>
      </c>
      <c r="H83" s="211" t="str">
        <f t="array" ref="H83">IF($G$75=0,"",IFERROR(INDEX(Auction!$A$13:$M$656,SMALL(IF(Auction!$M$13:$M$656=$G$75,(ROW(Auction!$M$13:$M$656)-MIN(ROW(Auction!$M$13:$M$656))+1),""),ROW(G7)),1),""))</f>
        <v/>
      </c>
      <c r="I83" s="142">
        <f>IF(ISERROR(VLOOKUP(H83,Auction!$A$13:$I$656,7,FALSE)),0,VLOOKUP(H83,Auction!$A$13:$I$656,8,FALSE))</f>
        <v>0</v>
      </c>
      <c r="J83" s="143">
        <f>IFERROR(VLOOKUP(H83,Auction!$A$13:$I$656,9,FALSE)-I83,0)</f>
        <v>0</v>
      </c>
      <c r="K83" s="149" t="str">
        <f>IFERROR(INDEX(Auction!$C$13:$C$656,MATCH(H83,Auction!$A$13:$A$656,0)),"")</f>
        <v/>
      </c>
    </row>
    <row r="84" spans="1:11" x14ac:dyDescent="0.25">
      <c r="A84" s="133" t="str">
        <f>IFERROR(INDEX(Auction!$B$13:$B$656,MATCH(B84,Auction!$A$13:$A$656,0)),"")</f>
        <v/>
      </c>
      <c r="B84" s="211" t="str">
        <f t="array" ref="B84">IF($A$75=0,"",IFERROR(INDEX(Auction!$A$13:$M$656,SMALL(IF(Auction!$M$13:$M$656=$A$75,(ROW(Auction!$M$13:$M$656)-MIN(ROW(Auction!$M$13:$M$656))+1),""),ROW(A8)),1),""))</f>
        <v/>
      </c>
      <c r="C84" s="142">
        <f>IF(ISERROR(VLOOKUP(B84,Auction!$A$13:$I$656,7,FALSE)),0,VLOOKUP(B84,Auction!$A$13:$I$656,8,FALSE))</f>
        <v>0</v>
      </c>
      <c r="D84" s="143">
        <f>IFERROR(VLOOKUP(B84,Auction!$A$13:$I$656,9,FALSE)-C84,0)</f>
        <v>0</v>
      </c>
      <c r="E84" s="149" t="str">
        <f>IFERROR(INDEX(Auction!$C$13:$C$656,MATCH(B84,Auction!$A$13:$A$656,0)),"")</f>
        <v/>
      </c>
      <c r="G84" s="133" t="str">
        <f>IFERROR(INDEX(Auction!$B$13:$B$656,MATCH(H84,Auction!$A$13:$A$656,0)),"")</f>
        <v/>
      </c>
      <c r="H84" s="211" t="str">
        <f t="array" ref="H84">IF($G$75=0,"",IFERROR(INDEX(Auction!$A$13:$M$656,SMALL(IF(Auction!$M$13:$M$656=$G$75,(ROW(Auction!$M$13:$M$656)-MIN(ROW(Auction!$M$13:$M$656))+1),""),ROW(G8)),1),""))</f>
        <v/>
      </c>
      <c r="I84" s="142">
        <f>IF(ISERROR(VLOOKUP(H84,Auction!$A$13:$I$656,7,FALSE)),0,VLOOKUP(H84,Auction!$A$13:$I$656,8,FALSE))</f>
        <v>0</v>
      </c>
      <c r="J84" s="143">
        <f>IFERROR(VLOOKUP(H84,Auction!$A$13:$I$656,9,FALSE)-I84,0)</f>
        <v>0</v>
      </c>
      <c r="K84" s="149" t="str">
        <f>IFERROR(INDEX(Auction!$C$13:$C$656,MATCH(H84,Auction!$A$13:$A$656,0)),"")</f>
        <v/>
      </c>
    </row>
    <row r="85" spans="1:11" x14ac:dyDescent="0.25">
      <c r="A85" s="133" t="str">
        <f>IFERROR(INDEX(Auction!$B$13:$B$656,MATCH(B85,Auction!$A$13:$A$656,0)),"")</f>
        <v/>
      </c>
      <c r="B85" s="211" t="str">
        <f t="array" ref="B85">IF($A$75=0,"",IFERROR(INDEX(Auction!$A$13:$M$656,SMALL(IF(Auction!$M$13:$M$656=$A$75,(ROW(Auction!$M$13:$M$656)-MIN(ROW(Auction!$M$13:$M$656))+1),""),ROW(A9)),1),""))</f>
        <v/>
      </c>
      <c r="C85" s="142">
        <f>IF(ISERROR(VLOOKUP(B85,Auction!$A$13:$I$656,7,FALSE)),0,VLOOKUP(B85,Auction!$A$13:$I$656,8,FALSE))</f>
        <v>0</v>
      </c>
      <c r="D85" s="143">
        <f>IFERROR(VLOOKUP(B85,Auction!$A$13:$I$656,9,FALSE)-C85,0)</f>
        <v>0</v>
      </c>
      <c r="E85" s="150" t="str">
        <f>IFERROR(INDEX(Auction!$C$13:$C$656,MATCH(B85,Auction!$A$13:$A$656,0)),"")</f>
        <v/>
      </c>
      <c r="G85" s="133" t="str">
        <f>IFERROR(INDEX(Auction!$B$13:$B$656,MATCH(H85,Auction!$A$13:$A$656,0)),"")</f>
        <v/>
      </c>
      <c r="H85" s="211" t="str">
        <f t="array" ref="H85">IF($G$75=0,"",IFERROR(INDEX(Auction!$A$13:$M$656,SMALL(IF(Auction!$M$13:$M$656=$G$75,(ROW(Auction!$M$13:$M$656)-MIN(ROW(Auction!$M$13:$M$656))+1),""),ROW(G9)),1),""))</f>
        <v/>
      </c>
      <c r="I85" s="142">
        <f>IF(ISERROR(VLOOKUP(H85,Auction!$A$13:$I$656,7,FALSE)),0,VLOOKUP(H85,Auction!$A$13:$I$656,8,FALSE))</f>
        <v>0</v>
      </c>
      <c r="J85" s="143">
        <f>IFERROR(VLOOKUP(H85,Auction!$A$13:$I$656,9,FALSE)-I85,0)</f>
        <v>0</v>
      </c>
      <c r="K85" s="150" t="str">
        <f>IFERROR(INDEX(Auction!$C$13:$C$656,MATCH(H85,Auction!$A$13:$A$656,0)),"")</f>
        <v/>
      </c>
    </row>
    <row r="86" spans="1:11" x14ac:dyDescent="0.25">
      <c r="A86" s="133" t="str">
        <f>IFERROR(INDEX(Auction!$B$13:$B$656,MATCH(B86,Auction!$A$13:$A$656,0)),"")</f>
        <v/>
      </c>
      <c r="B86" s="211" t="str">
        <f t="array" ref="B86">IF($A$75=0,"",IFERROR(INDEX(Auction!$A$13:$M$656,SMALL(IF(Auction!$M$13:$M$656=$A$75,(ROW(Auction!$M$13:$M$656)-MIN(ROW(Auction!$M$13:$M$656))+1),""),ROW(A10)),1),""))</f>
        <v/>
      </c>
      <c r="C86" s="142">
        <f>IF(ISERROR(VLOOKUP(B86,Auction!$A$13:$I$656,7,FALSE)),0,VLOOKUP(B86,Auction!$A$13:$I$656,8,FALSE))</f>
        <v>0</v>
      </c>
      <c r="D86" s="143">
        <f>IFERROR(VLOOKUP(B86,Auction!$A$13:$I$656,9,FALSE)-C86,0)</f>
        <v>0</v>
      </c>
      <c r="E86" s="150" t="str">
        <f>IFERROR(INDEX(Auction!$C$13:$C$656,MATCH(B86,Auction!$A$13:$A$656,0)),"")</f>
        <v/>
      </c>
      <c r="G86" s="133" t="str">
        <f>IFERROR(INDEX(Auction!$B$13:$B$656,MATCH(H86,Auction!$A$13:$A$656,0)),"")</f>
        <v/>
      </c>
      <c r="H86" s="211" t="str">
        <f t="array" ref="H86">IF($G$75=0,"",IFERROR(INDEX(Auction!$A$13:$M$656,SMALL(IF(Auction!$M$13:$M$656=$G$75,(ROW(Auction!$M$13:$M$656)-MIN(ROW(Auction!$M$13:$M$656))+1),""),ROW(G10)),1),""))</f>
        <v/>
      </c>
      <c r="I86" s="142">
        <f>IF(ISERROR(VLOOKUP(H86,Auction!$A$13:$I$656,7,FALSE)),0,VLOOKUP(H86,Auction!$A$13:$I$656,8,FALSE))</f>
        <v>0</v>
      </c>
      <c r="J86" s="143">
        <f>IFERROR(VLOOKUP(H86,Auction!$A$13:$I$656,9,FALSE)-I86,0)</f>
        <v>0</v>
      </c>
      <c r="K86" s="150" t="str">
        <f>IFERROR(INDEX(Auction!$C$13:$C$656,MATCH(H86,Auction!$A$13:$A$656,0)),"")</f>
        <v/>
      </c>
    </row>
    <row r="87" spans="1:11" x14ac:dyDescent="0.25">
      <c r="A87" s="133" t="str">
        <f>IFERROR(INDEX(Auction!$B$13:$B$656,MATCH(B87,Auction!$A$13:$A$656,0)),"")</f>
        <v/>
      </c>
      <c r="B87" s="211" t="str">
        <f t="array" ref="B87">IF($A$75=0,"",IFERROR(INDEX(Auction!$A$13:$M$656,SMALL(IF(Auction!$M$13:$M$656=$A$75,(ROW(Auction!$M$13:$M$656)-MIN(ROW(Auction!$M$13:$M$656))+1),""),ROW(A11)),1),""))</f>
        <v/>
      </c>
      <c r="C87" s="142">
        <f>IF(ISERROR(VLOOKUP(B87,Auction!$A$13:$I$656,7,FALSE)),0,VLOOKUP(B87,Auction!$A$13:$I$656,8,FALSE))</f>
        <v>0</v>
      </c>
      <c r="D87" s="143">
        <f>IFERROR(VLOOKUP(B87,Auction!$A$13:$I$656,9,FALSE)-C87,0)</f>
        <v>0</v>
      </c>
      <c r="E87" s="150" t="str">
        <f>IFERROR(INDEX(Auction!$C$13:$C$656,MATCH(B87,Auction!$A$13:$A$656,0)),"")</f>
        <v/>
      </c>
      <c r="G87" s="133" t="str">
        <f>IFERROR(INDEX(Auction!$B$13:$B$656,MATCH(H87,Auction!$A$13:$A$656,0)),"")</f>
        <v/>
      </c>
      <c r="H87" s="211" t="str">
        <f t="array" ref="H87">IF($G$75=0,"",IFERROR(INDEX(Auction!$A$13:$M$656,SMALL(IF(Auction!$M$13:$M$656=$G$75,(ROW(Auction!$M$13:$M$656)-MIN(ROW(Auction!$M$13:$M$656))+1),""),ROW(G11)),1),""))</f>
        <v/>
      </c>
      <c r="I87" s="142">
        <f>IF(ISERROR(VLOOKUP(H87,Auction!$A$13:$I$656,7,FALSE)),0,VLOOKUP(H87,Auction!$A$13:$I$656,8,FALSE))</f>
        <v>0</v>
      </c>
      <c r="J87" s="143">
        <f>IFERROR(VLOOKUP(H87,Auction!$A$13:$I$656,9,FALSE)-I87,0)</f>
        <v>0</v>
      </c>
      <c r="K87" s="150" t="str">
        <f>IFERROR(INDEX(Auction!$C$13:$C$656,MATCH(H87,Auction!$A$13:$A$656,0)),"")</f>
        <v/>
      </c>
    </row>
    <row r="88" spans="1:11" x14ac:dyDescent="0.25">
      <c r="A88" s="133" t="str">
        <f>IFERROR(INDEX(Auction!$B$13:$B$656,MATCH(B88,Auction!$A$13:$A$656,0)),"")</f>
        <v/>
      </c>
      <c r="B88" s="211" t="str">
        <f t="array" ref="B88">IF($A$75=0,"",IFERROR(INDEX(Auction!$A$13:$M$656,SMALL(IF(Auction!$M$13:$M$656=$A$75,(ROW(Auction!$M$13:$M$656)-MIN(ROW(Auction!$M$13:$M$656))+1),""),ROW(A12)),1),""))</f>
        <v/>
      </c>
      <c r="C88" s="142">
        <f>IF(ISERROR(VLOOKUP(B88,Auction!$A$13:$I$656,7,FALSE)),0,VLOOKUP(B88,Auction!$A$13:$I$656,8,FALSE))</f>
        <v>0</v>
      </c>
      <c r="D88" s="143">
        <f>IFERROR(VLOOKUP(B88,Auction!$A$13:$I$656,9,FALSE)-C88,0)</f>
        <v>0</v>
      </c>
      <c r="E88" s="150" t="str">
        <f>IFERROR(INDEX(Auction!$C$13:$C$656,MATCH(B88,Auction!$A$13:$A$656,0)),"")</f>
        <v/>
      </c>
      <c r="G88" s="133" t="str">
        <f>IFERROR(INDEX(Auction!$B$13:$B$656,MATCH(H88,Auction!$A$13:$A$656,0)),"")</f>
        <v/>
      </c>
      <c r="H88" s="211" t="str">
        <f t="array" ref="H88">IF($G$75=0,"",IFERROR(INDEX(Auction!$A$13:$M$656,SMALL(IF(Auction!$M$13:$M$656=$G$75,(ROW(Auction!$M$13:$M$656)-MIN(ROW(Auction!$M$13:$M$656))+1),""),ROW(G12)),1),""))</f>
        <v/>
      </c>
      <c r="I88" s="142">
        <f>IF(ISERROR(VLOOKUP(H88,Auction!$A$13:$I$656,7,FALSE)),0,VLOOKUP(H88,Auction!$A$13:$I$656,8,FALSE))</f>
        <v>0</v>
      </c>
      <c r="J88" s="143">
        <f>IFERROR(VLOOKUP(H88,Auction!$A$13:$I$656,9,FALSE)-I88,0)</f>
        <v>0</v>
      </c>
      <c r="K88" s="150" t="str">
        <f>IFERROR(INDEX(Auction!$C$13:$C$656,MATCH(H88,Auction!$A$13:$A$656,0)),"")</f>
        <v/>
      </c>
    </row>
    <row r="89" spans="1:11" x14ac:dyDescent="0.25">
      <c r="A89" s="133" t="str">
        <f>IFERROR(INDEX(Auction!$B$13:$B$656,MATCH(B89,Auction!$A$13:$A$656,0)),"")</f>
        <v/>
      </c>
      <c r="B89" s="211" t="str">
        <f t="array" ref="B89">IF($A$75=0,"",IFERROR(INDEX(Auction!$A$13:$M$656,SMALL(IF(Auction!$M$13:$M$656=$A$75,(ROW(Auction!$M$13:$M$656)-MIN(ROW(Auction!$M$13:$M$656))+1),""),ROW(A13)),1),""))</f>
        <v/>
      </c>
      <c r="C89" s="142">
        <f>IF(ISERROR(VLOOKUP(B89,Auction!$A$13:$I$656,7,FALSE)),0,VLOOKUP(B89,Auction!$A$13:$I$656,8,FALSE))</f>
        <v>0</v>
      </c>
      <c r="D89" s="143">
        <f>IFERROR(VLOOKUP(B89,Auction!$A$13:$I$656,9,FALSE)-C89,0)</f>
        <v>0</v>
      </c>
      <c r="E89" s="150" t="str">
        <f>IFERROR(INDEX(Auction!$C$13:$C$656,MATCH(B89,Auction!$A$13:$A$656,0)),"")</f>
        <v/>
      </c>
      <c r="G89" s="133" t="str">
        <f>IFERROR(INDEX(Auction!$B$13:$B$656,MATCH(H89,Auction!$A$13:$A$656,0)),"")</f>
        <v/>
      </c>
      <c r="H89" s="211" t="str">
        <f t="array" ref="H89">IF($G$75=0,"",IFERROR(INDEX(Auction!$A$13:$M$656,SMALL(IF(Auction!$M$13:$M$656=$G$75,(ROW(Auction!$M$13:$M$656)-MIN(ROW(Auction!$M$13:$M$656))+1),""),ROW(G13)),1),""))</f>
        <v/>
      </c>
      <c r="I89" s="142">
        <f>IF(ISERROR(VLOOKUP(H89,Auction!$A$13:$I$656,7,FALSE)),0,VLOOKUP(H89,Auction!$A$13:$I$656,8,FALSE))</f>
        <v>0</v>
      </c>
      <c r="J89" s="143">
        <f>IFERROR(VLOOKUP(H89,Auction!$A$13:$I$656,9,FALSE)-I89,0)</f>
        <v>0</v>
      </c>
      <c r="K89" s="150" t="str">
        <f>IFERROR(INDEX(Auction!$C$13:$C$656,MATCH(H89,Auction!$A$13:$A$656,0)),"")</f>
        <v/>
      </c>
    </row>
    <row r="90" spans="1:11" x14ac:dyDescent="0.25">
      <c r="A90" s="133" t="str">
        <f>IFERROR(INDEX(Auction!$B$13:$B$656,MATCH(B90,Auction!$A$13:$A$656,0)),"")</f>
        <v/>
      </c>
      <c r="B90" s="211" t="str">
        <f t="array" ref="B90">IF($A$75=0,"",IFERROR(INDEX(Auction!$A$13:$M$656,SMALL(IF(Auction!$M$13:$M$656=$A$75,(ROW(Auction!$M$13:$M$656)-MIN(ROW(Auction!$M$13:$M$656))+1),""),ROW(A14)),1),""))</f>
        <v/>
      </c>
      <c r="C90" s="142">
        <f>IF(ISERROR(VLOOKUP(B90,Auction!$A$13:$I$656,7,FALSE)),0,VLOOKUP(B90,Auction!$A$13:$I$656,8,FALSE))</f>
        <v>0</v>
      </c>
      <c r="D90" s="143">
        <f>IFERROR(VLOOKUP(B90,Auction!$A$13:$I$656,9,FALSE)-C90,0)</f>
        <v>0</v>
      </c>
      <c r="E90" s="150" t="str">
        <f>IFERROR(INDEX(Auction!$C$13:$C$656,MATCH(B90,Auction!$A$13:$A$656,0)),"")</f>
        <v/>
      </c>
      <c r="G90" s="133" t="str">
        <f>IFERROR(INDEX(Auction!$B$13:$B$656,MATCH(H90,Auction!$A$13:$A$656,0)),"")</f>
        <v/>
      </c>
      <c r="H90" s="211" t="str">
        <f t="array" ref="H90">IF($G$75=0,"",IFERROR(INDEX(Auction!$A$13:$M$656,SMALL(IF(Auction!$M$13:$M$656=$G$75,(ROW(Auction!$M$13:$M$656)-MIN(ROW(Auction!$M$13:$M$656))+1),""),ROW(G14)),1),""))</f>
        <v/>
      </c>
      <c r="I90" s="142">
        <f>IF(ISERROR(VLOOKUP(H90,Auction!$A$13:$I$656,7,FALSE)),0,VLOOKUP(H90,Auction!$A$13:$I$656,8,FALSE))</f>
        <v>0</v>
      </c>
      <c r="J90" s="143">
        <f>IFERROR(VLOOKUP(H90,Auction!$A$13:$I$656,9,FALSE)-I90,0)</f>
        <v>0</v>
      </c>
      <c r="K90" s="150" t="str">
        <f>IFERROR(INDEX(Auction!$C$13:$C$656,MATCH(H90,Auction!$A$13:$A$656,0)),"")</f>
        <v/>
      </c>
    </row>
    <row r="91" spans="1:11" x14ac:dyDescent="0.25">
      <c r="A91" s="133" t="str">
        <f>IFERROR(INDEX(Auction!$B$13:$B$656,MATCH(B91,Auction!$A$13:$A$656,0)),"")</f>
        <v/>
      </c>
      <c r="B91" s="211" t="str">
        <f t="array" ref="B91">IF($A$75=0,"",IFERROR(INDEX(Auction!$A$13:$M$656,SMALL(IF(Auction!$M$13:$M$656=$A$75,(ROW(Auction!$M$13:$M$656)-MIN(ROW(Auction!$M$13:$M$656))+1),""),ROW(A15)),1),""))</f>
        <v/>
      </c>
      <c r="C91" s="142">
        <f>IF(ISERROR(VLOOKUP(B91,Auction!$A$13:$I$656,7,FALSE)),0,VLOOKUP(B91,Auction!$A$13:$I$656,8,FALSE))</f>
        <v>0</v>
      </c>
      <c r="D91" s="143">
        <f>IFERROR(VLOOKUP(B91,Auction!$A$13:$I$656,9,FALSE)-C91,0)</f>
        <v>0</v>
      </c>
      <c r="E91" s="150" t="str">
        <f>IFERROR(INDEX(Auction!$C$13:$C$656,MATCH(B91,Auction!$A$13:$A$656,0)),"")</f>
        <v/>
      </c>
      <c r="G91" s="133" t="str">
        <f>IFERROR(INDEX(Auction!$B$13:$B$656,MATCH(H91,Auction!$A$13:$A$656,0)),"")</f>
        <v/>
      </c>
      <c r="H91" s="211" t="str">
        <f t="array" ref="H91">IF($G$75=0,"",IFERROR(INDEX(Auction!$A$13:$M$656,SMALL(IF(Auction!$M$13:$M$656=$G$75,(ROW(Auction!$M$13:$M$656)-MIN(ROW(Auction!$M$13:$M$656))+1),""),ROW(G15)),1),""))</f>
        <v/>
      </c>
      <c r="I91" s="142">
        <f>IF(ISERROR(VLOOKUP(H91,Auction!$A$13:$I$656,7,FALSE)),0,VLOOKUP(H91,Auction!$A$13:$I$656,8,FALSE))</f>
        <v>0</v>
      </c>
      <c r="J91" s="143">
        <f>IFERROR(VLOOKUP(H91,Auction!$A$13:$I$656,9,FALSE)-I91,0)</f>
        <v>0</v>
      </c>
      <c r="K91" s="150" t="str">
        <f>IFERROR(INDEX(Auction!$C$13:$C$656,MATCH(H91,Auction!$A$13:$A$656,0)),"")</f>
        <v/>
      </c>
    </row>
    <row r="92" spans="1:11" x14ac:dyDescent="0.25">
      <c r="A92" s="133" t="str">
        <f>IFERROR(INDEX(Auction!$B$13:$B$656,MATCH(B92,Auction!$A$13:$A$656,0)),"")</f>
        <v/>
      </c>
      <c r="B92" s="211" t="str">
        <f t="array" ref="B92">IF($A$75=0,"",IFERROR(INDEX(Auction!$A$13:$M$656,SMALL(IF(Auction!$M$13:$M$656=$A$75,(ROW(Auction!$M$13:$M$656)-MIN(ROW(Auction!$M$13:$M$656))+1),""),ROW(A16)),1),""))</f>
        <v/>
      </c>
      <c r="C92" s="142">
        <f>IF(ISERROR(VLOOKUP(B92,Auction!$A$13:$I$656,7,FALSE)),0,VLOOKUP(B92,Auction!$A$13:$I$656,8,FALSE))</f>
        <v>0</v>
      </c>
      <c r="D92" s="143">
        <f>IFERROR(VLOOKUP(B92,Auction!$A$13:$I$656,9,FALSE)-C92,0)</f>
        <v>0</v>
      </c>
      <c r="E92" s="150" t="str">
        <f>IFERROR(INDEX(Auction!$C$13:$C$656,MATCH(B92,Auction!$A$13:$A$656,0)),"")</f>
        <v/>
      </c>
      <c r="G92" s="133" t="str">
        <f>IFERROR(INDEX(Auction!$B$13:$B$656,MATCH(H92,Auction!$A$13:$A$656,0)),"")</f>
        <v/>
      </c>
      <c r="H92" s="211" t="str">
        <f t="array" ref="H92">IF($G$75=0,"",IFERROR(INDEX(Auction!$A$13:$M$656,SMALL(IF(Auction!$M$13:$M$656=$G$75,(ROW(Auction!$M$13:$M$656)-MIN(ROW(Auction!$M$13:$M$656))+1),""),ROW(G16)),1),""))</f>
        <v/>
      </c>
      <c r="I92" s="142">
        <f>IF(ISERROR(VLOOKUP(H92,Auction!$A$13:$I$656,7,FALSE)),0,VLOOKUP(H92,Auction!$A$13:$I$656,8,FALSE))</f>
        <v>0</v>
      </c>
      <c r="J92" s="143">
        <f>IFERROR(VLOOKUP(H92,Auction!$A$13:$I$656,9,FALSE)-I92,0)</f>
        <v>0</v>
      </c>
      <c r="K92" s="150" t="str">
        <f>IFERROR(INDEX(Auction!$C$13:$C$656,MATCH(H92,Auction!$A$13:$A$656,0)),"")</f>
        <v/>
      </c>
    </row>
    <row r="93" spans="1:11" x14ac:dyDescent="0.25">
      <c r="A93" s="133" t="str">
        <f>IFERROR(INDEX(Auction!$B$13:$B$656,MATCH(B93,Auction!$A$13:$A$656,0)),"")</f>
        <v/>
      </c>
      <c r="B93" s="211" t="str">
        <f t="array" ref="B93">IF($A$75=0,"",IFERROR(INDEX(Auction!$A$13:$M$656,SMALL(IF(Auction!$M$13:$M$656=$A$75,(ROW(Auction!$M$13:$M$656)-MIN(ROW(Auction!$M$13:$M$656))+1),""),ROW(A17)),1),""))</f>
        <v/>
      </c>
      <c r="C93" s="142">
        <f>IF(ISERROR(VLOOKUP(B93,Auction!$A$13:$I$656,7,FALSE)),0,VLOOKUP(B93,Auction!$A$13:$I$656,8,FALSE))</f>
        <v>0</v>
      </c>
      <c r="D93" s="143">
        <f>IFERROR(VLOOKUP(B93,Auction!$A$13:$I$656,9,FALSE)-C93,0)</f>
        <v>0</v>
      </c>
      <c r="E93" s="150" t="str">
        <f>IFERROR(INDEX(Auction!$C$13:$C$656,MATCH(B93,Auction!$A$13:$A$656,0)),"")</f>
        <v/>
      </c>
      <c r="G93" s="133" t="str">
        <f>IFERROR(INDEX(Auction!$B$13:$B$656,MATCH(H93,Auction!$A$13:$A$656,0)),"")</f>
        <v/>
      </c>
      <c r="H93" s="211" t="str">
        <f t="array" ref="H93">IF($G$75=0,"",IFERROR(INDEX(Auction!$A$13:$M$656,SMALL(IF(Auction!$M$13:$M$656=$G$75,(ROW(Auction!$M$13:$M$656)-MIN(ROW(Auction!$M$13:$M$656))+1),""),ROW(G17)),1),""))</f>
        <v/>
      </c>
      <c r="I93" s="142">
        <f>IF(ISERROR(VLOOKUP(H93,Auction!$A$13:$I$656,7,FALSE)),0,VLOOKUP(H93,Auction!$A$13:$I$656,8,FALSE))</f>
        <v>0</v>
      </c>
      <c r="J93" s="143">
        <f>IFERROR(VLOOKUP(H93,Auction!$A$13:$I$656,9,FALSE)-I93,0)</f>
        <v>0</v>
      </c>
      <c r="K93" s="150" t="str">
        <f>IFERROR(INDEX(Auction!$C$13:$C$656,MATCH(H93,Auction!$A$13:$A$656,0)),"")</f>
        <v/>
      </c>
    </row>
    <row r="94" spans="1:11" x14ac:dyDescent="0.25">
      <c r="A94" s="133" t="str">
        <f>IFERROR(INDEX(Auction!$B$13:$B$656,MATCH(B94,Auction!$A$13:$A$656,0)),"")</f>
        <v/>
      </c>
      <c r="B94" s="211" t="str">
        <f t="array" ref="B94">IF($A$75=0,"",IFERROR(INDEX(Auction!$A$13:$M$656,SMALL(IF(Auction!$M$13:$M$656=$A$75,(ROW(Auction!$M$13:$M$656)-MIN(ROW(Auction!$M$13:$M$656))+1),""),ROW(A18)),1),""))</f>
        <v/>
      </c>
      <c r="C94" s="142">
        <f>IF(ISERROR(VLOOKUP(B94,Auction!$A$13:$I$656,7,FALSE)),0,VLOOKUP(B94,Auction!$A$13:$I$656,8,FALSE))</f>
        <v>0</v>
      </c>
      <c r="D94" s="143">
        <f>IFERROR(VLOOKUP(B94,Auction!$A$13:$I$656,9,FALSE)-C94,0)</f>
        <v>0</v>
      </c>
      <c r="E94" s="150" t="str">
        <f>IFERROR(INDEX(Auction!$C$13:$C$656,MATCH(B94,Auction!$A$13:$A$656,0)),"")</f>
        <v/>
      </c>
      <c r="G94" s="133" t="str">
        <f>IFERROR(INDEX(Auction!$B$13:$B$656,MATCH(H94,Auction!$A$13:$A$656,0)),"")</f>
        <v/>
      </c>
      <c r="H94" s="211" t="str">
        <f t="array" ref="H94">IF($G$75=0,"",IFERROR(INDEX(Auction!$A$13:$M$656,SMALL(IF(Auction!$M$13:$M$656=$G$75,(ROW(Auction!$M$13:$M$656)-MIN(ROW(Auction!$M$13:$M$656))+1),""),ROW(G18)),1),""))</f>
        <v/>
      </c>
      <c r="I94" s="142">
        <f>IF(ISERROR(VLOOKUP(H94,Auction!$A$13:$I$656,7,FALSE)),0,VLOOKUP(H94,Auction!$A$13:$I$656,8,FALSE))</f>
        <v>0</v>
      </c>
      <c r="J94" s="143">
        <f>IFERROR(VLOOKUP(H94,Auction!$A$13:$I$656,9,FALSE)-I94,0)</f>
        <v>0</v>
      </c>
      <c r="K94" s="150" t="str">
        <f>IFERROR(INDEX(Auction!$C$13:$C$656,MATCH(H94,Auction!$A$13:$A$656,0)),"")</f>
        <v/>
      </c>
    </row>
    <row r="95" spans="1:11" x14ac:dyDescent="0.25">
      <c r="A95" s="133" t="str">
        <f>IFERROR(INDEX(Auction!$B$13:$B$656,MATCH(B95,Auction!$A$13:$A$656,0)),"")</f>
        <v/>
      </c>
      <c r="B95" s="211" t="str">
        <f t="array" ref="B95">IF($A$75=0,"",IFERROR(INDEX(Auction!$A$13:$M$656,SMALL(IF(Auction!$M$13:$M$656=$A$75,(ROW(Auction!$M$13:$M$656)-MIN(ROW(Auction!$M$13:$M$656))+1),""),ROW(A19)),1),""))</f>
        <v/>
      </c>
      <c r="C95" s="142">
        <f>IF(ISERROR(VLOOKUP(B95,Auction!$A$13:$I$656,7,FALSE)),0,VLOOKUP(B95,Auction!$A$13:$I$656,8,FALSE))</f>
        <v>0</v>
      </c>
      <c r="D95" s="143">
        <f>IFERROR(VLOOKUP(B95,Auction!$A$13:$I$656,9,FALSE)-C95,0)</f>
        <v>0</v>
      </c>
      <c r="E95" s="150" t="str">
        <f>IFERROR(INDEX(Auction!$C$13:$C$656,MATCH(B95,Auction!$A$13:$A$656,0)),"")</f>
        <v/>
      </c>
      <c r="G95" s="133" t="str">
        <f>IFERROR(INDEX(Auction!$B$13:$B$656,MATCH(H95,Auction!$A$13:$A$656,0)),"")</f>
        <v/>
      </c>
      <c r="H95" s="211" t="str">
        <f t="array" ref="H95">IF($G$75=0,"",IFERROR(INDEX(Auction!$A$13:$M$656,SMALL(IF(Auction!$M$13:$M$656=$G$75,(ROW(Auction!$M$13:$M$656)-MIN(ROW(Auction!$M$13:$M$656))+1),""),ROW(G19)),1),""))</f>
        <v/>
      </c>
      <c r="I95" s="142">
        <f>IF(ISERROR(VLOOKUP(H95,Auction!$A$13:$I$656,7,FALSE)),0,VLOOKUP(H95,Auction!$A$13:$I$656,8,FALSE))</f>
        <v>0</v>
      </c>
      <c r="J95" s="143">
        <f>IFERROR(VLOOKUP(H95,Auction!$A$13:$I$656,9,FALSE)-I95,0)</f>
        <v>0</v>
      </c>
      <c r="K95" s="150" t="str">
        <f>IFERROR(INDEX(Auction!$C$13:$C$656,MATCH(H95,Auction!$A$13:$A$656,0)),"")</f>
        <v/>
      </c>
    </row>
    <row r="96" spans="1:11" x14ac:dyDescent="0.25">
      <c r="A96" s="133" t="str">
        <f>IFERROR(INDEX(Auction!$B$13:$B$656,MATCH(B96,Auction!$A$13:$A$656,0)),"")</f>
        <v/>
      </c>
      <c r="B96" s="211" t="str">
        <f t="array" ref="B96">IF($A$75=0,"",IFERROR(INDEX(Auction!$A$13:$M$656,SMALL(IF(Auction!$M$13:$M$656=$A$75,(ROW(Auction!$M$13:$M$656)-MIN(ROW(Auction!$M$13:$M$656))+1),""),ROW(A20)),1),""))</f>
        <v/>
      </c>
      <c r="C96" s="142">
        <f>IF(ISERROR(VLOOKUP(B96,Auction!$A$13:$I$656,7,FALSE)),0,VLOOKUP(B96,Auction!$A$13:$I$656,8,FALSE))</f>
        <v>0</v>
      </c>
      <c r="D96" s="143">
        <f>IFERROR(VLOOKUP(B96,Auction!$A$13:$I$656,9,FALSE)-C96,0)</f>
        <v>0</v>
      </c>
      <c r="E96" s="150" t="str">
        <f>IFERROR(INDEX(Auction!$C$13:$C$656,MATCH(B96,Auction!$A$13:$A$656,0)),"")</f>
        <v/>
      </c>
      <c r="G96" s="133" t="str">
        <f>IFERROR(INDEX(Auction!$B$13:$B$656,MATCH(H96,Auction!$A$13:$A$656,0)),"")</f>
        <v/>
      </c>
      <c r="H96" s="211" t="str">
        <f t="array" ref="H96">IF($G$75=0,"",IFERROR(INDEX(Auction!$A$13:$M$656,SMALL(IF(Auction!$M$13:$M$656=$G$75,(ROW(Auction!$M$13:$M$656)-MIN(ROW(Auction!$M$13:$M$656))+1),""),ROW(G20)),1),""))</f>
        <v/>
      </c>
      <c r="I96" s="142">
        <f>IF(ISERROR(VLOOKUP(H96,Auction!$A$13:$I$656,7,FALSE)),0,VLOOKUP(H96,Auction!$A$13:$I$656,8,FALSE))</f>
        <v>0</v>
      </c>
      <c r="J96" s="143">
        <f>IFERROR(VLOOKUP(H96,Auction!$A$13:$I$656,9,FALSE)-I96,0)</f>
        <v>0</v>
      </c>
      <c r="K96" s="150" t="str">
        <f>IFERROR(INDEX(Auction!$C$13:$C$656,MATCH(H96,Auction!$A$13:$A$656,0)),"")</f>
        <v/>
      </c>
    </row>
    <row r="97" spans="1:11" x14ac:dyDescent="0.25">
      <c r="A97" s="151"/>
      <c r="B97" s="152"/>
      <c r="C97" s="153">
        <f>SUM(C77:C96)</f>
        <v>0</v>
      </c>
      <c r="D97" s="153">
        <f>SUM(D77:D96)</f>
        <v>0</v>
      </c>
      <c r="E97" s="154"/>
      <c r="G97" s="151"/>
      <c r="H97" s="152"/>
      <c r="I97" s="153">
        <f>SUM(I77:I96)</f>
        <v>0</v>
      </c>
      <c r="J97" s="153">
        <f>SUM(J77:J96)</f>
        <v>0</v>
      </c>
      <c r="K97" s="154"/>
    </row>
    <row r="99" spans="1:11" x14ac:dyDescent="0.25">
      <c r="A99" s="268" t="str">
        <f>H10</f>
        <v>Team 8</v>
      </c>
      <c r="B99" s="269"/>
      <c r="C99" s="269"/>
      <c r="D99" s="269"/>
      <c r="E99" s="270"/>
      <c r="G99" s="268" t="str">
        <f>H11</f>
        <v>Team 9</v>
      </c>
      <c r="H99" s="269"/>
      <c r="I99" s="269"/>
      <c r="J99" s="269"/>
      <c r="K99" s="270"/>
    </row>
    <row r="100" spans="1:11" x14ac:dyDescent="0.25">
      <c r="A100" s="140" t="s">
        <v>495</v>
      </c>
      <c r="B100" s="148" t="s">
        <v>85</v>
      </c>
      <c r="C100" s="130" t="s">
        <v>496</v>
      </c>
      <c r="D100" s="130" t="s">
        <v>497</v>
      </c>
      <c r="E100" s="141" t="s">
        <v>440</v>
      </c>
      <c r="G100" s="140" t="s">
        <v>495</v>
      </c>
      <c r="H100" s="148" t="s">
        <v>85</v>
      </c>
      <c r="I100" s="130" t="s">
        <v>496</v>
      </c>
      <c r="J100" s="130" t="s">
        <v>497</v>
      </c>
      <c r="K100" s="141" t="s">
        <v>440</v>
      </c>
    </row>
    <row r="101" spans="1:11" x14ac:dyDescent="0.25">
      <c r="A101" s="133" t="str">
        <f>IFERROR(INDEX(Auction!$B$13:$B$656,MATCH(B101,Auction!$A$13:$A$656,0)),"")</f>
        <v/>
      </c>
      <c r="B101" s="211" t="str">
        <f t="array" ref="B101">IF($A$99=0,"",IFERROR(INDEX(Auction!$A$13:$M$656,SMALL(IF(Auction!$M$13:$M$656=$A$99,(ROW(Auction!$M$13:$M$656)-MIN(ROW(Auction!$M$13:$M$656))+1),""),ROW(A1)),1),""))</f>
        <v/>
      </c>
      <c r="C101" s="142">
        <f>IF(ISERROR(VLOOKUP(B101,Auction!$A$13:$I$656,7,FALSE)),0,VLOOKUP(B101,Auction!$A$13:$I$656,8,FALSE))</f>
        <v>0</v>
      </c>
      <c r="D101" s="143">
        <f>IFERROR(VLOOKUP(B101,Auction!$A$13:$I$656,9,FALSE)-C101,0)</f>
        <v>0</v>
      </c>
      <c r="E101" s="149" t="str">
        <f>IFERROR(INDEX(Auction!$C$13:$C$656,MATCH(B101,Auction!$A$13:$A$656,0)),"")</f>
        <v/>
      </c>
      <c r="G101" s="133" t="str">
        <f>IFERROR(INDEX(Auction!$B$13:$B$656,MATCH(H101,Auction!$A$13:$A$656,0)),"")</f>
        <v/>
      </c>
      <c r="H101" s="211" t="str">
        <f t="array" ref="H101">IF($G$99=0,"",IFERROR(INDEX(Auction!$A$13:$M$656,SMALL(IF(Auction!$M$13:$M$656=$G$99,(ROW(Auction!$M$13:$M$656)-MIN(ROW(Auction!$M$13:$M$656))+1),""),ROW(G1)),1),""))</f>
        <v/>
      </c>
      <c r="I101" s="142">
        <f>IF(ISERROR(VLOOKUP(H101,Auction!$A$13:$I$656,7,FALSE)),0,VLOOKUP(H101,Auction!$A$13:$I$656,8,FALSE))</f>
        <v>0</v>
      </c>
      <c r="J101" s="143">
        <f>IFERROR(VLOOKUP(H101,Auction!$A$13:$I$656,9,FALSE)-I101,0)</f>
        <v>0</v>
      </c>
      <c r="K101" s="149" t="str">
        <f>IFERROR(INDEX(Auction!$C$13:$C$656,MATCH(H101,Auction!$A$13:$A$656,0)),"")</f>
        <v/>
      </c>
    </row>
    <row r="102" spans="1:11" x14ac:dyDescent="0.25">
      <c r="A102" s="133" t="str">
        <f>IFERROR(INDEX(Auction!$B$13:$B$656,MATCH(B102,Auction!$A$13:$A$656,0)),"")</f>
        <v/>
      </c>
      <c r="B102" s="211" t="str">
        <f t="array" ref="B102">IF($A$99=0,"",IFERROR(INDEX(Auction!$A$13:$M$656,SMALL(IF(Auction!$M$13:$M$656=$A$99,(ROW(Auction!$M$13:$M$656)-MIN(ROW(Auction!$M$13:$M$656))+1),""),ROW(A2)),1),""))</f>
        <v/>
      </c>
      <c r="C102" s="142">
        <f>IF(ISERROR(VLOOKUP(B102,Auction!$A$13:$I$656,7,FALSE)),0,VLOOKUP(B102,Auction!$A$13:$I$656,8,FALSE))</f>
        <v>0</v>
      </c>
      <c r="D102" s="143">
        <f>IFERROR(VLOOKUP(B102,Auction!$A$13:$I$656,9,FALSE)-C102,0)</f>
        <v>0</v>
      </c>
      <c r="E102" s="149" t="str">
        <f>IFERROR(INDEX(Auction!$C$13:$C$656,MATCH(B102,Auction!$A$13:$A$656,0)),"")</f>
        <v/>
      </c>
      <c r="G102" s="133" t="str">
        <f>IFERROR(INDEX(Auction!$B$13:$B$656,MATCH(H102,Auction!$A$13:$A$656,0)),"")</f>
        <v/>
      </c>
      <c r="H102" s="211" t="str">
        <f t="array" ref="H102">IF($G$99=0,"",IFERROR(INDEX(Auction!$A$13:$M$656,SMALL(IF(Auction!$M$13:$M$656=$G$99,(ROW(Auction!$M$13:$M$656)-MIN(ROW(Auction!$M$13:$M$656))+1),""),ROW(G2)),1),""))</f>
        <v/>
      </c>
      <c r="I102" s="142">
        <f>IF(ISERROR(VLOOKUP(H102,Auction!$A$13:$I$656,7,FALSE)),0,VLOOKUP(H102,Auction!$A$13:$I$656,8,FALSE))</f>
        <v>0</v>
      </c>
      <c r="J102" s="143">
        <f>IFERROR(VLOOKUP(H102,Auction!$A$13:$I$656,9,FALSE)-I102,0)</f>
        <v>0</v>
      </c>
      <c r="K102" s="149" t="str">
        <f>IFERROR(INDEX(Auction!$C$13:$C$656,MATCH(H102,Auction!$A$13:$A$656,0)),"")</f>
        <v/>
      </c>
    </row>
    <row r="103" spans="1:11" x14ac:dyDescent="0.25">
      <c r="A103" s="133" t="str">
        <f>IFERROR(INDEX(Auction!$B$13:$B$656,MATCH(B103,Auction!$A$13:$A$656,0)),"")</f>
        <v/>
      </c>
      <c r="B103" s="211" t="str">
        <f t="array" ref="B103">IF($A$99=0,"",IFERROR(INDEX(Auction!$A$13:$M$656,SMALL(IF(Auction!$M$13:$M$656=$A$99,(ROW(Auction!$M$13:$M$656)-MIN(ROW(Auction!$M$13:$M$656))+1),""),ROW(A3)),1),""))</f>
        <v/>
      </c>
      <c r="C103" s="142">
        <f>IF(ISERROR(VLOOKUP(B103,Auction!$A$13:$I$656,7,FALSE)),0,VLOOKUP(B103,Auction!$A$13:$I$656,8,FALSE))</f>
        <v>0</v>
      </c>
      <c r="D103" s="143">
        <f>IFERROR(VLOOKUP(B103,Auction!$A$13:$I$656,9,FALSE)-C103,0)</f>
        <v>0</v>
      </c>
      <c r="E103" s="149" t="str">
        <f>IFERROR(INDEX(Auction!$C$13:$C$656,MATCH(B103,Auction!$A$13:$A$656,0)),"")</f>
        <v/>
      </c>
      <c r="G103" s="133" t="str">
        <f>IFERROR(INDEX(Auction!$B$13:$B$656,MATCH(H103,Auction!$A$13:$A$656,0)),"")</f>
        <v/>
      </c>
      <c r="H103" s="211" t="str">
        <f t="array" ref="H103">IF($G$99=0,"",IFERROR(INDEX(Auction!$A$13:$M$656,SMALL(IF(Auction!$M$13:$M$656=$G$99,(ROW(Auction!$M$13:$M$656)-MIN(ROW(Auction!$M$13:$M$656))+1),""),ROW(G3)),1),""))</f>
        <v/>
      </c>
      <c r="I103" s="142">
        <f>IF(ISERROR(VLOOKUP(H103,Auction!$A$13:$I$656,7,FALSE)),0,VLOOKUP(H103,Auction!$A$13:$I$656,8,FALSE))</f>
        <v>0</v>
      </c>
      <c r="J103" s="143">
        <f>IFERROR(VLOOKUP(H103,Auction!$A$13:$I$656,9,FALSE)-I103,0)</f>
        <v>0</v>
      </c>
      <c r="K103" s="149" t="str">
        <f>IFERROR(INDEX(Auction!$C$13:$C$656,MATCH(H103,Auction!$A$13:$A$656,0)),"")</f>
        <v/>
      </c>
    </row>
    <row r="104" spans="1:11" x14ac:dyDescent="0.25">
      <c r="A104" s="133" t="str">
        <f>IFERROR(INDEX(Auction!$B$13:$B$656,MATCH(B104,Auction!$A$13:$A$656,0)),"")</f>
        <v/>
      </c>
      <c r="B104" s="211" t="str">
        <f t="array" ref="B104">IF($A$99=0,"",IFERROR(INDEX(Auction!$A$13:$M$656,SMALL(IF(Auction!$M$13:$M$656=$A$99,(ROW(Auction!$M$13:$M$656)-MIN(ROW(Auction!$M$13:$M$656))+1),""),ROW(A4)),1),""))</f>
        <v/>
      </c>
      <c r="C104" s="142">
        <f>IF(ISERROR(VLOOKUP(B104,Auction!$A$13:$I$656,7,FALSE)),0,VLOOKUP(B104,Auction!$A$13:$I$656,8,FALSE))</f>
        <v>0</v>
      </c>
      <c r="D104" s="143">
        <f>IFERROR(VLOOKUP(B104,Auction!$A$13:$I$656,9,FALSE)-C104,0)</f>
        <v>0</v>
      </c>
      <c r="E104" s="149" t="str">
        <f>IFERROR(INDEX(Auction!$C$13:$C$656,MATCH(B104,Auction!$A$13:$A$656,0)),"")</f>
        <v/>
      </c>
      <c r="G104" s="133" t="str">
        <f>IFERROR(INDEX(Auction!$B$13:$B$656,MATCH(H104,Auction!$A$13:$A$656,0)),"")</f>
        <v/>
      </c>
      <c r="H104" s="211" t="str">
        <f t="array" ref="H104">IF($G$99=0,"",IFERROR(INDEX(Auction!$A$13:$M$656,SMALL(IF(Auction!$M$13:$M$656=$G$99,(ROW(Auction!$M$13:$M$656)-MIN(ROW(Auction!$M$13:$M$656))+1),""),ROW(G4)),1),""))</f>
        <v/>
      </c>
      <c r="I104" s="142">
        <f>IF(ISERROR(VLOOKUP(H104,Auction!$A$13:$I$656,7,FALSE)),0,VLOOKUP(H104,Auction!$A$13:$I$656,8,FALSE))</f>
        <v>0</v>
      </c>
      <c r="J104" s="143">
        <f>IFERROR(VLOOKUP(H104,Auction!$A$13:$I$656,9,FALSE)-I104,0)</f>
        <v>0</v>
      </c>
      <c r="K104" s="149" t="str">
        <f>IFERROR(INDEX(Auction!$C$13:$C$656,MATCH(H104,Auction!$A$13:$A$656,0)),"")</f>
        <v/>
      </c>
    </row>
    <row r="105" spans="1:11" x14ac:dyDescent="0.25">
      <c r="A105" s="133" t="str">
        <f>IFERROR(INDEX(Auction!$B$13:$B$656,MATCH(B105,Auction!$A$13:$A$656,0)),"")</f>
        <v/>
      </c>
      <c r="B105" s="211" t="str">
        <f t="array" ref="B105">IF($A$99=0,"",IFERROR(INDEX(Auction!$A$13:$M$656,SMALL(IF(Auction!$M$13:$M$656=$A$99,(ROW(Auction!$M$13:$M$656)-MIN(ROW(Auction!$M$13:$M$656))+1),""),ROW(A5)),1),""))</f>
        <v/>
      </c>
      <c r="C105" s="142">
        <f>IF(ISERROR(VLOOKUP(B105,Auction!$A$13:$I$656,7,FALSE)),0,VLOOKUP(B105,Auction!$A$13:$I$656,8,FALSE))</f>
        <v>0</v>
      </c>
      <c r="D105" s="143">
        <f>IFERROR(VLOOKUP(B105,Auction!$A$13:$I$656,9,FALSE)-C105,0)</f>
        <v>0</v>
      </c>
      <c r="E105" s="149" t="str">
        <f>IFERROR(INDEX(Auction!$C$13:$C$656,MATCH(B105,Auction!$A$13:$A$656,0)),"")</f>
        <v/>
      </c>
      <c r="G105" s="133" t="str">
        <f>IFERROR(INDEX(Auction!$B$13:$B$656,MATCH(H105,Auction!$A$13:$A$656,0)),"")</f>
        <v/>
      </c>
      <c r="H105" s="211" t="str">
        <f t="array" ref="H105">IF($G$99=0,"",IFERROR(INDEX(Auction!$A$13:$M$656,SMALL(IF(Auction!$M$13:$M$656=$G$99,(ROW(Auction!$M$13:$M$656)-MIN(ROW(Auction!$M$13:$M$656))+1),""),ROW(G5)),1),""))</f>
        <v/>
      </c>
      <c r="I105" s="142">
        <f>IF(ISERROR(VLOOKUP(H105,Auction!$A$13:$I$656,7,FALSE)),0,VLOOKUP(H105,Auction!$A$13:$I$656,8,FALSE))</f>
        <v>0</v>
      </c>
      <c r="J105" s="143">
        <f>IFERROR(VLOOKUP(H105,Auction!$A$13:$I$656,9,FALSE)-I105,0)</f>
        <v>0</v>
      </c>
      <c r="K105" s="149" t="str">
        <f>IFERROR(INDEX(Auction!$C$13:$C$656,MATCH(H105,Auction!$A$13:$A$656,0)),"")</f>
        <v/>
      </c>
    </row>
    <row r="106" spans="1:11" x14ac:dyDescent="0.25">
      <c r="A106" s="133" t="str">
        <f>IFERROR(INDEX(Auction!$B$13:$B$656,MATCH(B106,Auction!$A$13:$A$656,0)),"")</f>
        <v/>
      </c>
      <c r="B106" s="211" t="str">
        <f t="array" ref="B106">IF($A$99=0,"",IFERROR(INDEX(Auction!$A$13:$M$656,SMALL(IF(Auction!$M$13:$M$656=$A$99,(ROW(Auction!$M$13:$M$656)-MIN(ROW(Auction!$M$13:$M$656))+1),""),ROW(A6)),1),""))</f>
        <v/>
      </c>
      <c r="C106" s="142">
        <f>IF(ISERROR(VLOOKUP(B106,Auction!$A$13:$I$656,7,FALSE)),0,VLOOKUP(B106,Auction!$A$13:$I$656,8,FALSE))</f>
        <v>0</v>
      </c>
      <c r="D106" s="143">
        <f>IFERROR(VLOOKUP(B106,Auction!$A$13:$I$656,9,FALSE)-C106,0)</f>
        <v>0</v>
      </c>
      <c r="E106" s="149" t="str">
        <f>IFERROR(INDEX(Auction!$C$13:$C$656,MATCH(B106,Auction!$A$13:$A$656,0)),"")</f>
        <v/>
      </c>
      <c r="G106" s="133" t="str">
        <f>IFERROR(INDEX(Auction!$B$13:$B$656,MATCH(H106,Auction!$A$13:$A$656,0)),"")</f>
        <v/>
      </c>
      <c r="H106" s="211" t="str">
        <f t="array" ref="H106">IF($G$99=0,"",IFERROR(INDEX(Auction!$A$13:$M$656,SMALL(IF(Auction!$M$13:$M$656=$G$99,(ROW(Auction!$M$13:$M$656)-MIN(ROW(Auction!$M$13:$M$656))+1),""),ROW(G6)),1),""))</f>
        <v/>
      </c>
      <c r="I106" s="142">
        <f>IF(ISERROR(VLOOKUP(H106,Auction!$A$13:$I$656,7,FALSE)),0,VLOOKUP(H106,Auction!$A$13:$I$656,8,FALSE))</f>
        <v>0</v>
      </c>
      <c r="J106" s="143">
        <f>IFERROR(VLOOKUP(H106,Auction!$A$13:$I$656,9,FALSE)-I106,0)</f>
        <v>0</v>
      </c>
      <c r="K106" s="149" t="str">
        <f>IFERROR(INDEX(Auction!$C$13:$C$656,MATCH(H106,Auction!$A$13:$A$656,0)),"")</f>
        <v/>
      </c>
    </row>
    <row r="107" spans="1:11" x14ac:dyDescent="0.25">
      <c r="A107" s="133" t="str">
        <f>IFERROR(INDEX(Auction!$B$13:$B$656,MATCH(B107,Auction!$A$13:$A$656,0)),"")</f>
        <v/>
      </c>
      <c r="B107" s="211" t="str">
        <f t="array" ref="B107">IF($A$99=0,"",IFERROR(INDEX(Auction!$A$13:$M$656,SMALL(IF(Auction!$M$13:$M$656=$A$99,(ROW(Auction!$M$13:$M$656)-MIN(ROW(Auction!$M$13:$M$656))+1),""),ROW(A7)),1),""))</f>
        <v/>
      </c>
      <c r="C107" s="142">
        <f>IF(ISERROR(VLOOKUP(B107,Auction!$A$13:$I$656,7,FALSE)),0,VLOOKUP(B107,Auction!$A$13:$I$656,8,FALSE))</f>
        <v>0</v>
      </c>
      <c r="D107" s="143">
        <f>IFERROR(VLOOKUP(B107,Auction!$A$13:$I$656,9,FALSE)-C107,0)</f>
        <v>0</v>
      </c>
      <c r="E107" s="149" t="str">
        <f>IFERROR(INDEX(Auction!$C$13:$C$656,MATCH(B107,Auction!$A$13:$A$656,0)),"")</f>
        <v/>
      </c>
      <c r="G107" s="133" t="str">
        <f>IFERROR(INDEX(Auction!$B$13:$B$656,MATCH(H107,Auction!$A$13:$A$656,0)),"")</f>
        <v/>
      </c>
      <c r="H107" s="211" t="str">
        <f t="array" ref="H107">IF($G$99=0,"",IFERROR(INDEX(Auction!$A$13:$M$656,SMALL(IF(Auction!$M$13:$M$656=$G$99,(ROW(Auction!$M$13:$M$656)-MIN(ROW(Auction!$M$13:$M$656))+1),""),ROW(G7)),1),""))</f>
        <v/>
      </c>
      <c r="I107" s="142">
        <f>IF(ISERROR(VLOOKUP(H107,Auction!$A$13:$I$656,7,FALSE)),0,VLOOKUP(H107,Auction!$A$13:$I$656,8,FALSE))</f>
        <v>0</v>
      </c>
      <c r="J107" s="143">
        <f>IFERROR(VLOOKUP(H107,Auction!$A$13:$I$656,9,FALSE)-I107,0)</f>
        <v>0</v>
      </c>
      <c r="K107" s="149" t="str">
        <f>IFERROR(INDEX(Auction!$C$13:$C$656,MATCH(H107,Auction!$A$13:$A$656,0)),"")</f>
        <v/>
      </c>
    </row>
    <row r="108" spans="1:11" x14ac:dyDescent="0.25">
      <c r="A108" s="133" t="str">
        <f>IFERROR(INDEX(Auction!$B$13:$B$656,MATCH(B108,Auction!$A$13:$A$656,0)),"")</f>
        <v/>
      </c>
      <c r="B108" s="211" t="str">
        <f t="array" ref="B108">IF($A$99=0,"",IFERROR(INDEX(Auction!$A$13:$M$656,SMALL(IF(Auction!$M$13:$M$656=$A$99,(ROW(Auction!$M$13:$M$656)-MIN(ROW(Auction!$M$13:$M$656))+1),""),ROW(A8)),1),""))</f>
        <v/>
      </c>
      <c r="C108" s="142">
        <f>IF(ISERROR(VLOOKUP(B108,Auction!$A$13:$I$656,7,FALSE)),0,VLOOKUP(B108,Auction!$A$13:$I$656,8,FALSE))</f>
        <v>0</v>
      </c>
      <c r="D108" s="143">
        <f>IFERROR(VLOOKUP(B108,Auction!$A$13:$I$656,9,FALSE)-C108,0)</f>
        <v>0</v>
      </c>
      <c r="E108" s="149" t="str">
        <f>IFERROR(INDEX(Auction!$C$13:$C$656,MATCH(B108,Auction!$A$13:$A$656,0)),"")</f>
        <v/>
      </c>
      <c r="G108" s="133" t="str">
        <f>IFERROR(INDEX(Auction!$B$13:$B$656,MATCH(H108,Auction!$A$13:$A$656,0)),"")</f>
        <v/>
      </c>
      <c r="H108" s="211" t="str">
        <f t="array" ref="H108">IF($G$99=0,"",IFERROR(INDEX(Auction!$A$13:$M$656,SMALL(IF(Auction!$M$13:$M$656=$G$99,(ROW(Auction!$M$13:$M$656)-MIN(ROW(Auction!$M$13:$M$656))+1),""),ROW(G8)),1),""))</f>
        <v/>
      </c>
      <c r="I108" s="142">
        <f>IF(ISERROR(VLOOKUP(H108,Auction!$A$13:$I$656,7,FALSE)),0,VLOOKUP(H108,Auction!$A$13:$I$656,8,FALSE))</f>
        <v>0</v>
      </c>
      <c r="J108" s="143">
        <f>IFERROR(VLOOKUP(H108,Auction!$A$13:$I$656,9,FALSE)-I108,0)</f>
        <v>0</v>
      </c>
      <c r="K108" s="149" t="str">
        <f>IFERROR(INDEX(Auction!$C$13:$C$656,MATCH(H108,Auction!$A$13:$A$656,0)),"")</f>
        <v/>
      </c>
    </row>
    <row r="109" spans="1:11" x14ac:dyDescent="0.25">
      <c r="A109" s="133" t="str">
        <f>IFERROR(INDEX(Auction!$B$13:$B$656,MATCH(B109,Auction!$A$13:$A$656,0)),"")</f>
        <v/>
      </c>
      <c r="B109" s="211" t="str">
        <f t="array" ref="B109">IF($A$99=0,"",IFERROR(INDEX(Auction!$A$13:$M$656,SMALL(IF(Auction!$M$13:$M$656=$A$99,(ROW(Auction!$M$13:$M$656)-MIN(ROW(Auction!$M$13:$M$656))+1),""),ROW(A9)),1),""))</f>
        <v/>
      </c>
      <c r="C109" s="142">
        <f>IF(ISERROR(VLOOKUP(B109,Auction!$A$13:$I$656,7,FALSE)),0,VLOOKUP(B109,Auction!$A$13:$I$656,8,FALSE))</f>
        <v>0</v>
      </c>
      <c r="D109" s="143">
        <f>IFERROR(VLOOKUP(B109,Auction!$A$13:$I$656,9,FALSE)-C109,0)</f>
        <v>0</v>
      </c>
      <c r="E109" s="150" t="str">
        <f>IFERROR(INDEX(Auction!$C$13:$C$656,MATCH(B109,Auction!$A$13:$A$656,0)),"")</f>
        <v/>
      </c>
      <c r="G109" s="133" t="str">
        <f>IFERROR(INDEX(Auction!$B$13:$B$656,MATCH(H109,Auction!$A$13:$A$656,0)),"")</f>
        <v/>
      </c>
      <c r="H109" s="211" t="str">
        <f t="array" ref="H109">IF($G$99=0,"",IFERROR(INDEX(Auction!$A$13:$M$656,SMALL(IF(Auction!$M$13:$M$656=$G$99,(ROW(Auction!$M$13:$M$656)-MIN(ROW(Auction!$M$13:$M$656))+1),""),ROW(G9)),1),""))</f>
        <v/>
      </c>
      <c r="I109" s="142">
        <f>IF(ISERROR(VLOOKUP(H109,Auction!$A$13:$I$656,7,FALSE)),0,VLOOKUP(H109,Auction!$A$13:$I$656,8,FALSE))</f>
        <v>0</v>
      </c>
      <c r="J109" s="143">
        <f>IFERROR(VLOOKUP(H109,Auction!$A$13:$I$656,9,FALSE)-I109,0)</f>
        <v>0</v>
      </c>
      <c r="K109" s="150" t="str">
        <f>IFERROR(INDEX(Auction!$C$13:$C$656,MATCH(H109,Auction!$A$13:$A$656,0)),"")</f>
        <v/>
      </c>
    </row>
    <row r="110" spans="1:11" x14ac:dyDescent="0.25">
      <c r="A110" s="133" t="str">
        <f>IFERROR(INDEX(Auction!$B$13:$B$656,MATCH(B110,Auction!$A$13:$A$656,0)),"")</f>
        <v/>
      </c>
      <c r="B110" s="211" t="str">
        <f t="array" ref="B110">IF($A$99=0,"",IFERROR(INDEX(Auction!$A$13:$M$656,SMALL(IF(Auction!$M$13:$M$656=$A$99,(ROW(Auction!$M$13:$M$656)-MIN(ROW(Auction!$M$13:$M$656))+1),""),ROW(A10)),1),""))</f>
        <v/>
      </c>
      <c r="C110" s="142">
        <f>IF(ISERROR(VLOOKUP(B110,Auction!$A$13:$I$656,7,FALSE)),0,VLOOKUP(B110,Auction!$A$13:$I$656,8,FALSE))</f>
        <v>0</v>
      </c>
      <c r="D110" s="143">
        <f>IFERROR(VLOOKUP(B110,Auction!$A$13:$I$656,9,FALSE)-C110,0)</f>
        <v>0</v>
      </c>
      <c r="E110" s="150" t="str">
        <f>IFERROR(INDEX(Auction!$C$13:$C$656,MATCH(B110,Auction!$A$13:$A$656,0)),"")</f>
        <v/>
      </c>
      <c r="G110" s="133" t="str">
        <f>IFERROR(INDEX(Auction!$B$13:$B$656,MATCH(H110,Auction!$A$13:$A$656,0)),"")</f>
        <v/>
      </c>
      <c r="H110" s="211" t="str">
        <f t="array" ref="H110">IF($G$99=0,"",IFERROR(INDEX(Auction!$A$13:$M$656,SMALL(IF(Auction!$M$13:$M$656=$G$99,(ROW(Auction!$M$13:$M$656)-MIN(ROW(Auction!$M$13:$M$656))+1),""),ROW(G10)),1),""))</f>
        <v/>
      </c>
      <c r="I110" s="142">
        <f>IF(ISERROR(VLOOKUP(H110,Auction!$A$13:$I$656,7,FALSE)),0,VLOOKUP(H110,Auction!$A$13:$I$656,8,FALSE))</f>
        <v>0</v>
      </c>
      <c r="J110" s="143">
        <f>IFERROR(VLOOKUP(H110,Auction!$A$13:$I$656,9,FALSE)-I110,0)</f>
        <v>0</v>
      </c>
      <c r="K110" s="150" t="str">
        <f>IFERROR(INDEX(Auction!$C$13:$C$656,MATCH(H110,Auction!$A$13:$A$656,0)),"")</f>
        <v/>
      </c>
    </row>
    <row r="111" spans="1:11" x14ac:dyDescent="0.25">
      <c r="A111" s="133" t="str">
        <f>IFERROR(INDEX(Auction!$B$13:$B$656,MATCH(B111,Auction!$A$13:$A$656,0)),"")</f>
        <v/>
      </c>
      <c r="B111" s="211" t="str">
        <f t="array" ref="B111">IF($A$99=0,"",IFERROR(INDEX(Auction!$A$13:$M$656,SMALL(IF(Auction!$M$13:$M$656=$A$99,(ROW(Auction!$M$13:$M$656)-MIN(ROW(Auction!$M$13:$M$656))+1),""),ROW(A11)),1),""))</f>
        <v/>
      </c>
      <c r="C111" s="142">
        <f>IF(ISERROR(VLOOKUP(B111,Auction!$A$13:$I$656,7,FALSE)),0,VLOOKUP(B111,Auction!$A$13:$I$656,8,FALSE))</f>
        <v>0</v>
      </c>
      <c r="D111" s="143">
        <f>IFERROR(VLOOKUP(B111,Auction!$A$13:$I$656,9,FALSE)-C111,0)</f>
        <v>0</v>
      </c>
      <c r="E111" s="150" t="str">
        <f>IFERROR(INDEX(Auction!$C$13:$C$656,MATCH(B111,Auction!$A$13:$A$656,0)),"")</f>
        <v/>
      </c>
      <c r="G111" s="133" t="str">
        <f>IFERROR(INDEX(Auction!$B$13:$B$656,MATCH(H111,Auction!$A$13:$A$656,0)),"")</f>
        <v/>
      </c>
      <c r="H111" s="211" t="str">
        <f t="array" ref="H111">IF($G$99=0,"",IFERROR(INDEX(Auction!$A$13:$M$656,SMALL(IF(Auction!$M$13:$M$656=$G$99,(ROW(Auction!$M$13:$M$656)-MIN(ROW(Auction!$M$13:$M$656))+1),""),ROW(G11)),1),""))</f>
        <v/>
      </c>
      <c r="I111" s="142">
        <f>IF(ISERROR(VLOOKUP(H111,Auction!$A$13:$I$656,7,FALSE)),0,VLOOKUP(H111,Auction!$A$13:$I$656,8,FALSE))</f>
        <v>0</v>
      </c>
      <c r="J111" s="143">
        <f>IFERROR(VLOOKUP(H111,Auction!$A$13:$I$656,9,FALSE)-I111,0)</f>
        <v>0</v>
      </c>
      <c r="K111" s="150" t="str">
        <f>IFERROR(INDEX(Auction!$C$13:$C$656,MATCH(H111,Auction!$A$13:$A$656,0)),"")</f>
        <v/>
      </c>
    </row>
    <row r="112" spans="1:11" x14ac:dyDescent="0.25">
      <c r="A112" s="133" t="str">
        <f>IFERROR(INDEX(Auction!$B$13:$B$656,MATCH(B112,Auction!$A$13:$A$656,0)),"")</f>
        <v/>
      </c>
      <c r="B112" s="211" t="str">
        <f t="array" ref="B112">IF($A$99=0,"",IFERROR(INDEX(Auction!$A$13:$M$656,SMALL(IF(Auction!$M$13:$M$656=$A$99,(ROW(Auction!$M$13:$M$656)-MIN(ROW(Auction!$M$13:$M$656))+1),""),ROW(A12)),1),""))</f>
        <v/>
      </c>
      <c r="C112" s="142">
        <f>IF(ISERROR(VLOOKUP(B112,Auction!$A$13:$I$656,7,FALSE)),0,VLOOKUP(B112,Auction!$A$13:$I$656,8,FALSE))</f>
        <v>0</v>
      </c>
      <c r="D112" s="143">
        <f>IFERROR(VLOOKUP(B112,Auction!$A$13:$I$656,9,FALSE)-C112,0)</f>
        <v>0</v>
      </c>
      <c r="E112" s="150" t="str">
        <f>IFERROR(INDEX(Auction!$C$13:$C$656,MATCH(B112,Auction!$A$13:$A$656,0)),"")</f>
        <v/>
      </c>
      <c r="G112" s="133" t="str">
        <f>IFERROR(INDEX(Auction!$B$13:$B$656,MATCH(H112,Auction!$A$13:$A$656,0)),"")</f>
        <v/>
      </c>
      <c r="H112" s="211" t="str">
        <f t="array" ref="H112">IF($G$99=0,"",IFERROR(INDEX(Auction!$A$13:$M$656,SMALL(IF(Auction!$M$13:$M$656=$G$99,(ROW(Auction!$M$13:$M$656)-MIN(ROW(Auction!$M$13:$M$656))+1),""),ROW(G12)),1),""))</f>
        <v/>
      </c>
      <c r="I112" s="142">
        <f>IF(ISERROR(VLOOKUP(H112,Auction!$A$13:$I$656,7,FALSE)),0,VLOOKUP(H112,Auction!$A$13:$I$656,8,FALSE))</f>
        <v>0</v>
      </c>
      <c r="J112" s="143">
        <f>IFERROR(VLOOKUP(H112,Auction!$A$13:$I$656,9,FALSE)-I112,0)</f>
        <v>0</v>
      </c>
      <c r="K112" s="150" t="str">
        <f>IFERROR(INDEX(Auction!$C$13:$C$656,MATCH(H112,Auction!$A$13:$A$656,0)),"")</f>
        <v/>
      </c>
    </row>
    <row r="113" spans="1:11" x14ac:dyDescent="0.25">
      <c r="A113" s="133" t="str">
        <f>IFERROR(INDEX(Auction!$B$13:$B$656,MATCH(B113,Auction!$A$13:$A$656,0)),"")</f>
        <v/>
      </c>
      <c r="B113" s="211" t="str">
        <f t="array" ref="B113">IF($A$99=0,"",IFERROR(INDEX(Auction!$A$13:$M$656,SMALL(IF(Auction!$M$13:$M$656=$A$99,(ROW(Auction!$M$13:$M$656)-MIN(ROW(Auction!$M$13:$M$656))+1),""),ROW(A13)),1),""))</f>
        <v/>
      </c>
      <c r="C113" s="142">
        <f>IF(ISERROR(VLOOKUP(B113,Auction!$A$13:$I$656,7,FALSE)),0,VLOOKUP(B113,Auction!$A$13:$I$656,8,FALSE))</f>
        <v>0</v>
      </c>
      <c r="D113" s="143">
        <f>IFERROR(VLOOKUP(B113,Auction!$A$13:$I$656,9,FALSE)-C113,0)</f>
        <v>0</v>
      </c>
      <c r="E113" s="150" t="str">
        <f>IFERROR(INDEX(Auction!$C$13:$C$656,MATCH(B113,Auction!$A$13:$A$656,0)),"")</f>
        <v/>
      </c>
      <c r="G113" s="133" t="str">
        <f>IFERROR(INDEX(Auction!$B$13:$B$656,MATCH(H113,Auction!$A$13:$A$656,0)),"")</f>
        <v/>
      </c>
      <c r="H113" s="211" t="str">
        <f t="array" ref="H113">IF($G$99=0,"",IFERROR(INDEX(Auction!$A$13:$M$656,SMALL(IF(Auction!$M$13:$M$656=$G$99,(ROW(Auction!$M$13:$M$656)-MIN(ROW(Auction!$M$13:$M$656))+1),""),ROW(G13)),1),""))</f>
        <v/>
      </c>
      <c r="I113" s="142">
        <f>IF(ISERROR(VLOOKUP(H113,Auction!$A$13:$I$656,7,FALSE)),0,VLOOKUP(H113,Auction!$A$13:$I$656,8,FALSE))</f>
        <v>0</v>
      </c>
      <c r="J113" s="143">
        <f>IFERROR(VLOOKUP(H113,Auction!$A$13:$I$656,9,FALSE)-I113,0)</f>
        <v>0</v>
      </c>
      <c r="K113" s="150" t="str">
        <f>IFERROR(INDEX(Auction!$C$13:$C$656,MATCH(H113,Auction!$A$13:$A$656,0)),"")</f>
        <v/>
      </c>
    </row>
    <row r="114" spans="1:11" x14ac:dyDescent="0.25">
      <c r="A114" s="133" t="str">
        <f>IFERROR(INDEX(Auction!$B$13:$B$656,MATCH(B114,Auction!$A$13:$A$656,0)),"")</f>
        <v/>
      </c>
      <c r="B114" s="211" t="str">
        <f t="array" ref="B114">IF($A$99=0,"",IFERROR(INDEX(Auction!$A$13:$M$656,SMALL(IF(Auction!$M$13:$M$656=$A$99,(ROW(Auction!$M$13:$M$656)-MIN(ROW(Auction!$M$13:$M$656))+1),""),ROW(A14)),1),""))</f>
        <v/>
      </c>
      <c r="C114" s="142">
        <f>IF(ISERROR(VLOOKUP(B114,Auction!$A$13:$I$656,7,FALSE)),0,VLOOKUP(B114,Auction!$A$13:$I$656,8,FALSE))</f>
        <v>0</v>
      </c>
      <c r="D114" s="143">
        <f>IFERROR(VLOOKUP(B114,Auction!$A$13:$I$656,9,FALSE)-C114,0)</f>
        <v>0</v>
      </c>
      <c r="E114" s="150" t="str">
        <f>IFERROR(INDEX(Auction!$C$13:$C$656,MATCH(B114,Auction!$A$13:$A$656,0)),"")</f>
        <v/>
      </c>
      <c r="G114" s="133" t="str">
        <f>IFERROR(INDEX(Auction!$B$13:$B$656,MATCH(H114,Auction!$A$13:$A$656,0)),"")</f>
        <v/>
      </c>
      <c r="H114" s="211" t="str">
        <f t="array" ref="H114">IF($G$99=0,"",IFERROR(INDEX(Auction!$A$13:$M$656,SMALL(IF(Auction!$M$13:$M$656=$G$99,(ROW(Auction!$M$13:$M$656)-MIN(ROW(Auction!$M$13:$M$656))+1),""),ROW(G14)),1),""))</f>
        <v/>
      </c>
      <c r="I114" s="142">
        <f>IF(ISERROR(VLOOKUP(H114,Auction!$A$13:$I$656,7,FALSE)),0,VLOOKUP(H114,Auction!$A$13:$I$656,8,FALSE))</f>
        <v>0</v>
      </c>
      <c r="J114" s="143">
        <f>IFERROR(VLOOKUP(H114,Auction!$A$13:$I$656,9,FALSE)-I114,0)</f>
        <v>0</v>
      </c>
      <c r="K114" s="150" t="str">
        <f>IFERROR(INDEX(Auction!$C$13:$C$656,MATCH(H114,Auction!$A$13:$A$656,0)),"")</f>
        <v/>
      </c>
    </row>
    <row r="115" spans="1:11" x14ac:dyDescent="0.25">
      <c r="A115" s="133" t="str">
        <f>IFERROR(INDEX(Auction!$B$13:$B$656,MATCH(B115,Auction!$A$13:$A$656,0)),"")</f>
        <v/>
      </c>
      <c r="B115" s="211" t="str">
        <f t="array" ref="B115">IF($A$99=0,"",IFERROR(INDEX(Auction!$A$13:$M$656,SMALL(IF(Auction!$M$13:$M$656=$A$99,(ROW(Auction!$M$13:$M$656)-MIN(ROW(Auction!$M$13:$M$656))+1),""),ROW(A15)),1),""))</f>
        <v/>
      </c>
      <c r="C115" s="142">
        <f>IF(ISERROR(VLOOKUP(B115,Auction!$A$13:$I$656,7,FALSE)),0,VLOOKUP(B115,Auction!$A$13:$I$656,8,FALSE))</f>
        <v>0</v>
      </c>
      <c r="D115" s="143">
        <f>IFERROR(VLOOKUP(B115,Auction!$A$13:$I$656,9,FALSE)-C115,0)</f>
        <v>0</v>
      </c>
      <c r="E115" s="150" t="str">
        <f>IFERROR(INDEX(Auction!$C$13:$C$656,MATCH(B115,Auction!$A$13:$A$656,0)),"")</f>
        <v/>
      </c>
      <c r="G115" s="133" t="str">
        <f>IFERROR(INDEX(Auction!$B$13:$B$656,MATCH(H115,Auction!$A$13:$A$656,0)),"")</f>
        <v/>
      </c>
      <c r="H115" s="211" t="str">
        <f t="array" ref="H115">IF($G$99=0,"",IFERROR(INDEX(Auction!$A$13:$M$656,SMALL(IF(Auction!$M$13:$M$656=$G$99,(ROW(Auction!$M$13:$M$656)-MIN(ROW(Auction!$M$13:$M$656))+1),""),ROW(G15)),1),""))</f>
        <v/>
      </c>
      <c r="I115" s="142">
        <f>IF(ISERROR(VLOOKUP(H115,Auction!$A$13:$I$656,7,FALSE)),0,VLOOKUP(H115,Auction!$A$13:$I$656,8,FALSE))</f>
        <v>0</v>
      </c>
      <c r="J115" s="143">
        <f>IFERROR(VLOOKUP(H115,Auction!$A$13:$I$656,9,FALSE)-I115,0)</f>
        <v>0</v>
      </c>
      <c r="K115" s="150" t="str">
        <f>IFERROR(INDEX(Auction!$C$13:$C$656,MATCH(H115,Auction!$A$13:$A$656,0)),"")</f>
        <v/>
      </c>
    </row>
    <row r="116" spans="1:11" x14ac:dyDescent="0.25">
      <c r="A116" s="133" t="str">
        <f>IFERROR(INDEX(Auction!$B$13:$B$656,MATCH(B116,Auction!$A$13:$A$656,0)),"")</f>
        <v/>
      </c>
      <c r="B116" s="211" t="str">
        <f t="array" ref="B116">IF($A$99=0,"",IFERROR(INDEX(Auction!$A$13:$M$656,SMALL(IF(Auction!$M$13:$M$656=$A$99,(ROW(Auction!$M$13:$M$656)-MIN(ROW(Auction!$M$13:$M$656))+1),""),ROW(A16)),1),""))</f>
        <v/>
      </c>
      <c r="C116" s="142">
        <f>IF(ISERROR(VLOOKUP(B116,Auction!$A$13:$I$656,7,FALSE)),0,VLOOKUP(B116,Auction!$A$13:$I$656,8,FALSE))</f>
        <v>0</v>
      </c>
      <c r="D116" s="143">
        <f>IFERROR(VLOOKUP(B116,Auction!$A$13:$I$656,9,FALSE)-C116,0)</f>
        <v>0</v>
      </c>
      <c r="E116" s="150" t="str">
        <f>IFERROR(INDEX(Auction!$C$13:$C$656,MATCH(B116,Auction!$A$13:$A$656,0)),"")</f>
        <v/>
      </c>
      <c r="G116" s="133" t="str">
        <f>IFERROR(INDEX(Auction!$B$13:$B$656,MATCH(H116,Auction!$A$13:$A$656,0)),"")</f>
        <v/>
      </c>
      <c r="H116" s="211" t="str">
        <f t="array" ref="H116">IF($G$99=0,"",IFERROR(INDEX(Auction!$A$13:$M$656,SMALL(IF(Auction!$M$13:$M$656=$G$99,(ROW(Auction!$M$13:$M$656)-MIN(ROW(Auction!$M$13:$M$656))+1),""),ROW(G16)),1),""))</f>
        <v/>
      </c>
      <c r="I116" s="142">
        <f>IF(ISERROR(VLOOKUP(H116,Auction!$A$13:$I$656,7,FALSE)),0,VLOOKUP(H116,Auction!$A$13:$I$656,8,FALSE))</f>
        <v>0</v>
      </c>
      <c r="J116" s="143">
        <f>IFERROR(VLOOKUP(H116,Auction!$A$13:$I$656,9,FALSE)-I116,0)</f>
        <v>0</v>
      </c>
      <c r="K116" s="150" t="str">
        <f>IFERROR(INDEX(Auction!$C$13:$C$656,MATCH(H116,Auction!$A$13:$A$656,0)),"")</f>
        <v/>
      </c>
    </row>
    <row r="117" spans="1:11" x14ac:dyDescent="0.25">
      <c r="A117" s="133" t="str">
        <f>IFERROR(INDEX(Auction!$B$13:$B$656,MATCH(B117,Auction!$A$13:$A$656,0)),"")</f>
        <v/>
      </c>
      <c r="B117" s="211" t="str">
        <f t="array" ref="B117">IF($A$99=0,"",IFERROR(INDEX(Auction!$A$13:$M$656,SMALL(IF(Auction!$M$13:$M$656=$A$99,(ROW(Auction!$M$13:$M$656)-MIN(ROW(Auction!$M$13:$M$656))+1),""),ROW(A17)),1),""))</f>
        <v/>
      </c>
      <c r="C117" s="142">
        <f>IF(ISERROR(VLOOKUP(B117,Auction!$A$13:$I$656,7,FALSE)),0,VLOOKUP(B117,Auction!$A$13:$I$656,8,FALSE))</f>
        <v>0</v>
      </c>
      <c r="D117" s="143">
        <f>IFERROR(VLOOKUP(B117,Auction!$A$13:$I$656,9,FALSE)-C117,0)</f>
        <v>0</v>
      </c>
      <c r="E117" s="150" t="str">
        <f>IFERROR(INDEX(Auction!$C$13:$C$656,MATCH(B117,Auction!$A$13:$A$656,0)),"")</f>
        <v/>
      </c>
      <c r="G117" s="133" t="str">
        <f>IFERROR(INDEX(Auction!$B$13:$B$656,MATCH(H117,Auction!$A$13:$A$656,0)),"")</f>
        <v/>
      </c>
      <c r="H117" s="211" t="str">
        <f t="array" ref="H117">IF($G$99=0,"",IFERROR(INDEX(Auction!$A$13:$M$656,SMALL(IF(Auction!$M$13:$M$656=$G$99,(ROW(Auction!$M$13:$M$656)-MIN(ROW(Auction!$M$13:$M$656))+1),""),ROW(G17)),1),""))</f>
        <v/>
      </c>
      <c r="I117" s="142">
        <f>IF(ISERROR(VLOOKUP(H117,Auction!$A$13:$I$656,7,FALSE)),0,VLOOKUP(H117,Auction!$A$13:$I$656,8,FALSE))</f>
        <v>0</v>
      </c>
      <c r="J117" s="143">
        <f>IFERROR(VLOOKUP(H117,Auction!$A$13:$I$656,9,FALSE)-I117,0)</f>
        <v>0</v>
      </c>
      <c r="K117" s="150" t="str">
        <f>IFERROR(INDEX(Auction!$C$13:$C$656,MATCH(H117,Auction!$A$13:$A$656,0)),"")</f>
        <v/>
      </c>
    </row>
    <row r="118" spans="1:11" x14ac:dyDescent="0.25">
      <c r="A118" s="133" t="str">
        <f>IFERROR(INDEX(Auction!$B$13:$B$656,MATCH(B118,Auction!$A$13:$A$656,0)),"")</f>
        <v/>
      </c>
      <c r="B118" s="211" t="str">
        <f t="array" ref="B118">IF($A$99=0,"",IFERROR(INDEX(Auction!$A$13:$M$656,SMALL(IF(Auction!$M$13:$M$656=$A$99,(ROW(Auction!$M$13:$M$656)-MIN(ROW(Auction!$M$13:$M$656))+1),""),ROW(A18)),1),""))</f>
        <v/>
      </c>
      <c r="C118" s="142">
        <f>IF(ISERROR(VLOOKUP(B118,Auction!$A$13:$I$656,7,FALSE)),0,VLOOKUP(B118,Auction!$A$13:$I$656,8,FALSE))</f>
        <v>0</v>
      </c>
      <c r="D118" s="143">
        <f>IFERROR(VLOOKUP(B118,Auction!$A$13:$I$656,9,FALSE)-C118,0)</f>
        <v>0</v>
      </c>
      <c r="E118" s="150" t="str">
        <f>IFERROR(INDEX(Auction!$C$13:$C$656,MATCH(B118,Auction!$A$13:$A$656,0)),"")</f>
        <v/>
      </c>
      <c r="G118" s="133" t="str">
        <f>IFERROR(INDEX(Auction!$B$13:$B$656,MATCH(H118,Auction!$A$13:$A$656,0)),"")</f>
        <v/>
      </c>
      <c r="H118" s="211" t="str">
        <f t="array" ref="H118">IF($G$99=0,"",IFERROR(INDEX(Auction!$A$13:$M$656,SMALL(IF(Auction!$M$13:$M$656=$G$99,(ROW(Auction!$M$13:$M$656)-MIN(ROW(Auction!$M$13:$M$656))+1),""),ROW(G18)),1),""))</f>
        <v/>
      </c>
      <c r="I118" s="142">
        <f>IF(ISERROR(VLOOKUP(H118,Auction!$A$13:$I$656,7,FALSE)),0,VLOOKUP(H118,Auction!$A$13:$I$656,8,FALSE))</f>
        <v>0</v>
      </c>
      <c r="J118" s="143">
        <f>IFERROR(VLOOKUP(H118,Auction!$A$13:$I$656,9,FALSE)-I118,0)</f>
        <v>0</v>
      </c>
      <c r="K118" s="150" t="str">
        <f>IFERROR(INDEX(Auction!$C$13:$C$656,MATCH(H118,Auction!$A$13:$A$656,0)),"")</f>
        <v/>
      </c>
    </row>
    <row r="119" spans="1:11" x14ac:dyDescent="0.25">
      <c r="A119" s="133" t="str">
        <f>IFERROR(INDEX(Auction!$B$13:$B$656,MATCH(B119,Auction!$A$13:$A$656,0)),"")</f>
        <v/>
      </c>
      <c r="B119" s="211" t="str">
        <f t="array" ref="B119">IF($A$99=0,"",IFERROR(INDEX(Auction!$A$13:$M$656,SMALL(IF(Auction!$M$13:$M$656=$A$99,(ROW(Auction!$M$13:$M$656)-MIN(ROW(Auction!$M$13:$M$656))+1),""),ROW(A19)),1),""))</f>
        <v/>
      </c>
      <c r="C119" s="142">
        <f>IF(ISERROR(VLOOKUP(B119,Auction!$A$13:$I$656,7,FALSE)),0,VLOOKUP(B119,Auction!$A$13:$I$656,8,FALSE))</f>
        <v>0</v>
      </c>
      <c r="D119" s="143">
        <f>IFERROR(VLOOKUP(B119,Auction!$A$13:$I$656,9,FALSE)-C119,0)</f>
        <v>0</v>
      </c>
      <c r="E119" s="150" t="str">
        <f>IFERROR(INDEX(Auction!$C$13:$C$656,MATCH(B119,Auction!$A$13:$A$656,0)),"")</f>
        <v/>
      </c>
      <c r="G119" s="133" t="str">
        <f>IFERROR(INDEX(Auction!$B$13:$B$656,MATCH(H119,Auction!$A$13:$A$656,0)),"")</f>
        <v/>
      </c>
      <c r="H119" s="211" t="str">
        <f t="array" ref="H119">IF($G$99=0,"",IFERROR(INDEX(Auction!$A$13:$M$656,SMALL(IF(Auction!$M$13:$M$656=$G$99,(ROW(Auction!$M$13:$M$656)-MIN(ROW(Auction!$M$13:$M$656))+1),""),ROW(G19)),1),""))</f>
        <v/>
      </c>
      <c r="I119" s="142">
        <f>IF(ISERROR(VLOOKUP(H119,Auction!$A$13:$I$656,7,FALSE)),0,VLOOKUP(H119,Auction!$A$13:$I$656,8,FALSE))</f>
        <v>0</v>
      </c>
      <c r="J119" s="143">
        <f>IFERROR(VLOOKUP(H119,Auction!$A$13:$I$656,9,FALSE)-I119,0)</f>
        <v>0</v>
      </c>
      <c r="K119" s="150" t="str">
        <f>IFERROR(INDEX(Auction!$C$13:$C$656,MATCH(H119,Auction!$A$13:$A$656,0)),"")</f>
        <v/>
      </c>
    </row>
    <row r="120" spans="1:11" x14ac:dyDescent="0.25">
      <c r="A120" s="133" t="str">
        <f>IFERROR(INDEX(Auction!$B$13:$B$656,MATCH(B120,Auction!$A$13:$A$656,0)),"")</f>
        <v/>
      </c>
      <c r="B120" s="211" t="str">
        <f t="array" ref="B120">IF($A$99=0,"",IFERROR(INDEX(Auction!$A$13:$M$656,SMALL(IF(Auction!$M$13:$M$656=$A$99,(ROW(Auction!$M$13:$M$656)-MIN(ROW(Auction!$M$13:$M$656))+1),""),ROW(A20)),1),""))</f>
        <v/>
      </c>
      <c r="C120" s="142">
        <f>IF(ISERROR(VLOOKUP(B120,Auction!$A$13:$I$656,7,FALSE)),0,VLOOKUP(B120,Auction!$A$13:$I$656,8,FALSE))</f>
        <v>0</v>
      </c>
      <c r="D120" s="143">
        <f>IFERROR(VLOOKUP(B120,Auction!$A$13:$I$656,9,FALSE)-C120,0)</f>
        <v>0</v>
      </c>
      <c r="E120" s="150" t="str">
        <f>IFERROR(INDEX(Auction!$C$13:$C$656,MATCH(B120,Auction!$A$13:$A$656,0)),"")</f>
        <v/>
      </c>
      <c r="G120" s="133" t="str">
        <f>IFERROR(INDEX(Auction!$B$13:$B$656,MATCH(H120,Auction!$A$13:$A$656,0)),"")</f>
        <v/>
      </c>
      <c r="H120" s="211" t="str">
        <f t="array" ref="H120">IF($G$99=0,"",IFERROR(INDEX(Auction!$A$13:$M$656,SMALL(IF(Auction!$M$13:$M$656=$G$99,(ROW(Auction!$M$13:$M$656)-MIN(ROW(Auction!$M$13:$M$656))+1),""),ROW(G20)),1),""))</f>
        <v/>
      </c>
      <c r="I120" s="142">
        <f>IF(ISERROR(VLOOKUP(H120,Auction!$A$13:$I$656,7,FALSE)),0,VLOOKUP(H120,Auction!$A$13:$I$656,8,FALSE))</f>
        <v>0</v>
      </c>
      <c r="J120" s="143">
        <f>IFERROR(VLOOKUP(H120,Auction!$A$13:$I$656,9,FALSE)-I120,0)</f>
        <v>0</v>
      </c>
      <c r="K120" s="150" t="str">
        <f>IFERROR(INDEX(Auction!$C$13:$C$656,MATCH(H120,Auction!$A$13:$A$656,0)),"")</f>
        <v/>
      </c>
    </row>
    <row r="121" spans="1:11" x14ac:dyDescent="0.25">
      <c r="A121" s="151"/>
      <c r="B121" s="152"/>
      <c r="C121" s="153">
        <f>SUM(C101:C120)</f>
        <v>0</v>
      </c>
      <c r="D121" s="153">
        <f>SUM(D101:D120)</f>
        <v>0</v>
      </c>
      <c r="E121" s="154"/>
      <c r="G121" s="151"/>
      <c r="H121" s="152"/>
      <c r="I121" s="153">
        <f>SUM(I101:I120)</f>
        <v>0</v>
      </c>
      <c r="J121" s="153">
        <f>SUM(J101:J120)</f>
        <v>0</v>
      </c>
      <c r="K121" s="154"/>
    </row>
    <row r="123" spans="1:11" x14ac:dyDescent="0.25">
      <c r="A123" s="268" t="str">
        <f>H12</f>
        <v>Team 10</v>
      </c>
      <c r="B123" s="269"/>
      <c r="C123" s="269"/>
      <c r="D123" s="269"/>
      <c r="E123" s="270"/>
      <c r="G123" s="268" t="str">
        <f>H13</f>
        <v>Team 11</v>
      </c>
      <c r="H123" s="269"/>
      <c r="I123" s="269"/>
      <c r="J123" s="269"/>
      <c r="K123" s="270"/>
    </row>
    <row r="124" spans="1:11" x14ac:dyDescent="0.25">
      <c r="A124" s="140" t="s">
        <v>495</v>
      </c>
      <c r="B124" s="148" t="s">
        <v>85</v>
      </c>
      <c r="C124" s="130" t="s">
        <v>496</v>
      </c>
      <c r="D124" s="130" t="s">
        <v>497</v>
      </c>
      <c r="E124" s="141" t="s">
        <v>440</v>
      </c>
      <c r="G124" s="140" t="s">
        <v>495</v>
      </c>
      <c r="H124" s="148" t="s">
        <v>85</v>
      </c>
      <c r="I124" s="130" t="s">
        <v>496</v>
      </c>
      <c r="J124" s="130" t="s">
        <v>497</v>
      </c>
      <c r="K124" s="141" t="s">
        <v>440</v>
      </c>
    </row>
    <row r="125" spans="1:11" x14ac:dyDescent="0.25">
      <c r="A125" s="133" t="str">
        <f>IFERROR(INDEX(Auction!$B$13:$B$656,MATCH(B125,Auction!$A$13:$A$656,0)),"")</f>
        <v/>
      </c>
      <c r="B125" s="211" t="str">
        <f t="array" ref="B125">IF($A$123=0,"",IFERROR(INDEX(Auction!$A$13:$M$656,SMALL(IF(Auction!$M$13:$M$656=$A$123,(ROW(Auction!$M$13:$M$656)-MIN(ROW(Auction!$M$13:$M$656))+1),""),ROW(A1)),1),""))</f>
        <v/>
      </c>
      <c r="C125" s="142">
        <f>IF(ISERROR(VLOOKUP(B125,Auction!$A$13:$I$656,7,FALSE)),0,VLOOKUP(B125,Auction!$A$13:$I$656,8,FALSE))</f>
        <v>0</v>
      </c>
      <c r="D125" s="143">
        <f>IFERROR(VLOOKUP(B125,Auction!$A$13:$I$656,9,FALSE)-C125,0)</f>
        <v>0</v>
      </c>
      <c r="E125" s="149" t="str">
        <f>IFERROR(INDEX(Auction!$C$13:$C$656,MATCH(B125,Auction!$A$13:$A$656,0)),"")</f>
        <v/>
      </c>
      <c r="G125" s="133" t="str">
        <f>IFERROR(INDEX(Auction!$B$13:$B$656,MATCH(H125,Auction!$A$13:$A$656,0)),"")</f>
        <v/>
      </c>
      <c r="H125" s="211" t="str">
        <f t="array" ref="H125">IF($G$123=0,"",IFERROR(INDEX(Auction!$A$13:$M$656,SMALL(IF(Auction!$M$13:$M$656=$G$123,(ROW(Auction!$M$13:$M$656)-MIN(ROW(Auction!$M$13:$M$656))+1),""),ROW(G1)),1),""))</f>
        <v/>
      </c>
      <c r="I125" s="142">
        <f>IF(ISERROR(VLOOKUP(H125,Auction!$A$13:$I$656,7,FALSE)),0,VLOOKUP(H125,Auction!$A$13:$I$656,8,FALSE))</f>
        <v>0</v>
      </c>
      <c r="J125" s="143">
        <f>IFERROR(VLOOKUP(H125,Auction!$A$13:$I$656,9,FALSE)-I125,0)</f>
        <v>0</v>
      </c>
      <c r="K125" s="149" t="str">
        <f>IFERROR(INDEX(Auction!$C$13:$C$656,MATCH(H125,Auction!$A$13:$A$656,0)),"")</f>
        <v/>
      </c>
    </row>
    <row r="126" spans="1:11" x14ac:dyDescent="0.25">
      <c r="A126" s="133" t="str">
        <f>IFERROR(INDEX(Auction!$B$13:$B$656,MATCH(B126,Auction!$A$13:$A$656,0)),"")</f>
        <v/>
      </c>
      <c r="B126" s="211" t="str">
        <f t="array" ref="B126">IF($A$123=0,"",IFERROR(INDEX(Auction!$A$13:$M$656,SMALL(IF(Auction!$M$13:$M$656=$A$123,(ROW(Auction!$M$13:$M$656)-MIN(ROW(Auction!$M$13:$M$656))+1),""),ROW(A2)),1),""))</f>
        <v/>
      </c>
      <c r="C126" s="142">
        <f>IF(ISERROR(VLOOKUP(B126,Auction!$A$13:$I$656,7,FALSE)),0,VLOOKUP(B126,Auction!$A$13:$I$656,8,FALSE))</f>
        <v>0</v>
      </c>
      <c r="D126" s="143">
        <f>IFERROR(VLOOKUP(B126,Auction!$A$13:$I$656,9,FALSE)-C126,0)</f>
        <v>0</v>
      </c>
      <c r="E126" s="149" t="str">
        <f>IFERROR(INDEX(Auction!$C$13:$C$656,MATCH(B126,Auction!$A$13:$A$656,0)),"")</f>
        <v/>
      </c>
      <c r="G126" s="133" t="str">
        <f>IFERROR(INDEX(Auction!$B$13:$B$656,MATCH(H126,Auction!$A$13:$A$656,0)),"")</f>
        <v/>
      </c>
      <c r="H126" s="211" t="str">
        <f t="array" ref="H126">IF($G$123=0,"",IFERROR(INDEX(Auction!$A$13:$M$656,SMALL(IF(Auction!$M$13:$M$656=$G$123,(ROW(Auction!$M$13:$M$656)-MIN(ROW(Auction!$M$13:$M$656))+1),""),ROW(G2)),1),""))</f>
        <v/>
      </c>
      <c r="I126" s="142">
        <f>IF(ISERROR(VLOOKUP(H126,Auction!$A$13:$I$656,7,FALSE)),0,VLOOKUP(H126,Auction!$A$13:$I$656,8,FALSE))</f>
        <v>0</v>
      </c>
      <c r="J126" s="143">
        <f>IFERROR(VLOOKUP(H126,Auction!$A$13:$I$656,9,FALSE)-I126,0)</f>
        <v>0</v>
      </c>
      <c r="K126" s="149" t="str">
        <f>IFERROR(INDEX(Auction!$C$13:$C$656,MATCH(H126,Auction!$A$13:$A$656,0)),"")</f>
        <v/>
      </c>
    </row>
    <row r="127" spans="1:11" x14ac:dyDescent="0.25">
      <c r="A127" s="133" t="str">
        <f>IFERROR(INDEX(Auction!$B$13:$B$656,MATCH(B127,Auction!$A$13:$A$656,0)),"")</f>
        <v/>
      </c>
      <c r="B127" s="211" t="str">
        <f t="array" ref="B127">IF($A$123=0,"",IFERROR(INDEX(Auction!$A$13:$M$656,SMALL(IF(Auction!$M$13:$M$656=$A$123,(ROW(Auction!$M$13:$M$656)-MIN(ROW(Auction!$M$13:$M$656))+1),""),ROW(A3)),1),""))</f>
        <v/>
      </c>
      <c r="C127" s="142">
        <f>IF(ISERROR(VLOOKUP(B127,Auction!$A$13:$I$656,7,FALSE)),0,VLOOKUP(B127,Auction!$A$13:$I$656,8,FALSE))</f>
        <v>0</v>
      </c>
      <c r="D127" s="143">
        <f>IFERROR(VLOOKUP(B127,Auction!$A$13:$I$656,9,FALSE)-C127,0)</f>
        <v>0</v>
      </c>
      <c r="E127" s="149" t="str">
        <f>IFERROR(INDEX(Auction!$C$13:$C$656,MATCH(B127,Auction!$A$13:$A$656,0)),"")</f>
        <v/>
      </c>
      <c r="G127" s="133" t="str">
        <f>IFERROR(INDEX(Auction!$B$13:$B$656,MATCH(H127,Auction!$A$13:$A$656,0)),"")</f>
        <v/>
      </c>
      <c r="H127" s="211" t="str">
        <f t="array" ref="H127">IF($G$123=0,"",IFERROR(INDEX(Auction!$A$13:$M$656,SMALL(IF(Auction!$M$13:$M$656=$G$123,(ROW(Auction!$M$13:$M$656)-MIN(ROW(Auction!$M$13:$M$656))+1),""),ROW(G3)),1),""))</f>
        <v/>
      </c>
      <c r="I127" s="142">
        <f>IF(ISERROR(VLOOKUP(H127,Auction!$A$13:$I$656,7,FALSE)),0,VLOOKUP(H127,Auction!$A$13:$I$656,8,FALSE))</f>
        <v>0</v>
      </c>
      <c r="J127" s="143">
        <f>IFERROR(VLOOKUP(H127,Auction!$A$13:$I$656,9,FALSE)-I127,0)</f>
        <v>0</v>
      </c>
      <c r="K127" s="149" t="str">
        <f>IFERROR(INDEX(Auction!$C$13:$C$656,MATCH(H127,Auction!$A$13:$A$656,0)),"")</f>
        <v/>
      </c>
    </row>
    <row r="128" spans="1:11" x14ac:dyDescent="0.25">
      <c r="A128" s="133" t="str">
        <f>IFERROR(INDEX(Auction!$B$13:$B$656,MATCH(B128,Auction!$A$13:$A$656,0)),"")</f>
        <v/>
      </c>
      <c r="B128" s="211" t="str">
        <f t="array" ref="B128">IF($A$123=0,"",IFERROR(INDEX(Auction!$A$13:$M$656,SMALL(IF(Auction!$M$13:$M$656=$A$123,(ROW(Auction!$M$13:$M$656)-MIN(ROW(Auction!$M$13:$M$656))+1),""),ROW(A4)),1),""))</f>
        <v/>
      </c>
      <c r="C128" s="142">
        <f>IF(ISERROR(VLOOKUP(B128,Auction!$A$13:$I$656,7,FALSE)),0,VLOOKUP(B128,Auction!$A$13:$I$656,8,FALSE))</f>
        <v>0</v>
      </c>
      <c r="D128" s="143">
        <f>IFERROR(VLOOKUP(B128,Auction!$A$13:$I$656,9,FALSE)-C128,0)</f>
        <v>0</v>
      </c>
      <c r="E128" s="149" t="str">
        <f>IFERROR(INDEX(Auction!$C$13:$C$656,MATCH(B128,Auction!$A$13:$A$656,0)),"")</f>
        <v/>
      </c>
      <c r="G128" s="133" t="str">
        <f>IFERROR(INDEX(Auction!$B$13:$B$656,MATCH(H128,Auction!$A$13:$A$656,0)),"")</f>
        <v/>
      </c>
      <c r="H128" s="211" t="str">
        <f t="array" ref="H128">IF($G$123=0,"",IFERROR(INDEX(Auction!$A$13:$M$656,SMALL(IF(Auction!$M$13:$M$656=$G$123,(ROW(Auction!$M$13:$M$656)-MIN(ROW(Auction!$M$13:$M$656))+1),""),ROW(G4)),1),""))</f>
        <v/>
      </c>
      <c r="I128" s="142">
        <f>IF(ISERROR(VLOOKUP(H128,Auction!$A$13:$I$656,7,FALSE)),0,VLOOKUP(H128,Auction!$A$13:$I$656,8,FALSE))</f>
        <v>0</v>
      </c>
      <c r="J128" s="143">
        <f>IFERROR(VLOOKUP(H128,Auction!$A$13:$I$656,9,FALSE)-I128,0)</f>
        <v>0</v>
      </c>
      <c r="K128" s="149" t="str">
        <f>IFERROR(INDEX(Auction!$C$13:$C$656,MATCH(H128,Auction!$A$13:$A$656,0)),"")</f>
        <v/>
      </c>
    </row>
    <row r="129" spans="1:11" x14ac:dyDescent="0.25">
      <c r="A129" s="133" t="str">
        <f>IFERROR(INDEX(Auction!$B$13:$B$656,MATCH(B129,Auction!$A$13:$A$656,0)),"")</f>
        <v/>
      </c>
      <c r="B129" s="211" t="str">
        <f t="array" ref="B129">IF($A$123=0,"",IFERROR(INDEX(Auction!$A$13:$M$656,SMALL(IF(Auction!$M$13:$M$656=$A$123,(ROW(Auction!$M$13:$M$656)-MIN(ROW(Auction!$M$13:$M$656))+1),""),ROW(A5)),1),""))</f>
        <v/>
      </c>
      <c r="C129" s="142">
        <f>IF(ISERROR(VLOOKUP(B129,Auction!$A$13:$I$656,7,FALSE)),0,VLOOKUP(B129,Auction!$A$13:$I$656,8,FALSE))</f>
        <v>0</v>
      </c>
      <c r="D129" s="143">
        <f>IFERROR(VLOOKUP(B129,Auction!$A$13:$I$656,9,FALSE)-C129,0)</f>
        <v>0</v>
      </c>
      <c r="E129" s="149" t="str">
        <f>IFERROR(INDEX(Auction!$C$13:$C$656,MATCH(B129,Auction!$A$13:$A$656,0)),"")</f>
        <v/>
      </c>
      <c r="G129" s="133" t="str">
        <f>IFERROR(INDEX(Auction!$B$13:$B$656,MATCH(H129,Auction!$A$13:$A$656,0)),"")</f>
        <v/>
      </c>
      <c r="H129" s="211" t="str">
        <f t="array" ref="H129">IF($G$123=0,"",IFERROR(INDEX(Auction!$A$13:$M$656,SMALL(IF(Auction!$M$13:$M$656=$G$123,(ROW(Auction!$M$13:$M$656)-MIN(ROW(Auction!$M$13:$M$656))+1),""),ROW(G5)),1),""))</f>
        <v/>
      </c>
      <c r="I129" s="142">
        <f>IF(ISERROR(VLOOKUP(H129,Auction!$A$13:$I$656,7,FALSE)),0,VLOOKUP(H129,Auction!$A$13:$I$656,8,FALSE))</f>
        <v>0</v>
      </c>
      <c r="J129" s="143">
        <f>IFERROR(VLOOKUP(H129,Auction!$A$13:$I$656,9,FALSE)-I129,0)</f>
        <v>0</v>
      </c>
      <c r="K129" s="149" t="str">
        <f>IFERROR(INDEX(Auction!$C$13:$C$656,MATCH(H129,Auction!$A$13:$A$656,0)),"")</f>
        <v/>
      </c>
    </row>
    <row r="130" spans="1:11" x14ac:dyDescent="0.25">
      <c r="A130" s="133" t="str">
        <f>IFERROR(INDEX(Auction!$B$13:$B$656,MATCH(B130,Auction!$A$13:$A$656,0)),"")</f>
        <v/>
      </c>
      <c r="B130" s="211" t="str">
        <f t="array" ref="B130">IF($A$123=0,"",IFERROR(INDEX(Auction!$A$13:$M$656,SMALL(IF(Auction!$M$13:$M$656=$A$123,(ROW(Auction!$M$13:$M$656)-MIN(ROW(Auction!$M$13:$M$656))+1),""),ROW(A6)),1),""))</f>
        <v/>
      </c>
      <c r="C130" s="142">
        <f>IF(ISERROR(VLOOKUP(B130,Auction!$A$13:$I$656,7,FALSE)),0,VLOOKUP(B130,Auction!$A$13:$I$656,8,FALSE))</f>
        <v>0</v>
      </c>
      <c r="D130" s="143">
        <f>IFERROR(VLOOKUP(B130,Auction!$A$13:$I$656,9,FALSE)-C130,0)</f>
        <v>0</v>
      </c>
      <c r="E130" s="149" t="str">
        <f>IFERROR(INDEX(Auction!$C$13:$C$656,MATCH(B130,Auction!$A$13:$A$656,0)),"")</f>
        <v/>
      </c>
      <c r="G130" s="133" t="str">
        <f>IFERROR(INDEX(Auction!$B$13:$B$656,MATCH(H130,Auction!$A$13:$A$656,0)),"")</f>
        <v/>
      </c>
      <c r="H130" s="211" t="str">
        <f t="array" ref="H130">IF($G$123=0,"",IFERROR(INDEX(Auction!$A$13:$M$656,SMALL(IF(Auction!$M$13:$M$656=$G$123,(ROW(Auction!$M$13:$M$656)-MIN(ROW(Auction!$M$13:$M$656))+1),""),ROW(G6)),1),""))</f>
        <v/>
      </c>
      <c r="I130" s="142">
        <f>IF(ISERROR(VLOOKUP(H130,Auction!$A$13:$I$656,7,FALSE)),0,VLOOKUP(H130,Auction!$A$13:$I$656,8,FALSE))</f>
        <v>0</v>
      </c>
      <c r="J130" s="143">
        <f>IFERROR(VLOOKUP(H130,Auction!$A$13:$I$656,9,FALSE)-I130,0)</f>
        <v>0</v>
      </c>
      <c r="K130" s="149" t="str">
        <f>IFERROR(INDEX(Auction!$C$13:$C$656,MATCH(H130,Auction!$A$13:$A$656,0)),"")</f>
        <v/>
      </c>
    </row>
    <row r="131" spans="1:11" x14ac:dyDescent="0.25">
      <c r="A131" s="133" t="str">
        <f>IFERROR(INDEX(Auction!$B$13:$B$656,MATCH(B131,Auction!$A$13:$A$656,0)),"")</f>
        <v/>
      </c>
      <c r="B131" s="211" t="str">
        <f t="array" ref="B131">IF($A$123=0,"",IFERROR(INDEX(Auction!$A$13:$M$656,SMALL(IF(Auction!$M$13:$M$656=$A$123,(ROW(Auction!$M$13:$M$656)-MIN(ROW(Auction!$M$13:$M$656))+1),""),ROW(A7)),1),""))</f>
        <v/>
      </c>
      <c r="C131" s="142">
        <f>IF(ISERROR(VLOOKUP(B131,Auction!$A$13:$I$656,7,FALSE)),0,VLOOKUP(B131,Auction!$A$13:$I$656,8,FALSE))</f>
        <v>0</v>
      </c>
      <c r="D131" s="143">
        <f>IFERROR(VLOOKUP(B131,Auction!$A$13:$I$656,9,FALSE)-C131,0)</f>
        <v>0</v>
      </c>
      <c r="E131" s="149" t="str">
        <f>IFERROR(INDEX(Auction!$C$13:$C$656,MATCH(B131,Auction!$A$13:$A$656,0)),"")</f>
        <v/>
      </c>
      <c r="G131" s="133" t="str">
        <f>IFERROR(INDEX(Auction!$B$13:$B$656,MATCH(H131,Auction!$A$13:$A$656,0)),"")</f>
        <v/>
      </c>
      <c r="H131" s="211" t="str">
        <f t="array" ref="H131">IF($G$123=0,"",IFERROR(INDEX(Auction!$A$13:$M$656,SMALL(IF(Auction!$M$13:$M$656=$G$123,(ROW(Auction!$M$13:$M$656)-MIN(ROW(Auction!$M$13:$M$656))+1),""),ROW(G7)),1),""))</f>
        <v/>
      </c>
      <c r="I131" s="142">
        <f>IF(ISERROR(VLOOKUP(H131,Auction!$A$13:$I$656,7,FALSE)),0,VLOOKUP(H131,Auction!$A$13:$I$656,8,FALSE))</f>
        <v>0</v>
      </c>
      <c r="J131" s="143">
        <f>IFERROR(VLOOKUP(H131,Auction!$A$13:$I$656,9,FALSE)-I131,0)</f>
        <v>0</v>
      </c>
      <c r="K131" s="149" t="str">
        <f>IFERROR(INDEX(Auction!$C$13:$C$656,MATCH(H131,Auction!$A$13:$A$656,0)),"")</f>
        <v/>
      </c>
    </row>
    <row r="132" spans="1:11" x14ac:dyDescent="0.25">
      <c r="A132" s="133" t="str">
        <f>IFERROR(INDEX(Auction!$B$13:$B$656,MATCH(B132,Auction!$A$13:$A$656,0)),"")</f>
        <v/>
      </c>
      <c r="B132" s="211" t="str">
        <f t="array" ref="B132">IF($A$123=0,"",IFERROR(INDEX(Auction!$A$13:$M$656,SMALL(IF(Auction!$M$13:$M$656=$A$123,(ROW(Auction!$M$13:$M$656)-MIN(ROW(Auction!$M$13:$M$656))+1),""),ROW(A8)),1),""))</f>
        <v/>
      </c>
      <c r="C132" s="142">
        <f>IF(ISERROR(VLOOKUP(B132,Auction!$A$13:$I$656,7,FALSE)),0,VLOOKUP(B132,Auction!$A$13:$I$656,8,FALSE))</f>
        <v>0</v>
      </c>
      <c r="D132" s="143">
        <f>IFERROR(VLOOKUP(B132,Auction!$A$13:$I$656,9,FALSE)-C132,0)</f>
        <v>0</v>
      </c>
      <c r="E132" s="149" t="str">
        <f>IFERROR(INDEX(Auction!$C$13:$C$656,MATCH(B132,Auction!$A$13:$A$656,0)),"")</f>
        <v/>
      </c>
      <c r="G132" s="133" t="str">
        <f>IFERROR(INDEX(Auction!$B$13:$B$656,MATCH(H132,Auction!$A$13:$A$656,0)),"")</f>
        <v/>
      </c>
      <c r="H132" s="211" t="str">
        <f t="array" ref="H132">IF($G$123=0,"",IFERROR(INDEX(Auction!$A$13:$M$656,SMALL(IF(Auction!$M$13:$M$656=$G$123,(ROW(Auction!$M$13:$M$656)-MIN(ROW(Auction!$M$13:$M$656))+1),""),ROW(G8)),1),""))</f>
        <v/>
      </c>
      <c r="I132" s="142">
        <f>IF(ISERROR(VLOOKUP(H132,Auction!$A$13:$I$656,7,FALSE)),0,VLOOKUP(H132,Auction!$A$13:$I$656,8,FALSE))</f>
        <v>0</v>
      </c>
      <c r="J132" s="143">
        <f>IFERROR(VLOOKUP(H132,Auction!$A$13:$I$656,9,FALSE)-I132,0)</f>
        <v>0</v>
      </c>
      <c r="K132" s="149" t="str">
        <f>IFERROR(INDEX(Auction!$C$13:$C$656,MATCH(H132,Auction!$A$13:$A$656,0)),"")</f>
        <v/>
      </c>
    </row>
    <row r="133" spans="1:11" x14ac:dyDescent="0.25">
      <c r="A133" s="133" t="str">
        <f>IFERROR(INDEX(Auction!$B$13:$B$656,MATCH(B133,Auction!$A$13:$A$656,0)),"")</f>
        <v/>
      </c>
      <c r="B133" s="211" t="str">
        <f t="array" ref="B133">IF($A$123=0,"",IFERROR(INDEX(Auction!$A$13:$M$656,SMALL(IF(Auction!$M$13:$M$656=$A$123,(ROW(Auction!$M$13:$M$656)-MIN(ROW(Auction!$M$13:$M$656))+1),""),ROW(A9)),1),""))</f>
        <v/>
      </c>
      <c r="C133" s="142">
        <f>IF(ISERROR(VLOOKUP(B133,Auction!$A$13:$I$656,7,FALSE)),0,VLOOKUP(B133,Auction!$A$13:$I$656,8,FALSE))</f>
        <v>0</v>
      </c>
      <c r="D133" s="143">
        <f>IFERROR(VLOOKUP(B133,Auction!$A$13:$I$656,9,FALSE)-C133,0)</f>
        <v>0</v>
      </c>
      <c r="E133" s="150" t="str">
        <f>IFERROR(INDEX(Auction!$C$13:$C$656,MATCH(B133,Auction!$A$13:$A$656,0)),"")</f>
        <v/>
      </c>
      <c r="G133" s="133" t="str">
        <f>IFERROR(INDEX(Auction!$B$13:$B$656,MATCH(H133,Auction!$A$13:$A$656,0)),"")</f>
        <v/>
      </c>
      <c r="H133" s="211" t="str">
        <f t="array" ref="H133">IF($G$123=0,"",IFERROR(INDEX(Auction!$A$13:$M$656,SMALL(IF(Auction!$M$13:$M$656=$G$123,(ROW(Auction!$M$13:$M$656)-MIN(ROW(Auction!$M$13:$M$656))+1),""),ROW(G9)),1),""))</f>
        <v/>
      </c>
      <c r="I133" s="142">
        <f>IF(ISERROR(VLOOKUP(H133,Auction!$A$13:$I$656,7,FALSE)),0,VLOOKUP(H133,Auction!$A$13:$I$656,8,FALSE))</f>
        <v>0</v>
      </c>
      <c r="J133" s="143">
        <f>IFERROR(VLOOKUP(H133,Auction!$A$13:$I$656,9,FALSE)-I133,0)</f>
        <v>0</v>
      </c>
      <c r="K133" s="150" t="str">
        <f>IFERROR(INDEX(Auction!$C$13:$C$656,MATCH(H133,Auction!$A$13:$A$656,0)),"")</f>
        <v/>
      </c>
    </row>
    <row r="134" spans="1:11" x14ac:dyDescent="0.25">
      <c r="A134" s="133" t="str">
        <f>IFERROR(INDEX(Auction!$B$13:$B$656,MATCH(B134,Auction!$A$13:$A$656,0)),"")</f>
        <v/>
      </c>
      <c r="B134" s="211" t="str">
        <f t="array" ref="B134">IF($A$123=0,"",IFERROR(INDEX(Auction!$A$13:$M$656,SMALL(IF(Auction!$M$13:$M$656=$A$123,(ROW(Auction!$M$13:$M$656)-MIN(ROW(Auction!$M$13:$M$656))+1),""),ROW(A10)),1),""))</f>
        <v/>
      </c>
      <c r="C134" s="142">
        <f>IF(ISERROR(VLOOKUP(B134,Auction!$A$13:$I$656,7,FALSE)),0,VLOOKUP(B134,Auction!$A$13:$I$656,8,FALSE))</f>
        <v>0</v>
      </c>
      <c r="D134" s="143">
        <f>IFERROR(VLOOKUP(B134,Auction!$A$13:$I$656,9,FALSE)-C134,0)</f>
        <v>0</v>
      </c>
      <c r="E134" s="150" t="str">
        <f>IFERROR(INDEX(Auction!$C$13:$C$656,MATCH(B134,Auction!$A$13:$A$656,0)),"")</f>
        <v/>
      </c>
      <c r="G134" s="133" t="str">
        <f>IFERROR(INDEX(Auction!$B$13:$B$656,MATCH(H134,Auction!$A$13:$A$656,0)),"")</f>
        <v/>
      </c>
      <c r="H134" s="211" t="str">
        <f t="array" ref="H134">IF($G$123=0,"",IFERROR(INDEX(Auction!$A$13:$M$656,SMALL(IF(Auction!$M$13:$M$656=$G$123,(ROW(Auction!$M$13:$M$656)-MIN(ROW(Auction!$M$13:$M$656))+1),""),ROW(G10)),1),""))</f>
        <v/>
      </c>
      <c r="I134" s="142">
        <f>IF(ISERROR(VLOOKUP(H134,Auction!$A$13:$I$656,7,FALSE)),0,VLOOKUP(H134,Auction!$A$13:$I$656,8,FALSE))</f>
        <v>0</v>
      </c>
      <c r="J134" s="143">
        <f>IFERROR(VLOOKUP(H134,Auction!$A$13:$I$656,9,FALSE)-I134,0)</f>
        <v>0</v>
      </c>
      <c r="K134" s="150" t="str">
        <f>IFERROR(INDEX(Auction!$C$13:$C$656,MATCH(H134,Auction!$A$13:$A$656,0)),"")</f>
        <v/>
      </c>
    </row>
    <row r="135" spans="1:11" x14ac:dyDescent="0.25">
      <c r="A135" s="133" t="str">
        <f>IFERROR(INDEX(Auction!$B$13:$B$656,MATCH(B135,Auction!$A$13:$A$656,0)),"")</f>
        <v/>
      </c>
      <c r="B135" s="211" t="str">
        <f t="array" ref="B135">IF($A$123=0,"",IFERROR(INDEX(Auction!$A$13:$M$656,SMALL(IF(Auction!$M$13:$M$656=$A$123,(ROW(Auction!$M$13:$M$656)-MIN(ROW(Auction!$M$13:$M$656))+1),""),ROW(A11)),1),""))</f>
        <v/>
      </c>
      <c r="C135" s="142">
        <f>IF(ISERROR(VLOOKUP(B135,Auction!$A$13:$I$656,7,FALSE)),0,VLOOKUP(B135,Auction!$A$13:$I$656,8,FALSE))</f>
        <v>0</v>
      </c>
      <c r="D135" s="143">
        <f>IFERROR(VLOOKUP(B135,Auction!$A$13:$I$656,9,FALSE)-C135,0)</f>
        <v>0</v>
      </c>
      <c r="E135" s="150" t="str">
        <f>IFERROR(INDEX(Auction!$C$13:$C$656,MATCH(B135,Auction!$A$13:$A$656,0)),"")</f>
        <v/>
      </c>
      <c r="G135" s="133" t="str">
        <f>IFERROR(INDEX(Auction!$B$13:$B$656,MATCH(H135,Auction!$A$13:$A$656,0)),"")</f>
        <v/>
      </c>
      <c r="H135" s="211" t="str">
        <f t="array" ref="H135">IF($G$123=0,"",IFERROR(INDEX(Auction!$A$13:$M$656,SMALL(IF(Auction!$M$13:$M$656=$G$123,(ROW(Auction!$M$13:$M$656)-MIN(ROW(Auction!$M$13:$M$656))+1),""),ROW(G11)),1),""))</f>
        <v/>
      </c>
      <c r="I135" s="142">
        <f>IF(ISERROR(VLOOKUP(H135,Auction!$A$13:$I$656,7,FALSE)),0,VLOOKUP(H135,Auction!$A$13:$I$656,8,FALSE))</f>
        <v>0</v>
      </c>
      <c r="J135" s="143">
        <f>IFERROR(VLOOKUP(H135,Auction!$A$13:$I$656,9,FALSE)-I135,0)</f>
        <v>0</v>
      </c>
      <c r="K135" s="150" t="str">
        <f>IFERROR(INDEX(Auction!$C$13:$C$656,MATCH(H135,Auction!$A$13:$A$656,0)),"")</f>
        <v/>
      </c>
    </row>
    <row r="136" spans="1:11" x14ac:dyDescent="0.25">
      <c r="A136" s="133" t="str">
        <f>IFERROR(INDEX(Auction!$B$13:$B$656,MATCH(B136,Auction!$A$13:$A$656,0)),"")</f>
        <v/>
      </c>
      <c r="B136" s="211" t="str">
        <f t="array" ref="B136">IF($A$123=0,"",IFERROR(INDEX(Auction!$A$13:$M$656,SMALL(IF(Auction!$M$13:$M$656=$A$123,(ROW(Auction!$M$13:$M$656)-MIN(ROW(Auction!$M$13:$M$656))+1),""),ROW(A12)),1),""))</f>
        <v/>
      </c>
      <c r="C136" s="142">
        <f>IF(ISERROR(VLOOKUP(B136,Auction!$A$13:$I$656,7,FALSE)),0,VLOOKUP(B136,Auction!$A$13:$I$656,8,FALSE))</f>
        <v>0</v>
      </c>
      <c r="D136" s="143">
        <f>IFERROR(VLOOKUP(B136,Auction!$A$13:$I$656,9,FALSE)-C136,0)</f>
        <v>0</v>
      </c>
      <c r="E136" s="150" t="str">
        <f>IFERROR(INDEX(Auction!$C$13:$C$656,MATCH(B136,Auction!$A$13:$A$656,0)),"")</f>
        <v/>
      </c>
      <c r="G136" s="133" t="str">
        <f>IFERROR(INDEX(Auction!$B$13:$B$656,MATCH(H136,Auction!$A$13:$A$656,0)),"")</f>
        <v/>
      </c>
      <c r="H136" s="211" t="str">
        <f t="array" ref="H136">IF($G$123=0,"",IFERROR(INDEX(Auction!$A$13:$M$656,SMALL(IF(Auction!$M$13:$M$656=$G$123,(ROW(Auction!$M$13:$M$656)-MIN(ROW(Auction!$M$13:$M$656))+1),""),ROW(G12)),1),""))</f>
        <v/>
      </c>
      <c r="I136" s="142">
        <f>IF(ISERROR(VLOOKUP(H136,Auction!$A$13:$I$656,7,FALSE)),0,VLOOKUP(H136,Auction!$A$13:$I$656,8,FALSE))</f>
        <v>0</v>
      </c>
      <c r="J136" s="143">
        <f>IFERROR(VLOOKUP(H136,Auction!$A$13:$I$656,9,FALSE)-I136,0)</f>
        <v>0</v>
      </c>
      <c r="K136" s="150" t="str">
        <f>IFERROR(INDEX(Auction!$C$13:$C$656,MATCH(H136,Auction!$A$13:$A$656,0)),"")</f>
        <v/>
      </c>
    </row>
    <row r="137" spans="1:11" x14ac:dyDescent="0.25">
      <c r="A137" s="133" t="str">
        <f>IFERROR(INDEX(Auction!$B$13:$B$656,MATCH(B137,Auction!$A$13:$A$656,0)),"")</f>
        <v/>
      </c>
      <c r="B137" s="211" t="str">
        <f t="array" ref="B137">IF($A$123=0,"",IFERROR(INDEX(Auction!$A$13:$M$656,SMALL(IF(Auction!$M$13:$M$656=$A$123,(ROW(Auction!$M$13:$M$656)-MIN(ROW(Auction!$M$13:$M$656))+1),""),ROW(A13)),1),""))</f>
        <v/>
      </c>
      <c r="C137" s="142">
        <f>IF(ISERROR(VLOOKUP(B137,Auction!$A$13:$I$656,7,FALSE)),0,VLOOKUP(B137,Auction!$A$13:$I$656,8,FALSE))</f>
        <v>0</v>
      </c>
      <c r="D137" s="143">
        <f>IFERROR(VLOOKUP(B137,Auction!$A$13:$I$656,9,FALSE)-C137,0)</f>
        <v>0</v>
      </c>
      <c r="E137" s="150" t="str">
        <f>IFERROR(INDEX(Auction!$C$13:$C$656,MATCH(B137,Auction!$A$13:$A$656,0)),"")</f>
        <v/>
      </c>
      <c r="G137" s="133" t="str">
        <f>IFERROR(INDEX(Auction!$B$13:$B$656,MATCH(H137,Auction!$A$13:$A$656,0)),"")</f>
        <v/>
      </c>
      <c r="H137" s="211" t="str">
        <f t="array" ref="H137">IF($G$123=0,"",IFERROR(INDEX(Auction!$A$13:$M$656,SMALL(IF(Auction!$M$13:$M$656=$G$123,(ROW(Auction!$M$13:$M$656)-MIN(ROW(Auction!$M$13:$M$656))+1),""),ROW(G13)),1),""))</f>
        <v/>
      </c>
      <c r="I137" s="142">
        <f>IF(ISERROR(VLOOKUP(H137,Auction!$A$13:$I$656,7,FALSE)),0,VLOOKUP(H137,Auction!$A$13:$I$656,8,FALSE))</f>
        <v>0</v>
      </c>
      <c r="J137" s="143">
        <f>IFERROR(VLOOKUP(H137,Auction!$A$13:$I$656,9,FALSE)-I137,0)</f>
        <v>0</v>
      </c>
      <c r="K137" s="150" t="str">
        <f>IFERROR(INDEX(Auction!$C$13:$C$656,MATCH(H137,Auction!$A$13:$A$656,0)),"")</f>
        <v/>
      </c>
    </row>
    <row r="138" spans="1:11" x14ac:dyDescent="0.25">
      <c r="A138" s="133" t="str">
        <f>IFERROR(INDEX(Auction!$B$13:$B$656,MATCH(B138,Auction!$A$13:$A$656,0)),"")</f>
        <v/>
      </c>
      <c r="B138" s="211" t="str">
        <f t="array" ref="B138">IF($A$123=0,"",IFERROR(INDEX(Auction!$A$13:$M$656,SMALL(IF(Auction!$M$13:$M$656=$A$123,(ROW(Auction!$M$13:$M$656)-MIN(ROW(Auction!$M$13:$M$656))+1),""),ROW(A14)),1),""))</f>
        <v/>
      </c>
      <c r="C138" s="142">
        <f>IF(ISERROR(VLOOKUP(B138,Auction!$A$13:$I$656,7,FALSE)),0,VLOOKUP(B138,Auction!$A$13:$I$656,8,FALSE))</f>
        <v>0</v>
      </c>
      <c r="D138" s="143">
        <f>IFERROR(VLOOKUP(B138,Auction!$A$13:$I$656,9,FALSE)-C138,0)</f>
        <v>0</v>
      </c>
      <c r="E138" s="150" t="str">
        <f>IFERROR(INDEX(Auction!$C$13:$C$656,MATCH(B138,Auction!$A$13:$A$656,0)),"")</f>
        <v/>
      </c>
      <c r="G138" s="133" t="str">
        <f>IFERROR(INDEX(Auction!$B$13:$B$656,MATCH(H138,Auction!$A$13:$A$656,0)),"")</f>
        <v/>
      </c>
      <c r="H138" s="211" t="str">
        <f t="array" ref="H138">IF($G$123=0,"",IFERROR(INDEX(Auction!$A$13:$M$656,SMALL(IF(Auction!$M$13:$M$656=$G$123,(ROW(Auction!$M$13:$M$656)-MIN(ROW(Auction!$M$13:$M$656))+1),""),ROW(G14)),1),""))</f>
        <v/>
      </c>
      <c r="I138" s="142">
        <f>IF(ISERROR(VLOOKUP(H138,Auction!$A$13:$I$656,7,FALSE)),0,VLOOKUP(H138,Auction!$A$13:$I$656,8,FALSE))</f>
        <v>0</v>
      </c>
      <c r="J138" s="143">
        <f>IFERROR(VLOOKUP(H138,Auction!$A$13:$I$656,9,FALSE)-I138,0)</f>
        <v>0</v>
      </c>
      <c r="K138" s="150" t="str">
        <f>IFERROR(INDEX(Auction!$C$13:$C$656,MATCH(H138,Auction!$A$13:$A$656,0)),"")</f>
        <v/>
      </c>
    </row>
    <row r="139" spans="1:11" x14ac:dyDescent="0.25">
      <c r="A139" s="133" t="str">
        <f>IFERROR(INDEX(Auction!$B$13:$B$656,MATCH(B139,Auction!$A$13:$A$656,0)),"")</f>
        <v/>
      </c>
      <c r="B139" s="211" t="str">
        <f t="array" ref="B139">IF($A$123=0,"",IFERROR(INDEX(Auction!$A$13:$M$656,SMALL(IF(Auction!$M$13:$M$656=$A$123,(ROW(Auction!$M$13:$M$656)-MIN(ROW(Auction!$M$13:$M$656))+1),""),ROW(A15)),1),""))</f>
        <v/>
      </c>
      <c r="C139" s="142">
        <f>IF(ISERROR(VLOOKUP(B139,Auction!$A$13:$I$656,7,FALSE)),0,VLOOKUP(B139,Auction!$A$13:$I$656,8,FALSE))</f>
        <v>0</v>
      </c>
      <c r="D139" s="143">
        <f>IFERROR(VLOOKUP(B139,Auction!$A$13:$I$656,9,FALSE)-C139,0)</f>
        <v>0</v>
      </c>
      <c r="E139" s="150" t="str">
        <f>IFERROR(INDEX(Auction!$C$13:$C$656,MATCH(B139,Auction!$A$13:$A$656,0)),"")</f>
        <v/>
      </c>
      <c r="G139" s="133" t="str">
        <f>IFERROR(INDEX(Auction!$B$13:$B$656,MATCH(H139,Auction!$A$13:$A$656,0)),"")</f>
        <v/>
      </c>
      <c r="H139" s="211" t="str">
        <f t="array" ref="H139">IF($G$123=0,"",IFERROR(INDEX(Auction!$A$13:$M$656,SMALL(IF(Auction!$M$13:$M$656=$G$123,(ROW(Auction!$M$13:$M$656)-MIN(ROW(Auction!$M$13:$M$656))+1),""),ROW(G15)),1),""))</f>
        <v/>
      </c>
      <c r="I139" s="142">
        <f>IF(ISERROR(VLOOKUP(H139,Auction!$A$13:$I$656,7,FALSE)),0,VLOOKUP(H139,Auction!$A$13:$I$656,8,FALSE))</f>
        <v>0</v>
      </c>
      <c r="J139" s="143">
        <f>IFERROR(VLOOKUP(H139,Auction!$A$13:$I$656,9,FALSE)-I139,0)</f>
        <v>0</v>
      </c>
      <c r="K139" s="150" t="str">
        <f>IFERROR(INDEX(Auction!$C$13:$C$656,MATCH(H139,Auction!$A$13:$A$656,0)),"")</f>
        <v/>
      </c>
    </row>
    <row r="140" spans="1:11" x14ac:dyDescent="0.25">
      <c r="A140" s="133" t="str">
        <f>IFERROR(INDEX(Auction!$B$13:$B$656,MATCH(B140,Auction!$A$13:$A$656,0)),"")</f>
        <v/>
      </c>
      <c r="B140" s="211" t="str">
        <f t="array" ref="B140">IF($A$123=0,"",IFERROR(INDEX(Auction!$A$13:$M$656,SMALL(IF(Auction!$M$13:$M$656=$A$123,(ROW(Auction!$M$13:$M$656)-MIN(ROW(Auction!$M$13:$M$656))+1),""),ROW(A16)),1),""))</f>
        <v/>
      </c>
      <c r="C140" s="142">
        <f>IF(ISERROR(VLOOKUP(B140,Auction!$A$13:$I$656,7,FALSE)),0,VLOOKUP(B140,Auction!$A$13:$I$656,8,FALSE))</f>
        <v>0</v>
      </c>
      <c r="D140" s="143">
        <f>IFERROR(VLOOKUP(B140,Auction!$A$13:$I$656,9,FALSE)-C140,0)</f>
        <v>0</v>
      </c>
      <c r="E140" s="150" t="str">
        <f>IFERROR(INDEX(Auction!$C$13:$C$656,MATCH(B140,Auction!$A$13:$A$656,0)),"")</f>
        <v/>
      </c>
      <c r="G140" s="133" t="str">
        <f>IFERROR(INDEX(Auction!$B$13:$B$656,MATCH(H140,Auction!$A$13:$A$656,0)),"")</f>
        <v/>
      </c>
      <c r="H140" s="211" t="str">
        <f t="array" ref="H140">IF($G$123=0,"",IFERROR(INDEX(Auction!$A$13:$M$656,SMALL(IF(Auction!$M$13:$M$656=$G$123,(ROW(Auction!$M$13:$M$656)-MIN(ROW(Auction!$M$13:$M$656))+1),""),ROW(G16)),1),""))</f>
        <v/>
      </c>
      <c r="I140" s="142">
        <f>IF(ISERROR(VLOOKUP(H140,Auction!$A$13:$I$656,7,FALSE)),0,VLOOKUP(H140,Auction!$A$13:$I$656,8,FALSE))</f>
        <v>0</v>
      </c>
      <c r="J140" s="143">
        <f>IFERROR(VLOOKUP(H140,Auction!$A$13:$I$656,9,FALSE)-I140,0)</f>
        <v>0</v>
      </c>
      <c r="K140" s="150" t="str">
        <f>IFERROR(INDEX(Auction!$C$13:$C$656,MATCH(H140,Auction!$A$13:$A$656,0)),"")</f>
        <v/>
      </c>
    </row>
    <row r="141" spans="1:11" x14ac:dyDescent="0.25">
      <c r="A141" s="133" t="str">
        <f>IFERROR(INDEX(Auction!$B$13:$B$656,MATCH(B141,Auction!$A$13:$A$656,0)),"")</f>
        <v/>
      </c>
      <c r="B141" s="211" t="str">
        <f t="array" ref="B141">IF($A$123=0,"",IFERROR(INDEX(Auction!$A$13:$M$656,SMALL(IF(Auction!$M$13:$M$656=$A$123,(ROW(Auction!$M$13:$M$656)-MIN(ROW(Auction!$M$13:$M$656))+1),""),ROW(A17)),1),""))</f>
        <v/>
      </c>
      <c r="C141" s="142">
        <f>IF(ISERROR(VLOOKUP(B141,Auction!$A$13:$I$656,7,FALSE)),0,VLOOKUP(B141,Auction!$A$13:$I$656,8,FALSE))</f>
        <v>0</v>
      </c>
      <c r="D141" s="143">
        <f>IFERROR(VLOOKUP(B141,Auction!$A$13:$I$656,9,FALSE)-C141,0)</f>
        <v>0</v>
      </c>
      <c r="E141" s="150" t="str">
        <f>IFERROR(INDEX(Auction!$C$13:$C$656,MATCH(B141,Auction!$A$13:$A$656,0)),"")</f>
        <v/>
      </c>
      <c r="G141" s="133" t="str">
        <f>IFERROR(INDEX(Auction!$B$13:$B$656,MATCH(H141,Auction!$A$13:$A$656,0)),"")</f>
        <v/>
      </c>
      <c r="H141" s="211" t="str">
        <f t="array" ref="H141">IF($G$123=0,"",IFERROR(INDEX(Auction!$A$13:$M$656,SMALL(IF(Auction!$M$13:$M$656=$G$123,(ROW(Auction!$M$13:$M$656)-MIN(ROW(Auction!$M$13:$M$656))+1),""),ROW(G17)),1),""))</f>
        <v/>
      </c>
      <c r="I141" s="142">
        <f>IF(ISERROR(VLOOKUP(H141,Auction!$A$13:$I$656,7,FALSE)),0,VLOOKUP(H141,Auction!$A$13:$I$656,8,FALSE))</f>
        <v>0</v>
      </c>
      <c r="J141" s="143">
        <f>IFERROR(VLOOKUP(H141,Auction!$A$13:$I$656,9,FALSE)-I141,0)</f>
        <v>0</v>
      </c>
      <c r="K141" s="150" t="str">
        <f>IFERROR(INDEX(Auction!$C$13:$C$656,MATCH(H141,Auction!$A$13:$A$656,0)),"")</f>
        <v/>
      </c>
    </row>
    <row r="142" spans="1:11" x14ac:dyDescent="0.25">
      <c r="A142" s="133" t="str">
        <f>IFERROR(INDEX(Auction!$B$13:$B$656,MATCH(B142,Auction!$A$13:$A$656,0)),"")</f>
        <v/>
      </c>
      <c r="B142" s="211" t="str">
        <f t="array" ref="B142">IF($A$123=0,"",IFERROR(INDEX(Auction!$A$13:$M$656,SMALL(IF(Auction!$M$13:$M$656=$A$123,(ROW(Auction!$M$13:$M$656)-MIN(ROW(Auction!$M$13:$M$656))+1),""),ROW(A18)),1),""))</f>
        <v/>
      </c>
      <c r="C142" s="142">
        <f>IF(ISERROR(VLOOKUP(B142,Auction!$A$13:$I$656,7,FALSE)),0,VLOOKUP(B142,Auction!$A$13:$I$656,8,FALSE))</f>
        <v>0</v>
      </c>
      <c r="D142" s="143">
        <f>IFERROR(VLOOKUP(B142,Auction!$A$13:$I$656,9,FALSE)-C142,0)</f>
        <v>0</v>
      </c>
      <c r="E142" s="150" t="str">
        <f>IFERROR(INDEX(Auction!$C$13:$C$656,MATCH(B142,Auction!$A$13:$A$656,0)),"")</f>
        <v/>
      </c>
      <c r="G142" s="133" t="str">
        <f>IFERROR(INDEX(Auction!$B$13:$B$656,MATCH(H142,Auction!$A$13:$A$656,0)),"")</f>
        <v/>
      </c>
      <c r="H142" s="211" t="str">
        <f t="array" ref="H142">IF($G$123=0,"",IFERROR(INDEX(Auction!$A$13:$M$656,SMALL(IF(Auction!$M$13:$M$656=$G$123,(ROW(Auction!$M$13:$M$656)-MIN(ROW(Auction!$M$13:$M$656))+1),""),ROW(G18)),1),""))</f>
        <v/>
      </c>
      <c r="I142" s="142">
        <f>IF(ISERROR(VLOOKUP(H142,Auction!$A$13:$I$656,7,FALSE)),0,VLOOKUP(H142,Auction!$A$13:$I$656,8,FALSE))</f>
        <v>0</v>
      </c>
      <c r="J142" s="143">
        <f>IFERROR(VLOOKUP(H142,Auction!$A$13:$I$656,9,FALSE)-I142,0)</f>
        <v>0</v>
      </c>
      <c r="K142" s="150" t="str">
        <f>IFERROR(INDEX(Auction!$C$13:$C$656,MATCH(H142,Auction!$A$13:$A$656,0)),"")</f>
        <v/>
      </c>
    </row>
    <row r="143" spans="1:11" x14ac:dyDescent="0.25">
      <c r="A143" s="133" t="str">
        <f>IFERROR(INDEX(Auction!$B$13:$B$656,MATCH(B143,Auction!$A$13:$A$656,0)),"")</f>
        <v/>
      </c>
      <c r="B143" s="211" t="str">
        <f t="array" ref="B143">IF($A$123=0,"",IFERROR(INDEX(Auction!$A$13:$M$656,SMALL(IF(Auction!$M$13:$M$656=$A$123,(ROW(Auction!$M$13:$M$656)-MIN(ROW(Auction!$M$13:$M$656))+1),""),ROW(A19)),1),""))</f>
        <v/>
      </c>
      <c r="C143" s="142">
        <f>IF(ISERROR(VLOOKUP(B143,Auction!$A$13:$I$656,7,FALSE)),0,VLOOKUP(B143,Auction!$A$13:$I$656,8,FALSE))</f>
        <v>0</v>
      </c>
      <c r="D143" s="143">
        <f>IFERROR(VLOOKUP(B143,Auction!$A$13:$I$656,9,FALSE)-C143,0)</f>
        <v>0</v>
      </c>
      <c r="E143" s="150" t="str">
        <f>IFERROR(INDEX(Auction!$C$13:$C$656,MATCH(B143,Auction!$A$13:$A$656,0)),"")</f>
        <v/>
      </c>
      <c r="G143" s="133" t="str">
        <f>IFERROR(INDEX(Auction!$B$13:$B$656,MATCH(H143,Auction!$A$13:$A$656,0)),"")</f>
        <v/>
      </c>
      <c r="H143" s="211" t="str">
        <f t="array" ref="H143">IF($G$123=0,"",IFERROR(INDEX(Auction!$A$13:$M$656,SMALL(IF(Auction!$M$13:$M$656=$G$123,(ROW(Auction!$M$13:$M$656)-MIN(ROW(Auction!$M$13:$M$656))+1),""),ROW(G19)),1),""))</f>
        <v/>
      </c>
      <c r="I143" s="142">
        <f>IF(ISERROR(VLOOKUP(H143,Auction!$A$13:$I$656,7,FALSE)),0,VLOOKUP(H143,Auction!$A$13:$I$656,8,FALSE))</f>
        <v>0</v>
      </c>
      <c r="J143" s="143">
        <f>IFERROR(VLOOKUP(H143,Auction!$A$13:$I$656,9,FALSE)-I143,0)</f>
        <v>0</v>
      </c>
      <c r="K143" s="150" t="str">
        <f>IFERROR(INDEX(Auction!$C$13:$C$656,MATCH(H143,Auction!$A$13:$A$656,0)),"")</f>
        <v/>
      </c>
    </row>
    <row r="144" spans="1:11" x14ac:dyDescent="0.25">
      <c r="A144" s="133" t="str">
        <f>IFERROR(INDEX(Auction!$B$13:$B$656,MATCH(B144,Auction!$A$13:$A$656,0)),"")</f>
        <v/>
      </c>
      <c r="B144" s="211" t="str">
        <f t="array" ref="B144">IF($A$123=0,"",IFERROR(INDEX(Auction!$A$13:$M$656,SMALL(IF(Auction!$M$13:$M$656=$A$123,(ROW(Auction!$M$13:$M$656)-MIN(ROW(Auction!$M$13:$M$656))+1),""),ROW(A20)),1),""))</f>
        <v/>
      </c>
      <c r="C144" s="142">
        <f>IF(ISERROR(VLOOKUP(B144,Auction!$A$13:$I$656,7,FALSE)),0,VLOOKUP(B144,Auction!$A$13:$I$656,8,FALSE))</f>
        <v>0</v>
      </c>
      <c r="D144" s="143">
        <f>IFERROR(VLOOKUP(B144,Auction!$A$13:$I$656,9,FALSE)-C144,0)</f>
        <v>0</v>
      </c>
      <c r="E144" s="150" t="str">
        <f>IFERROR(INDEX(Auction!$C$13:$C$656,MATCH(B144,Auction!$A$13:$A$656,0)),"")</f>
        <v/>
      </c>
      <c r="G144" s="133" t="str">
        <f>IFERROR(INDEX(Auction!$B$13:$B$656,MATCH(H144,Auction!$A$13:$A$656,0)),"")</f>
        <v/>
      </c>
      <c r="H144" s="211" t="str">
        <f t="array" ref="H144">IF($G$123=0,"",IFERROR(INDEX(Auction!$A$13:$M$656,SMALL(IF(Auction!$M$13:$M$656=$G$123,(ROW(Auction!$M$13:$M$656)-MIN(ROW(Auction!$M$13:$M$656))+1),""),ROW(G20)),1),""))</f>
        <v/>
      </c>
      <c r="I144" s="142">
        <f>IF(ISERROR(VLOOKUP(H144,Auction!$A$13:$I$656,7,FALSE)),0,VLOOKUP(H144,Auction!$A$13:$I$656,8,FALSE))</f>
        <v>0</v>
      </c>
      <c r="J144" s="143">
        <f>IFERROR(VLOOKUP(H144,Auction!$A$13:$I$656,9,FALSE)-I144,0)</f>
        <v>0</v>
      </c>
      <c r="K144" s="150" t="str">
        <f>IFERROR(INDEX(Auction!$C$13:$C$656,MATCH(H144,Auction!$A$13:$A$656,0)),"")</f>
        <v/>
      </c>
    </row>
    <row r="145" spans="1:11" x14ac:dyDescent="0.25">
      <c r="A145" s="151"/>
      <c r="B145" s="152"/>
      <c r="C145" s="153">
        <f>SUM(C125:C144)</f>
        <v>0</v>
      </c>
      <c r="D145" s="153">
        <f>SUM(D125:D144)</f>
        <v>0</v>
      </c>
      <c r="E145" s="154"/>
      <c r="G145" s="151"/>
      <c r="H145" s="152"/>
      <c r="I145" s="153">
        <f>SUM(I125:I144)</f>
        <v>0</v>
      </c>
      <c r="J145" s="153">
        <f>SUM(J125:J144)</f>
        <v>0</v>
      </c>
      <c r="K145" s="154"/>
    </row>
    <row r="147" spans="1:11" x14ac:dyDescent="0.25">
      <c r="A147" s="268" t="str">
        <f>H14</f>
        <v>Team 12</v>
      </c>
      <c r="B147" s="269"/>
      <c r="C147" s="269"/>
      <c r="D147" s="269"/>
      <c r="E147" s="270"/>
      <c r="G147" s="268">
        <f>H15</f>
        <v>0</v>
      </c>
      <c r="H147" s="269"/>
      <c r="I147" s="269"/>
      <c r="J147" s="269"/>
      <c r="K147" s="270"/>
    </row>
    <row r="148" spans="1:11" x14ac:dyDescent="0.25">
      <c r="A148" s="140" t="s">
        <v>495</v>
      </c>
      <c r="B148" s="148" t="s">
        <v>85</v>
      </c>
      <c r="C148" s="130" t="s">
        <v>496</v>
      </c>
      <c r="D148" s="130" t="s">
        <v>497</v>
      </c>
      <c r="E148" s="141" t="s">
        <v>440</v>
      </c>
      <c r="G148" s="140" t="s">
        <v>495</v>
      </c>
      <c r="H148" s="148" t="s">
        <v>85</v>
      </c>
      <c r="I148" s="130" t="s">
        <v>496</v>
      </c>
      <c r="J148" s="130" t="s">
        <v>497</v>
      </c>
      <c r="K148" s="141" t="s">
        <v>440</v>
      </c>
    </row>
    <row r="149" spans="1:11" x14ac:dyDescent="0.25">
      <c r="A149" s="133" t="str">
        <f>IFERROR(INDEX(Auction!$B$13:$B$656,MATCH(B149,Auction!$A$13:$A$656,0)),"")</f>
        <v/>
      </c>
      <c r="B149" s="211" t="str">
        <f t="array" ref="B149">IF($A$147=0,"",IFERROR(INDEX(Auction!$A$13:$M$656,SMALL(IF(Auction!$M$13:$M$656=$A$147,(ROW(Auction!$M$13:$M$656)-MIN(ROW(Auction!$M$13:$M$656))+1),""),ROW($A1)),1),""))</f>
        <v/>
      </c>
      <c r="C149" s="142">
        <f>IF(ISERROR(VLOOKUP(B149,Auction!$A$13:$I$656,7,FALSE)),0,VLOOKUP(B149,Auction!$A$13:$I$656,8,FALSE))</f>
        <v>0</v>
      </c>
      <c r="D149" s="143">
        <f>IFERROR(VLOOKUP(B149,Auction!$A$13:$I$656,9,FALSE)-C149,0)</f>
        <v>0</v>
      </c>
      <c r="E149" s="149" t="str">
        <f>IFERROR(INDEX(Auction!$C$13:$C$656,MATCH(B149,Auction!$A$13:$A$656,0)),"")</f>
        <v/>
      </c>
      <c r="G149" s="133" t="str">
        <f>IFERROR(INDEX(Auction!$B$13:$B$656,MATCH(H149,Auction!$A$13:$A$656,0)),"")</f>
        <v/>
      </c>
      <c r="H149" s="211" t="str">
        <f t="array" ref="H149">IF($G$147=0,"",IFERROR(INDEX(Auction!$A$13:$M$656,SMALL(IF(Auction!$M$13:$M$656=$G$147,(ROW(Auction!$M$13:$M$656)-MIN(ROW(Auction!$M$13:$M$656))+1),""),ROW($G1)),1),""))</f>
        <v/>
      </c>
      <c r="I149" s="142">
        <f>IF(ISERROR(VLOOKUP(H149,Auction!$A$13:$I$656,7,FALSE)),0,VLOOKUP(H149,Auction!$A$13:$I$656,8,FALSE))</f>
        <v>0</v>
      </c>
      <c r="J149" s="143">
        <f>IFERROR(VLOOKUP(H149,Auction!$A$13:$I$656,9,FALSE)-I149,0)</f>
        <v>0</v>
      </c>
      <c r="K149" s="149" t="str">
        <f>IFERROR(INDEX(Auction!$C$13:$C$656,MATCH(H149,Auction!$A$13:$A$656,0)),"")</f>
        <v/>
      </c>
    </row>
    <row r="150" spans="1:11" x14ac:dyDescent="0.25">
      <c r="A150" s="133" t="str">
        <f>IFERROR(INDEX(Auction!$B$13:$B$656,MATCH(B150,Auction!$A$13:$A$656,0)),"")</f>
        <v/>
      </c>
      <c r="B150" s="211" t="str">
        <f t="array" ref="B150">IF($A$147=0,"",IFERROR(INDEX(Auction!$A$13:$M$656,SMALL(IF(Auction!$M$13:$M$656=$A$147,(ROW(Auction!$M$13:$M$656)-MIN(ROW(Auction!$M$13:$M$656))+1),""),ROW($A2)),1),""))</f>
        <v/>
      </c>
      <c r="C150" s="142">
        <f>IF(ISERROR(VLOOKUP(B150,Auction!$A$13:$I$656,7,FALSE)),0,VLOOKUP(B150,Auction!$A$13:$I$656,8,FALSE))</f>
        <v>0</v>
      </c>
      <c r="D150" s="143">
        <f>IFERROR(VLOOKUP(B150,Auction!$A$13:$I$656,9,FALSE)-C150,0)</f>
        <v>0</v>
      </c>
      <c r="E150" s="149" t="str">
        <f>IFERROR(INDEX(Auction!$C$13:$C$656,MATCH(B150,Auction!$A$13:$A$656,0)),"")</f>
        <v/>
      </c>
      <c r="G150" s="133" t="str">
        <f>IFERROR(INDEX(Auction!$B$13:$B$656,MATCH(H150,Auction!$A$13:$A$656,0)),"")</f>
        <v/>
      </c>
      <c r="H150" s="211" t="str">
        <f t="array" ref="H150">IF($G$147=0,"",IFERROR(INDEX(Auction!$A$13:$M$656,SMALL(IF(Auction!$M$13:$M$656=$G$147,(ROW(Auction!$M$13:$M$656)-MIN(ROW(Auction!$M$13:$M$656))+1),""),ROW($G2)),1),""))</f>
        <v/>
      </c>
      <c r="I150" s="142">
        <f>IF(ISERROR(VLOOKUP(H150,Auction!$A$13:$I$656,7,FALSE)),0,VLOOKUP(H150,Auction!$A$13:$I$656,8,FALSE))</f>
        <v>0</v>
      </c>
      <c r="J150" s="143">
        <f>IFERROR(VLOOKUP(H150,Auction!$A$13:$I$656,9,FALSE)-I150,0)</f>
        <v>0</v>
      </c>
      <c r="K150" s="149" t="str">
        <f>IFERROR(INDEX(Auction!$C$13:$C$656,MATCH(H150,Auction!$A$13:$A$656,0)),"")</f>
        <v/>
      </c>
    </row>
    <row r="151" spans="1:11" x14ac:dyDescent="0.25">
      <c r="A151" s="133" t="str">
        <f>IFERROR(INDEX(Auction!$B$13:$B$656,MATCH(B151,Auction!$A$13:$A$656,0)),"")</f>
        <v/>
      </c>
      <c r="B151" s="211" t="str">
        <f t="array" ref="B151">IF($A$147=0,"",IFERROR(INDEX(Auction!$A$13:$M$656,SMALL(IF(Auction!$M$13:$M$656=$A$147,(ROW(Auction!$M$13:$M$656)-MIN(ROW(Auction!$M$13:$M$656))+1),""),ROW($A3)),1),""))</f>
        <v/>
      </c>
      <c r="C151" s="142">
        <f>IF(ISERROR(VLOOKUP(B151,Auction!$A$13:$I$656,7,FALSE)),0,VLOOKUP(B151,Auction!$A$13:$I$656,8,FALSE))</f>
        <v>0</v>
      </c>
      <c r="D151" s="143">
        <f>IFERROR(VLOOKUP(B151,Auction!$A$13:$I$656,9,FALSE)-C151,0)</f>
        <v>0</v>
      </c>
      <c r="E151" s="149" t="str">
        <f>IFERROR(INDEX(Auction!$C$13:$C$656,MATCH(B151,Auction!$A$13:$A$656,0)),"")</f>
        <v/>
      </c>
      <c r="G151" s="133" t="str">
        <f>IFERROR(INDEX(Auction!$B$13:$B$656,MATCH(H151,Auction!$A$13:$A$656,0)),"")</f>
        <v/>
      </c>
      <c r="H151" s="211" t="str">
        <f t="array" ref="H151">IF($G$147=0,"",IFERROR(INDEX(Auction!$A$13:$M$656,SMALL(IF(Auction!$M$13:$M$656=$G$147,(ROW(Auction!$M$13:$M$656)-MIN(ROW(Auction!$M$13:$M$656))+1),""),ROW($G3)),1),""))</f>
        <v/>
      </c>
      <c r="I151" s="142">
        <f>IF(ISERROR(VLOOKUP(H151,Auction!$A$13:$I$656,7,FALSE)),0,VLOOKUP(H151,Auction!$A$13:$I$656,8,FALSE))</f>
        <v>0</v>
      </c>
      <c r="J151" s="143">
        <f>IFERROR(VLOOKUP(H151,Auction!$A$13:$I$656,9,FALSE)-I151,0)</f>
        <v>0</v>
      </c>
      <c r="K151" s="149" t="str">
        <f>IFERROR(INDEX(Auction!$C$13:$C$656,MATCH(H151,Auction!$A$13:$A$656,0)),"")</f>
        <v/>
      </c>
    </row>
    <row r="152" spans="1:11" x14ac:dyDescent="0.25">
      <c r="A152" s="133" t="str">
        <f>IFERROR(INDEX(Auction!$B$13:$B$656,MATCH(B152,Auction!$A$13:$A$656,0)),"")</f>
        <v/>
      </c>
      <c r="B152" s="211" t="str">
        <f t="array" ref="B152">IF($A$147=0,"",IFERROR(INDEX(Auction!$A$13:$M$656,SMALL(IF(Auction!$M$13:$M$656=$A$147,(ROW(Auction!$M$13:$M$656)-MIN(ROW(Auction!$M$13:$M$656))+1),""),ROW($A4)),1),""))</f>
        <v/>
      </c>
      <c r="C152" s="142">
        <f>IF(ISERROR(VLOOKUP(B152,Auction!$A$13:$I$656,7,FALSE)),0,VLOOKUP(B152,Auction!$A$13:$I$656,8,FALSE))</f>
        <v>0</v>
      </c>
      <c r="D152" s="143">
        <f>IFERROR(VLOOKUP(B152,Auction!$A$13:$I$656,9,FALSE)-C152,0)</f>
        <v>0</v>
      </c>
      <c r="E152" s="149" t="str">
        <f>IFERROR(INDEX(Auction!$C$13:$C$656,MATCH(B152,Auction!$A$13:$A$656,0)),"")</f>
        <v/>
      </c>
      <c r="G152" s="133" t="str">
        <f>IFERROR(INDEX(Auction!$B$13:$B$656,MATCH(H152,Auction!$A$13:$A$656,0)),"")</f>
        <v/>
      </c>
      <c r="H152" s="211" t="str">
        <f t="array" ref="H152">IF($G$147=0,"",IFERROR(INDEX(Auction!$A$13:$M$656,SMALL(IF(Auction!$M$13:$M$656=$G$147,(ROW(Auction!$M$13:$M$656)-MIN(ROW(Auction!$M$13:$M$656))+1),""),ROW($G4)),1),""))</f>
        <v/>
      </c>
      <c r="I152" s="142">
        <f>IF(ISERROR(VLOOKUP(H152,Auction!$A$13:$I$656,7,FALSE)),0,VLOOKUP(H152,Auction!$A$13:$I$656,8,FALSE))</f>
        <v>0</v>
      </c>
      <c r="J152" s="143">
        <f>IFERROR(VLOOKUP(H152,Auction!$A$13:$I$656,9,FALSE)-I152,0)</f>
        <v>0</v>
      </c>
      <c r="K152" s="149" t="str">
        <f>IFERROR(INDEX(Auction!$C$13:$C$656,MATCH(H152,Auction!$A$13:$A$656,0)),"")</f>
        <v/>
      </c>
    </row>
    <row r="153" spans="1:11" x14ac:dyDescent="0.25">
      <c r="A153" s="133" t="str">
        <f>IFERROR(INDEX(Auction!$B$13:$B$656,MATCH(B153,Auction!$A$13:$A$656,0)),"")</f>
        <v/>
      </c>
      <c r="B153" s="211" t="str">
        <f t="array" ref="B153">IF($A$147=0,"",IFERROR(INDEX(Auction!$A$13:$M$656,SMALL(IF(Auction!$M$13:$M$656=$A$147,(ROW(Auction!$M$13:$M$656)-MIN(ROW(Auction!$M$13:$M$656))+1),""),ROW($A5)),1),""))</f>
        <v/>
      </c>
      <c r="C153" s="142">
        <f>IF(ISERROR(VLOOKUP(B153,Auction!$A$13:$I$656,7,FALSE)),0,VLOOKUP(B153,Auction!$A$13:$I$656,8,FALSE))</f>
        <v>0</v>
      </c>
      <c r="D153" s="143">
        <f>IFERROR(VLOOKUP(B153,Auction!$A$13:$I$656,9,FALSE)-C153,0)</f>
        <v>0</v>
      </c>
      <c r="E153" s="149" t="str">
        <f>IFERROR(INDEX(Auction!$C$13:$C$656,MATCH(B153,Auction!$A$13:$A$656,0)),"")</f>
        <v/>
      </c>
      <c r="G153" s="133" t="str">
        <f>IFERROR(INDEX(Auction!$B$13:$B$656,MATCH(H153,Auction!$A$13:$A$656,0)),"")</f>
        <v/>
      </c>
      <c r="H153" s="211" t="str">
        <f t="array" ref="H153">IF($G$147=0,"",IFERROR(INDEX(Auction!$A$13:$M$656,SMALL(IF(Auction!$M$13:$M$656=$G$147,(ROW(Auction!$M$13:$M$656)-MIN(ROW(Auction!$M$13:$M$656))+1),""),ROW($G5)),1),""))</f>
        <v/>
      </c>
      <c r="I153" s="142">
        <f>IF(ISERROR(VLOOKUP(H153,Auction!$A$13:$I$656,7,FALSE)),0,VLOOKUP(H153,Auction!$A$13:$I$656,8,FALSE))</f>
        <v>0</v>
      </c>
      <c r="J153" s="143">
        <f>IFERROR(VLOOKUP(H153,Auction!$A$13:$I$656,9,FALSE)-I153,0)</f>
        <v>0</v>
      </c>
      <c r="K153" s="149" t="str">
        <f>IFERROR(INDEX(Auction!$C$13:$C$656,MATCH(H153,Auction!$A$13:$A$656,0)),"")</f>
        <v/>
      </c>
    </row>
    <row r="154" spans="1:11" x14ac:dyDescent="0.25">
      <c r="A154" s="133" t="str">
        <f>IFERROR(INDEX(Auction!$B$13:$B$656,MATCH(B154,Auction!$A$13:$A$656,0)),"")</f>
        <v/>
      </c>
      <c r="B154" s="211" t="str">
        <f t="array" ref="B154">IF($A$147=0,"",IFERROR(INDEX(Auction!$A$13:$M$656,SMALL(IF(Auction!$M$13:$M$656=$A$147,(ROW(Auction!$M$13:$M$656)-MIN(ROW(Auction!$M$13:$M$656))+1),""),ROW($A6)),1),""))</f>
        <v/>
      </c>
      <c r="C154" s="142">
        <f>IF(ISERROR(VLOOKUP(B154,Auction!$A$13:$I$656,7,FALSE)),0,VLOOKUP(B154,Auction!$A$13:$I$656,8,FALSE))</f>
        <v>0</v>
      </c>
      <c r="D154" s="143">
        <f>IFERROR(VLOOKUP(B154,Auction!$A$13:$I$656,9,FALSE)-C154,0)</f>
        <v>0</v>
      </c>
      <c r="E154" s="149" t="str">
        <f>IFERROR(INDEX(Auction!$C$13:$C$656,MATCH(B154,Auction!$A$13:$A$656,0)),"")</f>
        <v/>
      </c>
      <c r="G154" s="133" t="str">
        <f>IFERROR(INDEX(Auction!$B$13:$B$656,MATCH(H154,Auction!$A$13:$A$656,0)),"")</f>
        <v/>
      </c>
      <c r="H154" s="211" t="str">
        <f t="array" ref="H154">IF($G$147=0,"",IFERROR(INDEX(Auction!$A$13:$M$656,SMALL(IF(Auction!$M$13:$M$656=$G$147,(ROW(Auction!$M$13:$M$656)-MIN(ROW(Auction!$M$13:$M$656))+1),""),ROW($G6)),1),""))</f>
        <v/>
      </c>
      <c r="I154" s="142">
        <f>IF(ISERROR(VLOOKUP(H154,Auction!$A$13:$I$656,7,FALSE)),0,VLOOKUP(H154,Auction!$A$13:$I$656,8,FALSE))</f>
        <v>0</v>
      </c>
      <c r="J154" s="143">
        <f>IFERROR(VLOOKUP(H154,Auction!$A$13:$I$656,9,FALSE)-I154,0)</f>
        <v>0</v>
      </c>
      <c r="K154" s="149" t="str">
        <f>IFERROR(INDEX(Auction!$C$13:$C$656,MATCH(H154,Auction!$A$13:$A$656,0)),"")</f>
        <v/>
      </c>
    </row>
    <row r="155" spans="1:11" x14ac:dyDescent="0.25">
      <c r="A155" s="133" t="str">
        <f>IFERROR(INDEX(Auction!$B$13:$B$656,MATCH(B155,Auction!$A$13:$A$656,0)),"")</f>
        <v/>
      </c>
      <c r="B155" s="211" t="str">
        <f t="array" ref="B155">IF($A$147=0,"",IFERROR(INDEX(Auction!$A$13:$M$656,SMALL(IF(Auction!$M$13:$M$656=$A$147,(ROW(Auction!$M$13:$M$656)-MIN(ROW(Auction!$M$13:$M$656))+1),""),ROW($A7)),1),""))</f>
        <v/>
      </c>
      <c r="C155" s="142">
        <f>IF(ISERROR(VLOOKUP(B155,Auction!$A$13:$I$656,7,FALSE)),0,VLOOKUP(B155,Auction!$A$13:$I$656,8,FALSE))</f>
        <v>0</v>
      </c>
      <c r="D155" s="143">
        <f>IFERROR(VLOOKUP(B155,Auction!$A$13:$I$656,9,FALSE)-C155,0)</f>
        <v>0</v>
      </c>
      <c r="E155" s="149" t="str">
        <f>IFERROR(INDEX(Auction!$C$13:$C$656,MATCH(B155,Auction!$A$13:$A$656,0)),"")</f>
        <v/>
      </c>
      <c r="G155" s="133" t="str">
        <f>IFERROR(INDEX(Auction!$B$13:$B$656,MATCH(H155,Auction!$A$13:$A$656,0)),"")</f>
        <v/>
      </c>
      <c r="H155" s="211" t="str">
        <f t="array" ref="H155">IF($G$147=0,"",IFERROR(INDEX(Auction!$A$13:$M$656,SMALL(IF(Auction!$M$13:$M$656=$G$147,(ROW(Auction!$M$13:$M$656)-MIN(ROW(Auction!$M$13:$M$656))+1),""),ROW($G7)),1),""))</f>
        <v/>
      </c>
      <c r="I155" s="142">
        <f>IF(ISERROR(VLOOKUP(H155,Auction!$A$13:$I$656,7,FALSE)),0,VLOOKUP(H155,Auction!$A$13:$I$656,8,FALSE))</f>
        <v>0</v>
      </c>
      <c r="J155" s="143">
        <f>IFERROR(VLOOKUP(H155,Auction!$A$13:$I$656,9,FALSE)-I155,0)</f>
        <v>0</v>
      </c>
      <c r="K155" s="149" t="str">
        <f>IFERROR(INDEX(Auction!$C$13:$C$656,MATCH(H155,Auction!$A$13:$A$656,0)),"")</f>
        <v/>
      </c>
    </row>
    <row r="156" spans="1:11" x14ac:dyDescent="0.25">
      <c r="A156" s="133" t="str">
        <f>IFERROR(INDEX(Auction!$B$13:$B$656,MATCH(B156,Auction!$A$13:$A$656,0)),"")</f>
        <v/>
      </c>
      <c r="B156" s="211" t="str">
        <f t="array" ref="B156">IF($A$147=0,"",IFERROR(INDEX(Auction!$A$13:$M$656,SMALL(IF(Auction!$M$13:$M$656=$A$147,(ROW(Auction!$M$13:$M$656)-MIN(ROW(Auction!$M$13:$M$656))+1),""),ROW($A8)),1),""))</f>
        <v/>
      </c>
      <c r="C156" s="142">
        <f>IF(ISERROR(VLOOKUP(B156,Auction!$A$13:$I$656,7,FALSE)),0,VLOOKUP(B156,Auction!$A$13:$I$656,8,FALSE))</f>
        <v>0</v>
      </c>
      <c r="D156" s="143">
        <f>IFERROR(VLOOKUP(B156,Auction!$A$13:$I$656,9,FALSE)-C156,0)</f>
        <v>0</v>
      </c>
      <c r="E156" s="149" t="str">
        <f>IFERROR(INDEX(Auction!$C$13:$C$656,MATCH(B156,Auction!$A$13:$A$656,0)),"")</f>
        <v/>
      </c>
      <c r="G156" s="133" t="str">
        <f>IFERROR(INDEX(Auction!$B$13:$B$656,MATCH(H156,Auction!$A$13:$A$656,0)),"")</f>
        <v/>
      </c>
      <c r="H156" s="211" t="str">
        <f t="array" ref="H156">IF($G$147=0,"",IFERROR(INDEX(Auction!$A$13:$M$656,SMALL(IF(Auction!$M$13:$M$656=$G$147,(ROW(Auction!$M$13:$M$656)-MIN(ROW(Auction!$M$13:$M$656))+1),""),ROW($G8)),1),""))</f>
        <v/>
      </c>
      <c r="I156" s="142">
        <f>IF(ISERROR(VLOOKUP(H156,Auction!$A$13:$I$656,7,FALSE)),0,VLOOKUP(H156,Auction!$A$13:$I$656,8,FALSE))</f>
        <v>0</v>
      </c>
      <c r="J156" s="143">
        <f>IFERROR(VLOOKUP(H156,Auction!$A$13:$I$656,9,FALSE)-I156,0)</f>
        <v>0</v>
      </c>
      <c r="K156" s="149" t="str">
        <f>IFERROR(INDEX(Auction!$C$13:$C$656,MATCH(H156,Auction!$A$13:$A$656,0)),"")</f>
        <v/>
      </c>
    </row>
    <row r="157" spans="1:11" x14ac:dyDescent="0.25">
      <c r="A157" s="133" t="str">
        <f>IFERROR(INDEX(Auction!$B$13:$B$656,MATCH(B157,Auction!$A$13:$A$656,0)),"")</f>
        <v/>
      </c>
      <c r="B157" s="211" t="str">
        <f t="array" ref="B157">IF($A$147=0,"",IFERROR(INDEX(Auction!$A$13:$M$656,SMALL(IF(Auction!$M$13:$M$656=$A$147,(ROW(Auction!$M$13:$M$656)-MIN(ROW(Auction!$M$13:$M$656))+1),""),ROW($A9)),1),""))</f>
        <v/>
      </c>
      <c r="C157" s="142">
        <f>IF(ISERROR(VLOOKUP(B157,Auction!$A$13:$I$656,7,FALSE)),0,VLOOKUP(B157,Auction!$A$13:$I$656,8,FALSE))</f>
        <v>0</v>
      </c>
      <c r="D157" s="143">
        <f>IFERROR(VLOOKUP(B157,Auction!$A$13:$I$656,9,FALSE)-C157,0)</f>
        <v>0</v>
      </c>
      <c r="E157" s="150" t="str">
        <f>IFERROR(INDEX(Auction!$C$13:$C$656,MATCH(B157,Auction!$A$13:$A$656,0)),"")</f>
        <v/>
      </c>
      <c r="G157" s="133" t="str">
        <f>IFERROR(INDEX(Auction!$B$13:$B$656,MATCH(H157,Auction!$A$13:$A$656,0)),"")</f>
        <v/>
      </c>
      <c r="H157" s="211" t="str">
        <f t="array" ref="H157">IF($G$147=0,"",IFERROR(INDEX(Auction!$A$13:$M$656,SMALL(IF(Auction!$M$13:$M$656=$G$147,(ROW(Auction!$M$13:$M$656)-MIN(ROW(Auction!$M$13:$M$656))+1),""),ROW($G9)),1),""))</f>
        <v/>
      </c>
      <c r="I157" s="142">
        <f>IF(ISERROR(VLOOKUP(H157,Auction!$A$13:$I$656,7,FALSE)),0,VLOOKUP(H157,Auction!$A$13:$I$656,8,FALSE))</f>
        <v>0</v>
      </c>
      <c r="J157" s="143">
        <f>IFERROR(VLOOKUP(H157,Auction!$A$13:$I$656,9,FALSE)-I157,0)</f>
        <v>0</v>
      </c>
      <c r="K157" s="150" t="str">
        <f>IFERROR(INDEX(Auction!$C$13:$C$656,MATCH(H157,Auction!$A$13:$A$656,0)),"")</f>
        <v/>
      </c>
    </row>
    <row r="158" spans="1:11" x14ac:dyDescent="0.25">
      <c r="A158" s="133" t="str">
        <f>IFERROR(INDEX(Auction!$B$13:$B$656,MATCH(B158,Auction!$A$13:$A$656,0)),"")</f>
        <v/>
      </c>
      <c r="B158" s="211" t="str">
        <f t="array" ref="B158">IF($A$147=0,"",IFERROR(INDEX(Auction!$A$13:$M$656,SMALL(IF(Auction!$M$13:$M$656=$A$147,(ROW(Auction!$M$13:$M$656)-MIN(ROW(Auction!$M$13:$M$656))+1),""),ROW($A10)),1),""))</f>
        <v/>
      </c>
      <c r="C158" s="142">
        <f>IF(ISERROR(VLOOKUP(B158,Auction!$A$13:$I$656,7,FALSE)),0,VLOOKUP(B158,Auction!$A$13:$I$656,8,FALSE))</f>
        <v>0</v>
      </c>
      <c r="D158" s="143">
        <f>IFERROR(VLOOKUP(B158,Auction!$A$13:$I$656,9,FALSE)-C158,0)</f>
        <v>0</v>
      </c>
      <c r="E158" s="150" t="str">
        <f>IFERROR(INDEX(Auction!$C$13:$C$656,MATCH(B158,Auction!$A$13:$A$656,0)),"")</f>
        <v/>
      </c>
      <c r="G158" s="133" t="str">
        <f>IFERROR(INDEX(Auction!$B$13:$B$656,MATCH(H158,Auction!$A$13:$A$656,0)),"")</f>
        <v/>
      </c>
      <c r="H158" s="211" t="str">
        <f t="array" ref="H158">IF($G$147=0,"",IFERROR(INDEX(Auction!$A$13:$M$656,SMALL(IF(Auction!$M$13:$M$656=$G$147,(ROW(Auction!$M$13:$M$656)-MIN(ROW(Auction!$M$13:$M$656))+1),""),ROW($G10)),1),""))</f>
        <v/>
      </c>
      <c r="I158" s="142">
        <f>IF(ISERROR(VLOOKUP(H158,Auction!$A$13:$I$656,7,FALSE)),0,VLOOKUP(H158,Auction!$A$13:$I$656,8,FALSE))</f>
        <v>0</v>
      </c>
      <c r="J158" s="143">
        <f>IFERROR(VLOOKUP(H158,Auction!$A$13:$I$656,9,FALSE)-I158,0)</f>
        <v>0</v>
      </c>
      <c r="K158" s="150" t="str">
        <f>IFERROR(INDEX(Auction!$C$13:$C$656,MATCH(H158,Auction!$A$13:$A$656,0)),"")</f>
        <v/>
      </c>
    </row>
    <row r="159" spans="1:11" x14ac:dyDescent="0.25">
      <c r="A159" s="133" t="str">
        <f>IFERROR(INDEX(Auction!$B$13:$B$656,MATCH(B159,Auction!$A$13:$A$656,0)),"")</f>
        <v/>
      </c>
      <c r="B159" s="211" t="str">
        <f t="array" ref="B159">IF($A$147=0,"",IFERROR(INDEX(Auction!$A$13:$M$656,SMALL(IF(Auction!$M$13:$M$656=$A$147,(ROW(Auction!$M$13:$M$656)-MIN(ROW(Auction!$M$13:$M$656))+1),""),ROW($A11)),1),""))</f>
        <v/>
      </c>
      <c r="C159" s="142">
        <f>IF(ISERROR(VLOOKUP(B159,Auction!$A$13:$I$656,7,FALSE)),0,VLOOKUP(B159,Auction!$A$13:$I$656,8,FALSE))</f>
        <v>0</v>
      </c>
      <c r="D159" s="143">
        <f>IFERROR(VLOOKUP(B159,Auction!$A$13:$I$656,9,FALSE)-C159,0)</f>
        <v>0</v>
      </c>
      <c r="E159" s="150" t="str">
        <f>IFERROR(INDEX(Auction!$C$13:$C$656,MATCH(B159,Auction!$A$13:$A$656,0)),"")</f>
        <v/>
      </c>
      <c r="G159" s="133" t="str">
        <f>IFERROR(INDEX(Auction!$B$13:$B$656,MATCH(H159,Auction!$A$13:$A$656,0)),"")</f>
        <v/>
      </c>
      <c r="H159" s="211" t="str">
        <f t="array" ref="H159">IF($G$147=0,"",IFERROR(INDEX(Auction!$A$13:$M$656,SMALL(IF(Auction!$M$13:$M$656=$G$147,(ROW(Auction!$M$13:$M$656)-MIN(ROW(Auction!$M$13:$M$656))+1),""),ROW($G11)),1),""))</f>
        <v/>
      </c>
      <c r="I159" s="142">
        <f>IF(ISERROR(VLOOKUP(H159,Auction!$A$13:$I$656,7,FALSE)),0,VLOOKUP(H159,Auction!$A$13:$I$656,8,FALSE))</f>
        <v>0</v>
      </c>
      <c r="J159" s="143">
        <f>IFERROR(VLOOKUP(H159,Auction!$A$13:$I$656,9,FALSE)-I159,0)</f>
        <v>0</v>
      </c>
      <c r="K159" s="150" t="str">
        <f>IFERROR(INDEX(Auction!$C$13:$C$656,MATCH(H159,Auction!$A$13:$A$656,0)),"")</f>
        <v/>
      </c>
    </row>
    <row r="160" spans="1:11" x14ac:dyDescent="0.25">
      <c r="A160" s="133" t="str">
        <f>IFERROR(INDEX(Auction!$B$13:$B$656,MATCH(B160,Auction!$A$13:$A$656,0)),"")</f>
        <v/>
      </c>
      <c r="B160" s="211" t="str">
        <f t="array" ref="B160">IF($A$147=0,"",IFERROR(INDEX(Auction!$A$13:$M$656,SMALL(IF(Auction!$M$13:$M$656=$A$147,(ROW(Auction!$M$13:$M$656)-MIN(ROW(Auction!$M$13:$M$656))+1),""),ROW($A12)),1),""))</f>
        <v/>
      </c>
      <c r="C160" s="142">
        <f>IF(ISERROR(VLOOKUP(B160,Auction!$A$13:$I$656,7,FALSE)),0,VLOOKUP(B160,Auction!$A$13:$I$656,8,FALSE))</f>
        <v>0</v>
      </c>
      <c r="D160" s="143">
        <f>IFERROR(VLOOKUP(B160,Auction!$A$13:$I$656,9,FALSE)-C160,0)</f>
        <v>0</v>
      </c>
      <c r="E160" s="150" t="str">
        <f>IFERROR(INDEX(Auction!$C$13:$C$656,MATCH(B160,Auction!$A$13:$A$656,0)),"")</f>
        <v/>
      </c>
      <c r="G160" s="133" t="str">
        <f>IFERROR(INDEX(Auction!$B$13:$B$656,MATCH(H160,Auction!$A$13:$A$656,0)),"")</f>
        <v/>
      </c>
      <c r="H160" s="211" t="str">
        <f t="array" ref="H160">IF($G$147=0,"",IFERROR(INDEX(Auction!$A$13:$M$656,SMALL(IF(Auction!$M$13:$M$656=$G$147,(ROW(Auction!$M$13:$M$656)-MIN(ROW(Auction!$M$13:$M$656))+1),""),ROW($G12)),1),""))</f>
        <v/>
      </c>
      <c r="I160" s="142">
        <f>IF(ISERROR(VLOOKUP(H160,Auction!$A$13:$I$656,7,FALSE)),0,VLOOKUP(H160,Auction!$A$13:$I$656,8,FALSE))</f>
        <v>0</v>
      </c>
      <c r="J160" s="143">
        <f>IFERROR(VLOOKUP(H160,Auction!$A$13:$I$656,9,FALSE)-I160,0)</f>
        <v>0</v>
      </c>
      <c r="K160" s="150" t="str">
        <f>IFERROR(INDEX(Auction!$C$13:$C$656,MATCH(H160,Auction!$A$13:$A$656,0)),"")</f>
        <v/>
      </c>
    </row>
    <row r="161" spans="1:11" x14ac:dyDescent="0.25">
      <c r="A161" s="133" t="str">
        <f>IFERROR(INDEX(Auction!$B$13:$B$656,MATCH(B161,Auction!$A$13:$A$656,0)),"")</f>
        <v/>
      </c>
      <c r="B161" s="211" t="str">
        <f t="array" ref="B161">IF($A$147=0,"",IFERROR(INDEX(Auction!$A$13:$M$656,SMALL(IF(Auction!$M$13:$M$656=$A$147,(ROW(Auction!$M$13:$M$656)-MIN(ROW(Auction!$M$13:$M$656))+1),""),ROW($A13)),1),""))</f>
        <v/>
      </c>
      <c r="C161" s="142">
        <f>IF(ISERROR(VLOOKUP(B161,Auction!$A$13:$I$656,7,FALSE)),0,VLOOKUP(B161,Auction!$A$13:$I$656,8,FALSE))</f>
        <v>0</v>
      </c>
      <c r="D161" s="143">
        <f>IFERROR(VLOOKUP(B161,Auction!$A$13:$I$656,9,FALSE)-C161,0)</f>
        <v>0</v>
      </c>
      <c r="E161" s="150" t="str">
        <f>IFERROR(INDEX(Auction!$C$13:$C$656,MATCH(B161,Auction!$A$13:$A$656,0)),"")</f>
        <v/>
      </c>
      <c r="G161" s="133" t="str">
        <f>IFERROR(INDEX(Auction!$B$13:$B$656,MATCH(H161,Auction!$A$13:$A$656,0)),"")</f>
        <v/>
      </c>
      <c r="H161" s="211" t="str">
        <f t="array" ref="H161">IF($G$147=0,"",IFERROR(INDEX(Auction!$A$13:$M$656,SMALL(IF(Auction!$M$13:$M$656=$G$147,(ROW(Auction!$M$13:$M$656)-MIN(ROW(Auction!$M$13:$M$656))+1),""),ROW($G13)),1),""))</f>
        <v/>
      </c>
      <c r="I161" s="142">
        <f>IF(ISERROR(VLOOKUP(H161,Auction!$A$13:$I$656,7,FALSE)),0,VLOOKUP(H161,Auction!$A$13:$I$656,8,FALSE))</f>
        <v>0</v>
      </c>
      <c r="J161" s="143">
        <f>IFERROR(VLOOKUP(H161,Auction!$A$13:$I$656,9,FALSE)-I161,0)</f>
        <v>0</v>
      </c>
      <c r="K161" s="150" t="str">
        <f>IFERROR(INDEX(Auction!$C$13:$C$656,MATCH(H161,Auction!$A$13:$A$656,0)),"")</f>
        <v/>
      </c>
    </row>
    <row r="162" spans="1:11" x14ac:dyDescent="0.25">
      <c r="A162" s="133" t="str">
        <f>IFERROR(INDEX(Auction!$B$13:$B$656,MATCH(B162,Auction!$A$13:$A$656,0)),"")</f>
        <v/>
      </c>
      <c r="B162" s="211" t="str">
        <f t="array" ref="B162">IF($A$147=0,"",IFERROR(INDEX(Auction!$A$13:$M$656,SMALL(IF(Auction!$M$13:$M$656=$A$147,(ROW(Auction!$M$13:$M$656)-MIN(ROW(Auction!$M$13:$M$656))+1),""),ROW($A14)),1),""))</f>
        <v/>
      </c>
      <c r="C162" s="142">
        <f>IF(ISERROR(VLOOKUP(B162,Auction!$A$13:$I$656,7,FALSE)),0,VLOOKUP(B162,Auction!$A$13:$I$656,8,FALSE))</f>
        <v>0</v>
      </c>
      <c r="D162" s="143">
        <f>IFERROR(VLOOKUP(B162,Auction!$A$13:$I$656,9,FALSE)-C162,0)</f>
        <v>0</v>
      </c>
      <c r="E162" s="150" t="str">
        <f>IFERROR(INDEX(Auction!$C$13:$C$656,MATCH(B162,Auction!$A$13:$A$656,0)),"")</f>
        <v/>
      </c>
      <c r="G162" s="133" t="str">
        <f>IFERROR(INDEX(Auction!$B$13:$B$656,MATCH(H162,Auction!$A$13:$A$656,0)),"")</f>
        <v/>
      </c>
      <c r="H162" s="211" t="str">
        <f t="array" ref="H162">IF($G$147=0,"",IFERROR(INDEX(Auction!$A$13:$M$656,SMALL(IF(Auction!$M$13:$M$656=$G$147,(ROW(Auction!$M$13:$M$656)-MIN(ROW(Auction!$M$13:$M$656))+1),""),ROW($G14)),1),""))</f>
        <v/>
      </c>
      <c r="I162" s="142">
        <f>IF(ISERROR(VLOOKUP(H162,Auction!$A$13:$I$656,7,FALSE)),0,VLOOKUP(H162,Auction!$A$13:$I$656,8,FALSE))</f>
        <v>0</v>
      </c>
      <c r="J162" s="143">
        <f>IFERROR(VLOOKUP(H162,Auction!$A$13:$I$656,9,FALSE)-I162,0)</f>
        <v>0</v>
      </c>
      <c r="K162" s="150" t="str">
        <f>IFERROR(INDEX(Auction!$C$13:$C$656,MATCH(H162,Auction!$A$13:$A$656,0)),"")</f>
        <v/>
      </c>
    </row>
    <row r="163" spans="1:11" x14ac:dyDescent="0.25">
      <c r="A163" s="133" t="str">
        <f>IFERROR(INDEX(Auction!$B$13:$B$656,MATCH(B163,Auction!$A$13:$A$656,0)),"")</f>
        <v/>
      </c>
      <c r="B163" s="211" t="str">
        <f t="array" ref="B163">IF($A$147=0,"",IFERROR(INDEX(Auction!$A$13:$M$656,SMALL(IF(Auction!$M$13:$M$656=$A$147,(ROW(Auction!$M$13:$M$656)-MIN(ROW(Auction!$M$13:$M$656))+1),""),ROW($A15)),1),""))</f>
        <v/>
      </c>
      <c r="C163" s="142">
        <f>IF(ISERROR(VLOOKUP(B163,Auction!$A$13:$I$656,7,FALSE)),0,VLOOKUP(B163,Auction!$A$13:$I$656,8,FALSE))</f>
        <v>0</v>
      </c>
      <c r="D163" s="143">
        <f>IFERROR(VLOOKUP(B163,Auction!$A$13:$I$656,9,FALSE)-C163,0)</f>
        <v>0</v>
      </c>
      <c r="E163" s="150" t="str">
        <f>IFERROR(INDEX(Auction!$C$13:$C$656,MATCH(B163,Auction!$A$13:$A$656,0)),"")</f>
        <v/>
      </c>
      <c r="G163" s="133" t="str">
        <f>IFERROR(INDEX(Auction!$B$13:$B$656,MATCH(H163,Auction!$A$13:$A$656,0)),"")</f>
        <v/>
      </c>
      <c r="H163" s="211" t="str">
        <f t="array" ref="H163">IF($G$147=0,"",IFERROR(INDEX(Auction!$A$13:$M$656,SMALL(IF(Auction!$M$13:$M$656=$G$147,(ROW(Auction!$M$13:$M$656)-MIN(ROW(Auction!$M$13:$M$656))+1),""),ROW($G15)),1),""))</f>
        <v/>
      </c>
      <c r="I163" s="142">
        <f>IF(ISERROR(VLOOKUP(H163,Auction!$A$13:$I$656,7,FALSE)),0,VLOOKUP(H163,Auction!$A$13:$I$656,8,FALSE))</f>
        <v>0</v>
      </c>
      <c r="J163" s="143">
        <f>IFERROR(VLOOKUP(H163,Auction!$A$13:$I$656,9,FALSE)-I163,0)</f>
        <v>0</v>
      </c>
      <c r="K163" s="150" t="str">
        <f>IFERROR(INDEX(Auction!$C$13:$C$656,MATCH(H163,Auction!$A$13:$A$656,0)),"")</f>
        <v/>
      </c>
    </row>
    <row r="164" spans="1:11" x14ac:dyDescent="0.25">
      <c r="A164" s="133" t="str">
        <f>IFERROR(INDEX(Auction!$B$13:$B$656,MATCH(B164,Auction!$A$13:$A$656,0)),"")</f>
        <v/>
      </c>
      <c r="B164" s="211" t="str">
        <f t="array" ref="B164">IF($A$147=0,"",IFERROR(INDEX(Auction!$A$13:$M$656,SMALL(IF(Auction!$M$13:$M$656=$A$147,(ROW(Auction!$M$13:$M$656)-MIN(ROW(Auction!$M$13:$M$656))+1),""),ROW($A16)),1),""))</f>
        <v/>
      </c>
      <c r="C164" s="142">
        <f>IF(ISERROR(VLOOKUP(B164,Auction!$A$13:$I$656,7,FALSE)),0,VLOOKUP(B164,Auction!$A$13:$I$656,8,FALSE))</f>
        <v>0</v>
      </c>
      <c r="D164" s="143">
        <f>IFERROR(VLOOKUP(B164,Auction!$A$13:$I$656,9,FALSE)-C164,0)</f>
        <v>0</v>
      </c>
      <c r="E164" s="150" t="str">
        <f>IFERROR(INDEX(Auction!$C$13:$C$656,MATCH(B164,Auction!$A$13:$A$656,0)),"")</f>
        <v/>
      </c>
      <c r="G164" s="133" t="str">
        <f>IFERROR(INDEX(Auction!$B$13:$B$656,MATCH(H164,Auction!$A$13:$A$656,0)),"")</f>
        <v/>
      </c>
      <c r="H164" s="211" t="str">
        <f t="array" ref="H164">IF($G$147=0,"",IFERROR(INDEX(Auction!$A$13:$M$656,SMALL(IF(Auction!$M$13:$M$656=$G$147,(ROW(Auction!$M$13:$M$656)-MIN(ROW(Auction!$M$13:$M$656))+1),""),ROW($G16)),1),""))</f>
        <v/>
      </c>
      <c r="I164" s="142">
        <f>IF(ISERROR(VLOOKUP(H164,Auction!$A$13:$I$656,7,FALSE)),0,VLOOKUP(H164,Auction!$A$13:$I$656,8,FALSE))</f>
        <v>0</v>
      </c>
      <c r="J164" s="143">
        <f>IFERROR(VLOOKUP(H164,Auction!$A$13:$I$656,9,FALSE)-I164,0)</f>
        <v>0</v>
      </c>
      <c r="K164" s="150" t="str">
        <f>IFERROR(INDEX(Auction!$C$13:$C$656,MATCH(H164,Auction!$A$13:$A$656,0)),"")</f>
        <v/>
      </c>
    </row>
    <row r="165" spans="1:11" x14ac:dyDescent="0.25">
      <c r="A165" s="133" t="str">
        <f>IFERROR(INDEX(Auction!$B$13:$B$656,MATCH(B165,Auction!$A$13:$A$656,0)),"")</f>
        <v/>
      </c>
      <c r="B165" s="211" t="str">
        <f t="array" ref="B165">IF($A$147=0,"",IFERROR(INDEX(Auction!$A$13:$M$656,SMALL(IF(Auction!$M$13:$M$656=$A$147,(ROW(Auction!$M$13:$M$656)-MIN(ROW(Auction!$M$13:$M$656))+1),""),ROW($A17)),1),""))</f>
        <v/>
      </c>
      <c r="C165" s="142">
        <f>IF(ISERROR(VLOOKUP(B165,Auction!$A$13:$I$656,7,FALSE)),0,VLOOKUP(B165,Auction!$A$13:$I$656,8,FALSE))</f>
        <v>0</v>
      </c>
      <c r="D165" s="143">
        <f>IFERROR(VLOOKUP(B165,Auction!$A$13:$I$656,9,FALSE)-C165,0)</f>
        <v>0</v>
      </c>
      <c r="E165" s="150" t="str">
        <f>IFERROR(INDEX(Auction!$C$13:$C$656,MATCH(B165,Auction!$A$13:$A$656,0)),"")</f>
        <v/>
      </c>
      <c r="G165" s="133" t="str">
        <f>IFERROR(INDEX(Auction!$B$13:$B$656,MATCH(H165,Auction!$A$13:$A$656,0)),"")</f>
        <v/>
      </c>
      <c r="H165" s="211" t="str">
        <f t="array" ref="H165">IF($G$147=0,"",IFERROR(INDEX(Auction!$A$13:$M$656,SMALL(IF(Auction!$M$13:$M$656=$G$147,(ROW(Auction!$M$13:$M$656)-MIN(ROW(Auction!$M$13:$M$656))+1),""),ROW($G17)),1),""))</f>
        <v/>
      </c>
      <c r="I165" s="142">
        <f>IF(ISERROR(VLOOKUP(H165,Auction!$A$13:$I$656,7,FALSE)),0,VLOOKUP(H165,Auction!$A$13:$I$656,8,FALSE))</f>
        <v>0</v>
      </c>
      <c r="J165" s="143">
        <f>IFERROR(VLOOKUP(H165,Auction!$A$13:$I$656,9,FALSE)-I165,0)</f>
        <v>0</v>
      </c>
      <c r="K165" s="150" t="str">
        <f>IFERROR(INDEX(Auction!$C$13:$C$656,MATCH(H165,Auction!$A$13:$A$656,0)),"")</f>
        <v/>
      </c>
    </row>
    <row r="166" spans="1:11" x14ac:dyDescent="0.25">
      <c r="A166" s="133" t="str">
        <f>IFERROR(INDEX(Auction!$B$13:$B$656,MATCH(B166,Auction!$A$13:$A$656,0)),"")</f>
        <v/>
      </c>
      <c r="B166" s="211" t="str">
        <f t="array" ref="B166">IF($A$147=0,"",IFERROR(INDEX(Auction!$A$13:$M$656,SMALL(IF(Auction!$M$13:$M$656=$A$147,(ROW(Auction!$M$13:$M$656)-MIN(ROW(Auction!$M$13:$M$656))+1),""),ROW($A18)),1),""))</f>
        <v/>
      </c>
      <c r="C166" s="142">
        <f>IF(ISERROR(VLOOKUP(B166,Auction!$A$13:$I$656,7,FALSE)),0,VLOOKUP(B166,Auction!$A$13:$I$656,8,FALSE))</f>
        <v>0</v>
      </c>
      <c r="D166" s="143">
        <f>IFERROR(VLOOKUP(B166,Auction!$A$13:$I$656,9,FALSE)-C166,0)</f>
        <v>0</v>
      </c>
      <c r="E166" s="150" t="str">
        <f>IFERROR(INDEX(Auction!$C$13:$C$656,MATCH(B166,Auction!$A$13:$A$656,0)),"")</f>
        <v/>
      </c>
      <c r="G166" s="133" t="str">
        <f>IFERROR(INDEX(Auction!$B$13:$B$656,MATCH(H166,Auction!$A$13:$A$656,0)),"")</f>
        <v/>
      </c>
      <c r="H166" s="211" t="str">
        <f t="array" ref="H166">IF($G$147=0,"",IFERROR(INDEX(Auction!$A$13:$M$656,SMALL(IF(Auction!$M$13:$M$656=$G$147,(ROW(Auction!$M$13:$M$656)-MIN(ROW(Auction!$M$13:$M$656))+1),""),ROW($G18)),1),""))</f>
        <v/>
      </c>
      <c r="I166" s="142">
        <f>IF(ISERROR(VLOOKUP(H166,Auction!$A$13:$I$656,7,FALSE)),0,VLOOKUP(H166,Auction!$A$13:$I$656,8,FALSE))</f>
        <v>0</v>
      </c>
      <c r="J166" s="143">
        <f>IFERROR(VLOOKUP(H166,Auction!$A$13:$I$656,9,FALSE)-I166,0)</f>
        <v>0</v>
      </c>
      <c r="K166" s="150" t="str">
        <f>IFERROR(INDEX(Auction!$C$13:$C$656,MATCH(H166,Auction!$A$13:$A$656,0)),"")</f>
        <v/>
      </c>
    </row>
    <row r="167" spans="1:11" x14ac:dyDescent="0.25">
      <c r="A167" s="133" t="str">
        <f>IFERROR(INDEX(Auction!$B$13:$B$656,MATCH(B167,Auction!$A$13:$A$656,0)),"")</f>
        <v/>
      </c>
      <c r="B167" s="211" t="str">
        <f t="array" ref="B167">IF($A$147=0,"",IFERROR(INDEX(Auction!$A$13:$M$656,SMALL(IF(Auction!$M$13:$M$656=$A$147,(ROW(Auction!$M$13:$M$656)-MIN(ROW(Auction!$M$13:$M$656))+1),""),ROW($A19)),1),""))</f>
        <v/>
      </c>
      <c r="C167" s="142">
        <f>IF(ISERROR(VLOOKUP(B167,Auction!$A$13:$I$656,7,FALSE)),0,VLOOKUP(B167,Auction!$A$13:$I$656,8,FALSE))</f>
        <v>0</v>
      </c>
      <c r="D167" s="143">
        <f>IFERROR(VLOOKUP(B167,Auction!$A$13:$I$656,9,FALSE)-C167,0)</f>
        <v>0</v>
      </c>
      <c r="E167" s="150" t="str">
        <f>IFERROR(INDEX(Auction!$C$13:$C$656,MATCH(B167,Auction!$A$13:$A$656,0)),"")</f>
        <v/>
      </c>
      <c r="G167" s="133" t="str">
        <f>IFERROR(INDEX(Auction!$B$13:$B$656,MATCH(H167,Auction!$A$13:$A$656,0)),"")</f>
        <v/>
      </c>
      <c r="H167" s="211" t="str">
        <f t="array" ref="H167">IF($G$147=0,"",IFERROR(INDEX(Auction!$A$13:$M$656,SMALL(IF(Auction!$M$13:$M$656=$G$147,(ROW(Auction!$M$13:$M$656)-MIN(ROW(Auction!$M$13:$M$656))+1),""),ROW($G19)),1),""))</f>
        <v/>
      </c>
      <c r="I167" s="142">
        <f>IF(ISERROR(VLOOKUP(H167,Auction!$A$13:$I$656,7,FALSE)),0,VLOOKUP(H167,Auction!$A$13:$I$656,8,FALSE))</f>
        <v>0</v>
      </c>
      <c r="J167" s="143">
        <f>IFERROR(VLOOKUP(H167,Auction!$A$13:$I$656,9,FALSE)-I167,0)</f>
        <v>0</v>
      </c>
      <c r="K167" s="150" t="str">
        <f>IFERROR(INDEX(Auction!$C$13:$C$656,MATCH(H167,Auction!$A$13:$A$656,0)),"")</f>
        <v/>
      </c>
    </row>
    <row r="168" spans="1:11" x14ac:dyDescent="0.25">
      <c r="A168" s="133" t="str">
        <f>IFERROR(INDEX(Auction!$B$13:$B$656,MATCH(B168,Auction!$A$13:$A$656,0)),"")</f>
        <v/>
      </c>
      <c r="B168" s="211" t="str">
        <f t="array" ref="B168">IF($A$147=0,"",IFERROR(INDEX(Auction!$A$13:$M$656,SMALL(IF(Auction!$M$13:$M$656=$A$147,(ROW(Auction!$M$13:$M$656)-MIN(ROW(Auction!$M$13:$M$656))+1),""),ROW($A20)),1),""))</f>
        <v/>
      </c>
      <c r="C168" s="142">
        <f>IF(ISERROR(VLOOKUP(B168,Auction!$A$13:$I$656,7,FALSE)),0,VLOOKUP(B168,Auction!$A$13:$I$656,8,FALSE))</f>
        <v>0</v>
      </c>
      <c r="D168" s="143">
        <f>IFERROR(VLOOKUP(B168,Auction!$A$13:$I$656,9,FALSE)-C168,0)</f>
        <v>0</v>
      </c>
      <c r="E168" s="150" t="str">
        <f>IFERROR(INDEX(Auction!$C$13:$C$656,MATCH(B168,Auction!$A$13:$A$656,0)),"")</f>
        <v/>
      </c>
      <c r="G168" s="133" t="str">
        <f>IFERROR(INDEX(Auction!$B$13:$B$656,MATCH(H168,Auction!$A$13:$A$656,0)),"")</f>
        <v/>
      </c>
      <c r="H168" s="211" t="str">
        <f t="array" ref="H168">IF($G$147=0,"",IFERROR(INDEX(Auction!$A$13:$M$656,SMALL(IF(Auction!$M$13:$M$656=$G$147,(ROW(Auction!$M$13:$M$656)-MIN(ROW(Auction!$M$13:$M$656))+1),""),ROW($G20)),1),""))</f>
        <v/>
      </c>
      <c r="I168" s="142">
        <f>IF(ISERROR(VLOOKUP(H168,Auction!$A$13:$I$656,7,FALSE)),0,VLOOKUP(H168,Auction!$A$13:$I$656,8,FALSE))</f>
        <v>0</v>
      </c>
      <c r="J168" s="143">
        <f>IFERROR(VLOOKUP(H168,Auction!$A$13:$I$656,9,FALSE)-I168,0)</f>
        <v>0</v>
      </c>
      <c r="K168" s="150" t="str">
        <f>IFERROR(INDEX(Auction!$C$13:$C$656,MATCH(H168,Auction!$A$13:$A$656,0)),"")</f>
        <v/>
      </c>
    </row>
    <row r="169" spans="1:11" x14ac:dyDescent="0.25">
      <c r="A169" s="151"/>
      <c r="B169" s="152"/>
      <c r="C169" s="153">
        <f>SUM(C149:C168)</f>
        <v>0</v>
      </c>
      <c r="D169" s="153">
        <f>SUM(D149:D168)</f>
        <v>0</v>
      </c>
      <c r="E169" s="154"/>
      <c r="G169" s="151"/>
      <c r="H169" s="152"/>
      <c r="I169" s="153">
        <f>SUM(I149:I168)</f>
        <v>0</v>
      </c>
      <c r="J169" s="153">
        <f>SUM(J149:J168)</f>
        <v>0</v>
      </c>
      <c r="K169" s="154"/>
    </row>
    <row r="171" spans="1:11" x14ac:dyDescent="0.25">
      <c r="A171" s="268">
        <f>H16</f>
        <v>0</v>
      </c>
      <c r="B171" s="269"/>
      <c r="C171" s="269"/>
      <c r="D171" s="269"/>
      <c r="E171" s="270"/>
      <c r="G171" s="268">
        <f>H17</f>
        <v>0</v>
      </c>
      <c r="H171" s="269"/>
      <c r="I171" s="269"/>
      <c r="J171" s="269"/>
      <c r="K171" s="270"/>
    </row>
    <row r="172" spans="1:11" x14ac:dyDescent="0.25">
      <c r="A172" s="140" t="s">
        <v>495</v>
      </c>
      <c r="B172" s="148" t="s">
        <v>85</v>
      </c>
      <c r="C172" s="130" t="s">
        <v>496</v>
      </c>
      <c r="D172" s="130" t="s">
        <v>497</v>
      </c>
      <c r="E172" s="141" t="s">
        <v>440</v>
      </c>
      <c r="G172" s="140" t="s">
        <v>495</v>
      </c>
      <c r="H172" s="148" t="s">
        <v>85</v>
      </c>
      <c r="I172" s="130" t="s">
        <v>496</v>
      </c>
      <c r="J172" s="130" t="s">
        <v>497</v>
      </c>
      <c r="K172" s="141" t="s">
        <v>440</v>
      </c>
    </row>
    <row r="173" spans="1:11" x14ac:dyDescent="0.25">
      <c r="A173" s="133" t="str">
        <f>IFERROR(INDEX(Auction!$B$13:$B$656,MATCH(B173,Auction!$A$13:$A$656,0)),"")</f>
        <v/>
      </c>
      <c r="B173" s="211" t="str">
        <f t="array" ref="B173">IF($A$171=0,"",IFERROR(INDEX(Auction!$A$13:$M$656,SMALL(IF(Auction!$M$13:$M$656=$A$171,(ROW(Auction!$M$13:$M$656)-MIN(ROW(Auction!$M$13:$M$656))+1),""),ROW($A1)),1),""))</f>
        <v/>
      </c>
      <c r="C173" s="142">
        <f>IF(ISERROR(VLOOKUP(B173,Auction!$A$13:$I$656,7,FALSE)),0,VLOOKUP(B173,Auction!$A$13:$I$656,8,FALSE))</f>
        <v>0</v>
      </c>
      <c r="D173" s="143">
        <f>IFERROR(VLOOKUP(B173,Auction!$A$13:$I$656,9,FALSE)-C173,0)</f>
        <v>0</v>
      </c>
      <c r="E173" s="149" t="str">
        <f>IFERROR(INDEX(Auction!$C$13:$C$656,MATCH(B173,Auction!$A$13:$A$656,0)),"")</f>
        <v/>
      </c>
      <c r="G173" s="133" t="str">
        <f>IFERROR(INDEX(Auction!$B$13:$B$656,MATCH(H173,Auction!$A$13:$A$656,0)),"")</f>
        <v/>
      </c>
      <c r="H173" s="211" t="str">
        <f t="array" ref="H173">IF($G$171=0,"",IFERROR(INDEX(Auction!$A$13:$M$656,SMALL(IF(Auction!$M$13:$M$656=$G$171,(ROW(Auction!$M$13:$M$656)-MIN(ROW(Auction!$M$13:$M$656))+1),""),ROW($G1)),1),""))</f>
        <v/>
      </c>
      <c r="I173" s="142">
        <f>IF(ISERROR(VLOOKUP(H173,Auction!$A$13:$I$656,7,FALSE)),0,VLOOKUP(H173,Auction!$A$13:$I$656,8,FALSE))</f>
        <v>0</v>
      </c>
      <c r="J173" s="143">
        <f>IFERROR(VLOOKUP(H173,Auction!$A$13:$I$656,9,FALSE)-I173,0)</f>
        <v>0</v>
      </c>
      <c r="K173" s="149" t="str">
        <f>IFERROR(INDEX(Auction!$C$13:$C$656,MATCH(H173,Auction!$A$13:$A$656,0)),"")</f>
        <v/>
      </c>
    </row>
    <row r="174" spans="1:11" x14ac:dyDescent="0.25">
      <c r="A174" s="133" t="str">
        <f>IFERROR(INDEX(Auction!$B$13:$B$656,MATCH(B174,Auction!$A$13:$A$656,0)),"")</f>
        <v/>
      </c>
      <c r="B174" s="211" t="str">
        <f t="array" ref="B174">IF($A$171=0,"",IFERROR(INDEX(Auction!$A$13:$M$656,SMALL(IF(Auction!$M$13:$M$656=$A$171,(ROW(Auction!$M$13:$M$656)-MIN(ROW(Auction!$M$13:$M$656))+1),""),ROW($A2)),1),""))</f>
        <v/>
      </c>
      <c r="C174" s="142">
        <f>IF(ISERROR(VLOOKUP(B174,Auction!$A$13:$I$656,7,FALSE)),0,VLOOKUP(B174,Auction!$A$13:$I$656,8,FALSE))</f>
        <v>0</v>
      </c>
      <c r="D174" s="143">
        <f>IFERROR(VLOOKUP(B174,Auction!$A$13:$I$656,9,FALSE)-C174,0)</f>
        <v>0</v>
      </c>
      <c r="E174" s="149" t="str">
        <f>IFERROR(INDEX(Auction!$C$13:$C$656,MATCH(B174,Auction!$A$13:$A$656,0)),"")</f>
        <v/>
      </c>
      <c r="G174" s="133" t="str">
        <f>IFERROR(INDEX(Auction!$B$13:$B$656,MATCH(H174,Auction!$A$13:$A$656,0)),"")</f>
        <v/>
      </c>
      <c r="H174" s="211" t="str">
        <f t="array" ref="H174">IF($G$171=0,"",IFERROR(INDEX(Auction!$A$13:$M$656,SMALL(IF(Auction!$M$13:$M$656=$G$171,(ROW(Auction!$M$13:$M$656)-MIN(ROW(Auction!$M$13:$M$656))+1),""),ROW($G2)),1),""))</f>
        <v/>
      </c>
      <c r="I174" s="142">
        <f>IF(ISERROR(VLOOKUP(H174,Auction!$A$13:$I$656,7,FALSE)),0,VLOOKUP(H174,Auction!$A$13:$I$656,8,FALSE))</f>
        <v>0</v>
      </c>
      <c r="J174" s="143">
        <f>IFERROR(VLOOKUP(H174,Auction!$A$13:$I$656,9,FALSE)-I174,0)</f>
        <v>0</v>
      </c>
      <c r="K174" s="149" t="str">
        <f>IFERROR(INDEX(Auction!$C$13:$C$656,MATCH(H174,Auction!$A$13:$A$656,0)),"")</f>
        <v/>
      </c>
    </row>
    <row r="175" spans="1:11" x14ac:dyDescent="0.25">
      <c r="A175" s="133" t="str">
        <f>IFERROR(INDEX(Auction!$B$13:$B$656,MATCH(B175,Auction!$A$13:$A$656,0)),"")</f>
        <v/>
      </c>
      <c r="B175" s="211" t="str">
        <f t="array" ref="B175">IF($A$171=0,"",IFERROR(INDEX(Auction!$A$13:$M$656,SMALL(IF(Auction!$M$13:$M$656=$A$171,(ROW(Auction!$M$13:$M$656)-MIN(ROW(Auction!$M$13:$M$656))+1),""),ROW($A3)),1),""))</f>
        <v/>
      </c>
      <c r="C175" s="142">
        <f>IF(ISERROR(VLOOKUP(B175,Auction!$A$13:$I$656,7,FALSE)),0,VLOOKUP(B175,Auction!$A$13:$I$656,8,FALSE))</f>
        <v>0</v>
      </c>
      <c r="D175" s="143">
        <f>IFERROR(VLOOKUP(B175,Auction!$A$13:$I$656,9,FALSE)-C175,0)</f>
        <v>0</v>
      </c>
      <c r="E175" s="149" t="str">
        <f>IFERROR(INDEX(Auction!$C$13:$C$656,MATCH(B175,Auction!$A$13:$A$656,0)),"")</f>
        <v/>
      </c>
      <c r="G175" s="133" t="str">
        <f>IFERROR(INDEX(Auction!$B$13:$B$656,MATCH(H175,Auction!$A$13:$A$656,0)),"")</f>
        <v/>
      </c>
      <c r="H175" s="211" t="str">
        <f t="array" ref="H175">IF($G$171=0,"",IFERROR(INDEX(Auction!$A$13:$M$656,SMALL(IF(Auction!$M$13:$M$656=$G$171,(ROW(Auction!$M$13:$M$656)-MIN(ROW(Auction!$M$13:$M$656))+1),""),ROW($G3)),1),""))</f>
        <v/>
      </c>
      <c r="I175" s="142">
        <f>IF(ISERROR(VLOOKUP(H175,Auction!$A$13:$I$656,7,FALSE)),0,VLOOKUP(H175,Auction!$A$13:$I$656,8,FALSE))</f>
        <v>0</v>
      </c>
      <c r="J175" s="143">
        <f>IFERROR(VLOOKUP(H175,Auction!$A$13:$I$656,9,FALSE)-I175,0)</f>
        <v>0</v>
      </c>
      <c r="K175" s="149" t="str">
        <f>IFERROR(INDEX(Auction!$C$13:$C$656,MATCH(H175,Auction!$A$13:$A$656,0)),"")</f>
        <v/>
      </c>
    </row>
    <row r="176" spans="1:11" x14ac:dyDescent="0.25">
      <c r="A176" s="133" t="str">
        <f>IFERROR(INDEX(Auction!$B$13:$B$656,MATCH(B176,Auction!$A$13:$A$656,0)),"")</f>
        <v/>
      </c>
      <c r="B176" s="211" t="str">
        <f t="array" ref="B176">IF($A$171=0,"",IFERROR(INDEX(Auction!$A$13:$M$656,SMALL(IF(Auction!$M$13:$M$656=$A$171,(ROW(Auction!$M$13:$M$656)-MIN(ROW(Auction!$M$13:$M$656))+1),""),ROW($A4)),1),""))</f>
        <v/>
      </c>
      <c r="C176" s="142">
        <f>IF(ISERROR(VLOOKUP(B176,Auction!$A$13:$I$656,7,FALSE)),0,VLOOKUP(B176,Auction!$A$13:$I$656,8,FALSE))</f>
        <v>0</v>
      </c>
      <c r="D176" s="143">
        <f>IFERROR(VLOOKUP(B176,Auction!$A$13:$I$656,9,FALSE)-C176,0)</f>
        <v>0</v>
      </c>
      <c r="E176" s="149" t="str">
        <f>IFERROR(INDEX(Auction!$C$13:$C$656,MATCH(B176,Auction!$A$13:$A$656,0)),"")</f>
        <v/>
      </c>
      <c r="G176" s="133" t="str">
        <f>IFERROR(INDEX(Auction!$B$13:$B$656,MATCH(H176,Auction!$A$13:$A$656,0)),"")</f>
        <v/>
      </c>
      <c r="H176" s="211" t="str">
        <f t="array" ref="H176">IF($G$171=0,"",IFERROR(INDEX(Auction!$A$13:$M$656,SMALL(IF(Auction!$M$13:$M$656=$G$171,(ROW(Auction!$M$13:$M$656)-MIN(ROW(Auction!$M$13:$M$656))+1),""),ROW($G4)),1),""))</f>
        <v/>
      </c>
      <c r="I176" s="142">
        <f>IF(ISERROR(VLOOKUP(H176,Auction!$A$13:$I$656,7,FALSE)),0,VLOOKUP(H176,Auction!$A$13:$I$656,8,FALSE))</f>
        <v>0</v>
      </c>
      <c r="J176" s="143">
        <f>IFERROR(VLOOKUP(H176,Auction!$A$13:$I$656,9,FALSE)-I176,0)</f>
        <v>0</v>
      </c>
      <c r="K176" s="149" t="str">
        <f>IFERROR(INDEX(Auction!$C$13:$C$656,MATCH(H176,Auction!$A$13:$A$656,0)),"")</f>
        <v/>
      </c>
    </row>
    <row r="177" spans="1:11" x14ac:dyDescent="0.25">
      <c r="A177" s="133" t="str">
        <f>IFERROR(INDEX(Auction!$B$13:$B$656,MATCH(B177,Auction!$A$13:$A$656,0)),"")</f>
        <v/>
      </c>
      <c r="B177" s="211" t="str">
        <f t="array" ref="B177">IF($A$171=0,"",IFERROR(INDEX(Auction!$A$13:$M$656,SMALL(IF(Auction!$M$13:$M$656=$A$171,(ROW(Auction!$M$13:$M$656)-MIN(ROW(Auction!$M$13:$M$656))+1),""),ROW($A5)),1),""))</f>
        <v/>
      </c>
      <c r="C177" s="142">
        <f>IF(ISERROR(VLOOKUP(B177,Auction!$A$13:$I$656,7,FALSE)),0,VLOOKUP(B177,Auction!$A$13:$I$656,8,FALSE))</f>
        <v>0</v>
      </c>
      <c r="D177" s="143">
        <f>IFERROR(VLOOKUP(B177,Auction!$A$13:$I$656,9,FALSE)-C177,0)</f>
        <v>0</v>
      </c>
      <c r="E177" s="149" t="str">
        <f>IFERROR(INDEX(Auction!$C$13:$C$656,MATCH(B177,Auction!$A$13:$A$656,0)),"")</f>
        <v/>
      </c>
      <c r="G177" s="133" t="str">
        <f>IFERROR(INDEX(Auction!$B$13:$B$656,MATCH(H177,Auction!$A$13:$A$656,0)),"")</f>
        <v/>
      </c>
      <c r="H177" s="211" t="str">
        <f t="array" ref="H177">IF($G$171=0,"",IFERROR(INDEX(Auction!$A$13:$M$656,SMALL(IF(Auction!$M$13:$M$656=$G$171,(ROW(Auction!$M$13:$M$656)-MIN(ROW(Auction!$M$13:$M$656))+1),""),ROW($G5)),1),""))</f>
        <v/>
      </c>
      <c r="I177" s="142">
        <f>IF(ISERROR(VLOOKUP(H177,Auction!$A$13:$I$656,7,FALSE)),0,VLOOKUP(H177,Auction!$A$13:$I$656,8,FALSE))</f>
        <v>0</v>
      </c>
      <c r="J177" s="143">
        <f>IFERROR(VLOOKUP(H177,Auction!$A$13:$I$656,9,FALSE)-I177,0)</f>
        <v>0</v>
      </c>
      <c r="K177" s="149" t="str">
        <f>IFERROR(INDEX(Auction!$C$13:$C$656,MATCH(H177,Auction!$A$13:$A$656,0)),"")</f>
        <v/>
      </c>
    </row>
    <row r="178" spans="1:11" x14ac:dyDescent="0.25">
      <c r="A178" s="133" t="str">
        <f>IFERROR(INDEX(Auction!$B$13:$B$656,MATCH(B178,Auction!$A$13:$A$656,0)),"")</f>
        <v/>
      </c>
      <c r="B178" s="211" t="str">
        <f t="array" ref="B178">IF($A$171=0,"",IFERROR(INDEX(Auction!$A$13:$M$656,SMALL(IF(Auction!$M$13:$M$656=$A$171,(ROW(Auction!$M$13:$M$656)-MIN(ROW(Auction!$M$13:$M$656))+1),""),ROW($A6)),1),""))</f>
        <v/>
      </c>
      <c r="C178" s="142">
        <f>IF(ISERROR(VLOOKUP(B178,Auction!$A$13:$I$656,7,FALSE)),0,VLOOKUP(B178,Auction!$A$13:$I$656,8,FALSE))</f>
        <v>0</v>
      </c>
      <c r="D178" s="143">
        <f>IFERROR(VLOOKUP(B178,Auction!$A$13:$I$656,9,FALSE)-C178,0)</f>
        <v>0</v>
      </c>
      <c r="E178" s="149" t="str">
        <f>IFERROR(INDEX(Auction!$C$13:$C$656,MATCH(B178,Auction!$A$13:$A$656,0)),"")</f>
        <v/>
      </c>
      <c r="G178" s="133" t="str">
        <f>IFERROR(INDEX(Auction!$B$13:$B$656,MATCH(H178,Auction!$A$13:$A$656,0)),"")</f>
        <v/>
      </c>
      <c r="H178" s="211" t="str">
        <f t="array" ref="H178">IF($G$171=0,"",IFERROR(INDEX(Auction!$A$13:$M$656,SMALL(IF(Auction!$M$13:$M$656=$G$171,(ROW(Auction!$M$13:$M$656)-MIN(ROW(Auction!$M$13:$M$656))+1),""),ROW($G6)),1),""))</f>
        <v/>
      </c>
      <c r="I178" s="142">
        <f>IF(ISERROR(VLOOKUP(H178,Auction!$A$13:$I$656,7,FALSE)),0,VLOOKUP(H178,Auction!$A$13:$I$656,8,FALSE))</f>
        <v>0</v>
      </c>
      <c r="J178" s="143">
        <f>IFERROR(VLOOKUP(H178,Auction!$A$13:$I$656,9,FALSE)-I178,0)</f>
        <v>0</v>
      </c>
      <c r="K178" s="149" t="str">
        <f>IFERROR(INDEX(Auction!$C$13:$C$656,MATCH(H178,Auction!$A$13:$A$656,0)),"")</f>
        <v/>
      </c>
    </row>
    <row r="179" spans="1:11" x14ac:dyDescent="0.25">
      <c r="A179" s="133" t="str">
        <f>IFERROR(INDEX(Auction!$B$13:$B$656,MATCH(B179,Auction!$A$13:$A$656,0)),"")</f>
        <v/>
      </c>
      <c r="B179" s="211" t="str">
        <f t="array" ref="B179">IF($A$171=0,"",IFERROR(INDEX(Auction!$A$13:$M$656,SMALL(IF(Auction!$M$13:$M$656=$A$171,(ROW(Auction!$M$13:$M$656)-MIN(ROW(Auction!$M$13:$M$656))+1),""),ROW($A7)),1),""))</f>
        <v/>
      </c>
      <c r="C179" s="142">
        <f>IF(ISERROR(VLOOKUP(B179,Auction!$A$13:$I$656,7,FALSE)),0,VLOOKUP(B179,Auction!$A$13:$I$656,8,FALSE))</f>
        <v>0</v>
      </c>
      <c r="D179" s="143">
        <f>IFERROR(VLOOKUP(B179,Auction!$A$13:$I$656,9,FALSE)-C179,0)</f>
        <v>0</v>
      </c>
      <c r="E179" s="149" t="str">
        <f>IFERROR(INDEX(Auction!$C$13:$C$656,MATCH(B179,Auction!$A$13:$A$656,0)),"")</f>
        <v/>
      </c>
      <c r="G179" s="133" t="str">
        <f>IFERROR(INDEX(Auction!$B$13:$B$656,MATCH(H179,Auction!$A$13:$A$656,0)),"")</f>
        <v/>
      </c>
      <c r="H179" s="211" t="str">
        <f t="array" ref="H179">IF($G$171=0,"",IFERROR(INDEX(Auction!$A$13:$M$656,SMALL(IF(Auction!$M$13:$M$656=$G$171,(ROW(Auction!$M$13:$M$656)-MIN(ROW(Auction!$M$13:$M$656))+1),""),ROW($G7)),1),""))</f>
        <v/>
      </c>
      <c r="I179" s="142">
        <f>IF(ISERROR(VLOOKUP(H179,Auction!$A$13:$I$656,7,FALSE)),0,VLOOKUP(H179,Auction!$A$13:$I$656,8,FALSE))</f>
        <v>0</v>
      </c>
      <c r="J179" s="143">
        <f>IFERROR(VLOOKUP(H179,Auction!$A$13:$I$656,9,FALSE)-I179,0)</f>
        <v>0</v>
      </c>
      <c r="K179" s="149" t="str">
        <f>IFERROR(INDEX(Auction!$C$13:$C$656,MATCH(H179,Auction!$A$13:$A$656,0)),"")</f>
        <v/>
      </c>
    </row>
    <row r="180" spans="1:11" x14ac:dyDescent="0.25">
      <c r="A180" s="133" t="str">
        <f>IFERROR(INDEX(Auction!$B$13:$B$656,MATCH(B180,Auction!$A$13:$A$656,0)),"")</f>
        <v/>
      </c>
      <c r="B180" s="211" t="str">
        <f t="array" ref="B180">IF($A$171=0,"",IFERROR(INDEX(Auction!$A$13:$M$656,SMALL(IF(Auction!$M$13:$M$656=$A$171,(ROW(Auction!$M$13:$M$656)-MIN(ROW(Auction!$M$13:$M$656))+1),""),ROW($A8)),1),""))</f>
        <v/>
      </c>
      <c r="C180" s="142">
        <f>IF(ISERROR(VLOOKUP(B180,Auction!$A$13:$I$656,7,FALSE)),0,VLOOKUP(B180,Auction!$A$13:$I$656,8,FALSE))</f>
        <v>0</v>
      </c>
      <c r="D180" s="143">
        <f>IFERROR(VLOOKUP(B180,Auction!$A$13:$I$656,9,FALSE)-C180,0)</f>
        <v>0</v>
      </c>
      <c r="E180" s="149" t="str">
        <f>IFERROR(INDEX(Auction!$C$13:$C$656,MATCH(B180,Auction!$A$13:$A$656,0)),"")</f>
        <v/>
      </c>
      <c r="G180" s="133" t="str">
        <f>IFERROR(INDEX(Auction!$B$13:$B$656,MATCH(H180,Auction!$A$13:$A$656,0)),"")</f>
        <v/>
      </c>
      <c r="H180" s="211" t="str">
        <f t="array" ref="H180">IF($G$171=0,"",IFERROR(INDEX(Auction!$A$13:$M$656,SMALL(IF(Auction!$M$13:$M$656=$G$171,(ROW(Auction!$M$13:$M$656)-MIN(ROW(Auction!$M$13:$M$656))+1),""),ROW($G8)),1),""))</f>
        <v/>
      </c>
      <c r="I180" s="142">
        <f>IF(ISERROR(VLOOKUP(H180,Auction!$A$13:$I$656,7,FALSE)),0,VLOOKUP(H180,Auction!$A$13:$I$656,8,FALSE))</f>
        <v>0</v>
      </c>
      <c r="J180" s="143">
        <f>IFERROR(VLOOKUP(H180,Auction!$A$13:$I$656,9,FALSE)-I180,0)</f>
        <v>0</v>
      </c>
      <c r="K180" s="149" t="str">
        <f>IFERROR(INDEX(Auction!$C$13:$C$656,MATCH(H180,Auction!$A$13:$A$656,0)),"")</f>
        <v/>
      </c>
    </row>
    <row r="181" spans="1:11" x14ac:dyDescent="0.25">
      <c r="A181" s="133" t="str">
        <f>IFERROR(INDEX(Auction!$B$13:$B$656,MATCH(B181,Auction!$A$13:$A$656,0)),"")</f>
        <v/>
      </c>
      <c r="B181" s="211" t="str">
        <f t="array" ref="B181">IF($A$171=0,"",IFERROR(INDEX(Auction!$A$13:$M$656,SMALL(IF(Auction!$M$13:$M$656=$A$171,(ROW(Auction!$M$13:$M$656)-MIN(ROW(Auction!$M$13:$M$656))+1),""),ROW($A9)),1),""))</f>
        <v/>
      </c>
      <c r="C181" s="142">
        <f>IF(ISERROR(VLOOKUP(B181,Auction!$A$13:$I$656,7,FALSE)),0,VLOOKUP(B181,Auction!$A$13:$I$656,8,FALSE))</f>
        <v>0</v>
      </c>
      <c r="D181" s="143">
        <f>IFERROR(VLOOKUP(B181,Auction!$A$13:$I$656,9,FALSE)-C181,0)</f>
        <v>0</v>
      </c>
      <c r="E181" s="150" t="str">
        <f>IFERROR(INDEX(Auction!$C$13:$C$656,MATCH(B181,Auction!$A$13:$A$656,0)),"")</f>
        <v/>
      </c>
      <c r="G181" s="133" t="str">
        <f>IFERROR(INDEX(Auction!$B$13:$B$656,MATCH(H181,Auction!$A$13:$A$656,0)),"")</f>
        <v/>
      </c>
      <c r="H181" s="211" t="str">
        <f t="array" ref="H181">IF($G$171=0,"",IFERROR(INDEX(Auction!$A$13:$M$656,SMALL(IF(Auction!$M$13:$M$656=$G$171,(ROW(Auction!$M$13:$M$656)-MIN(ROW(Auction!$M$13:$M$656))+1),""),ROW($G9)),1),""))</f>
        <v/>
      </c>
      <c r="I181" s="142">
        <f>IF(ISERROR(VLOOKUP(H181,Auction!$A$13:$I$656,7,FALSE)),0,VLOOKUP(H181,Auction!$A$13:$I$656,8,FALSE))</f>
        <v>0</v>
      </c>
      <c r="J181" s="143">
        <f>IFERROR(VLOOKUP(H181,Auction!$A$13:$I$656,9,FALSE)-I181,0)</f>
        <v>0</v>
      </c>
      <c r="K181" s="150" t="str">
        <f>IFERROR(INDEX(Auction!$C$13:$C$656,MATCH(H181,Auction!$A$13:$A$656,0)),"")</f>
        <v/>
      </c>
    </row>
    <row r="182" spans="1:11" x14ac:dyDescent="0.25">
      <c r="A182" s="133" t="str">
        <f>IFERROR(INDEX(Auction!$B$13:$B$656,MATCH(B182,Auction!$A$13:$A$656,0)),"")</f>
        <v/>
      </c>
      <c r="B182" s="211" t="str">
        <f t="array" ref="B182">IF($A$171=0,"",IFERROR(INDEX(Auction!$A$13:$M$656,SMALL(IF(Auction!$M$13:$M$656=$A$171,(ROW(Auction!$M$13:$M$656)-MIN(ROW(Auction!$M$13:$M$656))+1),""),ROW($A10)),1),""))</f>
        <v/>
      </c>
      <c r="C182" s="142">
        <f>IF(ISERROR(VLOOKUP(B182,Auction!$A$13:$I$656,7,FALSE)),0,VLOOKUP(B182,Auction!$A$13:$I$656,8,FALSE))</f>
        <v>0</v>
      </c>
      <c r="D182" s="143">
        <f>IFERROR(VLOOKUP(B182,Auction!$A$13:$I$656,9,FALSE)-C182,0)</f>
        <v>0</v>
      </c>
      <c r="E182" s="150" t="str">
        <f>IFERROR(INDEX(Auction!$C$13:$C$656,MATCH(B182,Auction!$A$13:$A$656,0)),"")</f>
        <v/>
      </c>
      <c r="G182" s="133" t="str">
        <f>IFERROR(INDEX(Auction!$B$13:$B$656,MATCH(H182,Auction!$A$13:$A$656,0)),"")</f>
        <v/>
      </c>
      <c r="H182" s="211" t="str">
        <f t="array" ref="H182">IF($G$171=0,"",IFERROR(INDEX(Auction!$A$13:$M$656,SMALL(IF(Auction!$M$13:$M$656=$G$171,(ROW(Auction!$M$13:$M$656)-MIN(ROW(Auction!$M$13:$M$656))+1),""),ROW($G10)),1),""))</f>
        <v/>
      </c>
      <c r="I182" s="142">
        <f>IF(ISERROR(VLOOKUP(H182,Auction!$A$13:$I$656,7,FALSE)),0,VLOOKUP(H182,Auction!$A$13:$I$656,8,FALSE))</f>
        <v>0</v>
      </c>
      <c r="J182" s="143">
        <f>IFERROR(VLOOKUP(H182,Auction!$A$13:$I$656,9,FALSE)-I182,0)</f>
        <v>0</v>
      </c>
      <c r="K182" s="150" t="str">
        <f>IFERROR(INDEX(Auction!$C$13:$C$656,MATCH(H182,Auction!$A$13:$A$656,0)),"")</f>
        <v/>
      </c>
    </row>
    <row r="183" spans="1:11" x14ac:dyDescent="0.25">
      <c r="A183" s="133" t="str">
        <f>IFERROR(INDEX(Auction!$B$13:$B$656,MATCH(B183,Auction!$A$13:$A$656,0)),"")</f>
        <v/>
      </c>
      <c r="B183" s="211" t="str">
        <f t="array" ref="B183">IF($A$171=0,"",IFERROR(INDEX(Auction!$A$13:$M$656,SMALL(IF(Auction!$M$13:$M$656=$A$171,(ROW(Auction!$M$13:$M$656)-MIN(ROW(Auction!$M$13:$M$656))+1),""),ROW($A11)),1),""))</f>
        <v/>
      </c>
      <c r="C183" s="142">
        <f>IF(ISERROR(VLOOKUP(B183,Auction!$A$13:$I$656,7,FALSE)),0,VLOOKUP(B183,Auction!$A$13:$I$656,8,FALSE))</f>
        <v>0</v>
      </c>
      <c r="D183" s="143">
        <f>IFERROR(VLOOKUP(B183,Auction!$A$13:$I$656,9,FALSE)-C183,0)</f>
        <v>0</v>
      </c>
      <c r="E183" s="150" t="str">
        <f>IFERROR(INDEX(Auction!$C$13:$C$656,MATCH(B183,Auction!$A$13:$A$656,0)),"")</f>
        <v/>
      </c>
      <c r="G183" s="133" t="str">
        <f>IFERROR(INDEX(Auction!$B$13:$B$656,MATCH(H183,Auction!$A$13:$A$656,0)),"")</f>
        <v/>
      </c>
      <c r="H183" s="211" t="str">
        <f t="array" ref="H183">IF($G$171=0,"",IFERROR(INDEX(Auction!$A$13:$M$656,SMALL(IF(Auction!$M$13:$M$656=$G$171,(ROW(Auction!$M$13:$M$656)-MIN(ROW(Auction!$M$13:$M$656))+1),""),ROW($G11)),1),""))</f>
        <v/>
      </c>
      <c r="I183" s="142">
        <f>IF(ISERROR(VLOOKUP(H183,Auction!$A$13:$I$656,7,FALSE)),0,VLOOKUP(H183,Auction!$A$13:$I$656,8,FALSE))</f>
        <v>0</v>
      </c>
      <c r="J183" s="143">
        <f>IFERROR(VLOOKUP(H183,Auction!$A$13:$I$656,9,FALSE)-I183,0)</f>
        <v>0</v>
      </c>
      <c r="K183" s="150" t="str">
        <f>IFERROR(INDEX(Auction!$C$13:$C$656,MATCH(H183,Auction!$A$13:$A$656,0)),"")</f>
        <v/>
      </c>
    </row>
    <row r="184" spans="1:11" x14ac:dyDescent="0.25">
      <c r="A184" s="133" t="str">
        <f>IFERROR(INDEX(Auction!$B$13:$B$656,MATCH(B184,Auction!$A$13:$A$656,0)),"")</f>
        <v/>
      </c>
      <c r="B184" s="211" t="str">
        <f t="array" ref="B184">IF($A$171=0,"",IFERROR(INDEX(Auction!$A$13:$M$656,SMALL(IF(Auction!$M$13:$M$656=$A$171,(ROW(Auction!$M$13:$M$656)-MIN(ROW(Auction!$M$13:$M$656))+1),""),ROW($A12)),1),""))</f>
        <v/>
      </c>
      <c r="C184" s="142">
        <f>IF(ISERROR(VLOOKUP(B184,Auction!$A$13:$I$656,7,FALSE)),0,VLOOKUP(B184,Auction!$A$13:$I$656,8,FALSE))</f>
        <v>0</v>
      </c>
      <c r="D184" s="143">
        <f>IFERROR(VLOOKUP(B184,Auction!$A$13:$I$656,9,FALSE)-C184,0)</f>
        <v>0</v>
      </c>
      <c r="E184" s="150" t="str">
        <f>IFERROR(INDEX(Auction!$C$13:$C$656,MATCH(B184,Auction!$A$13:$A$656,0)),"")</f>
        <v/>
      </c>
      <c r="G184" s="133" t="str">
        <f>IFERROR(INDEX(Auction!$B$13:$B$656,MATCH(H184,Auction!$A$13:$A$656,0)),"")</f>
        <v/>
      </c>
      <c r="H184" s="211" t="str">
        <f t="array" ref="H184">IF($G$171=0,"",IFERROR(INDEX(Auction!$A$13:$M$656,SMALL(IF(Auction!$M$13:$M$656=$G$171,(ROW(Auction!$M$13:$M$656)-MIN(ROW(Auction!$M$13:$M$656))+1),""),ROW($G12)),1),""))</f>
        <v/>
      </c>
      <c r="I184" s="142">
        <f>IF(ISERROR(VLOOKUP(H184,Auction!$A$13:$I$656,7,FALSE)),0,VLOOKUP(H184,Auction!$A$13:$I$656,8,FALSE))</f>
        <v>0</v>
      </c>
      <c r="J184" s="143">
        <f>IFERROR(VLOOKUP(H184,Auction!$A$13:$I$656,9,FALSE)-I184,0)</f>
        <v>0</v>
      </c>
      <c r="K184" s="150" t="str">
        <f>IFERROR(INDEX(Auction!$C$13:$C$656,MATCH(H184,Auction!$A$13:$A$656,0)),"")</f>
        <v/>
      </c>
    </row>
    <row r="185" spans="1:11" x14ac:dyDescent="0.25">
      <c r="A185" s="133" t="str">
        <f>IFERROR(INDEX(Auction!$B$13:$B$656,MATCH(B185,Auction!$A$13:$A$656,0)),"")</f>
        <v/>
      </c>
      <c r="B185" s="211" t="str">
        <f t="array" ref="B185">IF($A$171=0,"",IFERROR(INDEX(Auction!$A$13:$M$656,SMALL(IF(Auction!$M$13:$M$656=$A$171,(ROW(Auction!$M$13:$M$656)-MIN(ROW(Auction!$M$13:$M$656))+1),""),ROW($A13)),1),""))</f>
        <v/>
      </c>
      <c r="C185" s="142">
        <f>IF(ISERROR(VLOOKUP(B185,Auction!$A$13:$I$656,7,FALSE)),0,VLOOKUP(B185,Auction!$A$13:$I$656,8,FALSE))</f>
        <v>0</v>
      </c>
      <c r="D185" s="143">
        <f>IFERROR(VLOOKUP(B185,Auction!$A$13:$I$656,9,FALSE)-C185,0)</f>
        <v>0</v>
      </c>
      <c r="E185" s="150" t="str">
        <f>IFERROR(INDEX(Auction!$C$13:$C$656,MATCH(B185,Auction!$A$13:$A$656,0)),"")</f>
        <v/>
      </c>
      <c r="G185" s="133" t="str">
        <f>IFERROR(INDEX(Auction!$B$13:$B$656,MATCH(H185,Auction!$A$13:$A$656,0)),"")</f>
        <v/>
      </c>
      <c r="H185" s="211" t="str">
        <f t="array" ref="H185">IF($G$171=0,"",IFERROR(INDEX(Auction!$A$13:$M$656,SMALL(IF(Auction!$M$13:$M$656=$G$171,(ROW(Auction!$M$13:$M$656)-MIN(ROW(Auction!$M$13:$M$656))+1),""),ROW($G13)),1),""))</f>
        <v/>
      </c>
      <c r="I185" s="142">
        <f>IF(ISERROR(VLOOKUP(H185,Auction!$A$13:$I$656,7,FALSE)),0,VLOOKUP(H185,Auction!$A$13:$I$656,8,FALSE))</f>
        <v>0</v>
      </c>
      <c r="J185" s="143">
        <f>IFERROR(VLOOKUP(H185,Auction!$A$13:$I$656,9,FALSE)-I185,0)</f>
        <v>0</v>
      </c>
      <c r="K185" s="150" t="str">
        <f>IFERROR(INDEX(Auction!$C$13:$C$656,MATCH(H185,Auction!$A$13:$A$656,0)),"")</f>
        <v/>
      </c>
    </row>
    <row r="186" spans="1:11" x14ac:dyDescent="0.25">
      <c r="A186" s="133" t="str">
        <f>IFERROR(INDEX(Auction!$B$13:$B$656,MATCH(B186,Auction!$A$13:$A$656,0)),"")</f>
        <v/>
      </c>
      <c r="B186" s="211" t="str">
        <f t="array" ref="B186">IF($A$171=0,"",IFERROR(INDEX(Auction!$A$13:$M$656,SMALL(IF(Auction!$M$13:$M$656=$A$171,(ROW(Auction!$M$13:$M$656)-MIN(ROW(Auction!$M$13:$M$656))+1),""),ROW($A14)),1),""))</f>
        <v/>
      </c>
      <c r="C186" s="142">
        <f>IF(ISERROR(VLOOKUP(B186,Auction!$A$13:$I$656,7,FALSE)),0,VLOOKUP(B186,Auction!$A$13:$I$656,8,FALSE))</f>
        <v>0</v>
      </c>
      <c r="D186" s="143">
        <f>IFERROR(VLOOKUP(B186,Auction!$A$13:$I$656,9,FALSE)-C186,0)</f>
        <v>0</v>
      </c>
      <c r="E186" s="150" t="str">
        <f>IFERROR(INDEX(Auction!$C$13:$C$656,MATCH(B186,Auction!$A$13:$A$656,0)),"")</f>
        <v/>
      </c>
      <c r="G186" s="133" t="str">
        <f>IFERROR(INDEX(Auction!$B$13:$B$656,MATCH(H186,Auction!$A$13:$A$656,0)),"")</f>
        <v/>
      </c>
      <c r="H186" s="211" t="str">
        <f t="array" ref="H186">IF($G$171=0,"",IFERROR(INDEX(Auction!$A$13:$M$656,SMALL(IF(Auction!$M$13:$M$656=$G$171,(ROW(Auction!$M$13:$M$656)-MIN(ROW(Auction!$M$13:$M$656))+1),""),ROW($G14)),1),""))</f>
        <v/>
      </c>
      <c r="I186" s="142">
        <f>IF(ISERROR(VLOOKUP(H186,Auction!$A$13:$I$656,7,FALSE)),0,VLOOKUP(H186,Auction!$A$13:$I$656,8,FALSE))</f>
        <v>0</v>
      </c>
      <c r="J186" s="143">
        <f>IFERROR(VLOOKUP(H186,Auction!$A$13:$I$656,9,FALSE)-I186,0)</f>
        <v>0</v>
      </c>
      <c r="K186" s="150" t="str">
        <f>IFERROR(INDEX(Auction!$C$13:$C$656,MATCH(H186,Auction!$A$13:$A$656,0)),"")</f>
        <v/>
      </c>
    </row>
    <row r="187" spans="1:11" x14ac:dyDescent="0.25">
      <c r="A187" s="133" t="str">
        <f>IFERROR(INDEX(Auction!$B$13:$B$656,MATCH(B187,Auction!$A$13:$A$656,0)),"")</f>
        <v/>
      </c>
      <c r="B187" s="211" t="str">
        <f t="array" ref="B187">IF($A$171=0,"",IFERROR(INDEX(Auction!$A$13:$M$656,SMALL(IF(Auction!$M$13:$M$656=$A$171,(ROW(Auction!$M$13:$M$656)-MIN(ROW(Auction!$M$13:$M$656))+1),""),ROW($A15)),1),""))</f>
        <v/>
      </c>
      <c r="C187" s="142">
        <f>IF(ISERROR(VLOOKUP(B187,Auction!$A$13:$I$656,7,FALSE)),0,VLOOKUP(B187,Auction!$A$13:$I$656,8,FALSE))</f>
        <v>0</v>
      </c>
      <c r="D187" s="143">
        <f>IFERROR(VLOOKUP(B187,Auction!$A$13:$I$656,9,FALSE)-C187,0)</f>
        <v>0</v>
      </c>
      <c r="E187" s="150" t="str">
        <f>IFERROR(INDEX(Auction!$C$13:$C$656,MATCH(B187,Auction!$A$13:$A$656,0)),"")</f>
        <v/>
      </c>
      <c r="G187" s="133" t="str">
        <f>IFERROR(INDEX(Auction!$B$13:$B$656,MATCH(H187,Auction!$A$13:$A$656,0)),"")</f>
        <v/>
      </c>
      <c r="H187" s="211" t="str">
        <f t="array" ref="H187">IF($G$171=0,"",IFERROR(INDEX(Auction!$A$13:$M$656,SMALL(IF(Auction!$M$13:$M$656=$G$171,(ROW(Auction!$M$13:$M$656)-MIN(ROW(Auction!$M$13:$M$656))+1),""),ROW($G15)),1),""))</f>
        <v/>
      </c>
      <c r="I187" s="142">
        <f>IF(ISERROR(VLOOKUP(H187,Auction!$A$13:$I$656,7,FALSE)),0,VLOOKUP(H187,Auction!$A$13:$I$656,8,FALSE))</f>
        <v>0</v>
      </c>
      <c r="J187" s="143">
        <f>IFERROR(VLOOKUP(H187,Auction!$A$13:$I$656,9,FALSE)-I187,0)</f>
        <v>0</v>
      </c>
      <c r="K187" s="150" t="str">
        <f>IFERROR(INDEX(Auction!$C$13:$C$656,MATCH(H187,Auction!$A$13:$A$656,0)),"")</f>
        <v/>
      </c>
    </row>
    <row r="188" spans="1:11" x14ac:dyDescent="0.25">
      <c r="A188" s="133" t="str">
        <f>IFERROR(INDEX(Auction!$B$13:$B$656,MATCH(B188,Auction!$A$13:$A$656,0)),"")</f>
        <v/>
      </c>
      <c r="B188" s="211" t="str">
        <f t="array" ref="B188">IF($A$171=0,"",IFERROR(INDEX(Auction!$A$13:$M$656,SMALL(IF(Auction!$M$13:$M$656=$A$171,(ROW(Auction!$M$13:$M$656)-MIN(ROW(Auction!$M$13:$M$656))+1),""),ROW($A16)),1),""))</f>
        <v/>
      </c>
      <c r="C188" s="142">
        <f>IF(ISERROR(VLOOKUP(B188,Auction!$A$13:$I$656,7,FALSE)),0,VLOOKUP(B188,Auction!$A$13:$I$656,8,FALSE))</f>
        <v>0</v>
      </c>
      <c r="D188" s="143">
        <f>IFERROR(VLOOKUP(B188,Auction!$A$13:$I$656,9,FALSE)-C188,0)</f>
        <v>0</v>
      </c>
      <c r="E188" s="150" t="str">
        <f>IFERROR(INDEX(Auction!$C$13:$C$656,MATCH(B188,Auction!$A$13:$A$656,0)),"")</f>
        <v/>
      </c>
      <c r="G188" s="133" t="str">
        <f>IFERROR(INDEX(Auction!$B$13:$B$656,MATCH(H188,Auction!$A$13:$A$656,0)),"")</f>
        <v/>
      </c>
      <c r="H188" s="211" t="str">
        <f t="array" ref="H188">IF($G$171=0,"",IFERROR(INDEX(Auction!$A$13:$M$656,SMALL(IF(Auction!$M$13:$M$656=$G$171,(ROW(Auction!$M$13:$M$656)-MIN(ROW(Auction!$M$13:$M$656))+1),""),ROW($G16)),1),""))</f>
        <v/>
      </c>
      <c r="I188" s="142">
        <f>IF(ISERROR(VLOOKUP(H188,Auction!$A$13:$I$656,7,FALSE)),0,VLOOKUP(H188,Auction!$A$13:$I$656,8,FALSE))</f>
        <v>0</v>
      </c>
      <c r="J188" s="143">
        <f>IFERROR(VLOOKUP(H188,Auction!$A$13:$I$656,9,FALSE)-I188,0)</f>
        <v>0</v>
      </c>
      <c r="K188" s="150" t="str">
        <f>IFERROR(INDEX(Auction!$C$13:$C$656,MATCH(H188,Auction!$A$13:$A$656,0)),"")</f>
        <v/>
      </c>
    </row>
    <row r="189" spans="1:11" x14ac:dyDescent="0.25">
      <c r="A189" s="133" t="str">
        <f>IFERROR(INDEX(Auction!$B$13:$B$656,MATCH(B189,Auction!$A$13:$A$656,0)),"")</f>
        <v/>
      </c>
      <c r="B189" s="211" t="str">
        <f t="array" ref="B189">IF($A$171=0,"",IFERROR(INDEX(Auction!$A$13:$M$656,SMALL(IF(Auction!$M$13:$M$656=$A$171,(ROW(Auction!$M$13:$M$656)-MIN(ROW(Auction!$M$13:$M$656))+1),""),ROW($A17)),1),""))</f>
        <v/>
      </c>
      <c r="C189" s="142">
        <f>IF(ISERROR(VLOOKUP(B189,Auction!$A$13:$I$656,7,FALSE)),0,VLOOKUP(B189,Auction!$A$13:$I$656,8,FALSE))</f>
        <v>0</v>
      </c>
      <c r="D189" s="143">
        <f>IFERROR(VLOOKUP(B189,Auction!$A$13:$I$656,9,FALSE)-C189,0)</f>
        <v>0</v>
      </c>
      <c r="E189" s="150" t="str">
        <f>IFERROR(INDEX(Auction!$C$13:$C$656,MATCH(B189,Auction!$A$13:$A$656,0)),"")</f>
        <v/>
      </c>
      <c r="G189" s="133" t="str">
        <f>IFERROR(INDEX(Auction!$B$13:$B$656,MATCH(H189,Auction!$A$13:$A$656,0)),"")</f>
        <v/>
      </c>
      <c r="H189" s="211" t="str">
        <f t="array" ref="H189">IF($G$171=0,"",IFERROR(INDEX(Auction!$A$13:$M$656,SMALL(IF(Auction!$M$13:$M$656=$G$171,(ROW(Auction!$M$13:$M$656)-MIN(ROW(Auction!$M$13:$M$656))+1),""),ROW($G17)),1),""))</f>
        <v/>
      </c>
      <c r="I189" s="142">
        <f>IF(ISERROR(VLOOKUP(H189,Auction!$A$13:$I$656,7,FALSE)),0,VLOOKUP(H189,Auction!$A$13:$I$656,8,FALSE))</f>
        <v>0</v>
      </c>
      <c r="J189" s="143">
        <f>IFERROR(VLOOKUP(H189,Auction!$A$13:$I$656,9,FALSE)-I189,0)</f>
        <v>0</v>
      </c>
      <c r="K189" s="150" t="str">
        <f>IFERROR(INDEX(Auction!$C$13:$C$656,MATCH(H189,Auction!$A$13:$A$656,0)),"")</f>
        <v/>
      </c>
    </row>
    <row r="190" spans="1:11" x14ac:dyDescent="0.25">
      <c r="A190" s="133" t="str">
        <f>IFERROR(INDEX(Auction!$B$13:$B$656,MATCH(B190,Auction!$A$13:$A$656,0)),"")</f>
        <v/>
      </c>
      <c r="B190" s="211" t="str">
        <f t="array" ref="B190">IF($A$171=0,"",IFERROR(INDEX(Auction!$A$13:$M$656,SMALL(IF(Auction!$M$13:$M$656=$A$171,(ROW(Auction!$M$13:$M$656)-MIN(ROW(Auction!$M$13:$M$656))+1),""),ROW($A18)),1),""))</f>
        <v/>
      </c>
      <c r="C190" s="142">
        <f>IF(ISERROR(VLOOKUP(B190,Auction!$A$13:$I$656,7,FALSE)),0,VLOOKUP(B190,Auction!$A$13:$I$656,8,FALSE))</f>
        <v>0</v>
      </c>
      <c r="D190" s="143">
        <f>IFERROR(VLOOKUP(B190,Auction!$A$13:$I$656,9,FALSE)-C190,0)</f>
        <v>0</v>
      </c>
      <c r="E190" s="150" t="str">
        <f>IFERROR(INDEX(Auction!$C$13:$C$656,MATCH(B190,Auction!$A$13:$A$656,0)),"")</f>
        <v/>
      </c>
      <c r="G190" s="133" t="str">
        <f>IFERROR(INDEX(Auction!$B$13:$B$656,MATCH(H190,Auction!$A$13:$A$656,0)),"")</f>
        <v/>
      </c>
      <c r="H190" s="211" t="str">
        <f t="array" ref="H190">IF($G$171=0,"",IFERROR(INDEX(Auction!$A$13:$M$656,SMALL(IF(Auction!$M$13:$M$656=$G$171,(ROW(Auction!$M$13:$M$656)-MIN(ROW(Auction!$M$13:$M$656))+1),""),ROW($G18)),1),""))</f>
        <v/>
      </c>
      <c r="I190" s="142">
        <f>IF(ISERROR(VLOOKUP(H190,Auction!$A$13:$I$656,7,FALSE)),0,VLOOKUP(H190,Auction!$A$13:$I$656,8,FALSE))</f>
        <v>0</v>
      </c>
      <c r="J190" s="143">
        <f>IFERROR(VLOOKUP(H190,Auction!$A$13:$I$656,9,FALSE)-I190,0)</f>
        <v>0</v>
      </c>
      <c r="K190" s="150" t="str">
        <f>IFERROR(INDEX(Auction!$C$13:$C$656,MATCH(H190,Auction!$A$13:$A$656,0)),"")</f>
        <v/>
      </c>
    </row>
    <row r="191" spans="1:11" x14ac:dyDescent="0.25">
      <c r="A191" s="133" t="str">
        <f>IFERROR(INDEX(Auction!$B$13:$B$656,MATCH(B191,Auction!$A$13:$A$656,0)),"")</f>
        <v/>
      </c>
      <c r="B191" s="211" t="str">
        <f t="array" ref="B191">IF($A$171=0,"",IFERROR(INDEX(Auction!$A$13:$M$656,SMALL(IF(Auction!$M$13:$M$656=$A$171,(ROW(Auction!$M$13:$M$656)-MIN(ROW(Auction!$M$13:$M$656))+1),""),ROW($A19)),1),""))</f>
        <v/>
      </c>
      <c r="C191" s="142">
        <f>IF(ISERROR(VLOOKUP(B191,Auction!$A$13:$I$656,7,FALSE)),0,VLOOKUP(B191,Auction!$A$13:$I$656,8,FALSE))</f>
        <v>0</v>
      </c>
      <c r="D191" s="143">
        <f>IFERROR(VLOOKUP(B191,Auction!$A$13:$I$656,9,FALSE)-C191,0)</f>
        <v>0</v>
      </c>
      <c r="E191" s="150" t="str">
        <f>IFERROR(INDEX(Auction!$C$13:$C$656,MATCH(B191,Auction!$A$13:$A$656,0)),"")</f>
        <v/>
      </c>
      <c r="G191" s="133" t="str">
        <f>IFERROR(INDEX(Auction!$B$13:$B$656,MATCH(H191,Auction!$A$13:$A$656,0)),"")</f>
        <v/>
      </c>
      <c r="H191" s="211" t="str">
        <f t="array" ref="H191">IF($G$171=0,"",IFERROR(INDEX(Auction!$A$13:$M$656,SMALL(IF(Auction!$M$13:$M$656=$G$171,(ROW(Auction!$M$13:$M$656)-MIN(ROW(Auction!$M$13:$M$656))+1),""),ROW($G19)),1),""))</f>
        <v/>
      </c>
      <c r="I191" s="142">
        <f>IF(ISERROR(VLOOKUP(H191,Auction!$A$13:$I$656,7,FALSE)),0,VLOOKUP(H191,Auction!$A$13:$I$656,8,FALSE))</f>
        <v>0</v>
      </c>
      <c r="J191" s="143">
        <f>IFERROR(VLOOKUP(H191,Auction!$A$13:$I$656,9,FALSE)-I191,0)</f>
        <v>0</v>
      </c>
      <c r="K191" s="150" t="str">
        <f>IFERROR(INDEX(Auction!$C$13:$C$656,MATCH(H191,Auction!$A$13:$A$656,0)),"")</f>
        <v/>
      </c>
    </row>
    <row r="192" spans="1:11" x14ac:dyDescent="0.25">
      <c r="A192" s="133" t="str">
        <f>IFERROR(INDEX(Auction!$B$13:$B$656,MATCH(B192,Auction!$A$13:$A$656,0)),"")</f>
        <v/>
      </c>
      <c r="B192" s="211" t="str">
        <f t="array" ref="B192">IF($A$171=0,"",IFERROR(INDEX(Auction!$A$13:$M$656,SMALL(IF(Auction!$M$13:$M$656=$A$171,(ROW(Auction!$M$13:$M$656)-MIN(ROW(Auction!$M$13:$M$656))+1),""),ROW($A20)),1),""))</f>
        <v/>
      </c>
      <c r="C192" s="142">
        <f>IF(ISERROR(VLOOKUP(B192,Auction!$A$13:$I$656,7,FALSE)),0,VLOOKUP(B192,Auction!$A$13:$I$656,8,FALSE))</f>
        <v>0</v>
      </c>
      <c r="D192" s="143">
        <f>IFERROR(VLOOKUP(B192,Auction!$A$13:$I$656,9,FALSE)-C192,0)</f>
        <v>0</v>
      </c>
      <c r="E192" s="150" t="str">
        <f>IFERROR(INDEX(Auction!$C$13:$C$656,MATCH(B192,Auction!$A$13:$A$656,0)),"")</f>
        <v/>
      </c>
      <c r="G192" s="133" t="str">
        <f>IFERROR(INDEX(Auction!$B$13:$B$656,MATCH(H192,Auction!$A$13:$A$656,0)),"")</f>
        <v/>
      </c>
      <c r="H192" s="211" t="str">
        <f t="array" ref="H192">IF($G$171=0,"",IFERROR(INDEX(Auction!$A$13:$M$656,SMALL(IF(Auction!$M$13:$M$656=$G$171,(ROW(Auction!$M$13:$M$656)-MIN(ROW(Auction!$M$13:$M$656))+1),""),ROW($G20)),1),""))</f>
        <v/>
      </c>
      <c r="I192" s="142">
        <f>IF(ISERROR(VLOOKUP(H192,Auction!$A$13:$I$656,7,FALSE)),0,VLOOKUP(H192,Auction!$A$13:$I$656,8,FALSE))</f>
        <v>0</v>
      </c>
      <c r="J192" s="143">
        <f>IFERROR(VLOOKUP(H192,Auction!$A$13:$I$656,9,FALSE)-I192,0)</f>
        <v>0</v>
      </c>
      <c r="K192" s="150" t="str">
        <f>IFERROR(INDEX(Auction!$C$13:$C$656,MATCH(H192,Auction!$A$13:$A$656,0)),"")</f>
        <v/>
      </c>
    </row>
    <row r="193" spans="1:11" x14ac:dyDescent="0.25">
      <c r="A193" s="151"/>
      <c r="B193" s="152"/>
      <c r="C193" s="153">
        <f>SUM(C173:C192)</f>
        <v>0</v>
      </c>
      <c r="D193" s="153">
        <f>SUM(D173:D192)</f>
        <v>0</v>
      </c>
      <c r="E193" s="154"/>
      <c r="G193" s="151"/>
      <c r="H193" s="152"/>
      <c r="I193" s="153">
        <f>SUM(I173:I192)</f>
        <v>0</v>
      </c>
      <c r="J193" s="153">
        <f>SUM(J173:J192)</f>
        <v>0</v>
      </c>
      <c r="K193" s="154"/>
    </row>
    <row r="195" spans="1:11" x14ac:dyDescent="0.25">
      <c r="A195" s="268">
        <f>H18</f>
        <v>0</v>
      </c>
      <c r="B195" s="269"/>
      <c r="C195" s="269"/>
      <c r="D195" s="269"/>
      <c r="E195" s="270"/>
      <c r="G195" s="268">
        <f>H19</f>
        <v>0</v>
      </c>
      <c r="H195" s="269"/>
      <c r="I195" s="269"/>
      <c r="J195" s="269"/>
      <c r="K195" s="270"/>
    </row>
    <row r="196" spans="1:11" x14ac:dyDescent="0.25">
      <c r="A196" s="140" t="s">
        <v>495</v>
      </c>
      <c r="B196" s="148" t="s">
        <v>85</v>
      </c>
      <c r="C196" s="130" t="s">
        <v>496</v>
      </c>
      <c r="D196" s="130" t="s">
        <v>497</v>
      </c>
      <c r="E196" s="141" t="s">
        <v>440</v>
      </c>
      <c r="G196" s="140" t="s">
        <v>495</v>
      </c>
      <c r="H196" s="148" t="s">
        <v>85</v>
      </c>
      <c r="I196" s="130" t="s">
        <v>496</v>
      </c>
      <c r="J196" s="130" t="s">
        <v>497</v>
      </c>
      <c r="K196" s="141" t="s">
        <v>440</v>
      </c>
    </row>
    <row r="197" spans="1:11" x14ac:dyDescent="0.25">
      <c r="A197" s="133" t="str">
        <f>IFERROR(INDEX(Auction!$B$13:$B$656,MATCH(B197,Auction!$A$13:$A$656,0)),"")</f>
        <v/>
      </c>
      <c r="B197" s="211" t="str">
        <f t="array" ref="B197">IF($A$195=0,"",IFERROR(INDEX(Auction!$A$13:$M$656,SMALL(IF(Auction!$M$13:$M$656=$A$195,(ROW(Auction!$M$13:$M$656)-MIN(ROW(Auction!$M$13:$M$656))+1),""),ROW($A1)),1),""))</f>
        <v/>
      </c>
      <c r="C197" s="142">
        <f>IF(ISERROR(VLOOKUP(B197,Auction!$A$13:$I$656,7,FALSE)),0,VLOOKUP(B197,Auction!$A$13:$I$656,8,FALSE))</f>
        <v>0</v>
      </c>
      <c r="D197" s="143">
        <f>IFERROR(VLOOKUP(B197,Auction!$A$13:$I$656,9,FALSE)-C197,0)</f>
        <v>0</v>
      </c>
      <c r="E197" s="149" t="str">
        <f>IFERROR(INDEX(Auction!$C$13:$C$656,MATCH(B197,Auction!$A$13:$A$656,0)),"")</f>
        <v/>
      </c>
      <c r="G197" s="133" t="str">
        <f>IFERROR(INDEX(Auction!$B$13:$B$656,MATCH(H197,Auction!$A$13:$A$656,0)),"")</f>
        <v/>
      </c>
      <c r="H197" s="211" t="str">
        <f t="array" ref="H197">IF($G$195=0,"",IFERROR(INDEX(Auction!$A$13:$M$656,SMALL(IF(Auction!$M$13:$M$656=$G$195,(ROW(Auction!$M$13:$M$656)-MIN(ROW(Auction!$M$13:$M$656))+1),""),ROW($G1)),1),""))</f>
        <v/>
      </c>
      <c r="I197" s="142">
        <f>IF(ISERROR(VLOOKUP(H197,Auction!$A$13:$I$656,7,FALSE)),0,VLOOKUP(H197,Auction!$A$13:$I$656,8,FALSE))</f>
        <v>0</v>
      </c>
      <c r="J197" s="143">
        <f>IFERROR(VLOOKUP(H197,Auction!$A$13:$I$656,9,FALSE)-I197,0)</f>
        <v>0</v>
      </c>
      <c r="K197" s="149" t="str">
        <f>IFERROR(INDEX(Auction!$C$13:$C$656,MATCH(H197,Auction!$A$13:$A$656,0)),"")</f>
        <v/>
      </c>
    </row>
    <row r="198" spans="1:11" x14ac:dyDescent="0.25">
      <c r="A198" s="133" t="str">
        <f>IFERROR(INDEX(Auction!$B$13:$B$656,MATCH(B198,Auction!$A$13:$A$656,0)),"")</f>
        <v/>
      </c>
      <c r="B198" s="211" t="str">
        <f t="array" ref="B198">IF($A$195=0,"",IFERROR(INDEX(Auction!$A$13:$M$656,SMALL(IF(Auction!$M$13:$M$656=$A$195,(ROW(Auction!$M$13:$M$656)-MIN(ROW(Auction!$M$13:$M$656))+1),""),ROW($A2)),1),""))</f>
        <v/>
      </c>
      <c r="C198" s="142">
        <f>IF(ISERROR(VLOOKUP(B198,Auction!$A$13:$I$656,7,FALSE)),0,VLOOKUP(B198,Auction!$A$13:$I$656,8,FALSE))</f>
        <v>0</v>
      </c>
      <c r="D198" s="143">
        <f>IFERROR(VLOOKUP(B198,Auction!$A$13:$I$656,9,FALSE)-C198,0)</f>
        <v>0</v>
      </c>
      <c r="E198" s="149" t="str">
        <f>IFERROR(INDEX(Auction!$C$13:$C$656,MATCH(B198,Auction!$A$13:$A$656,0)),"")</f>
        <v/>
      </c>
      <c r="G198" s="133" t="str">
        <f>IFERROR(INDEX(Auction!$B$13:$B$656,MATCH(H198,Auction!$A$13:$A$656,0)),"")</f>
        <v/>
      </c>
      <c r="H198" s="211" t="str">
        <f t="array" ref="H198">IF($G$195=0,"",IFERROR(INDEX(Auction!$A$13:$M$656,SMALL(IF(Auction!$M$13:$M$656=$G$195,(ROW(Auction!$M$13:$M$656)-MIN(ROW(Auction!$M$13:$M$656))+1),""),ROW($G2)),1),""))</f>
        <v/>
      </c>
      <c r="I198" s="142">
        <f>IF(ISERROR(VLOOKUP(H198,Auction!$A$13:$I$656,7,FALSE)),0,VLOOKUP(H198,Auction!$A$13:$I$656,8,FALSE))</f>
        <v>0</v>
      </c>
      <c r="J198" s="143">
        <f>IFERROR(VLOOKUP(H198,Auction!$A$13:$I$656,9,FALSE)-I198,0)</f>
        <v>0</v>
      </c>
      <c r="K198" s="149" t="str">
        <f>IFERROR(INDEX(Auction!$C$13:$C$656,MATCH(H198,Auction!$A$13:$A$656,0)),"")</f>
        <v/>
      </c>
    </row>
    <row r="199" spans="1:11" x14ac:dyDescent="0.25">
      <c r="A199" s="133" t="str">
        <f>IFERROR(INDEX(Auction!$B$13:$B$656,MATCH(B199,Auction!$A$13:$A$656,0)),"")</f>
        <v/>
      </c>
      <c r="B199" s="211" t="str">
        <f t="array" ref="B199">IF($A$195=0,"",IFERROR(INDEX(Auction!$A$13:$M$656,SMALL(IF(Auction!$M$13:$M$656=$A$195,(ROW(Auction!$M$13:$M$656)-MIN(ROW(Auction!$M$13:$M$656))+1),""),ROW($A3)),1),""))</f>
        <v/>
      </c>
      <c r="C199" s="142">
        <f>IF(ISERROR(VLOOKUP(B199,Auction!$A$13:$I$656,7,FALSE)),0,VLOOKUP(B199,Auction!$A$13:$I$656,8,FALSE))</f>
        <v>0</v>
      </c>
      <c r="D199" s="143">
        <f>IFERROR(VLOOKUP(B199,Auction!$A$13:$I$656,9,FALSE)-C199,0)</f>
        <v>0</v>
      </c>
      <c r="E199" s="149" t="str">
        <f>IFERROR(INDEX(Auction!$C$13:$C$656,MATCH(B199,Auction!$A$13:$A$656,0)),"")</f>
        <v/>
      </c>
      <c r="G199" s="133" t="str">
        <f>IFERROR(INDEX(Auction!$B$13:$B$656,MATCH(H199,Auction!$A$13:$A$656,0)),"")</f>
        <v/>
      </c>
      <c r="H199" s="211" t="str">
        <f t="array" ref="H199">IF($G$195=0,"",IFERROR(INDEX(Auction!$A$13:$M$656,SMALL(IF(Auction!$M$13:$M$656=$G$195,(ROW(Auction!$M$13:$M$656)-MIN(ROW(Auction!$M$13:$M$656))+1),""),ROW($G3)),1),""))</f>
        <v/>
      </c>
      <c r="I199" s="142">
        <f>IF(ISERROR(VLOOKUP(H199,Auction!$A$13:$I$656,7,FALSE)),0,VLOOKUP(H199,Auction!$A$13:$I$656,8,FALSE))</f>
        <v>0</v>
      </c>
      <c r="J199" s="143">
        <f>IFERROR(VLOOKUP(H199,Auction!$A$13:$I$656,9,FALSE)-I199,0)</f>
        <v>0</v>
      </c>
      <c r="K199" s="149" t="str">
        <f>IFERROR(INDEX(Auction!$C$13:$C$656,MATCH(H199,Auction!$A$13:$A$656,0)),"")</f>
        <v/>
      </c>
    </row>
    <row r="200" spans="1:11" x14ac:dyDescent="0.25">
      <c r="A200" s="133" t="str">
        <f>IFERROR(INDEX(Auction!$B$13:$B$656,MATCH(B200,Auction!$A$13:$A$656,0)),"")</f>
        <v/>
      </c>
      <c r="B200" s="211" t="str">
        <f t="array" ref="B200">IF($A$195=0,"",IFERROR(INDEX(Auction!$A$13:$M$656,SMALL(IF(Auction!$M$13:$M$656=$A$195,(ROW(Auction!$M$13:$M$656)-MIN(ROW(Auction!$M$13:$M$656))+1),""),ROW($A4)),1),""))</f>
        <v/>
      </c>
      <c r="C200" s="142">
        <f>IF(ISERROR(VLOOKUP(B200,Auction!$A$13:$I$656,7,FALSE)),0,VLOOKUP(B200,Auction!$A$13:$I$656,8,FALSE))</f>
        <v>0</v>
      </c>
      <c r="D200" s="143">
        <f>IFERROR(VLOOKUP(B200,Auction!$A$13:$I$656,9,FALSE)-C200,0)</f>
        <v>0</v>
      </c>
      <c r="E200" s="149" t="str">
        <f>IFERROR(INDEX(Auction!$C$13:$C$656,MATCH(B200,Auction!$A$13:$A$656,0)),"")</f>
        <v/>
      </c>
      <c r="G200" s="133" t="str">
        <f>IFERROR(INDEX(Auction!$B$13:$B$656,MATCH(H200,Auction!$A$13:$A$656,0)),"")</f>
        <v/>
      </c>
      <c r="H200" s="211" t="str">
        <f t="array" ref="H200">IF($G$195=0,"",IFERROR(INDEX(Auction!$A$13:$M$656,SMALL(IF(Auction!$M$13:$M$656=$G$195,(ROW(Auction!$M$13:$M$656)-MIN(ROW(Auction!$M$13:$M$656))+1),""),ROW($G4)),1),""))</f>
        <v/>
      </c>
      <c r="I200" s="142">
        <f>IF(ISERROR(VLOOKUP(H200,Auction!$A$13:$I$656,7,FALSE)),0,VLOOKUP(H200,Auction!$A$13:$I$656,8,FALSE))</f>
        <v>0</v>
      </c>
      <c r="J200" s="143">
        <f>IFERROR(VLOOKUP(H200,Auction!$A$13:$I$656,9,FALSE)-I200,0)</f>
        <v>0</v>
      </c>
      <c r="K200" s="149" t="str">
        <f>IFERROR(INDEX(Auction!$C$13:$C$656,MATCH(H200,Auction!$A$13:$A$656,0)),"")</f>
        <v/>
      </c>
    </row>
    <row r="201" spans="1:11" x14ac:dyDescent="0.25">
      <c r="A201" s="133" t="str">
        <f>IFERROR(INDEX(Auction!$B$13:$B$656,MATCH(B201,Auction!$A$13:$A$656,0)),"")</f>
        <v/>
      </c>
      <c r="B201" s="211" t="str">
        <f t="array" ref="B201">IF($A$195=0,"",IFERROR(INDEX(Auction!$A$13:$M$656,SMALL(IF(Auction!$M$13:$M$656=$A$195,(ROW(Auction!$M$13:$M$656)-MIN(ROW(Auction!$M$13:$M$656))+1),""),ROW($A5)),1),""))</f>
        <v/>
      </c>
      <c r="C201" s="142">
        <f>IF(ISERROR(VLOOKUP(B201,Auction!$A$13:$I$656,7,FALSE)),0,VLOOKUP(B201,Auction!$A$13:$I$656,8,FALSE))</f>
        <v>0</v>
      </c>
      <c r="D201" s="143">
        <f>IFERROR(VLOOKUP(B201,Auction!$A$13:$I$656,9,FALSE)-C201,0)</f>
        <v>0</v>
      </c>
      <c r="E201" s="149" t="str">
        <f>IFERROR(INDEX(Auction!$C$13:$C$656,MATCH(B201,Auction!$A$13:$A$656,0)),"")</f>
        <v/>
      </c>
      <c r="G201" s="133" t="str">
        <f>IFERROR(INDEX(Auction!$B$13:$B$656,MATCH(H201,Auction!$A$13:$A$656,0)),"")</f>
        <v/>
      </c>
      <c r="H201" s="211" t="str">
        <f t="array" ref="H201">IF($G$195=0,"",IFERROR(INDEX(Auction!$A$13:$M$656,SMALL(IF(Auction!$M$13:$M$656=$G$195,(ROW(Auction!$M$13:$M$656)-MIN(ROW(Auction!$M$13:$M$656))+1),""),ROW($G5)),1),""))</f>
        <v/>
      </c>
      <c r="I201" s="142">
        <f>IF(ISERROR(VLOOKUP(H201,Auction!$A$13:$I$656,7,FALSE)),0,VLOOKUP(H201,Auction!$A$13:$I$656,8,FALSE))</f>
        <v>0</v>
      </c>
      <c r="J201" s="143">
        <f>IFERROR(VLOOKUP(H201,Auction!$A$13:$I$656,9,FALSE)-I201,0)</f>
        <v>0</v>
      </c>
      <c r="K201" s="149" t="str">
        <f>IFERROR(INDEX(Auction!$C$13:$C$656,MATCH(H201,Auction!$A$13:$A$656,0)),"")</f>
        <v/>
      </c>
    </row>
    <row r="202" spans="1:11" x14ac:dyDescent="0.25">
      <c r="A202" s="133" t="str">
        <f>IFERROR(INDEX(Auction!$B$13:$B$656,MATCH(B202,Auction!$A$13:$A$656,0)),"")</f>
        <v/>
      </c>
      <c r="B202" s="211" t="str">
        <f t="array" ref="B202">IF($A$195=0,"",IFERROR(INDEX(Auction!$A$13:$M$656,SMALL(IF(Auction!$M$13:$M$656=$A$195,(ROW(Auction!$M$13:$M$656)-MIN(ROW(Auction!$M$13:$M$656))+1),""),ROW($A6)),1),""))</f>
        <v/>
      </c>
      <c r="C202" s="142">
        <f>IF(ISERROR(VLOOKUP(B202,Auction!$A$13:$I$656,7,FALSE)),0,VLOOKUP(B202,Auction!$A$13:$I$656,8,FALSE))</f>
        <v>0</v>
      </c>
      <c r="D202" s="143">
        <f>IFERROR(VLOOKUP(B202,Auction!$A$13:$I$656,9,FALSE)-C202,0)</f>
        <v>0</v>
      </c>
      <c r="E202" s="149" t="str">
        <f>IFERROR(INDEX(Auction!$C$13:$C$656,MATCH(B202,Auction!$A$13:$A$656,0)),"")</f>
        <v/>
      </c>
      <c r="G202" s="133" t="str">
        <f>IFERROR(INDEX(Auction!$B$13:$B$656,MATCH(H202,Auction!$A$13:$A$656,0)),"")</f>
        <v/>
      </c>
      <c r="H202" s="211" t="str">
        <f t="array" ref="H202">IF($G$195=0,"",IFERROR(INDEX(Auction!$A$13:$M$656,SMALL(IF(Auction!$M$13:$M$656=$G$195,(ROW(Auction!$M$13:$M$656)-MIN(ROW(Auction!$M$13:$M$656))+1),""),ROW($G6)),1),""))</f>
        <v/>
      </c>
      <c r="I202" s="142">
        <f>IF(ISERROR(VLOOKUP(H202,Auction!$A$13:$I$656,7,FALSE)),0,VLOOKUP(H202,Auction!$A$13:$I$656,8,FALSE))</f>
        <v>0</v>
      </c>
      <c r="J202" s="143">
        <f>IFERROR(VLOOKUP(H202,Auction!$A$13:$I$656,9,FALSE)-I202,0)</f>
        <v>0</v>
      </c>
      <c r="K202" s="149" t="str">
        <f>IFERROR(INDEX(Auction!$C$13:$C$656,MATCH(H202,Auction!$A$13:$A$656,0)),"")</f>
        <v/>
      </c>
    </row>
    <row r="203" spans="1:11" x14ac:dyDescent="0.25">
      <c r="A203" s="133" t="str">
        <f>IFERROR(INDEX(Auction!$B$13:$B$656,MATCH(B203,Auction!$A$13:$A$656,0)),"")</f>
        <v/>
      </c>
      <c r="B203" s="211" t="str">
        <f t="array" ref="B203">IF($A$195=0,"",IFERROR(INDEX(Auction!$A$13:$M$656,SMALL(IF(Auction!$M$13:$M$656=$A$195,(ROW(Auction!$M$13:$M$656)-MIN(ROW(Auction!$M$13:$M$656))+1),""),ROW($A7)),1),""))</f>
        <v/>
      </c>
      <c r="C203" s="142">
        <f>IF(ISERROR(VLOOKUP(B203,Auction!$A$13:$I$656,7,FALSE)),0,VLOOKUP(B203,Auction!$A$13:$I$656,8,FALSE))</f>
        <v>0</v>
      </c>
      <c r="D203" s="143">
        <f>IFERROR(VLOOKUP(B203,Auction!$A$13:$I$656,9,FALSE)-C203,0)</f>
        <v>0</v>
      </c>
      <c r="E203" s="149" t="str">
        <f>IFERROR(INDEX(Auction!$C$13:$C$656,MATCH(B203,Auction!$A$13:$A$656,0)),"")</f>
        <v/>
      </c>
      <c r="G203" s="133" t="str">
        <f>IFERROR(INDEX(Auction!$B$13:$B$656,MATCH(H203,Auction!$A$13:$A$656,0)),"")</f>
        <v/>
      </c>
      <c r="H203" s="211" t="str">
        <f t="array" ref="H203">IF($G$195=0,"",IFERROR(INDEX(Auction!$A$13:$M$656,SMALL(IF(Auction!$M$13:$M$656=$G$195,(ROW(Auction!$M$13:$M$656)-MIN(ROW(Auction!$M$13:$M$656))+1),""),ROW($G7)),1),""))</f>
        <v/>
      </c>
      <c r="I203" s="142">
        <f>IF(ISERROR(VLOOKUP(H203,Auction!$A$13:$I$656,7,FALSE)),0,VLOOKUP(H203,Auction!$A$13:$I$656,8,FALSE))</f>
        <v>0</v>
      </c>
      <c r="J203" s="143">
        <f>IFERROR(VLOOKUP(H203,Auction!$A$13:$I$656,9,FALSE)-I203,0)</f>
        <v>0</v>
      </c>
      <c r="K203" s="149" t="str">
        <f>IFERROR(INDEX(Auction!$C$13:$C$656,MATCH(H203,Auction!$A$13:$A$656,0)),"")</f>
        <v/>
      </c>
    </row>
    <row r="204" spans="1:11" x14ac:dyDescent="0.25">
      <c r="A204" s="133" t="str">
        <f>IFERROR(INDEX(Auction!$B$13:$B$656,MATCH(B204,Auction!$A$13:$A$656,0)),"")</f>
        <v/>
      </c>
      <c r="B204" s="211" t="str">
        <f t="array" ref="B204">IF($A$195=0,"",IFERROR(INDEX(Auction!$A$13:$M$656,SMALL(IF(Auction!$M$13:$M$656=$A$195,(ROW(Auction!$M$13:$M$656)-MIN(ROW(Auction!$M$13:$M$656))+1),""),ROW($A8)),1),""))</f>
        <v/>
      </c>
      <c r="C204" s="142">
        <f>IF(ISERROR(VLOOKUP(B204,Auction!$A$13:$I$656,7,FALSE)),0,VLOOKUP(B204,Auction!$A$13:$I$656,8,FALSE))</f>
        <v>0</v>
      </c>
      <c r="D204" s="143">
        <f>IFERROR(VLOOKUP(B204,Auction!$A$13:$I$656,9,FALSE)-C204,0)</f>
        <v>0</v>
      </c>
      <c r="E204" s="149" t="str">
        <f>IFERROR(INDEX(Auction!$C$13:$C$656,MATCH(B204,Auction!$A$13:$A$656,0)),"")</f>
        <v/>
      </c>
      <c r="G204" s="133" t="str">
        <f>IFERROR(INDEX(Auction!$B$13:$B$656,MATCH(H204,Auction!$A$13:$A$656,0)),"")</f>
        <v/>
      </c>
      <c r="H204" s="211" t="str">
        <f t="array" ref="H204">IF($G$195=0,"",IFERROR(INDEX(Auction!$A$13:$M$656,SMALL(IF(Auction!$M$13:$M$656=$G$195,(ROW(Auction!$M$13:$M$656)-MIN(ROW(Auction!$M$13:$M$656))+1),""),ROW($G8)),1),""))</f>
        <v/>
      </c>
      <c r="I204" s="142">
        <f>IF(ISERROR(VLOOKUP(H204,Auction!$A$13:$I$656,7,FALSE)),0,VLOOKUP(H204,Auction!$A$13:$I$656,8,FALSE))</f>
        <v>0</v>
      </c>
      <c r="J204" s="143">
        <f>IFERROR(VLOOKUP(H204,Auction!$A$13:$I$656,9,FALSE)-I204,0)</f>
        <v>0</v>
      </c>
      <c r="K204" s="149" t="str">
        <f>IFERROR(INDEX(Auction!$C$13:$C$656,MATCH(H204,Auction!$A$13:$A$656,0)),"")</f>
        <v/>
      </c>
    </row>
    <row r="205" spans="1:11" x14ac:dyDescent="0.25">
      <c r="A205" s="133" t="str">
        <f>IFERROR(INDEX(Auction!$B$13:$B$656,MATCH(B205,Auction!$A$13:$A$656,0)),"")</f>
        <v/>
      </c>
      <c r="B205" s="211" t="str">
        <f t="array" ref="B205">IF($A$195=0,"",IFERROR(INDEX(Auction!$A$13:$M$656,SMALL(IF(Auction!$M$13:$M$656=$A$195,(ROW(Auction!$M$13:$M$656)-MIN(ROW(Auction!$M$13:$M$656))+1),""),ROW($A9)),1),""))</f>
        <v/>
      </c>
      <c r="C205" s="142">
        <f>IF(ISERROR(VLOOKUP(B205,Auction!$A$13:$I$656,7,FALSE)),0,VLOOKUP(B205,Auction!$A$13:$I$656,8,FALSE))</f>
        <v>0</v>
      </c>
      <c r="D205" s="143">
        <f>IFERROR(VLOOKUP(B205,Auction!$A$13:$I$656,9,FALSE)-C205,0)</f>
        <v>0</v>
      </c>
      <c r="E205" s="150" t="str">
        <f>IFERROR(INDEX(Auction!$C$13:$C$656,MATCH(B205,Auction!$A$13:$A$656,0)),"")</f>
        <v/>
      </c>
      <c r="G205" s="133" t="str">
        <f>IFERROR(INDEX(Auction!$B$13:$B$656,MATCH(H205,Auction!$A$13:$A$656,0)),"")</f>
        <v/>
      </c>
      <c r="H205" s="211" t="str">
        <f t="array" ref="H205">IF($G$195=0,"",IFERROR(INDEX(Auction!$A$13:$M$656,SMALL(IF(Auction!$M$13:$M$656=$G$195,(ROW(Auction!$M$13:$M$656)-MIN(ROW(Auction!$M$13:$M$656))+1),""),ROW($G9)),1),""))</f>
        <v/>
      </c>
      <c r="I205" s="142">
        <f>IF(ISERROR(VLOOKUP(H205,Auction!$A$13:$I$656,7,FALSE)),0,VLOOKUP(H205,Auction!$A$13:$I$656,8,FALSE))</f>
        <v>0</v>
      </c>
      <c r="J205" s="143">
        <f>IFERROR(VLOOKUP(H205,Auction!$A$13:$I$656,9,FALSE)-I205,0)</f>
        <v>0</v>
      </c>
      <c r="K205" s="150" t="str">
        <f>IFERROR(INDEX(Auction!$C$13:$C$656,MATCH(H205,Auction!$A$13:$A$656,0)),"")</f>
        <v/>
      </c>
    </row>
    <row r="206" spans="1:11" x14ac:dyDescent="0.25">
      <c r="A206" s="133" t="str">
        <f>IFERROR(INDEX(Auction!$B$13:$B$656,MATCH(B206,Auction!$A$13:$A$656,0)),"")</f>
        <v/>
      </c>
      <c r="B206" s="211" t="str">
        <f t="array" ref="B206">IF($A$195=0,"",IFERROR(INDEX(Auction!$A$13:$M$656,SMALL(IF(Auction!$M$13:$M$656=$A$195,(ROW(Auction!$M$13:$M$656)-MIN(ROW(Auction!$M$13:$M$656))+1),""),ROW($A10)),1),""))</f>
        <v/>
      </c>
      <c r="C206" s="142">
        <f>IF(ISERROR(VLOOKUP(B206,Auction!$A$13:$I$656,7,FALSE)),0,VLOOKUP(B206,Auction!$A$13:$I$656,8,FALSE))</f>
        <v>0</v>
      </c>
      <c r="D206" s="143">
        <f>IFERROR(VLOOKUP(B206,Auction!$A$13:$I$656,9,FALSE)-C206,0)</f>
        <v>0</v>
      </c>
      <c r="E206" s="150" t="str">
        <f>IFERROR(INDEX(Auction!$C$13:$C$656,MATCH(B206,Auction!$A$13:$A$656,0)),"")</f>
        <v/>
      </c>
      <c r="G206" s="133" t="str">
        <f>IFERROR(INDEX(Auction!$B$13:$B$656,MATCH(H206,Auction!$A$13:$A$656,0)),"")</f>
        <v/>
      </c>
      <c r="H206" s="211" t="str">
        <f t="array" ref="H206">IF($G$195=0,"",IFERROR(INDEX(Auction!$A$13:$M$656,SMALL(IF(Auction!$M$13:$M$656=$G$195,(ROW(Auction!$M$13:$M$656)-MIN(ROW(Auction!$M$13:$M$656))+1),""),ROW($G10)),1),""))</f>
        <v/>
      </c>
      <c r="I206" s="142">
        <f>IF(ISERROR(VLOOKUP(H206,Auction!$A$13:$I$656,7,FALSE)),0,VLOOKUP(H206,Auction!$A$13:$I$656,8,FALSE))</f>
        <v>0</v>
      </c>
      <c r="J206" s="143">
        <f>IFERROR(VLOOKUP(H206,Auction!$A$13:$I$656,9,FALSE)-I206,0)</f>
        <v>0</v>
      </c>
      <c r="K206" s="150" t="str">
        <f>IFERROR(INDEX(Auction!$C$13:$C$656,MATCH(H206,Auction!$A$13:$A$656,0)),"")</f>
        <v/>
      </c>
    </row>
    <row r="207" spans="1:11" x14ac:dyDescent="0.25">
      <c r="A207" s="133" t="str">
        <f>IFERROR(INDEX(Auction!$B$13:$B$656,MATCH(B207,Auction!$A$13:$A$656,0)),"")</f>
        <v/>
      </c>
      <c r="B207" s="211" t="str">
        <f t="array" ref="B207">IF($A$195=0,"",IFERROR(INDEX(Auction!$A$13:$M$656,SMALL(IF(Auction!$M$13:$M$656=$A$195,(ROW(Auction!$M$13:$M$656)-MIN(ROW(Auction!$M$13:$M$656))+1),""),ROW($A11)),1),""))</f>
        <v/>
      </c>
      <c r="C207" s="142">
        <f>IF(ISERROR(VLOOKUP(B207,Auction!$A$13:$I$656,7,FALSE)),0,VLOOKUP(B207,Auction!$A$13:$I$656,8,FALSE))</f>
        <v>0</v>
      </c>
      <c r="D207" s="143">
        <f>IFERROR(VLOOKUP(B207,Auction!$A$13:$I$656,9,FALSE)-C207,0)</f>
        <v>0</v>
      </c>
      <c r="E207" s="150" t="str">
        <f>IFERROR(INDEX(Auction!$C$13:$C$656,MATCH(B207,Auction!$A$13:$A$656,0)),"")</f>
        <v/>
      </c>
      <c r="G207" s="133" t="str">
        <f>IFERROR(INDEX(Auction!$B$13:$B$656,MATCH(H207,Auction!$A$13:$A$656,0)),"")</f>
        <v/>
      </c>
      <c r="H207" s="211" t="str">
        <f t="array" ref="H207">IF($G$195=0,"",IFERROR(INDEX(Auction!$A$13:$M$656,SMALL(IF(Auction!$M$13:$M$656=$G$195,(ROW(Auction!$M$13:$M$656)-MIN(ROW(Auction!$M$13:$M$656))+1),""),ROW($G11)),1),""))</f>
        <v/>
      </c>
      <c r="I207" s="142">
        <f>IF(ISERROR(VLOOKUP(H207,Auction!$A$13:$I$656,7,FALSE)),0,VLOOKUP(H207,Auction!$A$13:$I$656,8,FALSE))</f>
        <v>0</v>
      </c>
      <c r="J207" s="143">
        <f>IFERROR(VLOOKUP(H207,Auction!$A$13:$I$656,9,FALSE)-I207,0)</f>
        <v>0</v>
      </c>
      <c r="K207" s="150" t="str">
        <f>IFERROR(INDEX(Auction!$C$13:$C$656,MATCH(H207,Auction!$A$13:$A$656,0)),"")</f>
        <v/>
      </c>
    </row>
    <row r="208" spans="1:11" x14ac:dyDescent="0.25">
      <c r="A208" s="133" t="str">
        <f>IFERROR(INDEX(Auction!$B$13:$B$656,MATCH(B208,Auction!$A$13:$A$656,0)),"")</f>
        <v/>
      </c>
      <c r="B208" s="211" t="str">
        <f t="array" ref="B208">IF($A$195=0,"",IFERROR(INDEX(Auction!$A$13:$M$656,SMALL(IF(Auction!$M$13:$M$656=$A$195,(ROW(Auction!$M$13:$M$656)-MIN(ROW(Auction!$M$13:$M$656))+1),""),ROW($A12)),1),""))</f>
        <v/>
      </c>
      <c r="C208" s="142">
        <f>IF(ISERROR(VLOOKUP(B208,Auction!$A$13:$I$656,7,FALSE)),0,VLOOKUP(B208,Auction!$A$13:$I$656,8,FALSE))</f>
        <v>0</v>
      </c>
      <c r="D208" s="143">
        <f>IFERROR(VLOOKUP(B208,Auction!$A$13:$I$656,9,FALSE)-C208,0)</f>
        <v>0</v>
      </c>
      <c r="E208" s="150" t="str">
        <f>IFERROR(INDEX(Auction!$C$13:$C$656,MATCH(B208,Auction!$A$13:$A$656,0)),"")</f>
        <v/>
      </c>
      <c r="G208" s="133" t="str">
        <f>IFERROR(INDEX(Auction!$B$13:$B$656,MATCH(H208,Auction!$A$13:$A$656,0)),"")</f>
        <v/>
      </c>
      <c r="H208" s="211" t="str">
        <f t="array" ref="H208">IF($G$195=0,"",IFERROR(INDEX(Auction!$A$13:$M$656,SMALL(IF(Auction!$M$13:$M$656=$G$195,(ROW(Auction!$M$13:$M$656)-MIN(ROW(Auction!$M$13:$M$656))+1),""),ROW($G12)),1),""))</f>
        <v/>
      </c>
      <c r="I208" s="142">
        <f>IF(ISERROR(VLOOKUP(H208,Auction!$A$13:$I$656,7,FALSE)),0,VLOOKUP(H208,Auction!$A$13:$I$656,8,FALSE))</f>
        <v>0</v>
      </c>
      <c r="J208" s="143">
        <f>IFERROR(VLOOKUP(H208,Auction!$A$13:$I$656,9,FALSE)-I208,0)</f>
        <v>0</v>
      </c>
      <c r="K208" s="150" t="str">
        <f>IFERROR(INDEX(Auction!$C$13:$C$656,MATCH(H208,Auction!$A$13:$A$656,0)),"")</f>
        <v/>
      </c>
    </row>
    <row r="209" spans="1:11" x14ac:dyDescent="0.25">
      <c r="A209" s="133" t="str">
        <f>IFERROR(INDEX(Auction!$B$13:$B$656,MATCH(B209,Auction!$A$13:$A$656,0)),"")</f>
        <v/>
      </c>
      <c r="B209" s="211" t="str">
        <f t="array" ref="B209">IF($A$195=0,"",IFERROR(INDEX(Auction!$A$13:$M$656,SMALL(IF(Auction!$M$13:$M$656=$A$195,(ROW(Auction!$M$13:$M$656)-MIN(ROW(Auction!$M$13:$M$656))+1),""),ROW($A13)),1),""))</f>
        <v/>
      </c>
      <c r="C209" s="142">
        <f>IF(ISERROR(VLOOKUP(B209,Auction!$A$13:$I$656,7,FALSE)),0,VLOOKUP(B209,Auction!$A$13:$I$656,8,FALSE))</f>
        <v>0</v>
      </c>
      <c r="D209" s="143">
        <f>IFERROR(VLOOKUP(B209,Auction!$A$13:$I$656,9,FALSE)-C209,0)</f>
        <v>0</v>
      </c>
      <c r="E209" s="150" t="str">
        <f>IFERROR(INDEX(Auction!$C$13:$C$656,MATCH(B209,Auction!$A$13:$A$656,0)),"")</f>
        <v/>
      </c>
      <c r="G209" s="133" t="str">
        <f>IFERROR(INDEX(Auction!$B$13:$B$656,MATCH(H209,Auction!$A$13:$A$656,0)),"")</f>
        <v/>
      </c>
      <c r="H209" s="211" t="str">
        <f t="array" ref="H209">IF($G$195=0,"",IFERROR(INDEX(Auction!$A$13:$M$656,SMALL(IF(Auction!$M$13:$M$656=$G$195,(ROW(Auction!$M$13:$M$656)-MIN(ROW(Auction!$M$13:$M$656))+1),""),ROW($G13)),1),""))</f>
        <v/>
      </c>
      <c r="I209" s="142">
        <f>IF(ISERROR(VLOOKUP(H209,Auction!$A$13:$I$656,7,FALSE)),0,VLOOKUP(H209,Auction!$A$13:$I$656,8,FALSE))</f>
        <v>0</v>
      </c>
      <c r="J209" s="143">
        <f>IFERROR(VLOOKUP(H209,Auction!$A$13:$I$656,9,FALSE)-I209,0)</f>
        <v>0</v>
      </c>
      <c r="K209" s="150" t="str">
        <f>IFERROR(INDEX(Auction!$C$13:$C$656,MATCH(H209,Auction!$A$13:$A$656,0)),"")</f>
        <v/>
      </c>
    </row>
    <row r="210" spans="1:11" x14ac:dyDescent="0.25">
      <c r="A210" s="133" t="str">
        <f>IFERROR(INDEX(Auction!$B$13:$B$656,MATCH(B210,Auction!$A$13:$A$656,0)),"")</f>
        <v/>
      </c>
      <c r="B210" s="211" t="str">
        <f t="array" ref="B210">IF($A$195=0,"",IFERROR(INDEX(Auction!$A$13:$M$656,SMALL(IF(Auction!$M$13:$M$656=$A$195,(ROW(Auction!$M$13:$M$656)-MIN(ROW(Auction!$M$13:$M$656))+1),""),ROW($A14)),1),""))</f>
        <v/>
      </c>
      <c r="C210" s="142">
        <f>IF(ISERROR(VLOOKUP(B210,Auction!$A$13:$I$656,7,FALSE)),0,VLOOKUP(B210,Auction!$A$13:$I$656,8,FALSE))</f>
        <v>0</v>
      </c>
      <c r="D210" s="143">
        <f>IFERROR(VLOOKUP(B210,Auction!$A$13:$I$656,9,FALSE)-C210,0)</f>
        <v>0</v>
      </c>
      <c r="E210" s="150" t="str">
        <f>IFERROR(INDEX(Auction!$C$13:$C$656,MATCH(B210,Auction!$A$13:$A$656,0)),"")</f>
        <v/>
      </c>
      <c r="G210" s="133" t="str">
        <f>IFERROR(INDEX(Auction!$B$13:$B$656,MATCH(H210,Auction!$A$13:$A$656,0)),"")</f>
        <v/>
      </c>
      <c r="H210" s="211" t="str">
        <f t="array" ref="H210">IF($G$195=0,"",IFERROR(INDEX(Auction!$A$13:$M$656,SMALL(IF(Auction!$M$13:$M$656=$G$195,(ROW(Auction!$M$13:$M$656)-MIN(ROW(Auction!$M$13:$M$656))+1),""),ROW($G14)),1),""))</f>
        <v/>
      </c>
      <c r="I210" s="142">
        <f>IF(ISERROR(VLOOKUP(H210,Auction!$A$13:$I$656,7,FALSE)),0,VLOOKUP(H210,Auction!$A$13:$I$656,8,FALSE))</f>
        <v>0</v>
      </c>
      <c r="J210" s="143">
        <f>IFERROR(VLOOKUP(H210,Auction!$A$13:$I$656,9,FALSE)-I210,0)</f>
        <v>0</v>
      </c>
      <c r="K210" s="150" t="str">
        <f>IFERROR(INDEX(Auction!$C$13:$C$656,MATCH(H210,Auction!$A$13:$A$656,0)),"")</f>
        <v/>
      </c>
    </row>
    <row r="211" spans="1:11" x14ac:dyDescent="0.25">
      <c r="A211" s="133" t="str">
        <f>IFERROR(INDEX(Auction!$B$13:$B$656,MATCH(B211,Auction!$A$13:$A$656,0)),"")</f>
        <v/>
      </c>
      <c r="B211" s="211" t="str">
        <f t="array" ref="B211">IF($A$195=0,"",IFERROR(INDEX(Auction!$A$13:$M$656,SMALL(IF(Auction!$M$13:$M$656=$A$195,(ROW(Auction!$M$13:$M$656)-MIN(ROW(Auction!$M$13:$M$656))+1),""),ROW($A15)),1),""))</f>
        <v/>
      </c>
      <c r="C211" s="142">
        <f>IF(ISERROR(VLOOKUP(B211,Auction!$A$13:$I$656,7,FALSE)),0,VLOOKUP(B211,Auction!$A$13:$I$656,8,FALSE))</f>
        <v>0</v>
      </c>
      <c r="D211" s="143">
        <f>IFERROR(VLOOKUP(B211,Auction!$A$13:$I$656,9,FALSE)-C211,0)</f>
        <v>0</v>
      </c>
      <c r="E211" s="150" t="str">
        <f>IFERROR(INDEX(Auction!$C$13:$C$656,MATCH(B211,Auction!$A$13:$A$656,0)),"")</f>
        <v/>
      </c>
      <c r="G211" s="133" t="str">
        <f>IFERROR(INDEX(Auction!$B$13:$B$656,MATCH(H211,Auction!$A$13:$A$656,0)),"")</f>
        <v/>
      </c>
      <c r="H211" s="211" t="str">
        <f t="array" ref="H211">IF($G$195=0,"",IFERROR(INDEX(Auction!$A$13:$M$656,SMALL(IF(Auction!$M$13:$M$656=$G$195,(ROW(Auction!$M$13:$M$656)-MIN(ROW(Auction!$M$13:$M$656))+1),""),ROW($G15)),1),""))</f>
        <v/>
      </c>
      <c r="I211" s="142">
        <f>IF(ISERROR(VLOOKUP(H211,Auction!$A$13:$I$656,7,FALSE)),0,VLOOKUP(H211,Auction!$A$13:$I$656,8,FALSE))</f>
        <v>0</v>
      </c>
      <c r="J211" s="143">
        <f>IFERROR(VLOOKUP(H211,Auction!$A$13:$I$656,9,FALSE)-I211,0)</f>
        <v>0</v>
      </c>
      <c r="K211" s="150" t="str">
        <f>IFERROR(INDEX(Auction!$C$13:$C$656,MATCH(H211,Auction!$A$13:$A$656,0)),"")</f>
        <v/>
      </c>
    </row>
    <row r="212" spans="1:11" x14ac:dyDescent="0.25">
      <c r="A212" s="133" t="str">
        <f>IFERROR(INDEX(Auction!$B$13:$B$656,MATCH(B212,Auction!$A$13:$A$656,0)),"")</f>
        <v/>
      </c>
      <c r="B212" s="211" t="str">
        <f t="array" ref="B212">IF($A$195=0,"",IFERROR(INDEX(Auction!$A$13:$M$656,SMALL(IF(Auction!$M$13:$M$656=$A$195,(ROW(Auction!$M$13:$M$656)-MIN(ROW(Auction!$M$13:$M$656))+1),""),ROW($A16)),1),""))</f>
        <v/>
      </c>
      <c r="C212" s="142">
        <f>IF(ISERROR(VLOOKUP(B212,Auction!$A$13:$I$656,7,FALSE)),0,VLOOKUP(B212,Auction!$A$13:$I$656,8,FALSE))</f>
        <v>0</v>
      </c>
      <c r="D212" s="143">
        <f>IFERROR(VLOOKUP(B212,Auction!$A$13:$I$656,9,FALSE)-C212,0)</f>
        <v>0</v>
      </c>
      <c r="E212" s="150" t="str">
        <f>IFERROR(INDEX(Auction!$C$13:$C$656,MATCH(B212,Auction!$A$13:$A$656,0)),"")</f>
        <v/>
      </c>
      <c r="G212" s="133" t="str">
        <f>IFERROR(INDEX(Auction!$B$13:$B$656,MATCH(H212,Auction!$A$13:$A$656,0)),"")</f>
        <v/>
      </c>
      <c r="H212" s="211" t="str">
        <f t="array" ref="H212">IF($G$195=0,"",IFERROR(INDEX(Auction!$A$13:$M$656,SMALL(IF(Auction!$M$13:$M$656=$G$195,(ROW(Auction!$M$13:$M$656)-MIN(ROW(Auction!$M$13:$M$656))+1),""),ROW($G16)),1),""))</f>
        <v/>
      </c>
      <c r="I212" s="142">
        <f>IF(ISERROR(VLOOKUP(H212,Auction!$A$13:$I$656,7,FALSE)),0,VLOOKUP(H212,Auction!$A$13:$I$656,8,FALSE))</f>
        <v>0</v>
      </c>
      <c r="J212" s="143">
        <f>IFERROR(VLOOKUP(H212,Auction!$A$13:$I$656,9,FALSE)-I212,0)</f>
        <v>0</v>
      </c>
      <c r="K212" s="150" t="str">
        <f>IFERROR(INDEX(Auction!$C$13:$C$656,MATCH(H212,Auction!$A$13:$A$656,0)),"")</f>
        <v/>
      </c>
    </row>
    <row r="213" spans="1:11" x14ac:dyDescent="0.25">
      <c r="A213" s="133" t="str">
        <f>IFERROR(INDEX(Auction!$B$13:$B$656,MATCH(B213,Auction!$A$13:$A$656,0)),"")</f>
        <v/>
      </c>
      <c r="B213" s="211" t="str">
        <f t="array" ref="B213">IF($A$195=0,"",IFERROR(INDEX(Auction!$A$13:$M$656,SMALL(IF(Auction!$M$13:$M$656=$A$195,(ROW(Auction!$M$13:$M$656)-MIN(ROW(Auction!$M$13:$M$656))+1),""),ROW($A17)),1),""))</f>
        <v/>
      </c>
      <c r="C213" s="142">
        <f>IF(ISERROR(VLOOKUP(B213,Auction!$A$13:$I$656,7,FALSE)),0,VLOOKUP(B213,Auction!$A$13:$I$656,8,FALSE))</f>
        <v>0</v>
      </c>
      <c r="D213" s="143">
        <f>IFERROR(VLOOKUP(B213,Auction!$A$13:$I$656,9,FALSE)-C213,0)</f>
        <v>0</v>
      </c>
      <c r="E213" s="150" t="str">
        <f>IFERROR(INDEX(Auction!$C$13:$C$656,MATCH(B213,Auction!$A$13:$A$656,0)),"")</f>
        <v/>
      </c>
      <c r="G213" s="133" t="str">
        <f>IFERROR(INDEX(Auction!$B$13:$B$656,MATCH(H213,Auction!$A$13:$A$656,0)),"")</f>
        <v/>
      </c>
      <c r="H213" s="211" t="str">
        <f t="array" ref="H213">IF($G$195=0,"",IFERROR(INDEX(Auction!$A$13:$M$656,SMALL(IF(Auction!$M$13:$M$656=$G$195,(ROW(Auction!$M$13:$M$656)-MIN(ROW(Auction!$M$13:$M$656))+1),""),ROW($G17)),1),""))</f>
        <v/>
      </c>
      <c r="I213" s="142">
        <f>IF(ISERROR(VLOOKUP(H213,Auction!$A$13:$I$656,7,FALSE)),0,VLOOKUP(H213,Auction!$A$13:$I$656,8,FALSE))</f>
        <v>0</v>
      </c>
      <c r="J213" s="143">
        <f>IFERROR(VLOOKUP(H213,Auction!$A$13:$I$656,9,FALSE)-I213,0)</f>
        <v>0</v>
      </c>
      <c r="K213" s="150" t="str">
        <f>IFERROR(INDEX(Auction!$C$13:$C$656,MATCH(H213,Auction!$A$13:$A$656,0)),"")</f>
        <v/>
      </c>
    </row>
    <row r="214" spans="1:11" x14ac:dyDescent="0.25">
      <c r="A214" s="133" t="str">
        <f>IFERROR(INDEX(Auction!$B$13:$B$656,MATCH(B214,Auction!$A$13:$A$656,0)),"")</f>
        <v/>
      </c>
      <c r="B214" s="211" t="str">
        <f t="array" ref="B214">IF($A$195=0,"",IFERROR(INDEX(Auction!$A$13:$M$656,SMALL(IF(Auction!$M$13:$M$656=$A$195,(ROW(Auction!$M$13:$M$656)-MIN(ROW(Auction!$M$13:$M$656))+1),""),ROW($A18)),1),""))</f>
        <v/>
      </c>
      <c r="C214" s="142">
        <f>IF(ISERROR(VLOOKUP(B214,Auction!$A$13:$I$656,7,FALSE)),0,VLOOKUP(B214,Auction!$A$13:$I$656,8,FALSE))</f>
        <v>0</v>
      </c>
      <c r="D214" s="143">
        <f>IFERROR(VLOOKUP(B214,Auction!$A$13:$I$656,9,FALSE)-C214,0)</f>
        <v>0</v>
      </c>
      <c r="E214" s="150" t="str">
        <f>IFERROR(INDEX(Auction!$C$13:$C$656,MATCH(B214,Auction!$A$13:$A$656,0)),"")</f>
        <v/>
      </c>
      <c r="G214" s="133" t="str">
        <f>IFERROR(INDEX(Auction!$B$13:$B$656,MATCH(H214,Auction!$A$13:$A$656,0)),"")</f>
        <v/>
      </c>
      <c r="H214" s="211" t="str">
        <f t="array" ref="H214">IF($G$195=0,"",IFERROR(INDEX(Auction!$A$13:$M$656,SMALL(IF(Auction!$M$13:$M$656=$G$195,(ROW(Auction!$M$13:$M$656)-MIN(ROW(Auction!$M$13:$M$656))+1),""),ROW($G18)),1),""))</f>
        <v/>
      </c>
      <c r="I214" s="142">
        <f>IF(ISERROR(VLOOKUP(H214,Auction!$A$13:$I$656,7,FALSE)),0,VLOOKUP(H214,Auction!$A$13:$I$656,8,FALSE))</f>
        <v>0</v>
      </c>
      <c r="J214" s="143">
        <f>IFERROR(VLOOKUP(H214,Auction!$A$13:$I$656,9,FALSE)-I214,0)</f>
        <v>0</v>
      </c>
      <c r="K214" s="150" t="str">
        <f>IFERROR(INDEX(Auction!$C$13:$C$656,MATCH(H214,Auction!$A$13:$A$656,0)),"")</f>
        <v/>
      </c>
    </row>
    <row r="215" spans="1:11" x14ac:dyDescent="0.25">
      <c r="A215" s="133" t="str">
        <f>IFERROR(INDEX(Auction!$B$13:$B$656,MATCH(B215,Auction!$A$13:$A$656,0)),"")</f>
        <v/>
      </c>
      <c r="B215" s="211" t="str">
        <f t="array" ref="B215">IF($A$195=0,"",IFERROR(INDEX(Auction!$A$13:$M$656,SMALL(IF(Auction!$M$13:$M$656=$A$195,(ROW(Auction!$M$13:$M$656)-MIN(ROW(Auction!$M$13:$M$656))+1),""),ROW($A19)),1),""))</f>
        <v/>
      </c>
      <c r="C215" s="142">
        <f>IF(ISERROR(VLOOKUP(B215,Auction!$A$13:$I$656,7,FALSE)),0,VLOOKUP(B215,Auction!$A$13:$I$656,8,FALSE))</f>
        <v>0</v>
      </c>
      <c r="D215" s="143">
        <f>IFERROR(VLOOKUP(B215,Auction!$A$13:$I$656,9,FALSE)-C215,0)</f>
        <v>0</v>
      </c>
      <c r="E215" s="150" t="str">
        <f>IFERROR(INDEX(Auction!$C$13:$C$656,MATCH(B215,Auction!$A$13:$A$656,0)),"")</f>
        <v/>
      </c>
      <c r="G215" s="133" t="str">
        <f>IFERROR(INDEX(Auction!$B$13:$B$656,MATCH(H215,Auction!$A$13:$A$656,0)),"")</f>
        <v/>
      </c>
      <c r="H215" s="211" t="str">
        <f t="array" ref="H215">IF($G$195=0,"",IFERROR(INDEX(Auction!$A$13:$M$656,SMALL(IF(Auction!$M$13:$M$656=$G$195,(ROW(Auction!$M$13:$M$656)-MIN(ROW(Auction!$M$13:$M$656))+1),""),ROW($G19)),1),""))</f>
        <v/>
      </c>
      <c r="I215" s="142">
        <f>IF(ISERROR(VLOOKUP(H215,Auction!$A$13:$I$656,7,FALSE)),0,VLOOKUP(H215,Auction!$A$13:$I$656,8,FALSE))</f>
        <v>0</v>
      </c>
      <c r="J215" s="143">
        <f>IFERROR(VLOOKUP(H215,Auction!$A$13:$I$656,9,FALSE)-I215,0)</f>
        <v>0</v>
      </c>
      <c r="K215" s="150" t="str">
        <f>IFERROR(INDEX(Auction!$C$13:$C$656,MATCH(H215,Auction!$A$13:$A$656,0)),"")</f>
        <v/>
      </c>
    </row>
    <row r="216" spans="1:11" x14ac:dyDescent="0.25">
      <c r="A216" s="133" t="str">
        <f>IFERROR(INDEX(Auction!$B$13:$B$656,MATCH(B216,Auction!$A$13:$A$656,0)),"")</f>
        <v/>
      </c>
      <c r="B216" s="211" t="str">
        <f t="array" ref="B216">IF($A$195=0,"",IFERROR(INDEX(Auction!$A$13:$M$656,SMALL(IF(Auction!$M$13:$M$656=$A$195,(ROW(Auction!$M$13:$M$656)-MIN(ROW(Auction!$M$13:$M$656))+1),""),ROW($A20)),1),""))</f>
        <v/>
      </c>
      <c r="C216" s="142">
        <f>IF(ISERROR(VLOOKUP(B216,Auction!$A$13:$I$656,7,FALSE)),0,VLOOKUP(B216,Auction!$A$13:$I$656,8,FALSE))</f>
        <v>0</v>
      </c>
      <c r="D216" s="143">
        <f>IFERROR(VLOOKUP(B216,Auction!$A$13:$I$656,9,FALSE)-C216,0)</f>
        <v>0</v>
      </c>
      <c r="E216" s="150" t="str">
        <f>IFERROR(INDEX(Auction!$C$13:$C$656,MATCH(B216,Auction!$A$13:$A$656,0)),"")</f>
        <v/>
      </c>
      <c r="G216" s="133" t="str">
        <f>IFERROR(INDEX(Auction!$B$13:$B$656,MATCH(H216,Auction!$A$13:$A$656,0)),"")</f>
        <v/>
      </c>
      <c r="H216" s="211" t="str">
        <f t="array" ref="H216">IF($G$195=0,"",IFERROR(INDEX(Auction!$A$13:$M$656,SMALL(IF(Auction!$M$13:$M$656=$G$195,(ROW(Auction!$M$13:$M$656)-MIN(ROW(Auction!$M$13:$M$656))+1),""),ROW($G20)),1),""))</f>
        <v/>
      </c>
      <c r="I216" s="142">
        <f>IF(ISERROR(VLOOKUP(H216,Auction!$A$13:$I$656,7,FALSE)),0,VLOOKUP(H216,Auction!$A$13:$I$656,8,FALSE))</f>
        <v>0</v>
      </c>
      <c r="J216" s="143">
        <f>IFERROR(VLOOKUP(H216,Auction!$A$13:$I$656,9,FALSE)-I216,0)</f>
        <v>0</v>
      </c>
      <c r="K216" s="150" t="str">
        <f>IFERROR(INDEX(Auction!$C$13:$C$656,MATCH(H216,Auction!$A$13:$A$656,0)),"")</f>
        <v/>
      </c>
    </row>
    <row r="217" spans="1:11" x14ac:dyDescent="0.25">
      <c r="A217" s="151"/>
      <c r="B217" s="152"/>
      <c r="C217" s="153">
        <f>SUM(C197:C216)</f>
        <v>0</v>
      </c>
      <c r="D217" s="153">
        <f>SUM(D197:D216)</f>
        <v>0</v>
      </c>
      <c r="E217" s="154"/>
      <c r="G217" s="151"/>
      <c r="H217" s="152"/>
      <c r="I217" s="153">
        <f>SUM(I197:I216)</f>
        <v>0</v>
      </c>
      <c r="J217" s="153">
        <f>SUM(J197:J216)</f>
        <v>0</v>
      </c>
      <c r="K217" s="154"/>
    </row>
    <row r="219" spans="1:11" x14ac:dyDescent="0.25">
      <c r="A219" s="268">
        <f>H20</f>
        <v>0</v>
      </c>
      <c r="B219" s="269"/>
      <c r="C219" s="269"/>
      <c r="D219" s="269"/>
      <c r="E219" s="270"/>
      <c r="G219" s="268">
        <f>H21</f>
        <v>0</v>
      </c>
      <c r="H219" s="269"/>
      <c r="I219" s="269"/>
      <c r="J219" s="269"/>
      <c r="K219" s="270"/>
    </row>
    <row r="220" spans="1:11" x14ac:dyDescent="0.25">
      <c r="A220" s="140" t="s">
        <v>495</v>
      </c>
      <c r="B220" s="148" t="s">
        <v>85</v>
      </c>
      <c r="C220" s="130" t="s">
        <v>496</v>
      </c>
      <c r="D220" s="130" t="s">
        <v>497</v>
      </c>
      <c r="E220" s="141" t="s">
        <v>440</v>
      </c>
      <c r="G220" s="140" t="s">
        <v>495</v>
      </c>
      <c r="H220" s="148" t="s">
        <v>85</v>
      </c>
      <c r="I220" s="130" t="s">
        <v>496</v>
      </c>
      <c r="J220" s="130" t="s">
        <v>497</v>
      </c>
      <c r="K220" s="141" t="s">
        <v>440</v>
      </c>
    </row>
    <row r="221" spans="1:11" x14ac:dyDescent="0.25">
      <c r="A221" s="133" t="str">
        <f>IFERROR(INDEX(Auction!$B$13:$B$656,MATCH(B221,Auction!$A$13:$A$656,0)),"")</f>
        <v/>
      </c>
      <c r="B221" s="211" t="str">
        <f t="array" ref="B221">IF($A$219=0,"",IFERROR(INDEX(Auction!$A$13:$M$656,SMALL(IF(Auction!$M$13:$M$656=$A$219,(ROW(Auction!$M$13:$M$656)-MIN(ROW(Auction!$M$13:$M$656))+1),""),ROW($A1)),1),""))</f>
        <v/>
      </c>
      <c r="C221" s="142">
        <f>IF(ISERROR(VLOOKUP(B221,Auction!$A$13:$I$656,7,FALSE)),0,VLOOKUP(B221,Auction!$A$13:$I$656,8,FALSE))</f>
        <v>0</v>
      </c>
      <c r="D221" s="143">
        <f>IFERROR(VLOOKUP(B221,Auction!$A$13:$I$656,9,FALSE)-C221,0)</f>
        <v>0</v>
      </c>
      <c r="E221" s="149" t="str">
        <f>IFERROR(INDEX(Auction!$C$13:$C$656,MATCH(B221,Auction!$A$13:$A$656,0)),"")</f>
        <v/>
      </c>
      <c r="G221" s="133" t="str">
        <f>IFERROR(INDEX(Auction!$B$13:$B$656,MATCH(H221,Auction!$A$13:$A$656,0)),"")</f>
        <v/>
      </c>
      <c r="H221" s="211" t="str">
        <f t="array" ref="H221">IF($G$219=0,"",IFERROR(INDEX(Auction!$A$13:$M$656,SMALL(IF(Auction!$M$13:$M$656=$G$219,(ROW(Auction!$M$13:$M$656)-MIN(ROW(Auction!$M$13:$M$656))+1),""),ROW($G1)),1),""))</f>
        <v/>
      </c>
      <c r="I221" s="142">
        <f>IF(ISERROR(VLOOKUP(H221,Auction!$A$13:$I$656,7,FALSE)),0,VLOOKUP(H221,Auction!$A$13:$I$656,8,FALSE))</f>
        <v>0</v>
      </c>
      <c r="J221" s="143">
        <f>IFERROR(VLOOKUP(H221,Auction!$A$13:$I$656,9,FALSE)-I221,0)</f>
        <v>0</v>
      </c>
      <c r="K221" s="149" t="str">
        <f>IFERROR(INDEX(Auction!$C$13:$C$656,MATCH(H221,Auction!$A$13:$A$656,0)),"")</f>
        <v/>
      </c>
    </row>
    <row r="222" spans="1:11" x14ac:dyDescent="0.25">
      <c r="A222" s="133" t="str">
        <f>IFERROR(INDEX(Auction!$B$13:$B$656,MATCH(B222,Auction!$A$13:$A$656,0)),"")</f>
        <v/>
      </c>
      <c r="B222" s="211" t="str">
        <f t="array" ref="B222">IF($A$219=0,"",IFERROR(INDEX(Auction!$A$13:$M$656,SMALL(IF(Auction!$M$13:$M$656=$A$219,(ROW(Auction!$M$13:$M$656)-MIN(ROW(Auction!$M$13:$M$656))+1),""),ROW($A2)),1),""))</f>
        <v/>
      </c>
      <c r="C222" s="142">
        <f>IF(ISERROR(VLOOKUP(B222,Auction!$A$13:$I$656,7,FALSE)),0,VLOOKUP(B222,Auction!$A$13:$I$656,8,FALSE))</f>
        <v>0</v>
      </c>
      <c r="D222" s="143">
        <f>IFERROR(VLOOKUP(B222,Auction!$A$13:$I$656,9,FALSE)-C222,0)</f>
        <v>0</v>
      </c>
      <c r="E222" s="149" t="str">
        <f>IFERROR(INDEX(Auction!$C$13:$C$656,MATCH(B222,Auction!$A$13:$A$656,0)),"")</f>
        <v/>
      </c>
      <c r="G222" s="133" t="str">
        <f>IFERROR(INDEX(Auction!$B$13:$B$656,MATCH(H222,Auction!$A$13:$A$656,0)),"")</f>
        <v/>
      </c>
      <c r="H222" s="211" t="str">
        <f t="array" ref="H222">IF($G$219=0,"",IFERROR(INDEX(Auction!$A$13:$M$656,SMALL(IF(Auction!$M$13:$M$656=$G$219,(ROW(Auction!$M$13:$M$656)-MIN(ROW(Auction!$M$13:$M$656))+1),""),ROW($G2)),1),""))</f>
        <v/>
      </c>
      <c r="I222" s="142">
        <f>IF(ISERROR(VLOOKUP(H222,Auction!$A$13:$I$656,7,FALSE)),0,VLOOKUP(H222,Auction!$A$13:$I$656,8,FALSE))</f>
        <v>0</v>
      </c>
      <c r="J222" s="143">
        <f>IFERROR(VLOOKUP(H222,Auction!$A$13:$I$656,9,FALSE)-I222,0)</f>
        <v>0</v>
      </c>
      <c r="K222" s="149" t="str">
        <f>IFERROR(INDEX(Auction!$C$13:$C$656,MATCH(H222,Auction!$A$13:$A$656,0)),"")</f>
        <v/>
      </c>
    </row>
    <row r="223" spans="1:11" x14ac:dyDescent="0.25">
      <c r="A223" s="133" t="str">
        <f>IFERROR(INDEX(Auction!$B$13:$B$656,MATCH(B223,Auction!$A$13:$A$656,0)),"")</f>
        <v/>
      </c>
      <c r="B223" s="211" t="str">
        <f t="array" ref="B223">IF($A$219=0,"",IFERROR(INDEX(Auction!$A$13:$M$656,SMALL(IF(Auction!$M$13:$M$656=$A$219,(ROW(Auction!$M$13:$M$656)-MIN(ROW(Auction!$M$13:$M$656))+1),""),ROW($A3)),1),""))</f>
        <v/>
      </c>
      <c r="C223" s="142">
        <f>IF(ISERROR(VLOOKUP(B223,Auction!$A$13:$I$656,7,FALSE)),0,VLOOKUP(B223,Auction!$A$13:$I$656,8,FALSE))</f>
        <v>0</v>
      </c>
      <c r="D223" s="143">
        <f>IFERROR(VLOOKUP(B223,Auction!$A$13:$I$656,9,FALSE)-C223,0)</f>
        <v>0</v>
      </c>
      <c r="E223" s="149" t="str">
        <f>IFERROR(INDEX(Auction!$C$13:$C$656,MATCH(B223,Auction!$A$13:$A$656,0)),"")</f>
        <v/>
      </c>
      <c r="G223" s="133" t="str">
        <f>IFERROR(INDEX(Auction!$B$13:$B$656,MATCH(H223,Auction!$A$13:$A$656,0)),"")</f>
        <v/>
      </c>
      <c r="H223" s="211" t="str">
        <f t="array" ref="H223">IF($G$219=0,"",IFERROR(INDEX(Auction!$A$13:$M$656,SMALL(IF(Auction!$M$13:$M$656=$G$219,(ROW(Auction!$M$13:$M$656)-MIN(ROW(Auction!$M$13:$M$656))+1),""),ROW($G3)),1),""))</f>
        <v/>
      </c>
      <c r="I223" s="142">
        <f>IF(ISERROR(VLOOKUP(H223,Auction!$A$13:$I$656,7,FALSE)),0,VLOOKUP(H223,Auction!$A$13:$I$656,8,FALSE))</f>
        <v>0</v>
      </c>
      <c r="J223" s="143">
        <f>IFERROR(VLOOKUP(H223,Auction!$A$13:$I$656,9,FALSE)-I223,0)</f>
        <v>0</v>
      </c>
      <c r="K223" s="149" t="str">
        <f>IFERROR(INDEX(Auction!$C$13:$C$656,MATCH(H223,Auction!$A$13:$A$656,0)),"")</f>
        <v/>
      </c>
    </row>
    <row r="224" spans="1:11" x14ac:dyDescent="0.25">
      <c r="A224" s="133" t="str">
        <f>IFERROR(INDEX(Auction!$B$13:$B$656,MATCH(B224,Auction!$A$13:$A$656,0)),"")</f>
        <v/>
      </c>
      <c r="B224" s="211" t="str">
        <f t="array" ref="B224">IF($A$219=0,"",IFERROR(INDEX(Auction!$A$13:$M$656,SMALL(IF(Auction!$M$13:$M$656=$A$219,(ROW(Auction!$M$13:$M$656)-MIN(ROW(Auction!$M$13:$M$656))+1),""),ROW($A4)),1),""))</f>
        <v/>
      </c>
      <c r="C224" s="142">
        <f>IF(ISERROR(VLOOKUP(B224,Auction!$A$13:$I$656,7,FALSE)),0,VLOOKUP(B224,Auction!$A$13:$I$656,8,FALSE))</f>
        <v>0</v>
      </c>
      <c r="D224" s="143">
        <f>IFERROR(VLOOKUP(B224,Auction!$A$13:$I$656,9,FALSE)-C224,0)</f>
        <v>0</v>
      </c>
      <c r="E224" s="149" t="str">
        <f>IFERROR(INDEX(Auction!$C$13:$C$656,MATCH(B224,Auction!$A$13:$A$656,0)),"")</f>
        <v/>
      </c>
      <c r="G224" s="133" t="str">
        <f>IFERROR(INDEX(Auction!$B$13:$B$656,MATCH(H224,Auction!$A$13:$A$656,0)),"")</f>
        <v/>
      </c>
      <c r="H224" s="211" t="str">
        <f t="array" ref="H224">IF($G$219=0,"",IFERROR(INDEX(Auction!$A$13:$M$656,SMALL(IF(Auction!$M$13:$M$656=$G$219,(ROW(Auction!$M$13:$M$656)-MIN(ROW(Auction!$M$13:$M$656))+1),""),ROW($G4)),1),""))</f>
        <v/>
      </c>
      <c r="I224" s="142">
        <f>IF(ISERROR(VLOOKUP(H224,Auction!$A$13:$I$656,7,FALSE)),0,VLOOKUP(H224,Auction!$A$13:$I$656,8,FALSE))</f>
        <v>0</v>
      </c>
      <c r="J224" s="143">
        <f>IFERROR(VLOOKUP(H224,Auction!$A$13:$I$656,9,FALSE)-I224,0)</f>
        <v>0</v>
      </c>
      <c r="K224" s="149" t="str">
        <f>IFERROR(INDEX(Auction!$C$13:$C$656,MATCH(H224,Auction!$A$13:$A$656,0)),"")</f>
        <v/>
      </c>
    </row>
    <row r="225" spans="1:11" x14ac:dyDescent="0.25">
      <c r="A225" s="133" t="str">
        <f>IFERROR(INDEX(Auction!$B$13:$B$656,MATCH(B225,Auction!$A$13:$A$656,0)),"")</f>
        <v/>
      </c>
      <c r="B225" s="211" t="str">
        <f t="array" ref="B225">IF($A$219=0,"",IFERROR(INDEX(Auction!$A$13:$M$656,SMALL(IF(Auction!$M$13:$M$656=$A$219,(ROW(Auction!$M$13:$M$656)-MIN(ROW(Auction!$M$13:$M$656))+1),""),ROW($A5)),1),""))</f>
        <v/>
      </c>
      <c r="C225" s="142">
        <f>IF(ISERROR(VLOOKUP(B225,Auction!$A$13:$I$656,7,FALSE)),0,VLOOKUP(B225,Auction!$A$13:$I$656,8,FALSE))</f>
        <v>0</v>
      </c>
      <c r="D225" s="143">
        <f>IFERROR(VLOOKUP(B225,Auction!$A$13:$I$656,9,FALSE)-C225,0)</f>
        <v>0</v>
      </c>
      <c r="E225" s="149" t="str">
        <f>IFERROR(INDEX(Auction!$C$13:$C$656,MATCH(B225,Auction!$A$13:$A$656,0)),"")</f>
        <v/>
      </c>
      <c r="G225" s="133" t="str">
        <f>IFERROR(INDEX(Auction!$B$13:$B$656,MATCH(H225,Auction!$A$13:$A$656,0)),"")</f>
        <v/>
      </c>
      <c r="H225" s="211" t="str">
        <f t="array" ref="H225">IF($G$219=0,"",IFERROR(INDEX(Auction!$A$13:$M$656,SMALL(IF(Auction!$M$13:$M$656=$G$219,(ROW(Auction!$M$13:$M$656)-MIN(ROW(Auction!$M$13:$M$656))+1),""),ROW($G5)),1),""))</f>
        <v/>
      </c>
      <c r="I225" s="142">
        <f>IF(ISERROR(VLOOKUP(H225,Auction!$A$13:$I$656,7,FALSE)),0,VLOOKUP(H225,Auction!$A$13:$I$656,8,FALSE))</f>
        <v>0</v>
      </c>
      <c r="J225" s="143">
        <f>IFERROR(VLOOKUP(H225,Auction!$A$13:$I$656,9,FALSE)-I225,0)</f>
        <v>0</v>
      </c>
      <c r="K225" s="149" t="str">
        <f>IFERROR(INDEX(Auction!$C$13:$C$656,MATCH(H225,Auction!$A$13:$A$656,0)),"")</f>
        <v/>
      </c>
    </row>
    <row r="226" spans="1:11" x14ac:dyDescent="0.25">
      <c r="A226" s="133" t="str">
        <f>IFERROR(INDEX(Auction!$B$13:$B$656,MATCH(B226,Auction!$A$13:$A$656,0)),"")</f>
        <v/>
      </c>
      <c r="B226" s="211" t="str">
        <f t="array" ref="B226">IF($A$219=0,"",IFERROR(INDEX(Auction!$A$13:$M$656,SMALL(IF(Auction!$M$13:$M$656=$A$219,(ROW(Auction!$M$13:$M$656)-MIN(ROW(Auction!$M$13:$M$656))+1),""),ROW($A6)),1),""))</f>
        <v/>
      </c>
      <c r="C226" s="142">
        <f>IF(ISERROR(VLOOKUP(B226,Auction!$A$13:$I$656,7,FALSE)),0,VLOOKUP(B226,Auction!$A$13:$I$656,8,FALSE))</f>
        <v>0</v>
      </c>
      <c r="D226" s="143">
        <f>IFERROR(VLOOKUP(B226,Auction!$A$13:$I$656,9,FALSE)-C226,0)</f>
        <v>0</v>
      </c>
      <c r="E226" s="149" t="str">
        <f>IFERROR(INDEX(Auction!$C$13:$C$656,MATCH(B226,Auction!$A$13:$A$656,0)),"")</f>
        <v/>
      </c>
      <c r="G226" s="133" t="str">
        <f>IFERROR(INDEX(Auction!$B$13:$B$656,MATCH(H226,Auction!$A$13:$A$656,0)),"")</f>
        <v/>
      </c>
      <c r="H226" s="211" t="str">
        <f t="array" ref="H226">IF($G$219=0,"",IFERROR(INDEX(Auction!$A$13:$M$656,SMALL(IF(Auction!$M$13:$M$656=$G$219,(ROW(Auction!$M$13:$M$656)-MIN(ROW(Auction!$M$13:$M$656))+1),""),ROW($G6)),1),""))</f>
        <v/>
      </c>
      <c r="I226" s="142">
        <f>IF(ISERROR(VLOOKUP(H226,Auction!$A$13:$I$656,7,FALSE)),0,VLOOKUP(H226,Auction!$A$13:$I$656,8,FALSE))</f>
        <v>0</v>
      </c>
      <c r="J226" s="143">
        <f>IFERROR(VLOOKUP(H226,Auction!$A$13:$I$656,9,FALSE)-I226,0)</f>
        <v>0</v>
      </c>
      <c r="K226" s="149" t="str">
        <f>IFERROR(INDEX(Auction!$C$13:$C$656,MATCH(H226,Auction!$A$13:$A$656,0)),"")</f>
        <v/>
      </c>
    </row>
    <row r="227" spans="1:11" x14ac:dyDescent="0.25">
      <c r="A227" s="133" t="str">
        <f>IFERROR(INDEX(Auction!$B$13:$B$656,MATCH(B227,Auction!$A$13:$A$656,0)),"")</f>
        <v/>
      </c>
      <c r="B227" s="211" t="str">
        <f t="array" ref="B227">IF($A$219=0,"",IFERROR(INDEX(Auction!$A$13:$M$656,SMALL(IF(Auction!$M$13:$M$656=$A$219,(ROW(Auction!$M$13:$M$656)-MIN(ROW(Auction!$M$13:$M$656))+1),""),ROW($A7)),1),""))</f>
        <v/>
      </c>
      <c r="C227" s="142">
        <f>IF(ISERROR(VLOOKUP(B227,Auction!$A$13:$I$656,7,FALSE)),0,VLOOKUP(B227,Auction!$A$13:$I$656,8,FALSE))</f>
        <v>0</v>
      </c>
      <c r="D227" s="143">
        <f>IFERROR(VLOOKUP(B227,Auction!$A$13:$I$656,9,FALSE)-C227,0)</f>
        <v>0</v>
      </c>
      <c r="E227" s="149" t="str">
        <f>IFERROR(INDEX(Auction!$C$13:$C$656,MATCH(B227,Auction!$A$13:$A$656,0)),"")</f>
        <v/>
      </c>
      <c r="G227" s="133" t="str">
        <f>IFERROR(INDEX(Auction!$B$13:$B$656,MATCH(H227,Auction!$A$13:$A$656,0)),"")</f>
        <v/>
      </c>
      <c r="H227" s="211" t="str">
        <f t="array" ref="H227">IF($G$219=0,"",IFERROR(INDEX(Auction!$A$13:$M$656,SMALL(IF(Auction!$M$13:$M$656=$G$219,(ROW(Auction!$M$13:$M$656)-MIN(ROW(Auction!$M$13:$M$656))+1),""),ROW($G7)),1),""))</f>
        <v/>
      </c>
      <c r="I227" s="142">
        <f>IF(ISERROR(VLOOKUP(H227,Auction!$A$13:$I$656,7,FALSE)),0,VLOOKUP(H227,Auction!$A$13:$I$656,8,FALSE))</f>
        <v>0</v>
      </c>
      <c r="J227" s="143">
        <f>IFERROR(VLOOKUP(H227,Auction!$A$13:$I$656,9,FALSE)-I227,0)</f>
        <v>0</v>
      </c>
      <c r="K227" s="149" t="str">
        <f>IFERROR(INDEX(Auction!$C$13:$C$656,MATCH(H227,Auction!$A$13:$A$656,0)),"")</f>
        <v/>
      </c>
    </row>
    <row r="228" spans="1:11" x14ac:dyDescent="0.25">
      <c r="A228" s="133" t="str">
        <f>IFERROR(INDEX(Auction!$B$13:$B$656,MATCH(B228,Auction!$A$13:$A$656,0)),"")</f>
        <v/>
      </c>
      <c r="B228" s="211" t="str">
        <f t="array" ref="B228">IF($A$219=0,"",IFERROR(INDEX(Auction!$A$13:$M$656,SMALL(IF(Auction!$M$13:$M$656=$A$219,(ROW(Auction!$M$13:$M$656)-MIN(ROW(Auction!$M$13:$M$656))+1),""),ROW($A8)),1),""))</f>
        <v/>
      </c>
      <c r="C228" s="142">
        <f>IF(ISERROR(VLOOKUP(B228,Auction!$A$13:$I$656,7,FALSE)),0,VLOOKUP(B228,Auction!$A$13:$I$656,8,FALSE))</f>
        <v>0</v>
      </c>
      <c r="D228" s="143">
        <f>IFERROR(VLOOKUP(B228,Auction!$A$13:$I$656,9,FALSE)-C228,0)</f>
        <v>0</v>
      </c>
      <c r="E228" s="149" t="str">
        <f>IFERROR(INDEX(Auction!$C$13:$C$656,MATCH(B228,Auction!$A$13:$A$656,0)),"")</f>
        <v/>
      </c>
      <c r="G228" s="133" t="str">
        <f>IFERROR(INDEX(Auction!$B$13:$B$656,MATCH(H228,Auction!$A$13:$A$656,0)),"")</f>
        <v/>
      </c>
      <c r="H228" s="211" t="str">
        <f t="array" ref="H228">IF($G$219=0,"",IFERROR(INDEX(Auction!$A$13:$M$656,SMALL(IF(Auction!$M$13:$M$656=$G$219,(ROW(Auction!$M$13:$M$656)-MIN(ROW(Auction!$M$13:$M$656))+1),""),ROW($G8)),1),""))</f>
        <v/>
      </c>
      <c r="I228" s="142">
        <f>IF(ISERROR(VLOOKUP(H228,Auction!$A$13:$I$656,7,FALSE)),0,VLOOKUP(H228,Auction!$A$13:$I$656,8,FALSE))</f>
        <v>0</v>
      </c>
      <c r="J228" s="143">
        <f>IFERROR(VLOOKUP(H228,Auction!$A$13:$I$656,9,FALSE)-I228,0)</f>
        <v>0</v>
      </c>
      <c r="K228" s="149" t="str">
        <f>IFERROR(INDEX(Auction!$C$13:$C$656,MATCH(H228,Auction!$A$13:$A$656,0)),"")</f>
        <v/>
      </c>
    </row>
    <row r="229" spans="1:11" x14ac:dyDescent="0.25">
      <c r="A229" s="133" t="str">
        <f>IFERROR(INDEX(Auction!$B$13:$B$656,MATCH(B229,Auction!$A$13:$A$656,0)),"")</f>
        <v/>
      </c>
      <c r="B229" s="211" t="str">
        <f t="array" ref="B229">IF($A$219=0,"",IFERROR(INDEX(Auction!$A$13:$M$656,SMALL(IF(Auction!$M$13:$M$656=$A$219,(ROW(Auction!$M$13:$M$656)-MIN(ROW(Auction!$M$13:$M$656))+1),""),ROW($A9)),1),""))</f>
        <v/>
      </c>
      <c r="C229" s="142">
        <f>IF(ISERROR(VLOOKUP(B229,Auction!$A$13:$I$656,7,FALSE)),0,VLOOKUP(B229,Auction!$A$13:$I$656,8,FALSE))</f>
        <v>0</v>
      </c>
      <c r="D229" s="143">
        <f>IFERROR(VLOOKUP(B229,Auction!$A$13:$I$656,9,FALSE)-C229,0)</f>
        <v>0</v>
      </c>
      <c r="E229" s="150" t="str">
        <f>IFERROR(INDEX(Auction!$C$13:$C$656,MATCH(B229,Auction!$A$13:$A$656,0)),"")</f>
        <v/>
      </c>
      <c r="G229" s="133" t="str">
        <f>IFERROR(INDEX(Auction!$B$13:$B$656,MATCH(H229,Auction!$A$13:$A$656,0)),"")</f>
        <v/>
      </c>
      <c r="H229" s="211" t="str">
        <f t="array" ref="H229">IF($G$219=0,"",IFERROR(INDEX(Auction!$A$13:$M$656,SMALL(IF(Auction!$M$13:$M$656=$G$219,(ROW(Auction!$M$13:$M$656)-MIN(ROW(Auction!$M$13:$M$656))+1),""),ROW($G9)),1),""))</f>
        <v/>
      </c>
      <c r="I229" s="142">
        <f>IF(ISERROR(VLOOKUP(H229,Auction!$A$13:$I$656,7,FALSE)),0,VLOOKUP(H229,Auction!$A$13:$I$656,8,FALSE))</f>
        <v>0</v>
      </c>
      <c r="J229" s="143">
        <f>IFERROR(VLOOKUP(H229,Auction!$A$13:$I$656,9,FALSE)-I229,0)</f>
        <v>0</v>
      </c>
      <c r="K229" s="150" t="str">
        <f>IFERROR(INDEX(Auction!$C$13:$C$656,MATCH(H229,Auction!$A$13:$A$656,0)),"")</f>
        <v/>
      </c>
    </row>
    <row r="230" spans="1:11" x14ac:dyDescent="0.25">
      <c r="A230" s="133" t="str">
        <f>IFERROR(INDEX(Auction!$B$13:$B$656,MATCH(B230,Auction!$A$13:$A$656,0)),"")</f>
        <v/>
      </c>
      <c r="B230" s="211" t="str">
        <f t="array" ref="B230">IF($A$219=0,"",IFERROR(INDEX(Auction!$A$13:$M$656,SMALL(IF(Auction!$M$13:$M$656=$A$219,(ROW(Auction!$M$13:$M$656)-MIN(ROW(Auction!$M$13:$M$656))+1),""),ROW($A10)),1),""))</f>
        <v/>
      </c>
      <c r="C230" s="142">
        <f>IF(ISERROR(VLOOKUP(B230,Auction!$A$13:$I$656,7,FALSE)),0,VLOOKUP(B230,Auction!$A$13:$I$656,8,FALSE))</f>
        <v>0</v>
      </c>
      <c r="D230" s="143">
        <f>IFERROR(VLOOKUP(B230,Auction!$A$13:$I$656,9,FALSE)-C230,0)</f>
        <v>0</v>
      </c>
      <c r="E230" s="150" t="str">
        <f>IFERROR(INDEX(Auction!$C$13:$C$656,MATCH(B230,Auction!$A$13:$A$656,0)),"")</f>
        <v/>
      </c>
      <c r="G230" s="133" t="str">
        <f>IFERROR(INDEX(Auction!$B$13:$B$656,MATCH(H230,Auction!$A$13:$A$656,0)),"")</f>
        <v/>
      </c>
      <c r="H230" s="211" t="str">
        <f t="array" ref="H230">IF($G$219=0,"",IFERROR(INDEX(Auction!$A$13:$M$656,SMALL(IF(Auction!$M$13:$M$656=$G$219,(ROW(Auction!$M$13:$M$656)-MIN(ROW(Auction!$M$13:$M$656))+1),""),ROW($G10)),1),""))</f>
        <v/>
      </c>
      <c r="I230" s="142">
        <f>IF(ISERROR(VLOOKUP(H230,Auction!$A$13:$I$656,7,FALSE)),0,VLOOKUP(H230,Auction!$A$13:$I$656,8,FALSE))</f>
        <v>0</v>
      </c>
      <c r="J230" s="143">
        <f>IFERROR(VLOOKUP(H230,Auction!$A$13:$I$656,9,FALSE)-I230,0)</f>
        <v>0</v>
      </c>
      <c r="K230" s="150" t="str">
        <f>IFERROR(INDEX(Auction!$C$13:$C$656,MATCH(H230,Auction!$A$13:$A$656,0)),"")</f>
        <v/>
      </c>
    </row>
    <row r="231" spans="1:11" x14ac:dyDescent="0.25">
      <c r="A231" s="133" t="str">
        <f>IFERROR(INDEX(Auction!$B$13:$B$656,MATCH(B231,Auction!$A$13:$A$656,0)),"")</f>
        <v/>
      </c>
      <c r="B231" s="211" t="str">
        <f t="array" ref="B231">IF($A$219=0,"",IFERROR(INDEX(Auction!$A$13:$M$656,SMALL(IF(Auction!$M$13:$M$656=$A$219,(ROW(Auction!$M$13:$M$656)-MIN(ROW(Auction!$M$13:$M$656))+1),""),ROW($A11)),1),""))</f>
        <v/>
      </c>
      <c r="C231" s="142">
        <f>IF(ISERROR(VLOOKUP(B231,Auction!$A$13:$I$656,7,FALSE)),0,VLOOKUP(B231,Auction!$A$13:$I$656,8,FALSE))</f>
        <v>0</v>
      </c>
      <c r="D231" s="143">
        <f>IFERROR(VLOOKUP(B231,Auction!$A$13:$I$656,9,FALSE)-C231,0)</f>
        <v>0</v>
      </c>
      <c r="E231" s="150" t="str">
        <f>IFERROR(INDEX(Auction!$C$13:$C$656,MATCH(B231,Auction!$A$13:$A$656,0)),"")</f>
        <v/>
      </c>
      <c r="G231" s="133" t="str">
        <f>IFERROR(INDEX(Auction!$B$13:$B$656,MATCH(H231,Auction!$A$13:$A$656,0)),"")</f>
        <v/>
      </c>
      <c r="H231" s="211" t="str">
        <f t="array" ref="H231">IF($G$219=0,"",IFERROR(INDEX(Auction!$A$13:$M$656,SMALL(IF(Auction!$M$13:$M$656=$G$219,(ROW(Auction!$M$13:$M$656)-MIN(ROW(Auction!$M$13:$M$656))+1),""),ROW($G11)),1),""))</f>
        <v/>
      </c>
      <c r="I231" s="142">
        <f>IF(ISERROR(VLOOKUP(H231,Auction!$A$13:$I$656,7,FALSE)),0,VLOOKUP(H231,Auction!$A$13:$I$656,8,FALSE))</f>
        <v>0</v>
      </c>
      <c r="J231" s="143">
        <f>IFERROR(VLOOKUP(H231,Auction!$A$13:$I$656,9,FALSE)-I231,0)</f>
        <v>0</v>
      </c>
      <c r="K231" s="150" t="str">
        <f>IFERROR(INDEX(Auction!$C$13:$C$656,MATCH(H231,Auction!$A$13:$A$656,0)),"")</f>
        <v/>
      </c>
    </row>
    <row r="232" spans="1:11" x14ac:dyDescent="0.25">
      <c r="A232" s="133" t="str">
        <f>IFERROR(INDEX(Auction!$B$13:$B$656,MATCH(B232,Auction!$A$13:$A$656,0)),"")</f>
        <v/>
      </c>
      <c r="B232" s="211" t="str">
        <f t="array" ref="B232">IF($A$219=0,"",IFERROR(INDEX(Auction!$A$13:$M$656,SMALL(IF(Auction!$M$13:$M$656=$A$219,(ROW(Auction!$M$13:$M$656)-MIN(ROW(Auction!$M$13:$M$656))+1),""),ROW($A12)),1),""))</f>
        <v/>
      </c>
      <c r="C232" s="142">
        <f>IF(ISERROR(VLOOKUP(B232,Auction!$A$13:$I$656,7,FALSE)),0,VLOOKUP(B232,Auction!$A$13:$I$656,8,FALSE))</f>
        <v>0</v>
      </c>
      <c r="D232" s="143">
        <f>IFERROR(VLOOKUP(B232,Auction!$A$13:$I$656,9,FALSE)-C232,0)</f>
        <v>0</v>
      </c>
      <c r="E232" s="150" t="str">
        <f>IFERROR(INDEX(Auction!$C$13:$C$656,MATCH(B232,Auction!$A$13:$A$656,0)),"")</f>
        <v/>
      </c>
      <c r="G232" s="133" t="str">
        <f>IFERROR(INDEX(Auction!$B$13:$B$656,MATCH(H232,Auction!$A$13:$A$656,0)),"")</f>
        <v/>
      </c>
      <c r="H232" s="211" t="str">
        <f t="array" ref="H232">IF($G$219=0,"",IFERROR(INDEX(Auction!$A$13:$M$656,SMALL(IF(Auction!$M$13:$M$656=$G$219,(ROW(Auction!$M$13:$M$656)-MIN(ROW(Auction!$M$13:$M$656))+1),""),ROW($G12)),1),""))</f>
        <v/>
      </c>
      <c r="I232" s="142">
        <f>IF(ISERROR(VLOOKUP(H232,Auction!$A$13:$I$656,7,FALSE)),0,VLOOKUP(H232,Auction!$A$13:$I$656,8,FALSE))</f>
        <v>0</v>
      </c>
      <c r="J232" s="143">
        <f>IFERROR(VLOOKUP(H232,Auction!$A$13:$I$656,9,FALSE)-I232,0)</f>
        <v>0</v>
      </c>
      <c r="K232" s="150" t="str">
        <f>IFERROR(INDEX(Auction!$C$13:$C$656,MATCH(H232,Auction!$A$13:$A$656,0)),"")</f>
        <v/>
      </c>
    </row>
    <row r="233" spans="1:11" x14ac:dyDescent="0.25">
      <c r="A233" s="133" t="str">
        <f>IFERROR(INDEX(Auction!$B$13:$B$656,MATCH(B233,Auction!$A$13:$A$656,0)),"")</f>
        <v/>
      </c>
      <c r="B233" s="211" t="str">
        <f t="array" ref="B233">IF($A$219=0,"",IFERROR(INDEX(Auction!$A$13:$M$656,SMALL(IF(Auction!$M$13:$M$656=$A$219,(ROW(Auction!$M$13:$M$656)-MIN(ROW(Auction!$M$13:$M$656))+1),""),ROW($A13)),1),""))</f>
        <v/>
      </c>
      <c r="C233" s="142">
        <f>IF(ISERROR(VLOOKUP(B233,Auction!$A$13:$I$656,7,FALSE)),0,VLOOKUP(B233,Auction!$A$13:$I$656,8,FALSE))</f>
        <v>0</v>
      </c>
      <c r="D233" s="143">
        <f>IFERROR(VLOOKUP(B233,Auction!$A$13:$I$656,9,FALSE)-C233,0)</f>
        <v>0</v>
      </c>
      <c r="E233" s="150" t="str">
        <f>IFERROR(INDEX(Auction!$C$13:$C$656,MATCH(B233,Auction!$A$13:$A$656,0)),"")</f>
        <v/>
      </c>
      <c r="G233" s="133" t="str">
        <f>IFERROR(INDEX(Auction!$B$13:$B$656,MATCH(H233,Auction!$A$13:$A$656,0)),"")</f>
        <v/>
      </c>
      <c r="H233" s="211" t="str">
        <f t="array" ref="H233">IF($G$219=0,"",IFERROR(INDEX(Auction!$A$13:$M$656,SMALL(IF(Auction!$M$13:$M$656=$G$219,(ROW(Auction!$M$13:$M$656)-MIN(ROW(Auction!$M$13:$M$656))+1),""),ROW($G13)),1),""))</f>
        <v/>
      </c>
      <c r="I233" s="142">
        <f>IF(ISERROR(VLOOKUP(H233,Auction!$A$13:$I$656,7,FALSE)),0,VLOOKUP(H233,Auction!$A$13:$I$656,8,FALSE))</f>
        <v>0</v>
      </c>
      <c r="J233" s="143">
        <f>IFERROR(VLOOKUP(H233,Auction!$A$13:$I$656,9,FALSE)-I233,0)</f>
        <v>0</v>
      </c>
      <c r="K233" s="150" t="str">
        <f>IFERROR(INDEX(Auction!$C$13:$C$656,MATCH(H233,Auction!$A$13:$A$656,0)),"")</f>
        <v/>
      </c>
    </row>
    <row r="234" spans="1:11" x14ac:dyDescent="0.25">
      <c r="A234" s="133" t="str">
        <f>IFERROR(INDEX(Auction!$B$13:$B$656,MATCH(B234,Auction!$A$13:$A$656,0)),"")</f>
        <v/>
      </c>
      <c r="B234" s="211" t="str">
        <f t="array" ref="B234">IF($A$219=0,"",IFERROR(INDEX(Auction!$A$13:$M$656,SMALL(IF(Auction!$M$13:$M$656=$A$219,(ROW(Auction!$M$13:$M$656)-MIN(ROW(Auction!$M$13:$M$656))+1),""),ROW($A14)),1),""))</f>
        <v/>
      </c>
      <c r="C234" s="142">
        <f>IF(ISERROR(VLOOKUP(B234,Auction!$A$13:$I$656,7,FALSE)),0,VLOOKUP(B234,Auction!$A$13:$I$656,8,FALSE))</f>
        <v>0</v>
      </c>
      <c r="D234" s="143">
        <f>IFERROR(VLOOKUP(B234,Auction!$A$13:$I$656,9,FALSE)-C234,0)</f>
        <v>0</v>
      </c>
      <c r="E234" s="150" t="str">
        <f>IFERROR(INDEX(Auction!$C$13:$C$656,MATCH(B234,Auction!$A$13:$A$656,0)),"")</f>
        <v/>
      </c>
      <c r="G234" s="133" t="str">
        <f>IFERROR(INDEX(Auction!$B$13:$B$656,MATCH(H234,Auction!$A$13:$A$656,0)),"")</f>
        <v/>
      </c>
      <c r="H234" s="211" t="str">
        <f t="array" ref="H234">IF($G$219=0,"",IFERROR(INDEX(Auction!$A$13:$M$656,SMALL(IF(Auction!$M$13:$M$656=$G$219,(ROW(Auction!$M$13:$M$656)-MIN(ROW(Auction!$M$13:$M$656))+1),""),ROW($G14)),1),""))</f>
        <v/>
      </c>
      <c r="I234" s="142">
        <f>IF(ISERROR(VLOOKUP(H234,Auction!$A$13:$I$656,7,FALSE)),0,VLOOKUP(H234,Auction!$A$13:$I$656,8,FALSE))</f>
        <v>0</v>
      </c>
      <c r="J234" s="143">
        <f>IFERROR(VLOOKUP(H234,Auction!$A$13:$I$656,9,FALSE)-I234,0)</f>
        <v>0</v>
      </c>
      <c r="K234" s="150" t="str">
        <f>IFERROR(INDEX(Auction!$C$13:$C$656,MATCH(H234,Auction!$A$13:$A$656,0)),"")</f>
        <v/>
      </c>
    </row>
    <row r="235" spans="1:11" x14ac:dyDescent="0.25">
      <c r="A235" s="133" t="str">
        <f>IFERROR(INDEX(Auction!$B$13:$B$656,MATCH(B235,Auction!$A$13:$A$656,0)),"")</f>
        <v/>
      </c>
      <c r="B235" s="211" t="str">
        <f t="array" ref="B235">IF($A$219=0,"",IFERROR(INDEX(Auction!$A$13:$M$656,SMALL(IF(Auction!$M$13:$M$656=$A$219,(ROW(Auction!$M$13:$M$656)-MIN(ROW(Auction!$M$13:$M$656))+1),""),ROW($A15)),1),""))</f>
        <v/>
      </c>
      <c r="C235" s="142">
        <f>IF(ISERROR(VLOOKUP(B235,Auction!$A$13:$I$656,7,FALSE)),0,VLOOKUP(B235,Auction!$A$13:$I$656,8,FALSE))</f>
        <v>0</v>
      </c>
      <c r="D235" s="143">
        <f>IFERROR(VLOOKUP(B235,Auction!$A$13:$I$656,9,FALSE)-C235,0)</f>
        <v>0</v>
      </c>
      <c r="E235" s="150" t="str">
        <f>IFERROR(INDEX(Auction!$C$13:$C$656,MATCH(B235,Auction!$A$13:$A$656,0)),"")</f>
        <v/>
      </c>
      <c r="G235" s="133" t="str">
        <f>IFERROR(INDEX(Auction!$B$13:$B$656,MATCH(H235,Auction!$A$13:$A$656,0)),"")</f>
        <v/>
      </c>
      <c r="H235" s="211" t="str">
        <f t="array" ref="H235">IF($G$219=0,"",IFERROR(INDEX(Auction!$A$13:$M$656,SMALL(IF(Auction!$M$13:$M$656=$G$219,(ROW(Auction!$M$13:$M$656)-MIN(ROW(Auction!$M$13:$M$656))+1),""),ROW($G15)),1),""))</f>
        <v/>
      </c>
      <c r="I235" s="142">
        <f>IF(ISERROR(VLOOKUP(H235,Auction!$A$13:$I$656,7,FALSE)),0,VLOOKUP(H235,Auction!$A$13:$I$656,8,FALSE))</f>
        <v>0</v>
      </c>
      <c r="J235" s="143">
        <f>IFERROR(VLOOKUP(H235,Auction!$A$13:$I$656,9,FALSE)-I235,0)</f>
        <v>0</v>
      </c>
      <c r="K235" s="150" t="str">
        <f>IFERROR(INDEX(Auction!$C$13:$C$656,MATCH(H235,Auction!$A$13:$A$656,0)),"")</f>
        <v/>
      </c>
    </row>
    <row r="236" spans="1:11" x14ac:dyDescent="0.25">
      <c r="A236" s="133" t="str">
        <f>IFERROR(INDEX(Auction!$B$13:$B$656,MATCH(B236,Auction!$A$13:$A$656,0)),"")</f>
        <v/>
      </c>
      <c r="B236" s="211" t="str">
        <f t="array" ref="B236">IF($A$219=0,"",IFERROR(INDEX(Auction!$A$13:$M$656,SMALL(IF(Auction!$M$13:$M$656=$A$219,(ROW(Auction!$M$13:$M$656)-MIN(ROW(Auction!$M$13:$M$656))+1),""),ROW($A16)),1),""))</f>
        <v/>
      </c>
      <c r="C236" s="142">
        <f>IF(ISERROR(VLOOKUP(B236,Auction!$A$13:$I$656,7,FALSE)),0,VLOOKUP(B236,Auction!$A$13:$I$656,8,FALSE))</f>
        <v>0</v>
      </c>
      <c r="D236" s="143">
        <f>IFERROR(VLOOKUP(B236,Auction!$A$13:$I$656,9,FALSE)-C236,0)</f>
        <v>0</v>
      </c>
      <c r="E236" s="150" t="str">
        <f>IFERROR(INDEX(Auction!$C$13:$C$656,MATCH(B236,Auction!$A$13:$A$656,0)),"")</f>
        <v/>
      </c>
      <c r="G236" s="133" t="str">
        <f>IFERROR(INDEX(Auction!$B$13:$B$656,MATCH(H236,Auction!$A$13:$A$656,0)),"")</f>
        <v/>
      </c>
      <c r="H236" s="211" t="str">
        <f t="array" ref="H236">IF($G$219=0,"",IFERROR(INDEX(Auction!$A$13:$M$656,SMALL(IF(Auction!$M$13:$M$656=$G$219,(ROW(Auction!$M$13:$M$656)-MIN(ROW(Auction!$M$13:$M$656))+1),""),ROW($G16)),1),""))</f>
        <v/>
      </c>
      <c r="I236" s="142">
        <f>IF(ISERROR(VLOOKUP(H236,Auction!$A$13:$I$656,7,FALSE)),0,VLOOKUP(H236,Auction!$A$13:$I$656,8,FALSE))</f>
        <v>0</v>
      </c>
      <c r="J236" s="143">
        <f>IFERROR(VLOOKUP(H236,Auction!$A$13:$I$656,9,FALSE)-I236,0)</f>
        <v>0</v>
      </c>
      <c r="K236" s="150" t="str">
        <f>IFERROR(INDEX(Auction!$C$13:$C$656,MATCH(H236,Auction!$A$13:$A$656,0)),"")</f>
        <v/>
      </c>
    </row>
    <row r="237" spans="1:11" x14ac:dyDescent="0.25">
      <c r="A237" s="133" t="str">
        <f>IFERROR(INDEX(Auction!$B$13:$B$656,MATCH(B237,Auction!$A$13:$A$656,0)),"")</f>
        <v/>
      </c>
      <c r="B237" s="211" t="str">
        <f t="array" ref="B237">IF($A$219=0,"",IFERROR(INDEX(Auction!$A$13:$M$656,SMALL(IF(Auction!$M$13:$M$656=$A$219,(ROW(Auction!$M$13:$M$656)-MIN(ROW(Auction!$M$13:$M$656))+1),""),ROW($A17)),1),""))</f>
        <v/>
      </c>
      <c r="C237" s="142">
        <f>IF(ISERROR(VLOOKUP(B237,Auction!$A$13:$I$656,7,FALSE)),0,VLOOKUP(B237,Auction!$A$13:$I$656,8,FALSE))</f>
        <v>0</v>
      </c>
      <c r="D237" s="143">
        <f>IFERROR(VLOOKUP(B237,Auction!$A$13:$I$656,9,FALSE)-C237,0)</f>
        <v>0</v>
      </c>
      <c r="E237" s="150" t="str">
        <f>IFERROR(INDEX(Auction!$C$13:$C$656,MATCH(B237,Auction!$A$13:$A$656,0)),"")</f>
        <v/>
      </c>
      <c r="G237" s="133" t="str">
        <f>IFERROR(INDEX(Auction!$B$13:$B$656,MATCH(H237,Auction!$A$13:$A$656,0)),"")</f>
        <v/>
      </c>
      <c r="H237" s="211" t="str">
        <f t="array" ref="H237">IF($G$219=0,"",IFERROR(INDEX(Auction!$A$13:$M$656,SMALL(IF(Auction!$M$13:$M$656=$G$219,(ROW(Auction!$M$13:$M$656)-MIN(ROW(Auction!$M$13:$M$656))+1),""),ROW($G17)),1),""))</f>
        <v/>
      </c>
      <c r="I237" s="142">
        <f>IF(ISERROR(VLOOKUP(H237,Auction!$A$13:$I$656,7,FALSE)),0,VLOOKUP(H237,Auction!$A$13:$I$656,8,FALSE))</f>
        <v>0</v>
      </c>
      <c r="J237" s="143">
        <f>IFERROR(VLOOKUP(H237,Auction!$A$13:$I$656,9,FALSE)-I237,0)</f>
        <v>0</v>
      </c>
      <c r="K237" s="150" t="str">
        <f>IFERROR(INDEX(Auction!$C$13:$C$656,MATCH(H237,Auction!$A$13:$A$656,0)),"")</f>
        <v/>
      </c>
    </row>
    <row r="238" spans="1:11" x14ac:dyDescent="0.25">
      <c r="A238" s="133" t="str">
        <f>IFERROR(INDEX(Auction!$B$13:$B$656,MATCH(B238,Auction!$A$13:$A$656,0)),"")</f>
        <v/>
      </c>
      <c r="B238" s="211" t="str">
        <f t="array" ref="B238">IF($A$219=0,"",IFERROR(INDEX(Auction!$A$13:$M$656,SMALL(IF(Auction!$M$13:$M$656=$A$219,(ROW(Auction!$M$13:$M$656)-MIN(ROW(Auction!$M$13:$M$656))+1),""),ROW($A18)),1),""))</f>
        <v/>
      </c>
      <c r="C238" s="142">
        <f>IF(ISERROR(VLOOKUP(B238,Auction!$A$13:$I$656,7,FALSE)),0,VLOOKUP(B238,Auction!$A$13:$I$656,8,FALSE))</f>
        <v>0</v>
      </c>
      <c r="D238" s="143">
        <f>IFERROR(VLOOKUP(B238,Auction!$A$13:$I$656,9,FALSE)-C238,0)</f>
        <v>0</v>
      </c>
      <c r="E238" s="150" t="str">
        <f>IFERROR(INDEX(Auction!$C$13:$C$656,MATCH(B238,Auction!$A$13:$A$656,0)),"")</f>
        <v/>
      </c>
      <c r="G238" s="133" t="str">
        <f>IFERROR(INDEX(Auction!$B$13:$B$656,MATCH(H238,Auction!$A$13:$A$656,0)),"")</f>
        <v/>
      </c>
      <c r="H238" s="211" t="str">
        <f t="array" ref="H238">IF($G$219=0,"",IFERROR(INDEX(Auction!$A$13:$M$656,SMALL(IF(Auction!$M$13:$M$656=$G$219,(ROW(Auction!$M$13:$M$656)-MIN(ROW(Auction!$M$13:$M$656))+1),""),ROW($G18)),1),""))</f>
        <v/>
      </c>
      <c r="I238" s="142">
        <f>IF(ISERROR(VLOOKUP(H238,Auction!$A$13:$I$656,7,FALSE)),0,VLOOKUP(H238,Auction!$A$13:$I$656,8,FALSE))</f>
        <v>0</v>
      </c>
      <c r="J238" s="143">
        <f>IFERROR(VLOOKUP(H238,Auction!$A$13:$I$656,9,FALSE)-I238,0)</f>
        <v>0</v>
      </c>
      <c r="K238" s="150" t="str">
        <f>IFERROR(INDEX(Auction!$C$13:$C$656,MATCH(H238,Auction!$A$13:$A$656,0)),"")</f>
        <v/>
      </c>
    </row>
    <row r="239" spans="1:11" x14ac:dyDescent="0.25">
      <c r="A239" s="133" t="str">
        <f>IFERROR(INDEX(Auction!$B$13:$B$656,MATCH(B239,Auction!$A$13:$A$656,0)),"")</f>
        <v/>
      </c>
      <c r="B239" s="211" t="str">
        <f t="array" ref="B239">IF($A$219=0,"",IFERROR(INDEX(Auction!$A$13:$M$656,SMALL(IF(Auction!$M$13:$M$656=$A$219,(ROW(Auction!$M$13:$M$656)-MIN(ROW(Auction!$M$13:$M$656))+1),""),ROW($A19)),1),""))</f>
        <v/>
      </c>
      <c r="C239" s="142">
        <f>IF(ISERROR(VLOOKUP(B239,Auction!$A$13:$I$656,7,FALSE)),0,VLOOKUP(B239,Auction!$A$13:$I$656,8,FALSE))</f>
        <v>0</v>
      </c>
      <c r="D239" s="143">
        <f>IFERROR(VLOOKUP(B239,Auction!$A$13:$I$656,9,FALSE)-C239,0)</f>
        <v>0</v>
      </c>
      <c r="E239" s="150" t="str">
        <f>IFERROR(INDEX(Auction!$C$13:$C$656,MATCH(B239,Auction!$A$13:$A$656,0)),"")</f>
        <v/>
      </c>
      <c r="G239" s="133" t="str">
        <f>IFERROR(INDEX(Auction!$B$13:$B$656,MATCH(H239,Auction!$A$13:$A$656,0)),"")</f>
        <v/>
      </c>
      <c r="H239" s="211" t="str">
        <f t="array" ref="H239">IF($G$219=0,"",IFERROR(INDEX(Auction!$A$13:$M$656,SMALL(IF(Auction!$M$13:$M$656=$G$219,(ROW(Auction!$M$13:$M$656)-MIN(ROW(Auction!$M$13:$M$656))+1),""),ROW($G19)),1),""))</f>
        <v/>
      </c>
      <c r="I239" s="142">
        <f>IF(ISERROR(VLOOKUP(H239,Auction!$A$13:$I$656,7,FALSE)),0,VLOOKUP(H239,Auction!$A$13:$I$656,8,FALSE))</f>
        <v>0</v>
      </c>
      <c r="J239" s="143">
        <f>IFERROR(VLOOKUP(H239,Auction!$A$13:$I$656,9,FALSE)-I239,0)</f>
        <v>0</v>
      </c>
      <c r="K239" s="150" t="str">
        <f>IFERROR(INDEX(Auction!$C$13:$C$656,MATCH(H239,Auction!$A$13:$A$656,0)),"")</f>
        <v/>
      </c>
    </row>
    <row r="240" spans="1:11" x14ac:dyDescent="0.25">
      <c r="A240" s="133" t="str">
        <f>IFERROR(INDEX(Auction!$B$13:$B$656,MATCH(B240,Auction!$A$13:$A$656,0)),"")</f>
        <v/>
      </c>
      <c r="B240" s="211" t="str">
        <f t="array" ref="B240">IF($A$219=0,"",IFERROR(INDEX(Auction!$A$13:$M$656,SMALL(IF(Auction!$M$13:$M$656=$A$219,(ROW(Auction!$M$13:$M$656)-MIN(ROW(Auction!$M$13:$M$656))+1),""),ROW($A20)),1),""))</f>
        <v/>
      </c>
      <c r="C240" s="142">
        <f>IF(ISERROR(VLOOKUP(B240,Auction!$A$13:$I$656,7,FALSE)),0,VLOOKUP(B240,Auction!$A$13:$I$656,8,FALSE))</f>
        <v>0</v>
      </c>
      <c r="D240" s="143">
        <f>IFERROR(VLOOKUP(B240,Auction!$A$13:$I$656,9,FALSE)-C240,0)</f>
        <v>0</v>
      </c>
      <c r="E240" s="150" t="str">
        <f>IFERROR(INDEX(Auction!$C$13:$C$656,MATCH(B240,Auction!$A$13:$A$656,0)),"")</f>
        <v/>
      </c>
      <c r="G240" s="133" t="str">
        <f>IFERROR(INDEX(Auction!$B$13:$B$656,MATCH(H240,Auction!$A$13:$A$656,0)),"")</f>
        <v/>
      </c>
      <c r="H240" s="211" t="str">
        <f t="array" ref="H240">IF($G$219=0,"",IFERROR(INDEX(Auction!$A$13:$M$656,SMALL(IF(Auction!$M$13:$M$656=$G$219,(ROW(Auction!$M$13:$M$656)-MIN(ROW(Auction!$M$13:$M$656))+1),""),ROW($G20)),1),""))</f>
        <v/>
      </c>
      <c r="I240" s="142">
        <f>IF(ISERROR(VLOOKUP(H240,Auction!$A$13:$I$656,7,FALSE)),0,VLOOKUP(H240,Auction!$A$13:$I$656,8,FALSE))</f>
        <v>0</v>
      </c>
      <c r="J240" s="143">
        <f>IFERROR(VLOOKUP(H240,Auction!$A$13:$I$656,9,FALSE)-I240,0)</f>
        <v>0</v>
      </c>
      <c r="K240" s="150" t="str">
        <f>IFERROR(INDEX(Auction!$C$13:$C$656,MATCH(H240,Auction!$A$13:$A$656,0)),"")</f>
        <v/>
      </c>
    </row>
    <row r="241" spans="1:11" x14ac:dyDescent="0.25">
      <c r="A241" s="151"/>
      <c r="B241" s="152"/>
      <c r="C241" s="153">
        <f>SUM(C221:C240)</f>
        <v>0</v>
      </c>
      <c r="D241" s="153">
        <f>SUM(D221:D240)</f>
        <v>0</v>
      </c>
      <c r="E241" s="154"/>
      <c r="G241" s="151"/>
      <c r="H241" s="152"/>
      <c r="I241" s="153">
        <f>SUM(I221:I240)</f>
        <v>0</v>
      </c>
      <c r="J241" s="153">
        <f>SUM(J221:J240)</f>
        <v>0</v>
      </c>
      <c r="K241" s="154"/>
    </row>
    <row r="243" spans="1:11" x14ac:dyDescent="0.25">
      <c r="A243" s="268">
        <f>H22</f>
        <v>0</v>
      </c>
      <c r="B243" s="269"/>
      <c r="C243" s="269"/>
      <c r="D243" s="269"/>
      <c r="E243" s="270"/>
    </row>
    <row r="244" spans="1:11" x14ac:dyDescent="0.25">
      <c r="A244" s="140" t="s">
        <v>495</v>
      </c>
      <c r="B244" s="148" t="s">
        <v>85</v>
      </c>
      <c r="C244" s="130" t="s">
        <v>496</v>
      </c>
      <c r="D244" s="130" t="s">
        <v>497</v>
      </c>
      <c r="E244" s="141" t="s">
        <v>440</v>
      </c>
    </row>
    <row r="245" spans="1:11" x14ac:dyDescent="0.25">
      <c r="A245" s="133" t="str">
        <f>IFERROR(INDEX(Auction!$B$13:$B$656,MATCH(B245,Auction!$A$13:$A$656,0)),"")</f>
        <v/>
      </c>
      <c r="B245" s="211" t="str">
        <f t="array" ref="B245">IF($A$243=0,"",IFERROR(INDEX(Auction!$A$13:$M$656,SMALL(IF(Auction!$M$13:$M$656=$A$243,(ROW(Auction!$M$13:$M$656)-MIN(ROW(Auction!$M$13:$M$656))+1),""),ROW($A1)),1),""))</f>
        <v/>
      </c>
      <c r="C245" s="142">
        <f>IF(ISERROR(VLOOKUP(B245,Auction!$A$13:$I$656,7,FALSE)),0,VLOOKUP(B245,Auction!$A$13:$I$656,8,FALSE))</f>
        <v>0</v>
      </c>
      <c r="D245" s="143">
        <f>IFERROR(VLOOKUP(B245,Auction!$A$13:$I$656,9,FALSE)-C245,0)</f>
        <v>0</v>
      </c>
      <c r="E245" s="149" t="str">
        <f>IFERROR(INDEX(Auction!$C$13:$C$656,MATCH(B245,Auction!$A$13:$A$656,0)),"")</f>
        <v/>
      </c>
    </row>
    <row r="246" spans="1:11" x14ac:dyDescent="0.25">
      <c r="A246" s="133" t="str">
        <f>IFERROR(INDEX(Auction!$B$13:$B$656,MATCH(B246,Auction!$A$13:$A$656,0)),"")</f>
        <v/>
      </c>
      <c r="B246" s="211" t="str">
        <f t="array" ref="B246">IF($A$243=0,"",IFERROR(INDEX(Auction!$A$13:$M$656,SMALL(IF(Auction!$M$13:$M$656=$A$243,(ROW(Auction!$M$13:$M$656)-MIN(ROW(Auction!$M$13:$M$656))+1),""),ROW($A2)),1),""))</f>
        <v/>
      </c>
      <c r="C246" s="142">
        <f>IF(ISERROR(VLOOKUP(B246,Auction!$A$13:$I$656,7,FALSE)),0,VLOOKUP(B246,Auction!$A$13:$I$656,8,FALSE))</f>
        <v>0</v>
      </c>
      <c r="D246" s="143">
        <f>IFERROR(VLOOKUP(B246,Auction!$A$13:$I$656,9,FALSE)-C246,0)</f>
        <v>0</v>
      </c>
      <c r="E246" s="149" t="str">
        <f>IFERROR(INDEX(Auction!$C$13:$C$656,MATCH(B246,Auction!$A$13:$A$656,0)),"")</f>
        <v/>
      </c>
    </row>
    <row r="247" spans="1:11" x14ac:dyDescent="0.25">
      <c r="A247" s="133" t="str">
        <f>IFERROR(INDEX(Auction!$B$13:$B$656,MATCH(B247,Auction!$A$13:$A$656,0)),"")</f>
        <v/>
      </c>
      <c r="B247" s="211" t="str">
        <f t="array" ref="B247">IF($A$243=0,"",IFERROR(INDEX(Auction!$A$13:$M$656,SMALL(IF(Auction!$M$13:$M$656=$A$243,(ROW(Auction!$M$13:$M$656)-MIN(ROW(Auction!$M$13:$M$656))+1),""),ROW($A3)),1),""))</f>
        <v/>
      </c>
      <c r="C247" s="142">
        <f>IF(ISERROR(VLOOKUP(B247,Auction!$A$13:$I$656,7,FALSE)),0,VLOOKUP(B247,Auction!$A$13:$I$656,8,FALSE))</f>
        <v>0</v>
      </c>
      <c r="D247" s="143">
        <f>IFERROR(VLOOKUP(B247,Auction!$A$13:$I$656,9,FALSE)-C247,0)</f>
        <v>0</v>
      </c>
      <c r="E247" s="149" t="str">
        <f>IFERROR(INDEX(Auction!$C$13:$C$656,MATCH(B247,Auction!$A$13:$A$656,0)),"")</f>
        <v/>
      </c>
    </row>
    <row r="248" spans="1:11" x14ac:dyDescent="0.25">
      <c r="A248" s="133" t="str">
        <f>IFERROR(INDEX(Auction!$B$13:$B$656,MATCH(B248,Auction!$A$13:$A$656,0)),"")</f>
        <v/>
      </c>
      <c r="B248" s="211" t="str">
        <f t="array" ref="B248">IF($A$243=0,"",IFERROR(INDEX(Auction!$A$13:$M$656,SMALL(IF(Auction!$M$13:$M$656=$A$243,(ROW(Auction!$M$13:$M$656)-MIN(ROW(Auction!$M$13:$M$656))+1),""),ROW($A4)),1),""))</f>
        <v/>
      </c>
      <c r="C248" s="142">
        <f>IF(ISERROR(VLOOKUP(B248,Auction!$A$13:$I$656,7,FALSE)),0,VLOOKUP(B248,Auction!$A$13:$I$656,8,FALSE))</f>
        <v>0</v>
      </c>
      <c r="D248" s="143">
        <f>IFERROR(VLOOKUP(B248,Auction!$A$13:$I$656,9,FALSE)-C248,0)</f>
        <v>0</v>
      </c>
      <c r="E248" s="149" t="str">
        <f>IFERROR(INDEX(Auction!$C$13:$C$656,MATCH(B248,Auction!$A$13:$A$656,0)),"")</f>
        <v/>
      </c>
    </row>
    <row r="249" spans="1:11" x14ac:dyDescent="0.25">
      <c r="A249" s="133" t="str">
        <f>IFERROR(INDEX(Auction!$B$13:$B$656,MATCH(B249,Auction!$A$13:$A$656,0)),"")</f>
        <v/>
      </c>
      <c r="B249" s="211" t="str">
        <f t="array" ref="B249">IF($A$243=0,"",IFERROR(INDEX(Auction!$A$13:$M$656,SMALL(IF(Auction!$M$13:$M$656=$A$243,(ROW(Auction!$M$13:$M$656)-MIN(ROW(Auction!$M$13:$M$656))+1),""),ROW($A5)),1),""))</f>
        <v/>
      </c>
      <c r="C249" s="142">
        <f>IF(ISERROR(VLOOKUP(B249,Auction!$A$13:$I$656,7,FALSE)),0,VLOOKUP(B249,Auction!$A$13:$I$656,8,FALSE))</f>
        <v>0</v>
      </c>
      <c r="D249" s="143">
        <f>IFERROR(VLOOKUP(B249,Auction!$A$13:$I$656,9,FALSE)-C249,0)</f>
        <v>0</v>
      </c>
      <c r="E249" s="149" t="str">
        <f>IFERROR(INDEX(Auction!$C$13:$C$656,MATCH(B249,Auction!$A$13:$A$656,0)),"")</f>
        <v/>
      </c>
    </row>
    <row r="250" spans="1:11" x14ac:dyDescent="0.25">
      <c r="A250" s="133" t="str">
        <f>IFERROR(INDEX(Auction!$B$13:$B$656,MATCH(B250,Auction!$A$13:$A$656,0)),"")</f>
        <v/>
      </c>
      <c r="B250" s="211" t="str">
        <f t="array" ref="B250">IF($A$243=0,"",IFERROR(INDEX(Auction!$A$13:$M$656,SMALL(IF(Auction!$M$13:$M$656=$A$243,(ROW(Auction!$M$13:$M$656)-MIN(ROW(Auction!$M$13:$M$656))+1),""),ROW($A6)),1),""))</f>
        <v/>
      </c>
      <c r="C250" s="142">
        <f>IF(ISERROR(VLOOKUP(B250,Auction!$A$13:$I$656,7,FALSE)),0,VLOOKUP(B250,Auction!$A$13:$I$656,8,FALSE))</f>
        <v>0</v>
      </c>
      <c r="D250" s="143">
        <f>IFERROR(VLOOKUP(B250,Auction!$A$13:$I$656,9,FALSE)-C250,0)</f>
        <v>0</v>
      </c>
      <c r="E250" s="149" t="str">
        <f>IFERROR(INDEX(Auction!$C$13:$C$656,MATCH(B250,Auction!$A$13:$A$656,0)),"")</f>
        <v/>
      </c>
    </row>
    <row r="251" spans="1:11" x14ac:dyDescent="0.25">
      <c r="A251" s="133" t="str">
        <f>IFERROR(INDEX(Auction!$B$13:$B$656,MATCH(B251,Auction!$A$13:$A$656,0)),"")</f>
        <v/>
      </c>
      <c r="B251" s="211" t="str">
        <f t="array" ref="B251">IF($A$243=0,"",IFERROR(INDEX(Auction!$A$13:$M$656,SMALL(IF(Auction!$M$13:$M$656=$A$243,(ROW(Auction!$M$13:$M$656)-MIN(ROW(Auction!$M$13:$M$656))+1),""),ROW($A7)),1),""))</f>
        <v/>
      </c>
      <c r="C251" s="142">
        <f>IF(ISERROR(VLOOKUP(B251,Auction!$A$13:$I$656,7,FALSE)),0,VLOOKUP(B251,Auction!$A$13:$I$656,8,FALSE))</f>
        <v>0</v>
      </c>
      <c r="D251" s="143">
        <f>IFERROR(VLOOKUP(B251,Auction!$A$13:$I$656,9,FALSE)-C251,0)</f>
        <v>0</v>
      </c>
      <c r="E251" s="149" t="str">
        <f>IFERROR(INDEX(Auction!$C$13:$C$656,MATCH(B251,Auction!$A$13:$A$656,0)),"")</f>
        <v/>
      </c>
    </row>
    <row r="252" spans="1:11" x14ac:dyDescent="0.25">
      <c r="A252" s="133" t="str">
        <f>IFERROR(INDEX(Auction!$B$13:$B$656,MATCH(B252,Auction!$A$13:$A$656,0)),"")</f>
        <v/>
      </c>
      <c r="B252" s="211" t="str">
        <f t="array" ref="B252">IF($A$243=0,"",IFERROR(INDEX(Auction!$A$13:$M$656,SMALL(IF(Auction!$M$13:$M$656=$A$243,(ROW(Auction!$M$13:$M$656)-MIN(ROW(Auction!$M$13:$M$656))+1),""),ROW($A8)),1),""))</f>
        <v/>
      </c>
      <c r="C252" s="142">
        <f>IF(ISERROR(VLOOKUP(B252,Auction!$A$13:$I$656,7,FALSE)),0,VLOOKUP(B252,Auction!$A$13:$I$656,8,FALSE))</f>
        <v>0</v>
      </c>
      <c r="D252" s="143">
        <f>IFERROR(VLOOKUP(B252,Auction!$A$13:$I$656,9,FALSE)-C252,0)</f>
        <v>0</v>
      </c>
      <c r="E252" s="149" t="str">
        <f>IFERROR(INDEX(Auction!$C$13:$C$656,MATCH(B252,Auction!$A$13:$A$656,0)),"")</f>
        <v/>
      </c>
    </row>
    <row r="253" spans="1:11" x14ac:dyDescent="0.25">
      <c r="A253" s="133" t="str">
        <f>IFERROR(INDEX(Auction!$B$13:$B$656,MATCH(B253,Auction!$A$13:$A$656,0)),"")</f>
        <v/>
      </c>
      <c r="B253" s="211" t="str">
        <f t="array" ref="B253">IF($A$243=0,"",IFERROR(INDEX(Auction!$A$13:$M$656,SMALL(IF(Auction!$M$13:$M$656=$A$243,(ROW(Auction!$M$13:$M$656)-MIN(ROW(Auction!$M$13:$M$656))+1),""),ROW($A9)),1),""))</f>
        <v/>
      </c>
      <c r="C253" s="142">
        <f>IF(ISERROR(VLOOKUP(B253,Auction!$A$13:$I$656,7,FALSE)),0,VLOOKUP(B253,Auction!$A$13:$I$656,8,FALSE))</f>
        <v>0</v>
      </c>
      <c r="D253" s="143">
        <f>IFERROR(VLOOKUP(B253,Auction!$A$13:$I$656,9,FALSE)-C253,0)</f>
        <v>0</v>
      </c>
      <c r="E253" s="150" t="str">
        <f>IFERROR(INDEX(Auction!$C$13:$C$656,MATCH(B253,Auction!$A$13:$A$656,0)),"")</f>
        <v/>
      </c>
    </row>
    <row r="254" spans="1:11" x14ac:dyDescent="0.25">
      <c r="A254" s="133" t="str">
        <f>IFERROR(INDEX(Auction!$B$13:$B$656,MATCH(B254,Auction!$A$13:$A$656,0)),"")</f>
        <v/>
      </c>
      <c r="B254" s="211" t="str">
        <f t="array" ref="B254">IF($A$243=0,"",IFERROR(INDEX(Auction!$A$13:$M$656,SMALL(IF(Auction!$M$13:$M$656=$A$243,(ROW(Auction!$M$13:$M$656)-MIN(ROW(Auction!$M$13:$M$656))+1),""),ROW($A10)),1),""))</f>
        <v/>
      </c>
      <c r="C254" s="142">
        <f>IF(ISERROR(VLOOKUP(B254,Auction!$A$13:$I$656,7,FALSE)),0,VLOOKUP(B254,Auction!$A$13:$I$656,8,FALSE))</f>
        <v>0</v>
      </c>
      <c r="D254" s="143">
        <f>IFERROR(VLOOKUP(B254,Auction!$A$13:$I$656,9,FALSE)-C254,0)</f>
        <v>0</v>
      </c>
      <c r="E254" s="150" t="str">
        <f>IFERROR(INDEX(Auction!$C$13:$C$656,MATCH(B254,Auction!$A$13:$A$656,0)),"")</f>
        <v/>
      </c>
    </row>
    <row r="255" spans="1:11" x14ac:dyDescent="0.25">
      <c r="A255" s="133" t="str">
        <f>IFERROR(INDEX(Auction!$B$13:$B$656,MATCH(B255,Auction!$A$13:$A$656,0)),"")</f>
        <v/>
      </c>
      <c r="B255" s="211" t="str">
        <f t="array" ref="B255">IF($A$243=0,"",IFERROR(INDEX(Auction!$A$13:$M$656,SMALL(IF(Auction!$M$13:$M$656=$A$243,(ROW(Auction!$M$13:$M$656)-MIN(ROW(Auction!$M$13:$M$656))+1),""),ROW($A11)),1),""))</f>
        <v/>
      </c>
      <c r="C255" s="142">
        <f>IF(ISERROR(VLOOKUP(B255,Auction!$A$13:$I$656,7,FALSE)),0,VLOOKUP(B255,Auction!$A$13:$I$656,8,FALSE))</f>
        <v>0</v>
      </c>
      <c r="D255" s="143">
        <f>IFERROR(VLOOKUP(B255,Auction!$A$13:$I$656,9,FALSE)-C255,0)</f>
        <v>0</v>
      </c>
      <c r="E255" s="150" t="str">
        <f>IFERROR(INDEX(Auction!$C$13:$C$656,MATCH(B255,Auction!$A$13:$A$656,0)),"")</f>
        <v/>
      </c>
    </row>
    <row r="256" spans="1:11" x14ac:dyDescent="0.25">
      <c r="A256" s="133" t="str">
        <f>IFERROR(INDEX(Auction!$B$13:$B$656,MATCH(B256,Auction!$A$13:$A$656,0)),"")</f>
        <v/>
      </c>
      <c r="B256" s="211" t="str">
        <f t="array" ref="B256">IF($A$243=0,"",IFERROR(INDEX(Auction!$A$13:$M$656,SMALL(IF(Auction!$M$13:$M$656=$A$243,(ROW(Auction!$M$13:$M$656)-MIN(ROW(Auction!$M$13:$M$656))+1),""),ROW($A12)),1),""))</f>
        <v/>
      </c>
      <c r="C256" s="142">
        <f>IF(ISERROR(VLOOKUP(B256,Auction!$A$13:$I$656,7,FALSE)),0,VLOOKUP(B256,Auction!$A$13:$I$656,8,FALSE))</f>
        <v>0</v>
      </c>
      <c r="D256" s="143">
        <f>IFERROR(VLOOKUP(B256,Auction!$A$13:$I$656,9,FALSE)-C256,0)</f>
        <v>0</v>
      </c>
      <c r="E256" s="150" t="str">
        <f>IFERROR(INDEX(Auction!$C$13:$C$656,MATCH(B256,Auction!$A$13:$A$656,0)),"")</f>
        <v/>
      </c>
    </row>
    <row r="257" spans="1:5" x14ac:dyDescent="0.25">
      <c r="A257" s="133" t="str">
        <f>IFERROR(INDEX(Auction!$B$13:$B$656,MATCH(B257,Auction!$A$13:$A$656,0)),"")</f>
        <v/>
      </c>
      <c r="B257" s="211" t="str">
        <f t="array" ref="B257">IF($A$243=0,"",IFERROR(INDEX(Auction!$A$13:$M$656,SMALL(IF(Auction!$M$13:$M$656=$A$243,(ROW(Auction!$M$13:$M$656)-MIN(ROW(Auction!$M$13:$M$656))+1),""),ROW($A13)),1),""))</f>
        <v/>
      </c>
      <c r="C257" s="142">
        <f>IF(ISERROR(VLOOKUP(B257,Auction!$A$13:$I$656,7,FALSE)),0,VLOOKUP(B257,Auction!$A$13:$I$656,8,FALSE))</f>
        <v>0</v>
      </c>
      <c r="D257" s="143">
        <f>IFERROR(VLOOKUP(B257,Auction!$A$13:$I$656,9,FALSE)-C257,0)</f>
        <v>0</v>
      </c>
      <c r="E257" s="150" t="str">
        <f>IFERROR(INDEX(Auction!$C$13:$C$656,MATCH(B257,Auction!$A$13:$A$656,0)),"")</f>
        <v/>
      </c>
    </row>
    <row r="258" spans="1:5" x14ac:dyDescent="0.25">
      <c r="A258" s="133" t="str">
        <f>IFERROR(INDEX(Auction!$B$13:$B$656,MATCH(B258,Auction!$A$13:$A$656,0)),"")</f>
        <v/>
      </c>
      <c r="B258" s="211" t="str">
        <f t="array" ref="B258">IF($A$243=0,"",IFERROR(INDEX(Auction!$A$13:$M$656,SMALL(IF(Auction!$M$13:$M$656=$A$243,(ROW(Auction!$M$13:$M$656)-MIN(ROW(Auction!$M$13:$M$656))+1),""),ROW($A14)),1),""))</f>
        <v/>
      </c>
      <c r="C258" s="142">
        <f>IF(ISERROR(VLOOKUP(B258,Auction!$A$13:$I$656,7,FALSE)),0,VLOOKUP(B258,Auction!$A$13:$I$656,8,FALSE))</f>
        <v>0</v>
      </c>
      <c r="D258" s="143">
        <f>IFERROR(VLOOKUP(B258,Auction!$A$13:$I$656,9,FALSE)-C258,0)</f>
        <v>0</v>
      </c>
      <c r="E258" s="150" t="str">
        <f>IFERROR(INDEX(Auction!$C$13:$C$656,MATCH(B258,Auction!$A$13:$A$656,0)),"")</f>
        <v/>
      </c>
    </row>
    <row r="259" spans="1:5" x14ac:dyDescent="0.25">
      <c r="A259" s="133" t="str">
        <f>IFERROR(INDEX(Auction!$B$13:$B$656,MATCH(B259,Auction!$A$13:$A$656,0)),"")</f>
        <v/>
      </c>
      <c r="B259" s="211" t="str">
        <f t="array" ref="B259">IF($A$243=0,"",IFERROR(INDEX(Auction!$A$13:$M$656,SMALL(IF(Auction!$M$13:$M$656=$A$243,(ROW(Auction!$M$13:$M$656)-MIN(ROW(Auction!$M$13:$M$656))+1),""),ROW($A15)),1),""))</f>
        <v/>
      </c>
      <c r="C259" s="142">
        <f>IF(ISERROR(VLOOKUP(B259,Auction!$A$13:$I$656,7,FALSE)),0,VLOOKUP(B259,Auction!$A$13:$I$656,8,FALSE))</f>
        <v>0</v>
      </c>
      <c r="D259" s="143">
        <f>IFERROR(VLOOKUP(B259,Auction!$A$13:$I$656,9,FALSE)-C259,0)</f>
        <v>0</v>
      </c>
      <c r="E259" s="150" t="str">
        <f>IFERROR(INDEX(Auction!$C$13:$C$656,MATCH(B259,Auction!$A$13:$A$656,0)),"")</f>
        <v/>
      </c>
    </row>
    <row r="260" spans="1:5" x14ac:dyDescent="0.25">
      <c r="A260" s="133" t="str">
        <f>IFERROR(INDEX(Auction!$B$13:$B$656,MATCH(B260,Auction!$A$13:$A$656,0)),"")</f>
        <v/>
      </c>
      <c r="B260" s="211" t="str">
        <f t="array" ref="B260">IF($A$243=0,"",IFERROR(INDEX(Auction!$A$13:$M$656,SMALL(IF(Auction!$M$13:$M$656=$A$243,(ROW(Auction!$M$13:$M$656)-MIN(ROW(Auction!$M$13:$M$656))+1),""),ROW($A16)),1),""))</f>
        <v/>
      </c>
      <c r="C260" s="142">
        <f>IF(ISERROR(VLOOKUP(B260,Auction!$A$13:$I$656,7,FALSE)),0,VLOOKUP(B260,Auction!$A$13:$I$656,8,FALSE))</f>
        <v>0</v>
      </c>
      <c r="D260" s="143">
        <f>IFERROR(VLOOKUP(B260,Auction!$A$13:$I$656,9,FALSE)-C260,0)</f>
        <v>0</v>
      </c>
      <c r="E260" s="150" t="str">
        <f>IFERROR(INDEX(Auction!$C$13:$C$656,MATCH(B260,Auction!$A$13:$A$656,0)),"")</f>
        <v/>
      </c>
    </row>
    <row r="261" spans="1:5" x14ac:dyDescent="0.25">
      <c r="A261" s="133" t="str">
        <f>IFERROR(INDEX(Auction!$B$13:$B$656,MATCH(B261,Auction!$A$13:$A$656,0)),"")</f>
        <v/>
      </c>
      <c r="B261" s="211" t="str">
        <f t="array" ref="B261">IF($A$243=0,"",IFERROR(INDEX(Auction!$A$13:$M$656,SMALL(IF(Auction!$M$13:$M$656=$A$243,(ROW(Auction!$M$13:$M$656)-MIN(ROW(Auction!$M$13:$M$656))+1),""),ROW($A17)),1),""))</f>
        <v/>
      </c>
      <c r="C261" s="142">
        <f>IF(ISERROR(VLOOKUP(B261,Auction!$A$13:$I$656,7,FALSE)),0,VLOOKUP(B261,Auction!$A$13:$I$656,8,FALSE))</f>
        <v>0</v>
      </c>
      <c r="D261" s="143">
        <f>IFERROR(VLOOKUP(B261,Auction!$A$13:$I$656,9,FALSE)-C261,0)</f>
        <v>0</v>
      </c>
      <c r="E261" s="150" t="str">
        <f>IFERROR(INDEX(Auction!$C$13:$C$656,MATCH(B261,Auction!$A$13:$A$656,0)),"")</f>
        <v/>
      </c>
    </row>
    <row r="262" spans="1:5" x14ac:dyDescent="0.25">
      <c r="A262" s="133" t="str">
        <f>IFERROR(INDEX(Auction!$B$13:$B$656,MATCH(B262,Auction!$A$13:$A$656,0)),"")</f>
        <v/>
      </c>
      <c r="B262" s="211" t="str">
        <f t="array" ref="B262">IF($A$243=0,"",IFERROR(INDEX(Auction!$A$13:$M$656,SMALL(IF(Auction!$M$13:$M$656=$A$243,(ROW(Auction!$M$13:$M$656)-MIN(ROW(Auction!$M$13:$M$656))+1),""),ROW($A18)),1),""))</f>
        <v/>
      </c>
      <c r="C262" s="142">
        <f>IF(ISERROR(VLOOKUP(B262,Auction!$A$13:$I$656,7,FALSE)),0,VLOOKUP(B262,Auction!$A$13:$I$656,8,FALSE))</f>
        <v>0</v>
      </c>
      <c r="D262" s="143">
        <f>IFERROR(VLOOKUP(B262,Auction!$A$13:$I$656,9,FALSE)-C262,0)</f>
        <v>0</v>
      </c>
      <c r="E262" s="150" t="str">
        <f>IFERROR(INDEX(Auction!$C$13:$C$656,MATCH(B262,Auction!$A$13:$A$656,0)),"")</f>
        <v/>
      </c>
    </row>
    <row r="263" spans="1:5" x14ac:dyDescent="0.25">
      <c r="A263" s="133" t="str">
        <f>IFERROR(INDEX(Auction!$B$13:$B$656,MATCH(B263,Auction!$A$13:$A$656,0)),"")</f>
        <v/>
      </c>
      <c r="B263" s="211" t="str">
        <f t="array" ref="B263">IF($A$243=0,"",IFERROR(INDEX(Auction!$A$13:$M$656,SMALL(IF(Auction!$M$13:$M$656=$A$243,(ROW(Auction!$M$13:$M$656)-MIN(ROW(Auction!$M$13:$M$656))+1),""),ROW($A19)),1),""))</f>
        <v/>
      </c>
      <c r="C263" s="142">
        <f>IF(ISERROR(VLOOKUP(B263,Auction!$A$13:$I$656,7,FALSE)),0,VLOOKUP(B263,Auction!$A$13:$I$656,8,FALSE))</f>
        <v>0</v>
      </c>
      <c r="D263" s="143">
        <f>IFERROR(VLOOKUP(B263,Auction!$A$13:$I$656,9,FALSE)-C263,0)</f>
        <v>0</v>
      </c>
      <c r="E263" s="150" t="str">
        <f>IFERROR(INDEX(Auction!$C$13:$C$656,MATCH(B263,Auction!$A$13:$A$656,0)),"")</f>
        <v/>
      </c>
    </row>
    <row r="264" spans="1:5" x14ac:dyDescent="0.25">
      <c r="A264" s="133" t="str">
        <f>IFERROR(INDEX(Auction!$B$13:$B$656,MATCH(B264,Auction!$A$13:$A$656,0)),"")</f>
        <v/>
      </c>
      <c r="B264" s="211" t="str">
        <f t="array" ref="B264">IF($A$243=0,"",IFERROR(INDEX(Auction!$A$13:$M$656,SMALL(IF(Auction!$M$13:$M$656=$A$243,(ROW(Auction!$M$13:$M$656)-MIN(ROW(Auction!$M$13:$M$656))+1),""),ROW($A20)),1),""))</f>
        <v/>
      </c>
      <c r="C264" s="142">
        <f>IF(ISERROR(VLOOKUP(B264,Auction!$A$13:$I$656,7,FALSE)),0,VLOOKUP(B264,Auction!$A$13:$I$656,8,FALSE))</f>
        <v>0</v>
      </c>
      <c r="D264" s="143">
        <f>IFERROR(VLOOKUP(B264,Auction!$A$13:$I$656,9,FALSE)-C264,0)</f>
        <v>0</v>
      </c>
      <c r="E264" s="150" t="str">
        <f>IFERROR(INDEX(Auction!$C$13:$C$656,MATCH(B264,Auction!$A$13:$A$656,0)),"")</f>
        <v/>
      </c>
    </row>
    <row r="265" spans="1:5" x14ac:dyDescent="0.25">
      <c r="A265" s="151"/>
      <c r="B265" s="152"/>
      <c r="C265" s="153">
        <f>SUM(C245:C264)</f>
        <v>0</v>
      </c>
      <c r="D265" s="153">
        <f>SUM(D245:D264)</f>
        <v>0</v>
      </c>
      <c r="E265" s="154"/>
    </row>
  </sheetData>
  <mergeCells count="26">
    <mergeCell ref="A243:E243"/>
    <mergeCell ref="A171:E171"/>
    <mergeCell ref="G171:K171"/>
    <mergeCell ref="A195:E195"/>
    <mergeCell ref="G195:K195"/>
    <mergeCell ref="A219:E219"/>
    <mergeCell ref="G219:K219"/>
    <mergeCell ref="A99:E99"/>
    <mergeCell ref="G99:K99"/>
    <mergeCell ref="A123:E123"/>
    <mergeCell ref="G123:K123"/>
    <mergeCell ref="A147:E147"/>
    <mergeCell ref="G147:K147"/>
    <mergeCell ref="A51:E51"/>
    <mergeCell ref="A75:E75"/>
    <mergeCell ref="G27:K27"/>
    <mergeCell ref="G51:K51"/>
    <mergeCell ref="G75:K75"/>
    <mergeCell ref="A1:E1"/>
    <mergeCell ref="G1:Q1"/>
    <mergeCell ref="W1:Z1"/>
    <mergeCell ref="R1:U1"/>
    <mergeCell ref="A27:E27"/>
    <mergeCell ref="A24:E24"/>
    <mergeCell ref="G24:L24"/>
    <mergeCell ref="G25:L25"/>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AH64"/>
  <sheetViews>
    <sheetView workbookViewId="0">
      <selection sqref="A1:AE1"/>
    </sheetView>
  </sheetViews>
  <sheetFormatPr defaultColWidth="8.85546875" defaultRowHeight="15" x14ac:dyDescent="0.25"/>
  <cols>
    <col min="1" max="1" width="18.42578125" bestFit="1" customWidth="1"/>
    <col min="2" max="2" width="4.85546875" customWidth="1"/>
    <col min="3" max="3" width="4.42578125" customWidth="1"/>
    <col min="4" max="5" width="6.42578125" bestFit="1" customWidth="1"/>
    <col min="6" max="6" width="5" customWidth="1"/>
    <col min="7" max="7" width="8.42578125" customWidth="1"/>
    <col min="8" max="8" width="4.42578125" bestFit="1" customWidth="1"/>
    <col min="9" max="9" width="1.140625" customWidth="1"/>
    <col min="10" max="10" width="20.42578125" bestFit="1" customWidth="1"/>
    <col min="11" max="12" width="4.42578125" customWidth="1"/>
    <col min="13" max="13" width="6.42578125" bestFit="1" customWidth="1"/>
    <col min="15" max="15" width="4.42578125" customWidth="1"/>
    <col min="16" max="16" width="8.140625" customWidth="1"/>
    <col min="17" max="17" width="4" bestFit="1" customWidth="1"/>
    <col min="18" max="18" width="0.85546875" customWidth="1"/>
    <col min="19" max="19" width="19.85546875" bestFit="1" customWidth="1"/>
    <col min="20" max="21" width="4.42578125" customWidth="1"/>
    <col min="22" max="22" width="6.42578125" bestFit="1" customWidth="1"/>
    <col min="24" max="24" width="5.140625" bestFit="1" customWidth="1"/>
    <col min="26" max="26" width="4.140625" customWidth="1"/>
    <col min="27" max="27" width="2.140625" customWidth="1"/>
    <col min="28" max="28" width="4.85546875" bestFit="1" customWidth="1"/>
    <col min="29" max="29" width="18" bestFit="1" customWidth="1"/>
    <col min="30" max="30" width="4.140625" bestFit="1" customWidth="1"/>
    <col min="31" max="31" width="7.42578125" bestFit="1" customWidth="1"/>
    <col min="32" max="32" width="12.42578125" bestFit="1" customWidth="1"/>
    <col min="33" max="33" width="14.42578125" bestFit="1" customWidth="1"/>
    <col min="34" max="34" width="13.42578125" bestFit="1" customWidth="1"/>
    <col min="35" max="35" width="12.42578125" bestFit="1" customWidth="1"/>
  </cols>
  <sheetData>
    <row r="1" spans="1:34" ht="26.25" x14ac:dyDescent="0.4">
      <c r="A1" s="277"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"&amp;LeagueInfo!D9&amp;"DST / "&amp;LeagueInfo!D8&amp;"PK / "&amp;LeagueInfo!F5&amp;"BN"</f>
        <v>CheatSheet - $200 - 0.5 PPR - 12 Team - 1QB (22) / 2RB (54) / 2WR (58) / 1TE (22) / 1FLX / 1DST / 1PK / 6BN</v>
      </c>
      <c r="B1" s="278"/>
      <c r="C1" s="278"/>
      <c r="D1" s="278"/>
      <c r="E1" s="278"/>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row>
    <row r="2" spans="1:34" ht="36" customHeight="1" thickBot="1" x14ac:dyDescent="0.3">
      <c r="A2" s="18"/>
      <c r="B2" s="18"/>
      <c r="C2" s="19"/>
      <c r="D2" s="19"/>
      <c r="E2" s="19"/>
      <c r="F2" s="19"/>
      <c r="G2" s="19"/>
      <c r="H2" s="20"/>
      <c r="I2" s="18"/>
      <c r="J2" s="18"/>
      <c r="K2" s="18"/>
      <c r="L2" s="19"/>
      <c r="M2" s="21"/>
      <c r="N2" s="19"/>
      <c r="O2" s="19"/>
      <c r="P2" s="19" t="s">
        <v>510</v>
      </c>
      <c r="Q2" s="20"/>
      <c r="R2" s="18"/>
      <c r="S2" s="18"/>
      <c r="T2" s="18"/>
      <c r="U2" s="19"/>
      <c r="V2" s="21"/>
      <c r="W2" s="19"/>
      <c r="X2" s="19"/>
      <c r="Y2" s="19"/>
      <c r="Z2" s="20"/>
    </row>
    <row r="3" spans="1:34" x14ac:dyDescent="0.25">
      <c r="A3" s="279" t="str">
        <f ca="1">CONCATENATE("QB - Positional Scarcity ",TEXT(QB!$Y$3,"0.00%"))</f>
        <v>QB - Positional Scarcity 100.00%</v>
      </c>
      <c r="B3" s="280"/>
      <c r="C3" s="280"/>
      <c r="D3" s="280"/>
      <c r="E3" s="280"/>
      <c r="F3" s="280"/>
      <c r="G3" s="280"/>
      <c r="H3" s="281"/>
      <c r="I3" s="18"/>
      <c r="J3" s="279" t="str">
        <f ca="1">CONCATENATE("RB - Positional Scarcity ",TEXT('RB'!$Y$3,"0.00%"))</f>
        <v>RB - Positional Scarcity 100.00%</v>
      </c>
      <c r="K3" s="280"/>
      <c r="L3" s="280"/>
      <c r="M3" s="280"/>
      <c r="N3" s="280"/>
      <c r="O3" s="280"/>
      <c r="P3" s="280"/>
      <c r="Q3" s="281"/>
      <c r="R3" s="18"/>
      <c r="S3" s="279" t="str">
        <f ca="1">CONCATENATE("WR - Positional Scarcity ",TEXT(WR!$Y$3,"0.00%"))</f>
        <v>WR - Positional Scarcity 100.00%</v>
      </c>
      <c r="T3" s="280"/>
      <c r="U3" s="280"/>
      <c r="V3" s="280"/>
      <c r="W3" s="280"/>
      <c r="X3" s="280"/>
      <c r="Y3" s="280"/>
      <c r="Z3" s="281"/>
      <c r="AB3" s="279" t="s">
        <v>511</v>
      </c>
      <c r="AC3" s="280"/>
      <c r="AD3" s="280"/>
      <c r="AE3" s="280"/>
    </row>
    <row r="4" spans="1:34" ht="15.75" thickBot="1" x14ac:dyDescent="0.3">
      <c r="A4" s="101" t="s">
        <v>512</v>
      </c>
      <c r="B4" s="102" t="s">
        <v>256</v>
      </c>
      <c r="C4" s="102" t="s">
        <v>255</v>
      </c>
      <c r="D4" s="102" t="s">
        <v>513</v>
      </c>
      <c r="E4" s="102" t="s">
        <v>14</v>
      </c>
      <c r="F4" s="102" t="s">
        <v>273</v>
      </c>
      <c r="G4" s="102" t="s">
        <v>514</v>
      </c>
      <c r="H4" s="103" t="s">
        <v>267</v>
      </c>
      <c r="I4" s="19"/>
      <c r="J4" s="101" t="s">
        <v>512</v>
      </c>
      <c r="K4" s="102" t="s">
        <v>256</v>
      </c>
      <c r="L4" s="102" t="s">
        <v>255</v>
      </c>
      <c r="M4" s="102" t="s">
        <v>513</v>
      </c>
      <c r="N4" s="102" t="s">
        <v>14</v>
      </c>
      <c r="O4" s="102" t="s">
        <v>273</v>
      </c>
      <c r="P4" s="102" t="s">
        <v>514</v>
      </c>
      <c r="Q4" s="103" t="s">
        <v>267</v>
      </c>
      <c r="R4" s="19"/>
      <c r="S4" s="101" t="s">
        <v>512</v>
      </c>
      <c r="T4" s="102" t="s">
        <v>256</v>
      </c>
      <c r="U4" s="102" t="s">
        <v>255</v>
      </c>
      <c r="V4" s="102" t="s">
        <v>513</v>
      </c>
      <c r="W4" s="102" t="s">
        <v>14</v>
      </c>
      <c r="X4" s="102" t="s">
        <v>273</v>
      </c>
      <c r="Y4" s="102" t="s">
        <v>514</v>
      </c>
      <c r="Z4" s="103" t="s">
        <v>267</v>
      </c>
      <c r="AB4" s="101" t="s">
        <v>515</v>
      </c>
      <c r="AC4" s="102" t="s">
        <v>85</v>
      </c>
      <c r="AD4" s="113" t="s">
        <v>20</v>
      </c>
      <c r="AE4" s="105" t="s">
        <v>14</v>
      </c>
      <c r="AF4" s="201"/>
      <c r="AG4" s="201"/>
      <c r="AH4" s="201"/>
    </row>
    <row r="5" spans="1:34" x14ac:dyDescent="0.25">
      <c r="A5" s="24" t="s">
        <v>531</v>
      </c>
      <c r="B5" s="106" t="str">
        <f>INDEX(QB!F$3:F$38,MATCH(A5,QB!B$3:B$38,0))</f>
        <v>BUF</v>
      </c>
      <c r="C5" s="28">
        <f>INDEX(QB!E$3:E$38,MATCH(A5,QB!B$3:B$38,0))</f>
        <v>7</v>
      </c>
      <c r="D5" s="186" t="str">
        <f>IF(INDEX(Auction!$H$13:$H$656,MATCH(A5,Auction!$A$13:$A$656,0))&gt;0,"x","")</f>
        <v/>
      </c>
      <c r="E5" s="25">
        <f ca="1">INDEX(QB!$Z$3:$Z$38,MATCH(A5,QB!$B$3:$B$38,0))</f>
        <v>113.73099999999999</v>
      </c>
      <c r="F5" s="25" t="str">
        <f ca="1">INDEX(QB!$AA$3:$AA$38,MATCH(A5,QB!$B$3:$B$38,0))</f>
        <v>QB1</v>
      </c>
      <c r="G5" s="38">
        <f ca="1">IF(D5="",IFERROR(E5/(SUMIFS($E$5:$E$34,$E$5:$E$34,"&gt;0",$D$5:$D$34,"")),1),0)</f>
        <v>0.1453165747345852</v>
      </c>
      <c r="H5" s="30">
        <f ca="1">IF(LeagueInfo!$H$7="Starter/Bench",INDEX(QB!$T$3:$T$38,MATCH(A5,QB!$B$3:$B$38,0))*InflationPct,INDEX(QB!$AB$3:$AB$38,MATCH(A5,QB!$B$3:$B$38,0))*InflationPct)</f>
        <v>42.221171409480618</v>
      </c>
      <c r="I5" s="23"/>
      <c r="J5" s="41" t="s">
        <v>879</v>
      </c>
      <c r="K5" s="61" t="str">
        <f>INDEX('RB'!$F$3:$F$138,MATCH(J5,'RB'!$B$3:$B$138,0))</f>
        <v>IND</v>
      </c>
      <c r="L5" s="42">
        <f>INDEX('RB'!$E$3:$E$138,MATCH(J5,'RB'!$B$3:$B$138,0))</f>
        <v>14</v>
      </c>
      <c r="M5" s="182" t="str">
        <f>IF(INDEX(Auction!$H$13:$H$656,MATCH(J5,Auction!$A$13:$A$656,0))&gt;0,"x","")</f>
        <v/>
      </c>
      <c r="N5" s="43">
        <f ca="1">INDEX('RB'!Z$3:Z$138,MATCH(J5,'RB'!$B$3:$B$138,0))</f>
        <v>192.19500000000002</v>
      </c>
      <c r="O5" s="44" t="str">
        <f ca="1">INDEX('RB'!AA$3:AA$138,MATCH(J5,'RB'!$B$3:$B$138,0))</f>
        <v>RB1</v>
      </c>
      <c r="P5" s="45">
        <f ca="1">IF(M5="",IFERROR(N5/(SUMIFS($N$5:$N$64,$N$5:$N$64,"&gt;0",$M$5:$M$64,"")),1),0)</f>
        <v>6.1130627972919939E-2</v>
      </c>
      <c r="Q5" s="46">
        <f ca="1">IF(LeagueInfo!$H$7="Starter/Bench",INDEX('RB'!$T$3:$T$138,MATCH(J5,'RB'!$B$3:$B$138,0))*InflationPct,INDEX('RB'!$AB$3:$AB$138,MATCH(J5,'RB'!$B$3:$B$138,0))*InflationPct)</f>
        <v>71.40171450420452</v>
      </c>
      <c r="S5" s="22" t="s">
        <v>375</v>
      </c>
      <c r="T5" s="76" t="str">
        <f>INDEX(WR!$F$1:$F$183,MATCH(S5,WR!$B$1:$B$183,0))</f>
        <v>LAR</v>
      </c>
      <c r="U5" s="28">
        <f>INDEX(WR!$E$1:$E$183,MATCH(S5,WR!$B$1:$B$183,0))</f>
        <v>7</v>
      </c>
      <c r="V5" s="184" t="str">
        <f>IF(INDEX(Auction!$H$13:$H$656,MATCH(S5,Auction!$A$13:$A$656,0))&gt;0,"x","")</f>
        <v/>
      </c>
      <c r="W5" s="25">
        <f ca="1">INDEX(WR!Z$3:Z$183,MATCH(S5,WR!$B$3:$B$183,0))</f>
        <v>151.62000000000006</v>
      </c>
      <c r="X5" s="25" t="str">
        <f ca="1">INDEX(WR!AA$3:AA$183,MATCH(S5,WR!$B$3:$B$183,0))</f>
        <v>WR1</v>
      </c>
      <c r="Y5" s="38">
        <f ca="1">IF(V5="",IFERROR(W5/(SUMIFS($W$5:$W$64,$W$5:$W$64,"&gt;0",$V$5:$V$64,"")),1),0)</f>
        <v>7.6806759724322382E-2</v>
      </c>
      <c r="Z5" s="30">
        <f ca="1">IF(LeagueInfo!$H$7="Starter/Bench",INDEX(WR!$T$3:$T$183,MATCH(S5,WR!$B$3:$B$183,0))*InflationPct,INDEX(WR!$AB$3:$AB$183,MATCH(S5,WR!$B$3:$B$183,0))*InflationPct)</f>
        <v>56.46093065289211</v>
      </c>
      <c r="AB5" s="22">
        <f ca="1">RANK($AE5,$AE$5:$AE$64,0)</f>
        <v>1</v>
      </c>
      <c r="AC5" s="106" t="str">
        <f ca="1">IFERROR(INDEX($A$5:$A$34,MATCH(AE5,($E$5:$E$34),0)),IFERROR(INDEX($A$37:$A$64,MATCH(AE5,($E$37:$E$64),0)),IFERROR(INDEX($J$5:$J$64,MATCH(AE5,($N$5:$N$64),0)),IFERROR(INDEX($S$5:$S$64,MATCH(AE5,($W$5:$W$64),0)),0))))</f>
        <v>Jonathan Taylor</v>
      </c>
      <c r="AD5" s="76" t="str">
        <f t="shared" ref="AD5:AD21" ca="1" si="0">IF(IFERROR(INDEX($S$5:$S$64,MATCH($AC5,$S$5:$S$64,0)),0)&lt;&gt;0,"WR",IF(IFERROR(INDEX($J$5:$J$64,MATCH($AC5,$J$5:$J$64,0)),0)&lt;&gt;0,"RB",IF(IFERROR(INDEX($A$5:$A$34,MATCH($AC5,$A$5:$A$34,0)),0)&lt;&gt;0,"QB",IF(IFERROR(INDEX($A$37:$A$64,MATCH($AC5,$A$37:$A$64,0)),0)&lt;&gt;0,"TE"))))</f>
        <v>RB</v>
      </c>
      <c r="AE5" s="109">
        <f ca="1">LARGE(($E$5:$E$34,$E$37:$E$64,$N$5:$N$64,$W$5:$W$64),ROW(AE5)-4)</f>
        <v>192.19500000000002</v>
      </c>
    </row>
    <row r="6" spans="1:34" x14ac:dyDescent="0.25">
      <c r="A6" s="24" t="s">
        <v>914</v>
      </c>
      <c r="B6" s="60" t="str">
        <f>INDEX(QB!F$3:F$38,MATCH(A6,QB!B$3:B$38,0))</f>
        <v>KC</v>
      </c>
      <c r="C6" s="29">
        <f>INDEX(QB!E$3:E$38,MATCH(A6,QB!B$3:B$38,0))</f>
        <v>8</v>
      </c>
      <c r="D6" s="181" t="str">
        <f>IF(INDEX(Auction!$H$13:$H$656,MATCH(A6,Auction!$A$13:$A$656,0))&gt;0,"x","")</f>
        <v/>
      </c>
      <c r="E6" s="25">
        <f ca="1">INDEX(QB!$Z$3:$Z$38,MATCH(A6,QB!$B$3:$B$38,0))</f>
        <v>85.688999999999965</v>
      </c>
      <c r="F6" s="25" t="str">
        <f ca="1">INDEX(QB!$AA$3:$AA$38,MATCH(A6,QB!$B$3:$B$38,0))</f>
        <v>QB2</v>
      </c>
      <c r="G6" s="39">
        <f ca="1">IF(D6="",IFERROR(E6/(SUMIFS($E$5:$E$34,$E$5:$E$34,"&gt;0",$D$5:$D$34,"")),1),0)</f>
        <v>0.10948670083294675</v>
      </c>
      <c r="H6" s="31">
        <f ca="1">IF(LeagueInfo!$H$7="Starter/Bench",INDEX(QB!$T$3:$T$38,MATCH(A6,QB!$B$3:$B$38,0))*InflationPct,INDEX(QB!$AB$3:$AB$38,MATCH(A6,QB!$B$3:$B$38,0))*InflationPct)</f>
        <v>31.731467801887625</v>
      </c>
      <c r="I6" s="23"/>
      <c r="J6" s="47" t="s">
        <v>116</v>
      </c>
      <c r="K6" s="56" t="str">
        <f>INDEX('RB'!$F$3:$F$138,MATCH(J6,'RB'!$B$3:$B$138,0))</f>
        <v>CAR</v>
      </c>
      <c r="L6" s="48">
        <f>INDEX('RB'!$E$3:$E$138,MATCH(J6,'RB'!$B$3:$B$138,0))</f>
        <v>13</v>
      </c>
      <c r="M6" s="182" t="str">
        <f>IF(INDEX(Auction!$H$13:$H$656,MATCH(J6,Auction!$A$13:$A$656,0))&gt;0,"x","")</f>
        <v/>
      </c>
      <c r="N6" s="43">
        <f ca="1">INDEX('RB'!Z$3:Z$138,MATCH(J6,'RB'!$B$3:$B$138,0))</f>
        <v>168.16500000000005</v>
      </c>
      <c r="O6" s="43" t="str">
        <f ca="1">INDEX('RB'!AA$3:AA$138,MATCH(J6,'RB'!$B$3:$B$138,0))</f>
        <v>RB2</v>
      </c>
      <c r="P6" s="49">
        <f ca="1">IF(M6="",IFERROR(N6/(SUMIFS($N$5:$N$64,$N$5:$N$64,"&gt;0",$M$5:$M$64,"")),1),0)</f>
        <v>5.3487510357012845E-2</v>
      </c>
      <c r="Q6" s="50">
        <f ca="1">IF(LeagueInfo!$H$7="Starter/Bench",INDEX('RB'!$T$3:$T$138,MATCH(J6,'RB'!$B$3:$B$138,0))*InflationPct,INDEX('RB'!$AB$3:$AB$138,MATCH(J6,'RB'!$B$3:$B$138,0))*InflationPct)</f>
        <v>62.412784410400263</v>
      </c>
      <c r="S6" s="24" t="s">
        <v>835</v>
      </c>
      <c r="T6" s="58" t="str">
        <f>INDEX(WR!$F$1:$F$183,MATCH(S6,WR!$B$1:$B$183,0))</f>
        <v>MIN</v>
      </c>
      <c r="U6" s="29">
        <f>INDEX(WR!$E$1:$E$183,MATCH(S6,WR!$B$1:$B$183,0))</f>
        <v>7</v>
      </c>
      <c r="V6" s="184" t="str">
        <f>IF(INDEX(Auction!$H$13:$H$656,MATCH(S6,Auction!$A$13:$A$656,0))&gt;0,"x","")</f>
        <v/>
      </c>
      <c r="W6" s="25">
        <f ca="1">INDEX(WR!Z$3:Z$183,MATCH(S6,WR!$B$3:$B$183,0))</f>
        <v>112.67000000000006</v>
      </c>
      <c r="X6" s="25" t="str">
        <f ca="1">INDEX(WR!AA$3:AA$183,MATCH(S6,WR!$B$3:$B$183,0))</f>
        <v>WR3</v>
      </c>
      <c r="Y6" s="38">
        <f ca="1">IF(V6="",IFERROR(W6/(SUMIFS($W$5:$W$64,$W$5:$W$64,"&gt;0",$V$5:$V$64,"")),1),0)</f>
        <v>5.7075699895392455E-2</v>
      </c>
      <c r="Z6" s="31">
        <f ca="1">IF(LeagueInfo!$H$7="Starter/Bench",INDEX(WR!$T$3:$T$183,MATCH(S6,WR!$B$3:$B$183,0))*InflationPct,INDEX(WR!$AB$3:$AB$183,MATCH(S6,WR!$B$3:$B$183,0))*InflationPct)</f>
        <v>41.89085877799922</v>
      </c>
      <c r="AB6" s="24">
        <f t="shared" ref="AB6:AB64" ca="1" si="1">RANK($AE6,$AE$5:$AE$64,0)</f>
        <v>2</v>
      </c>
      <c r="AC6" s="107" t="str">
        <f ca="1">IFERROR(INDEX($A$5:$A$34,MATCH(AE6,($E$5:$E$34),0)),IFERROR(INDEX($A$37:$A$64,MATCH(AE6,($E$37:$E$64),0)),IFERROR(INDEX($J$5:$J$64,MATCH(AE6,($N$5:$N$64),0)),IFERROR(INDEX($S$5:$S$64,MATCH(AE6,($W$5:$W$64),0)),0))))</f>
        <v>Christian McCaffrey</v>
      </c>
      <c r="AD6" s="107" t="str">
        <f t="shared" ca="1" si="0"/>
        <v>RB</v>
      </c>
      <c r="AE6" s="110">
        <f ca="1">LARGE(($E$5:$E$34,$E$37:$E$64,$N$5:$N$64,$W$5:$W$64),ROW(AE6)-4)</f>
        <v>168.16500000000005</v>
      </c>
    </row>
    <row r="7" spans="1:34" x14ac:dyDescent="0.25">
      <c r="A7" s="24" t="s">
        <v>873</v>
      </c>
      <c r="B7" s="60" t="str">
        <f>INDEX(QB!F$3:F$38,MATCH(A7,QB!B$3:B$38,0))</f>
        <v>LAC</v>
      </c>
      <c r="C7" s="29">
        <f>INDEX(QB!E$3:E$38,MATCH(A7,QB!B$3:B$38,0))</f>
        <v>8</v>
      </c>
      <c r="D7" s="181" t="str">
        <f>IF(INDEX(Auction!$H$13:$H$656,MATCH(A7,Auction!$A$13:$A$656,0))&gt;0,"x","")</f>
        <v/>
      </c>
      <c r="E7" s="25">
        <f ca="1">INDEX(QB!$Z$3:$Z$38,MATCH(A7,QB!$B$3:$B$38,0))</f>
        <v>68.688999999999965</v>
      </c>
      <c r="F7" s="25" t="str">
        <f ca="1">INDEX(QB!$AA$3:$AA$38,MATCH(A7,QB!$B$3:$B$38,0))</f>
        <v>QB3</v>
      </c>
      <c r="G7" s="39">
        <f ca="1">IF(D7="",IFERROR(E7/(SUMIFS($E$5:$E$34,$E$5:$E$34,"&gt;0",$D$5:$D$34,"")),1),0)</f>
        <v>8.7765430726397531E-2</v>
      </c>
      <c r="H7" s="31">
        <f ca="1">IF(LeagueInfo!$H$7="Starter/Bench",INDEX(QB!$T$3:$T$38,MATCH(A7,QB!$B$3:$B$38,0))*InflationPct,INDEX(QB!$AB$3:$AB$38,MATCH(A7,QB!$B$3:$B$38,0))*InflationPct)</f>
        <v>25.372257997698171</v>
      </c>
      <c r="I7" s="23"/>
      <c r="J7" s="47" t="s">
        <v>549</v>
      </c>
      <c r="K7" s="56" t="str">
        <f>INDEX('RB'!$F$3:$F$138,MATCH(J7,'RB'!$B$3:$B$138,0))</f>
        <v>LAC</v>
      </c>
      <c r="L7" s="48">
        <f>INDEX('RB'!$E$3:$E$138,MATCH(J7,'RB'!$B$3:$B$138,0))</f>
        <v>8</v>
      </c>
      <c r="M7" s="182" t="str">
        <f>IF(INDEX(Auction!$H$13:$H$656,MATCH(J7,Auction!$A$13:$A$656,0))&gt;0,"x","")</f>
        <v/>
      </c>
      <c r="N7" s="43">
        <f ca="1">INDEX('RB'!Z$3:Z$138,MATCH(J7,'RB'!$B$3:$B$138,0))</f>
        <v>157.04499999999999</v>
      </c>
      <c r="O7" s="43" t="str">
        <f ca="1">INDEX('RB'!AA$3:AA$138,MATCH(J7,'RB'!$B$3:$B$138,0))</f>
        <v>RB2</v>
      </c>
      <c r="P7" s="49">
        <f ca="1">IF(M7="",IFERROR(N7/(SUMIFS($N$5:$N$64,$N$5:$N$64,"&gt;0",$M$5:$M$64,"")),1),0)</f>
        <v>4.9950620307537712E-2</v>
      </c>
      <c r="Q7" s="50">
        <f ca="1">IF(LeagueInfo!$H$7="Starter/Bench",INDEX('RB'!$T$3:$T$138,MATCH(J7,'RB'!$B$3:$B$138,0))*InflationPct,INDEX('RB'!$AB$3:$AB$138,MATCH(J7,'RB'!$B$3:$B$138,0))*InflationPct)</f>
        <v>58.253113056130431</v>
      </c>
      <c r="S7" s="24" t="s">
        <v>945</v>
      </c>
      <c r="T7" s="58" t="str">
        <f>INDEX(WR!$F$1:$F$183,MATCH(S7,WR!$B$1:$B$183,0))</f>
        <v>CIN</v>
      </c>
      <c r="U7" s="29">
        <f>INDEX(WR!$E$1:$E$183,MATCH(S7,WR!$B$1:$B$183,0))</f>
        <v>10</v>
      </c>
      <c r="V7" s="184" t="str">
        <f>IF(INDEX(Auction!$H$13:$H$656,MATCH(S7,Auction!$A$13:$A$656,0))&gt;0,"x","")</f>
        <v/>
      </c>
      <c r="W7" s="25">
        <f ca="1">INDEX(WR!Z$3:Z$183,MATCH(S7,WR!$B$3:$B$183,0))</f>
        <v>109.12000000000005</v>
      </c>
      <c r="X7" s="25" t="str">
        <f ca="1">INDEX(WR!AA$3:AA$183,MATCH(S7,WR!$B$3:$B$183,0))</f>
        <v>WR3</v>
      </c>
      <c r="Y7" s="38">
        <f ca="1">IF(V7="",IFERROR(W7/(SUMIFS($W$5:$W$64,$W$5:$W$64,"&gt;0",$V$5:$V$64,"")),1),0)</f>
        <v>5.5277361964899477E-2</v>
      </c>
      <c r="Z7" s="31">
        <f ca="1">IF(LeagueInfo!$H$7="Starter/Bench",INDEX(WR!$T$3:$T$183,MATCH(S7,WR!$B$3:$B$183,0))*InflationPct,INDEX(WR!$AB$3:$AB$183,MATCH(S7,WR!$B$3:$B$183,0))*InflationPct)</f>
        <v>40.562906142418477</v>
      </c>
      <c r="AB7" s="24">
        <f t="shared" ca="1" si="1"/>
        <v>3</v>
      </c>
      <c r="AC7" s="107" t="str">
        <f t="shared" ref="AC7:AC64" ca="1" si="2">IFERROR(INDEX($A$5:$A$34,MATCH(AE7,($E$5:$E$34),0)),IFERROR(INDEX($A$37:$A$64,MATCH(AE7,($E$37:$E$64),0)),IFERROR(INDEX($J$5:$J$64,MATCH(AE7,($N$5:$N$64),0)),IFERROR(INDEX($S$5:$S$64,MATCH(AE7,($W$5:$W$64),0)),0))))</f>
        <v>Austin Ekeler</v>
      </c>
      <c r="AD7" s="107" t="str">
        <f t="shared" ca="1" si="0"/>
        <v>RB</v>
      </c>
      <c r="AE7" s="110">
        <f ca="1">LARGE(($E$5:$E$34,$E$37:$E$64,$N$5:$N$64,$W$5:$W$64),ROW(AE7)-4)</f>
        <v>157.04499999999999</v>
      </c>
    </row>
    <row r="8" spans="1:34" x14ac:dyDescent="0.25">
      <c r="A8" s="24" t="s">
        <v>534</v>
      </c>
      <c r="B8" s="60" t="str">
        <f>INDEX(QB!F$3:F$38,MATCH(A8,QB!B$3:B$38,0))</f>
        <v>BAL</v>
      </c>
      <c r="C8" s="29">
        <f>INDEX(QB!E$3:E$38,MATCH(A8,QB!B$3:B$38,0))</f>
        <v>10</v>
      </c>
      <c r="D8" s="181" t="str">
        <f>IF(INDEX(Auction!$H$13:$H$656,MATCH(A8,Auction!$A$13:$A$656,0))&gt;0,"x","")</f>
        <v/>
      </c>
      <c r="E8" s="25">
        <f ca="1">INDEX(QB!$Z$3:$Z$38,MATCH(A8,QB!$B$3:$B$38,0))</f>
        <v>64.968999999999994</v>
      </c>
      <c r="F8" s="25" t="str">
        <f ca="1">INDEX(QB!$AA$3:$AA$38,MATCH(A8,QB!$B$3:$B$38,0))</f>
        <v>QB3</v>
      </c>
      <c r="G8" s="39">
        <f ca="1">IF(D8="",IFERROR(E8/(SUMIFS($E$5:$E$34,$E$5:$E$34,"&gt;0",$D$5:$D$34,"")),1),0)</f>
        <v>8.3012305738376216E-2</v>
      </c>
      <c r="H8" s="31">
        <f ca="1">IF(LeagueInfo!$H$7="Starter/Bench",INDEX(QB!$T$3:$T$38,MATCH(A8,QB!$B$3:$B$38,0))*InflationPct,INDEX(QB!$AB$3:$AB$38,MATCH(A8,QB!$B$3:$B$38,0))*InflationPct)</f>
        <v>23.98071326407555</v>
      </c>
      <c r="I8" s="18"/>
      <c r="J8" s="47" t="s">
        <v>148</v>
      </c>
      <c r="K8" s="56" t="str">
        <f>INDEX('RB'!$F$3:$F$138,MATCH(J8,'RB'!$B$3:$B$138,0))</f>
        <v>TEN</v>
      </c>
      <c r="L8" s="48">
        <f>INDEX('RB'!$E$3:$E$138,MATCH(J8,'RB'!$B$3:$B$138,0))</f>
        <v>6</v>
      </c>
      <c r="M8" s="182" t="str">
        <f>IF(INDEX(Auction!$H$13:$H$656,MATCH(J8,Auction!$A$13:$A$656,0))&gt;0,"x","")</f>
        <v/>
      </c>
      <c r="N8" s="43">
        <f ca="1">INDEX('RB'!Z$3:Z$138,MATCH(J8,'RB'!$B$3:$B$138,0))</f>
        <v>153.345</v>
      </c>
      <c r="O8" s="43" t="str">
        <f ca="1">INDEX('RB'!AA$3:AA$138,MATCH(J8,'RB'!$B$3:$B$138,0))</f>
        <v>RB3</v>
      </c>
      <c r="P8" s="49">
        <f ca="1">IF(M8="",IFERROR(N8/(SUMIFS($N$5:$N$64,$N$5:$N$64,"&gt;0",$M$5:$M$64,"")),1),0)</f>
        <v>4.8773777395392216E-2</v>
      </c>
      <c r="Q8" s="50">
        <f ca="1">IF(LeagueInfo!$H$7="Starter/Bench",INDEX('RB'!$T$3:$T$138,MATCH(J8,'RB'!$B$3:$B$138,0))*InflationPct,INDEX('RB'!$AB$3:$AB$138,MATCH(J8,'RB'!$B$3:$B$138,0))*InflationPct)</f>
        <v>56.869049745806848</v>
      </c>
      <c r="S8" s="24" t="s">
        <v>125</v>
      </c>
      <c r="T8" s="58" t="str">
        <f>INDEX(WR!$F$1:$F$183,MATCH(S8,WR!$B$1:$B$183,0))</f>
        <v>LV</v>
      </c>
      <c r="U8" s="29">
        <f>INDEX(WR!$E$1:$E$183,MATCH(S8,WR!$B$1:$B$183,0))</f>
        <v>6</v>
      </c>
      <c r="V8" s="184" t="str">
        <f>IF(INDEX(Auction!$H$13:$H$656,MATCH(S8,Auction!$A$13:$A$656,0))&gt;0,"x","")</f>
        <v/>
      </c>
      <c r="W8" s="25">
        <f ca="1">INDEX(WR!Z$3:Z$183,MATCH(S8,WR!$B$3:$B$183,0))</f>
        <v>94.890000000000029</v>
      </c>
      <c r="X8" s="25" t="str">
        <f ca="1">INDEX(WR!AA$3:AA$183,MATCH(S8,WR!$B$3:$B$183,0))</f>
        <v>WR4</v>
      </c>
      <c r="Y8" s="38">
        <f ca="1">IF(V8="",IFERROR(W8/(SUMIFS($W$5:$W$64,$W$5:$W$64,"&gt;0",$V$5:$V$64,"")),1),0)</f>
        <v>4.8068813020979755E-2</v>
      </c>
      <c r="Z8" s="31">
        <f ca="1">IF(LeagueInfo!$H$7="Starter/Bench",INDEX(WR!$T$3:$T$183,MATCH(S8,WR!$B$3:$B$183,0))*InflationPct,INDEX(WR!$AB$3:$AB$183,MATCH(S8,WR!$B$3:$B$183,0))*InflationPct)</f>
        <v>35.239873465146943</v>
      </c>
      <c r="AB8" s="24">
        <f t="shared" ca="1" si="1"/>
        <v>4</v>
      </c>
      <c r="AC8" s="107" t="str">
        <f t="shared" ca="1" si="2"/>
        <v>Derrick Henry</v>
      </c>
      <c r="AD8" s="107" t="str">
        <f t="shared" ca="1" si="0"/>
        <v>RB</v>
      </c>
      <c r="AE8" s="110">
        <f ca="1">LARGE(($E$5:$E$34,$E$37:$E$64,$N$5:$N$64,$W$5:$W$64),ROW(AE8)-4)</f>
        <v>153.345</v>
      </c>
    </row>
    <row r="9" spans="1:34" x14ac:dyDescent="0.25">
      <c r="A9" s="24" t="s">
        <v>646</v>
      </c>
      <c r="B9" s="60" t="str">
        <f>INDEX(QB!F$3:F$38,MATCH(A9,QB!B$3:B$38,0))</f>
        <v>ARI</v>
      </c>
      <c r="C9" s="29">
        <f>INDEX(QB!E$3:E$38,MATCH(A9,QB!B$3:B$38,0))</f>
        <v>13</v>
      </c>
      <c r="D9" s="181" t="str">
        <f>IF(INDEX(Auction!$H$13:$H$656,MATCH(A9,Auction!$A$13:$A$656,0))&gt;0,"x","")</f>
        <v/>
      </c>
      <c r="E9" s="25">
        <f ca="1">INDEX(QB!$Z$3:$Z$38,MATCH(A9,QB!$B$3:$B$38,0))</f>
        <v>63.527000000000044</v>
      </c>
      <c r="F9" s="25" t="str">
        <f ca="1">INDEX(QB!$AA$3:$AA$38,MATCH(A9,QB!$B$3:$B$38,0))</f>
        <v>QB3</v>
      </c>
      <c r="G9" s="39">
        <f ca="1">IF(D9="",IFERROR(E9/(SUMIFS($E$5:$E$34,$E$5:$E$34,"&gt;0",$D$5:$D$34,"")),1),0)</f>
        <v>8.1169830944632509E-2</v>
      </c>
      <c r="H9" s="31">
        <f ca="1">IF(LeagueInfo!$H$7="Starter/Bench",INDEX(QB!$T$3:$T$38,MATCH(A9,QB!$B$3:$B$38,0))*InflationPct,INDEX(QB!$AB$3:$AB$38,MATCH(A9,QB!$B$3:$B$38,0))*InflationPct)</f>
        <v>23.441302644214325</v>
      </c>
      <c r="I9" s="18"/>
      <c r="J9" s="47" t="s">
        <v>335</v>
      </c>
      <c r="K9" s="56" t="str">
        <f>INDEX('RB'!$F$3:$F$138,MATCH(J9,'RB'!$B$3:$B$138,0))</f>
        <v>NO</v>
      </c>
      <c r="L9" s="48">
        <f>INDEX('RB'!$E$3:$E$138,MATCH(J9,'RB'!$B$3:$B$138,0))</f>
        <v>14</v>
      </c>
      <c r="M9" s="182" t="str">
        <f>IF(INDEX(Auction!$H$13:$H$656,MATCH(J9,Auction!$A$13:$A$656,0))&gt;0,"x","")</f>
        <v/>
      </c>
      <c r="N9" s="43">
        <f ca="1">INDEX('RB'!Z$3:Z$138,MATCH(J9,'RB'!$B$3:$B$138,0))</f>
        <v>124.675</v>
      </c>
      <c r="O9" s="43" t="str">
        <f ca="1">INDEX('RB'!AA$3:AA$138,MATCH(J9,'RB'!$B$3:$B$138,0))</f>
        <v>RB4</v>
      </c>
      <c r="P9" s="49">
        <f ca="1">IF(M9="",IFERROR(N9/(SUMIFS($N$5:$N$64,$N$5:$N$64,"&gt;0",$M$5:$M$64,"")),1),0)</f>
        <v>3.9654835154524275E-2</v>
      </c>
      <c r="Q9" s="50">
        <f ca="1">IF(LeagueInfo!$H$7="Starter/Bench",INDEX('RB'!$T$3:$T$138,MATCH(J9,'RB'!$B$3:$B$138,0))*InflationPct,INDEX('RB'!$AB$3:$AB$138,MATCH(J9,'RB'!$B$3:$B$138,0))*InflationPct)</f>
        <v>46.144429446623811</v>
      </c>
      <c r="S9" s="24" t="s">
        <v>702</v>
      </c>
      <c r="T9" s="58" t="str">
        <f>INDEX(WR!$F$1:$F$183,MATCH(S9,WR!$B$1:$B$183,0))</f>
        <v>SF</v>
      </c>
      <c r="U9" s="29">
        <f>INDEX(WR!$E$1:$E$183,MATCH(S9,WR!$B$1:$B$183,0))</f>
        <v>9</v>
      </c>
      <c r="V9" s="184" t="str">
        <f>IF(INDEX(Auction!$H$13:$H$656,MATCH(S9,Auction!$A$13:$A$656,0))&gt;0,"x","")</f>
        <v/>
      </c>
      <c r="W9" s="25">
        <f ca="1">INDEX(WR!Z$3:Z$183,MATCH(S9,WR!$B$3:$B$183,0))</f>
        <v>94.54</v>
      </c>
      <c r="X9" s="25" t="str">
        <f ca="1">INDEX(WR!AA$3:AA$183,MATCH(S9,WR!$B$3:$B$183,0))</f>
        <v>WR4</v>
      </c>
      <c r="Y9" s="38">
        <f ca="1">IF(V9="",IFERROR(W9/(SUMIFS($W$5:$W$64,$W$5:$W$64,"&gt;0",$V$5:$V$64,"")),1),0)</f>
        <v>4.7891512098255082E-2</v>
      </c>
      <c r="Z9" s="31">
        <f ca="1">IF(LeagueInfo!$H$7="Starter/Bench",INDEX(WR!$T$3:$T$183,MATCH(S9,WR!$B$3:$B$183,0))*InflationPct,INDEX(WR!$AB$3:$AB$183,MATCH(S9,WR!$B$3:$B$183,0))*InflationPct)</f>
        <v>35.108948557413626</v>
      </c>
      <c r="AB9" s="24">
        <f t="shared" ca="1" si="1"/>
        <v>5</v>
      </c>
      <c r="AC9" s="107" t="str">
        <f t="shared" ca="1" si="2"/>
        <v>Cooper Kupp</v>
      </c>
      <c r="AD9" s="107" t="str">
        <f t="shared" ca="1" si="0"/>
        <v>WR</v>
      </c>
      <c r="AE9" s="110">
        <f ca="1">LARGE(($E$5:$E$34,$E$37:$E$64,$N$5:$N$64,$W$5:$W$64),ROW(AE9)-4)</f>
        <v>151.62000000000006</v>
      </c>
    </row>
    <row r="10" spans="1:34" x14ac:dyDescent="0.25">
      <c r="A10" s="24" t="s">
        <v>874</v>
      </c>
      <c r="B10" s="60" t="str">
        <f>INDEX(QB!F$3:F$38,MATCH(A10,QB!B$3:B$38,0))</f>
        <v>PHI</v>
      </c>
      <c r="C10" s="29">
        <f>INDEX(QB!E$3:E$38,MATCH(A10,QB!B$3:B$38,0))</f>
        <v>7</v>
      </c>
      <c r="D10" s="181" t="str">
        <f>IF(INDEX(Auction!$H$13:$H$656,MATCH(A10,Auction!$A$13:$A$656,0))&gt;0,"x","")</f>
        <v/>
      </c>
      <c r="E10" s="25">
        <f ca="1">INDEX(QB!$Z$3:$Z$38,MATCH(A10,QB!$B$3:$B$38,0))</f>
        <v>62.526999999999987</v>
      </c>
      <c r="F10" s="25" t="str">
        <f ca="1">INDEX(QB!$AA$3:$AA$38,MATCH(A10,QB!$B$3:$B$38,0))</f>
        <v>QB3</v>
      </c>
      <c r="G10" s="39">
        <f ca="1">IF(D10="",IFERROR(E10/(SUMIFS($E$5:$E$34,$E$5:$E$34,"&gt;0",$D$5:$D$34,"")),1),0)</f>
        <v>7.9892109173658951E-2</v>
      </c>
      <c r="H10" s="31">
        <f ca="1">IF(LeagueInfo!$H$7="Starter/Bench",INDEX(QB!$T$3:$T$38,MATCH(A10,QB!$B$3:$B$38,0))*InflationPct,INDEX(QB!$AB$3:$AB$38,MATCH(A10,QB!$B$3:$B$38,0))*InflationPct)</f>
        <v>23.067231479261981</v>
      </c>
      <c r="I10" s="23"/>
      <c r="J10" s="47" t="s">
        <v>118</v>
      </c>
      <c r="K10" s="56" t="str">
        <f>INDEX('RB'!$F$3:$F$138,MATCH(J10,'RB'!$B$3:$B$138,0))</f>
        <v>CIN</v>
      </c>
      <c r="L10" s="48">
        <f>INDEX('RB'!$E$3:$E$138,MATCH(J10,'RB'!$B$3:$B$138,0))</f>
        <v>10</v>
      </c>
      <c r="M10" s="182" t="str">
        <f>IF(INDEX(Auction!$H$13:$H$656,MATCH(J10,Auction!$A$13:$A$656,0))&gt;0,"x","")</f>
        <v/>
      </c>
      <c r="N10" s="43">
        <f ca="1">INDEX('RB'!Z$3:Z$138,MATCH(J10,'RB'!$B$3:$B$138,0))</f>
        <v>121.43499999999999</v>
      </c>
      <c r="O10" s="43" t="str">
        <f ca="1">INDEX('RB'!AA$3:AA$138,MATCH(J10,'RB'!$B$3:$B$138,0))</f>
        <v>RB4</v>
      </c>
      <c r="P10" s="49">
        <f ca="1">IF(M10="",IFERROR(N10/(SUMIFS($N$5:$N$64,$N$5:$N$64,"&gt;0",$M$5:$M$64,"")),1),0)</f>
        <v>3.8624302442267132E-2</v>
      </c>
      <c r="Q10" s="50">
        <f ca="1">IF(LeagueInfo!$H$7="Starter/Bench",INDEX('RB'!$T$3:$T$138,MATCH(J10,'RB'!$B$3:$B$138,0))*InflationPct,INDEX('RB'!$AB$3:$AB$138,MATCH(J10,'RB'!$B$3:$B$138,0))*InflationPct)</f>
        <v>44.932438872178288</v>
      </c>
      <c r="S10" s="24" t="s">
        <v>169</v>
      </c>
      <c r="T10" s="58" t="str">
        <f>INDEX(WR!$F$1:$F$183,MATCH(S10,WR!$B$1:$B$183,0))</f>
        <v>BUF</v>
      </c>
      <c r="U10" s="29">
        <f>INDEX(WR!$E$1:$E$183,MATCH(S10,WR!$B$1:$B$183,0))</f>
        <v>7</v>
      </c>
      <c r="V10" s="184" t="str">
        <f>IF(INDEX(Auction!$H$13:$H$656,MATCH(S10,Auction!$A$13:$A$656,0))&gt;0,"x","")</f>
        <v/>
      </c>
      <c r="W10" s="25">
        <f ca="1">INDEX(WR!Z$3:Z$183,MATCH(S10,WR!$B$3:$B$183,0))</f>
        <v>82.850000000000037</v>
      </c>
      <c r="X10" s="25" t="str">
        <f ca="1">INDEX(WR!AA$3:AA$183,MATCH(S10,WR!$B$3:$B$183,0))</f>
        <v>WR4</v>
      </c>
      <c r="Y10" s="38">
        <f ca="1">IF(V10="",IFERROR(W10/(SUMIFS($W$5:$W$64,$W$5:$W$64,"&gt;0",$V$5:$V$64,"")),1),0)</f>
        <v>4.1969661279251481E-2</v>
      </c>
      <c r="Z10" s="31">
        <f ca="1">IF(LeagueInfo!$H$7="Starter/Bench",INDEX(WR!$T$3:$T$183,MATCH(S10,WR!$B$3:$B$183,0))*InflationPct,INDEX(WR!$AB$3:$AB$183,MATCH(S10,WR!$B$3:$B$183,0))*InflationPct)</f>
        <v>30.73605663912101</v>
      </c>
      <c r="AB10" s="24">
        <f t="shared" ca="1" si="1"/>
        <v>6</v>
      </c>
      <c r="AC10" s="107" t="str">
        <f t="shared" ca="1" si="2"/>
        <v>Alvin Kamara</v>
      </c>
      <c r="AD10" s="107" t="str">
        <f t="shared" ca="1" si="0"/>
        <v>RB</v>
      </c>
      <c r="AE10" s="110">
        <f ca="1">LARGE(($E$5:$E$34,$E$37:$E$64,$N$5:$N$64,$W$5:$W$64),ROW(AE10)-4)</f>
        <v>124.675</v>
      </c>
    </row>
    <row r="11" spans="1:34" x14ac:dyDescent="0.25">
      <c r="A11" s="24" t="s">
        <v>115</v>
      </c>
      <c r="B11" s="60" t="str">
        <f>INDEX(QB!F$3:F$38,MATCH(A11,QB!B$3:B$38,0))</f>
        <v>TB</v>
      </c>
      <c r="C11" s="29">
        <f>INDEX(QB!E$3:E$38,MATCH(A11,QB!B$3:B$38,0))</f>
        <v>11</v>
      </c>
      <c r="D11" s="181" t="str">
        <f>IF(INDEX(Auction!$H$13:$H$656,MATCH(A11,Auction!$A$13:$A$656,0))&gt;0,"x","")</f>
        <v/>
      </c>
      <c r="E11" s="25">
        <f ca="1">INDEX(QB!$Z$3:$Z$38,MATCH(A11,QB!$B$3:$B$38,0))</f>
        <v>49.758999999999958</v>
      </c>
      <c r="F11" s="25" t="str">
        <f ca="1">INDEX(QB!$AA$3:$AA$38,MATCH(A11,QB!$B$3:$B$38,0))</f>
        <v>QB4</v>
      </c>
      <c r="G11" s="39">
        <f ca="1">IF(D11="",IFERROR(E11/(SUMIFS($E$5:$E$34,$E$5:$E$34,"&gt;0",$D$5:$D$34,"")),1),0)</f>
        <v>6.3578157601869481E-2</v>
      </c>
      <c r="H11" s="31">
        <f ca="1">IF(LeagueInfo!$H$7="Starter/Bench",INDEX(QB!$T$3:$T$38,MATCH(A11,QB!$B$3:$B$38,0))*InflationPct,INDEX(QB!$AB$3:$AB$38,MATCH(A11,QB!$B$3:$B$38,0))*InflationPct)</f>
        <v>18.291090845150737</v>
      </c>
      <c r="I11" s="23"/>
      <c r="J11" s="47" t="s">
        <v>926</v>
      </c>
      <c r="K11" s="56" t="str">
        <f>INDEX('RB'!$F$3:$F$138,MATCH(J11,'RB'!$B$3:$B$138,0))</f>
        <v>PIT</v>
      </c>
      <c r="L11" s="48">
        <f>INDEX('RB'!$E$3:$E$138,MATCH(J11,'RB'!$B$3:$B$138,0))</f>
        <v>9</v>
      </c>
      <c r="M11" s="182" t="str">
        <f>IF(INDEX(Auction!$H$13:$H$656,MATCH(J11,Auction!$A$13:$A$656,0))&gt;0,"x","")</f>
        <v/>
      </c>
      <c r="N11" s="43">
        <f ca="1">INDEX('RB'!Z$3:Z$138,MATCH(J11,'RB'!$B$3:$B$138,0))</f>
        <v>118.97500000000001</v>
      </c>
      <c r="O11" s="43" t="str">
        <f ca="1">INDEX('RB'!AA$3:AA$138,MATCH(J11,'RB'!$B$3:$B$138,0))</f>
        <v>RB4</v>
      </c>
      <c r="P11" s="49">
        <f ca="1">IF(M11="",IFERROR(N11/(SUMIFS($N$5:$N$64,$N$5:$N$64,"&gt;0",$M$5:$M$64,"")),1),0)</f>
        <v>3.7841860938516346E-2</v>
      </c>
      <c r="Q11" s="50">
        <f ca="1">IF(LeagueInfo!$H$7="Starter/Bench",INDEX('RB'!$T$3:$T$138,MATCH(J11,'RB'!$B$3:$B$138,0))*InflationPct,INDEX('RB'!$AB$3:$AB$138,MATCH(J11,'RB'!$B$3:$B$138,0))*InflationPct)</f>
        <v>44.012223806395582</v>
      </c>
      <c r="S11" s="24" t="s">
        <v>832</v>
      </c>
      <c r="T11" s="58" t="str">
        <f>INDEX(WR!$F$1:$F$183,MATCH(S11,WR!$B$1:$B$183,0))</f>
        <v>DAL</v>
      </c>
      <c r="U11" s="29">
        <f>INDEX(WR!$E$1:$E$183,MATCH(S11,WR!$B$1:$B$183,0))</f>
        <v>9</v>
      </c>
      <c r="V11" s="184" t="str">
        <f>IF(INDEX(Auction!$H$13:$H$656,MATCH(S11,Auction!$A$13:$A$656,0))&gt;0,"x","")</f>
        <v/>
      </c>
      <c r="W11" s="25">
        <f ca="1">INDEX(WR!Z$3:Z$183,MATCH(S11,WR!$B$3:$B$183,0))</f>
        <v>72.960000000000022</v>
      </c>
      <c r="X11" s="25" t="str">
        <f ca="1">INDEX(WR!AA$3:AA$183,MATCH(S11,WR!$B$3:$B$183,0))</f>
        <v>WR5</v>
      </c>
      <c r="Y11" s="38">
        <f ca="1">IF(V11="",IFERROR(W11/(SUMIFS($W$5:$W$64,$W$5:$W$64,"&gt;0",$V$5:$V$64,"")),1),0)</f>
        <v>3.6959643777117537E-2</v>
      </c>
      <c r="Z11" s="31">
        <f ca="1">IF(LeagueInfo!$H$7="Starter/Bench",INDEX(WR!$T$3:$T$183,MATCH(S11,WR!$B$3:$B$183,0))*InflationPct,INDEX(WR!$AB$3:$AB$183,MATCH(S11,WR!$B$3:$B$183,0))*InflationPct)</f>
        <v>27.036492817742548</v>
      </c>
      <c r="AB11" s="24">
        <f t="shared" ca="1" si="1"/>
        <v>7</v>
      </c>
      <c r="AC11" s="107" t="str">
        <f t="shared" ca="1" si="2"/>
        <v>Joe Mixon</v>
      </c>
      <c r="AD11" s="107" t="str">
        <f t="shared" ca="1" si="0"/>
        <v>RB</v>
      </c>
      <c r="AE11" s="110">
        <f ca="1">LARGE(($E$5:$E$34,$E$37:$E$64,$N$5:$N$64,$W$5:$W$64),ROW(AE11)-4)</f>
        <v>121.43499999999999</v>
      </c>
    </row>
    <row r="12" spans="1:34" x14ac:dyDescent="0.25">
      <c r="A12" s="24" t="s">
        <v>164</v>
      </c>
      <c r="B12" s="60" t="str">
        <f>INDEX(QB!F$3:F$38,MATCH(A12,QB!B$3:B$38,0))</f>
        <v>DAL</v>
      </c>
      <c r="C12" s="29">
        <f>INDEX(QB!E$3:E$38,MATCH(A12,QB!B$3:B$38,0))</f>
        <v>9</v>
      </c>
      <c r="D12" s="181" t="str">
        <f>IF(INDEX(Auction!$H$13:$H$656,MATCH(A12,Auction!$A$13:$A$656,0))&gt;0,"x","")</f>
        <v/>
      </c>
      <c r="E12" s="25">
        <f ca="1">INDEX(QB!$Z$3:$Z$38,MATCH(A12,QB!$B$3:$B$38,0))</f>
        <v>46.199000000000012</v>
      </c>
      <c r="F12" s="25" t="str">
        <f ca="1">INDEX(QB!$AA$3:$AA$38,MATCH(A12,QB!$B$3:$B$38,0))</f>
        <v>QB4</v>
      </c>
      <c r="G12" s="39">
        <f ca="1">IF(D12="",IFERROR(E12/(SUMIFS($E$5:$E$34,$E$5:$E$34,"&gt;0",$D$5:$D$34,"")),1),0)</f>
        <v>5.9029468097203955E-2</v>
      </c>
      <c r="H12" s="31">
        <f ca="1">IF(LeagueInfo!$H$7="Starter/Bench",INDEX(QB!$T$3:$T$38,MATCH(A12,QB!$B$3:$B$38,0))*InflationPct,INDEX(QB!$AB$3:$AB$38,MATCH(A12,QB!$B$3:$B$38,0))*InflationPct)</f>
        <v>16.959397497920495</v>
      </c>
      <c r="I12" s="23"/>
      <c r="J12" s="47" t="s">
        <v>139</v>
      </c>
      <c r="K12" s="56" t="str">
        <f>INDEX('RB'!$F$3:$F$138,MATCH(J12,'RB'!$B$3:$B$138,0))</f>
        <v>MIN</v>
      </c>
      <c r="L12" s="48">
        <f>INDEX('RB'!$E$3:$E$138,MATCH(J12,'RB'!$B$3:$B$138,0))</f>
        <v>7</v>
      </c>
      <c r="M12" s="182" t="str">
        <f>IF(INDEX(Auction!$H$13:$H$656,MATCH(J12,Auction!$A$13:$A$656,0))&gt;0,"x","")</f>
        <v/>
      </c>
      <c r="N12" s="43">
        <f ca="1">INDEX('RB'!Z$3:Z$138,MATCH(J12,'RB'!$B$3:$B$138,0))</f>
        <v>117.63499999999998</v>
      </c>
      <c r="O12" s="43" t="str">
        <f ca="1">INDEX('RB'!AA$3:AA$138,MATCH(J12,'RB'!$B$3:$B$138,0))</f>
        <v>RB4</v>
      </c>
      <c r="P12" s="49">
        <f ca="1">IF(M12="",IFERROR(N12/(SUMIFS($N$5:$N$64,$N$5:$N$64,"&gt;0",$M$5:$M$64,"")),1),0)</f>
        <v>3.7415652964928506E-2</v>
      </c>
      <c r="Q12" s="50">
        <f ca="1">IF(LeagueInfo!$H$7="Starter/Bench",INDEX('RB'!$T$3:$T$138,MATCH(J12,'RB'!$B$3:$B$138,0))*InflationPct,INDEX('RB'!$AB$3:$AB$138,MATCH(J12,'RB'!$B$3:$B$138,0))*InflationPct)</f>
        <v>43.510968445359467</v>
      </c>
      <c r="S12" s="24" t="s">
        <v>132</v>
      </c>
      <c r="T12" s="58" t="str">
        <f>INDEX(WR!$F$1:$F$183,MATCH(S12,WR!$B$1:$B$183,0))</f>
        <v>MIA</v>
      </c>
      <c r="U12" s="29">
        <f>INDEX(WR!$E$1:$E$183,MATCH(S12,WR!$B$1:$B$183,0))</f>
        <v>11</v>
      </c>
      <c r="V12" s="184" t="str">
        <f>IF(INDEX(Auction!$H$13:$H$656,MATCH(S12,Auction!$A$13:$A$656,0))&gt;0,"x","")</f>
        <v/>
      </c>
      <c r="W12" s="25">
        <f ca="1">INDEX(WR!Z$3:Z$183,MATCH(S12,WR!$B$3:$B$183,0))</f>
        <v>72.600000000000009</v>
      </c>
      <c r="X12" s="25" t="str">
        <f ca="1">INDEX(WR!AA$3:AA$183,MATCH(S12,WR!$B$3:$B$183,0))</f>
        <v>WR5</v>
      </c>
      <c r="Y12" s="38">
        <f ca="1">IF(V12="",IFERROR(W12/(SUMIFS($W$5:$W$64,$W$5:$W$64,"&gt;0",$V$5:$V$64,"")),1),0)</f>
        <v>3.6777277113743595E-2</v>
      </c>
      <c r="Z12" s="31">
        <f ca="1">IF(LeagueInfo!$H$7="Starter/Bench",INDEX(WR!$T$3:$T$183,MATCH(S12,WR!$B$3:$B$183,0))*InflationPct,INDEX(WR!$AB$3:$AB$183,MATCH(S12,WR!$B$3:$B$183,0))*InflationPct)</f>
        <v>26.901827198359705</v>
      </c>
      <c r="AB12" s="24">
        <f t="shared" ca="1" si="1"/>
        <v>8</v>
      </c>
      <c r="AC12" s="107" t="str">
        <f t="shared" ca="1" si="2"/>
        <v>Najee Harris</v>
      </c>
      <c r="AD12" s="107" t="str">
        <f t="shared" ca="1" si="0"/>
        <v>RB</v>
      </c>
      <c r="AE12" s="110">
        <f ca="1">LARGE(($E$5:$E$34,$E$37:$E$64,$N$5:$N$64,$W$5:$W$64),ROW(AE12)-4)</f>
        <v>118.97500000000001</v>
      </c>
    </row>
    <row r="13" spans="1:34" x14ac:dyDescent="0.25">
      <c r="A13" s="24" t="s">
        <v>871</v>
      </c>
      <c r="B13" s="60" t="str">
        <f>INDEX(QB!F$3:F$38,MATCH(A13,QB!B$3:B$38,0))</f>
        <v>CIN</v>
      </c>
      <c r="C13" s="29">
        <f>INDEX(QB!E$3:E$38,MATCH(A13,QB!B$3:B$38,0))</f>
        <v>10</v>
      </c>
      <c r="D13" s="181" t="str">
        <f>IF(INDEX(Auction!$H$13:$H$656,MATCH(A13,Auction!$A$13:$A$656,0))&gt;0,"x","")</f>
        <v/>
      </c>
      <c r="E13" s="25">
        <f ca="1">INDEX(QB!$Z$3:$Z$38,MATCH(A13,QB!$B$3:$B$38,0))</f>
        <v>36.58099999999996</v>
      </c>
      <c r="F13" s="25" t="str">
        <f ca="1">INDEX(QB!$AA$3:$AA$38,MATCH(A13,QB!$B$3:$B$38,0))</f>
        <v>QB4</v>
      </c>
      <c r="G13" s="39">
        <f ca="1">IF(D13="",IFERROR(E13/(SUMIFS($E$5:$E$34,$E$5:$E$34,"&gt;0",$D$5:$D$34,"")),1),0)</f>
        <v>4.6740340103980933E-2</v>
      </c>
      <c r="H13" s="31">
        <f ca="1">IF(LeagueInfo!$H$7="Starter/Bench",INDEX(QB!$T$3:$T$38,MATCH(A13,QB!$B$3:$B$38,0))*InflationPct,INDEX(QB!$AB$3:$AB$38,MATCH(A13,QB!$B$3:$B$38,0))*InflationPct)</f>
        <v>13.361581033409056</v>
      </c>
      <c r="I13" s="23"/>
      <c r="J13" s="47" t="s">
        <v>346</v>
      </c>
      <c r="K13" s="56" t="str">
        <f>INDEX('RB'!$F$3:$F$138,MATCH(J13,'RB'!$B$3:$B$138,0))</f>
        <v>GB</v>
      </c>
      <c r="L13" s="48">
        <f>INDEX('RB'!$E$3:$E$138,MATCH(J13,'RB'!$B$3:$B$138,0))</f>
        <v>14</v>
      </c>
      <c r="M13" s="182" t="str">
        <f>IF(INDEX(Auction!$H$13:$H$656,MATCH(J13,Auction!$A$13:$A$656,0))&gt;0,"x","")</f>
        <v/>
      </c>
      <c r="N13" s="43">
        <f ca="1">INDEX('RB'!Z$3:Z$138,MATCH(J13,'RB'!$B$3:$B$138,0))</f>
        <v>107.27500000000002</v>
      </c>
      <c r="O13" s="43" t="str">
        <f ca="1">INDEX('RB'!AA$3:AA$138,MATCH(J13,'RB'!$B$3:$B$138,0))</f>
        <v>RB4</v>
      </c>
      <c r="P13" s="49">
        <f ca="1">IF(M13="",IFERROR(N13/(SUMIFS($N$5:$N$64,$N$5:$N$64,"&gt;0",$M$5:$M$64,"")),1),0)</f>
        <v>3.4120492810921131E-2</v>
      </c>
      <c r="Q13" s="50">
        <f ca="1">IF(LeagueInfo!$H$7="Starter/Bench",INDEX('RB'!$T$3:$T$138,MATCH(J13,'RB'!$B$3:$B$138,0))*InflationPct,INDEX('RB'!$AB$3:$AB$138,MATCH(J13,'RB'!$B$3:$B$138,0))*InflationPct)</f>
        <v>39.635591176453438</v>
      </c>
      <c r="S13" s="24" t="s">
        <v>97</v>
      </c>
      <c r="T13" s="58" t="str">
        <f>INDEX(WR!$F$1:$F$183,MATCH(S13,WR!$B$1:$B$183,0))</f>
        <v>TB</v>
      </c>
      <c r="U13" s="29">
        <f>INDEX(WR!$E$1:$E$183,MATCH(S13,WR!$B$1:$B$183,0))</f>
        <v>11</v>
      </c>
      <c r="V13" s="184" t="str">
        <f>IF(INDEX(Auction!$H$13:$H$656,MATCH(S13,Auction!$A$13:$A$656,0))&gt;0,"x","")</f>
        <v/>
      </c>
      <c r="W13" s="25">
        <f ca="1">INDEX(WR!Z$3:Z$183,MATCH(S13,WR!$B$3:$B$183,0))</f>
        <v>68.000000000000014</v>
      </c>
      <c r="X13" s="25" t="str">
        <f ca="1">INDEX(WR!AA$3:AA$183,MATCH(S13,WR!$B$3:$B$183,0))</f>
        <v>WR5</v>
      </c>
      <c r="Y13" s="38">
        <f ca="1">IF(V13="",IFERROR(W13/(SUMIFS($W$5:$W$64,$W$5:$W$64,"&gt;0",$V$5:$V$64,"")),1),0)</f>
        <v>3.4447036415076647E-2</v>
      </c>
      <c r="Z13" s="31">
        <f ca="1">IF(LeagueInfo!$H$7="Starter/Bench",INDEX(WR!$T$3:$T$183,MATCH(S13,WR!$B$3:$B$183,0))*InflationPct,INDEX(WR!$AB$3:$AB$183,MATCH(S13,WR!$B$3:$B$183,0))*InflationPct)</f>
        <v>25.181099839579034</v>
      </c>
      <c r="AB13" s="24">
        <f t="shared" ca="1" si="1"/>
        <v>9</v>
      </c>
      <c r="AC13" s="107" t="str">
        <f t="shared" ca="1" si="2"/>
        <v>Dalvin Cook</v>
      </c>
      <c r="AD13" s="107" t="str">
        <f t="shared" ca="1" si="0"/>
        <v>RB</v>
      </c>
      <c r="AE13" s="110">
        <f ca="1">LARGE(($E$5:$E$34,$E$37:$E$64,$N$5:$N$64,$W$5:$W$64),ROW(AE13)-4)</f>
        <v>117.63499999999998</v>
      </c>
    </row>
    <row r="14" spans="1:34" x14ac:dyDescent="0.25">
      <c r="A14" s="24" t="s">
        <v>112</v>
      </c>
      <c r="B14" s="60" t="str">
        <f>INDEX(QB!F$3:F$38,MATCH(A14,QB!B$3:B$38,0))</f>
        <v>GB</v>
      </c>
      <c r="C14" s="29">
        <f>INDEX(QB!E$3:E$38,MATCH(A14,QB!B$3:B$38,0))</f>
        <v>14</v>
      </c>
      <c r="D14" s="181" t="str">
        <f>IF(INDEX(Auction!$H$13:$H$656,MATCH(A14,Auction!$A$13:$A$656,0))&gt;0,"x","")</f>
        <v/>
      </c>
      <c r="E14" s="25">
        <f ca="1">INDEX(QB!$Z$3:$Z$38,MATCH(A14,QB!$B$3:$B$38,0))</f>
        <v>31.16500000000002</v>
      </c>
      <c r="F14" s="25" t="str">
        <f ca="1">INDEX(QB!$AA$3:$AA$38,MATCH(A14,QB!$B$3:$B$38,0))</f>
        <v>QB4</v>
      </c>
      <c r="G14" s="39">
        <f ca="1">IF(D14="",IFERROR(E14/(SUMIFS($E$5:$E$34,$E$5:$E$34,"&gt;0",$D$5:$D$34,"")),1),0)</f>
        <v>3.9820198992388624E-2</v>
      </c>
      <c r="H14" s="31">
        <f ca="1">IF(LeagueInfo!$H$7="Starter/Bench",INDEX(QB!$T$3:$T$38,MATCH(A14,QB!$B$3:$B$38,0))*InflationPct,INDEX(QB!$AB$3:$AB$38,MATCH(A14,QB!$B$3:$B$38,0))*InflationPct)</f>
        <v>11.335611604027308</v>
      </c>
      <c r="I14" s="18"/>
      <c r="J14" s="47" t="s">
        <v>111</v>
      </c>
      <c r="K14" s="62" t="str">
        <f>INDEX('RB'!$F$3:$F$138,MATCH(J14,'RB'!$B$3:$B$138,0))</f>
        <v>TB</v>
      </c>
      <c r="L14" s="48">
        <f>INDEX('RB'!$E$3:$E$138,MATCH(J14,'RB'!$B$3:$B$138,0))</f>
        <v>11</v>
      </c>
      <c r="M14" s="182" t="str">
        <f>IF(INDEX(Auction!$H$13:$H$656,MATCH(J14,Auction!$A$13:$A$656,0))&gt;0,"x","")</f>
        <v/>
      </c>
      <c r="N14" s="43">
        <f ca="1">INDEX('RB'!Z$3:Z$138,MATCH(J14,'RB'!$B$3:$B$138,0))</f>
        <v>105.68499999999999</v>
      </c>
      <c r="O14" s="43" t="str">
        <f ca="1">INDEX('RB'!AA$3:AA$138,MATCH(J14,'RB'!$B$3:$B$138,0))</f>
        <v>RB4</v>
      </c>
      <c r="P14" s="49">
        <f ca="1">IF(M14="",IFERROR(N14/(SUMIFS($N$5:$N$64,$N$5:$N$64,"&gt;0",$M$5:$M$64,"")),1),0)</f>
        <v>3.3614768424350489E-2</v>
      </c>
      <c r="Q14" s="50">
        <f ca="1">IF(LeagueInfo!$H$7="Starter/Bench",INDEX('RB'!$T$3:$T$138,MATCH(J14,'RB'!$B$3:$B$138,0))*InflationPct,INDEX('RB'!$AB$3:$AB$138,MATCH(J14,'RB'!$B$3:$B$138,0))*InflationPct)</f>
        <v>39.040818024179231</v>
      </c>
      <c r="S14" s="24" t="s">
        <v>839</v>
      </c>
      <c r="T14" s="58" t="str">
        <f>INDEX(WR!$F$1:$F$183,MATCH(S14,WR!$B$1:$B$183,0))</f>
        <v>CIN</v>
      </c>
      <c r="U14" s="29">
        <f>INDEX(WR!$E$1:$E$183,MATCH(S14,WR!$B$1:$B$183,0))</f>
        <v>10</v>
      </c>
      <c r="V14" s="184" t="str">
        <f>IF(INDEX(Auction!$H$13:$H$656,MATCH(S14,Auction!$A$13:$A$656,0))&gt;0,"x","")</f>
        <v/>
      </c>
      <c r="W14" s="25">
        <f ca="1">INDEX(WR!Z$3:Z$183,MATCH(S14,WR!$B$3:$B$183,0))</f>
        <v>61.090000000000018</v>
      </c>
      <c r="X14" s="25" t="str">
        <f ca="1">INDEX(WR!AA$3:AA$183,MATCH(S14,WR!$B$3:$B$183,0))</f>
        <v>WR6</v>
      </c>
      <c r="Y14" s="38">
        <f ca="1">IF(V14="",IFERROR(W14/(SUMIFS($W$5:$W$64,$W$5:$W$64,"&gt;0",$V$5:$V$64,"")),1),0)</f>
        <v>3.0946609626426948E-2</v>
      </c>
      <c r="Z14" s="31">
        <f ca="1">IF(LeagueInfo!$H$7="Starter/Bench",INDEX(WR!$T$3:$T$183,MATCH(S14,WR!$B$3:$B$183,0))*InflationPct,INDEX(WR!$AB$3:$AB$183,MATCH(S14,WR!$B$3:$B$183,0))*InflationPct)</f>
        <v>22.5962680897585</v>
      </c>
      <c r="AB14" s="24">
        <f t="shared" ca="1" si="1"/>
        <v>10</v>
      </c>
      <c r="AC14" s="107" t="str">
        <f t="shared" ca="1" si="2"/>
        <v>Josh Allen</v>
      </c>
      <c r="AD14" s="107" t="str">
        <f t="shared" ca="1" si="0"/>
        <v>QB</v>
      </c>
      <c r="AE14" s="110">
        <f ca="1">LARGE(($E$5:$E$34,$E$37:$E$64,$N$5:$N$64,$W$5:$W$64),ROW(AE14)-4)</f>
        <v>113.73099999999999</v>
      </c>
    </row>
    <row r="15" spans="1:34" x14ac:dyDescent="0.25">
      <c r="A15" s="24" t="s">
        <v>187</v>
      </c>
      <c r="B15" s="60" t="str">
        <f>INDEX(QB!F$3:F$38,MATCH(A15,QB!B$3:B$38,0))</f>
        <v>LAR</v>
      </c>
      <c r="C15" s="29">
        <f>INDEX(QB!E$3:E$38,MATCH(A15,QB!B$3:B$38,0))</f>
        <v>7</v>
      </c>
      <c r="D15" s="181" t="str">
        <f>IF(INDEX(Auction!$H$13:$H$656,MATCH(A15,Auction!$A$13:$A$656,0))&gt;0,"x","")</f>
        <v/>
      </c>
      <c r="E15" s="25">
        <f ca="1">INDEX(QB!$Z$3:$Z$38,MATCH(A15,QB!$B$3:$B$38,0))</f>
        <v>29.177000000000021</v>
      </c>
      <c r="F15" s="25" t="str">
        <f ca="1">INDEX(QB!$AA$3:$AA$38,MATCH(A15,QB!$B$3:$B$38,0))</f>
        <v>QB4</v>
      </c>
      <c r="G15" s="39">
        <f ca="1">IF(D15="",IFERROR(E15/(SUMIFS($E$5:$E$34,$E$5:$E$34,"&gt;0",$D$5:$D$34,"")),1),0)</f>
        <v>3.7280088111693338E-2</v>
      </c>
      <c r="H15" s="31">
        <f ca="1">IF(LeagueInfo!$H$7="Starter/Bench",INDEX(QB!$T$3:$T$38,MATCH(A15,QB!$B$3:$B$38,0))*InflationPct,INDEX(QB!$AB$3:$AB$38,MATCH(A15,QB!$B$3:$B$38,0))*InflationPct)</f>
        <v>10.591958128102094</v>
      </c>
      <c r="I15" s="23"/>
      <c r="J15" s="47" t="s">
        <v>880</v>
      </c>
      <c r="K15" s="56" t="str">
        <f>INDEX('RB'!$F$3:$F$138,MATCH(J15,'RB'!$B$3:$B$138,0))</f>
        <v>DET</v>
      </c>
      <c r="L15" s="48">
        <f>INDEX('RB'!$E$3:$E$138,MATCH(J15,'RB'!$B$3:$B$138,0))</f>
        <v>6</v>
      </c>
      <c r="M15" s="182" t="str">
        <f>IF(INDEX(Auction!$H$13:$H$656,MATCH(J15,Auction!$A$13:$A$656,0))&gt;0,"x","")</f>
        <v/>
      </c>
      <c r="N15" s="43">
        <f ca="1">INDEX('RB'!Z$3:Z$138,MATCH(J15,'RB'!$B$3:$B$138,0))</f>
        <v>98.784999999999954</v>
      </c>
      <c r="O15" s="43" t="str">
        <f ca="1">INDEX('RB'!AA$3:AA$138,MATCH(J15,'RB'!$B$3:$B$138,0))</f>
        <v>RB5</v>
      </c>
      <c r="P15" s="49">
        <f ca="1">IF(M15="",IFERROR(N15/(SUMIFS($N$5:$N$64,$N$5:$N$64,"&gt;0",$M$5:$M$64,"")),1),0)</f>
        <v>3.1420115426025096E-2</v>
      </c>
      <c r="Q15" s="50">
        <f ca="1">IF(LeagueInfo!$H$7="Starter/Bench",INDEX('RB'!$T$3:$T$138,MATCH(J15,'RB'!$B$3:$B$138,0))*InflationPct,INDEX('RB'!$AB$3:$AB$138,MATCH(J15,'RB'!$B$3:$B$138,0))*InflationPct)</f>
        <v>36.459726986008206</v>
      </c>
      <c r="S15" s="24" t="s">
        <v>836</v>
      </c>
      <c r="T15" s="58" t="str">
        <f>INDEX(WR!$F$1:$F$183,MATCH(S15,WR!$B$1:$B$183,0))</f>
        <v>IND</v>
      </c>
      <c r="U15" s="29">
        <f>INDEX(WR!$E$1:$E$183,MATCH(S15,WR!$B$1:$B$183,0))</f>
        <v>14</v>
      </c>
      <c r="V15" s="184" t="str">
        <f>IF(INDEX(Auction!$H$13:$H$656,MATCH(S15,Auction!$A$13:$A$656,0))&gt;0,"x","")</f>
        <v/>
      </c>
      <c r="W15" s="25">
        <f ca="1">INDEX(WR!Z$3:Z$183,MATCH(S15,WR!$B$3:$B$183,0))</f>
        <v>56.11999999999999</v>
      </c>
      <c r="X15" s="25" t="str">
        <f ca="1">INDEX(WR!AA$3:AA$183,MATCH(S15,WR!$B$3:$B$183,0))</f>
        <v>WR6</v>
      </c>
      <c r="Y15" s="38">
        <f ca="1">IF(V15="",IFERROR(W15/(SUMIFS($W$5:$W$64,$W$5:$W$64,"&gt;0",$V$5:$V$64,"")),1),0)</f>
        <v>2.8428936523736775E-2</v>
      </c>
      <c r="Z15" s="31">
        <f ca="1">IF(LeagueInfo!$H$7="Starter/Bench",INDEX(WR!$T$3:$T$183,MATCH(S15,WR!$B$3:$B$183,0))*InflationPct,INDEX(WR!$AB$3:$AB$183,MATCH(S15,WR!$B$3:$B$183,0))*InflationPct)</f>
        <v>20.737134399945454</v>
      </c>
      <c r="AB15" s="24">
        <f t="shared" ca="1" si="1"/>
        <v>11</v>
      </c>
      <c r="AC15" s="107" t="str">
        <f t="shared" ca="1" si="2"/>
        <v>Justin Jefferson</v>
      </c>
      <c r="AD15" s="107" t="str">
        <f t="shared" ca="1" si="0"/>
        <v>WR</v>
      </c>
      <c r="AE15" s="110">
        <f ca="1">LARGE(($E$5:$E$34,$E$37:$E$64,$N$5:$N$64,$W$5:$W$64),ROW(AE15)-4)</f>
        <v>112.67000000000006</v>
      </c>
    </row>
    <row r="16" spans="1:34" x14ac:dyDescent="0.25">
      <c r="A16" s="24" t="s">
        <v>918</v>
      </c>
      <c r="B16" s="60" t="str">
        <f>INDEX(QB!F$3:F$38,MATCH(A16,QB!B$3:B$38,0))</f>
        <v>SF</v>
      </c>
      <c r="C16" s="29">
        <f>INDEX(QB!E$3:E$38,MATCH(A16,QB!B$3:B$38,0))</f>
        <v>9</v>
      </c>
      <c r="D16" s="181" t="str">
        <f>IF(INDEX(Auction!$H$13:$H$656,MATCH(A16,Auction!$A$13:$A$656,0))&gt;0,"x","")</f>
        <v/>
      </c>
      <c r="E16" s="25">
        <f ca="1">INDEX(QB!$Z$3:$Z$38,MATCH(A16,QB!$B$3:$B$38,0))</f>
        <v>28.18100000000004</v>
      </c>
      <c r="F16" s="25" t="str">
        <f ca="1">INDEX(QB!$AA$3:$AA$38,MATCH(A16,QB!$B$3:$B$38,0))</f>
        <v>QB5</v>
      </c>
      <c r="G16" s="39">
        <f ca="1">IF(D16="",IFERROR(E16/(SUMIFS($E$5:$E$34,$E$5:$E$34,"&gt;0",$D$5:$D$34,"")),1),0)</f>
        <v>3.6007477227803779E-2</v>
      </c>
      <c r="H16" s="31">
        <f ca="1">IF(LeagueInfo!$H$7="Starter/Bench",INDEX(QB!$T$3:$T$38,MATCH(A16,QB!$B$3:$B$38,0))*InflationPct,INDEX(QB!$AB$3:$AB$38,MATCH(A16,QB!$B$3:$B$38,0))*InflationPct)</f>
        <v>10.21938324780959</v>
      </c>
      <c r="I16" s="18"/>
      <c r="J16" s="47" t="s">
        <v>541</v>
      </c>
      <c r="K16" s="56" t="str">
        <f>INDEX('RB'!$F$3:$F$138,MATCH(J16,'RB'!$B$3:$B$138,0))</f>
        <v>NYG</v>
      </c>
      <c r="L16" s="48">
        <f>INDEX('RB'!$E$3:$E$138,MATCH(J16,'RB'!$B$3:$B$138,0))</f>
        <v>9</v>
      </c>
      <c r="M16" s="182" t="str">
        <f>IF(INDEX(Auction!$H$13:$H$656,MATCH(J16,Auction!$A$13:$A$656,0))&gt;0,"x","")</f>
        <v/>
      </c>
      <c r="N16" s="43">
        <f ca="1">INDEX('RB'!Z$3:Z$138,MATCH(J16,'RB'!$B$3:$B$138,0))</f>
        <v>97.194999999999979</v>
      </c>
      <c r="O16" s="43" t="str">
        <f ca="1">INDEX('RB'!AA$3:AA$138,MATCH(J16,'RB'!$B$3:$B$138,0))</f>
        <v>RB5</v>
      </c>
      <c r="P16" s="49">
        <f ca="1">IF(M16="",IFERROR(N16/(SUMIFS($N$5:$N$64,$N$5:$N$64,"&gt;0",$M$5:$M$64,"")),1),0)</f>
        <v>3.0914391039454467E-2</v>
      </c>
      <c r="Q16" s="50">
        <f ca="1">IF(LeagueInfo!$H$7="Starter/Bench",INDEX('RB'!$T$3:$T$138,MATCH(J16,'RB'!$B$3:$B$138,0))*InflationPct,INDEX('RB'!$AB$3:$AB$138,MATCH(J16,'RB'!$B$3:$B$138,0))*InflationPct)</f>
        <v>35.864953833734027</v>
      </c>
      <c r="S16" s="24" t="s">
        <v>701</v>
      </c>
      <c r="T16" s="58" t="str">
        <f>INDEX(WR!$F$1:$F$183,MATCH(S16,WR!$B$1:$B$183,0))</f>
        <v>PHI</v>
      </c>
      <c r="U16" s="29">
        <f>INDEX(WR!$E$1:$E$183,MATCH(S16,WR!$B$1:$B$183,0))</f>
        <v>7</v>
      </c>
      <c r="V16" s="184" t="str">
        <f>IF(INDEX(Auction!$H$13:$H$656,MATCH(S16,Auction!$A$13:$A$656,0))&gt;0,"x","")</f>
        <v/>
      </c>
      <c r="W16" s="25">
        <f ca="1">INDEX(WR!Z$3:Z$183,MATCH(S16,WR!$B$3:$B$183,0))</f>
        <v>55.800000000000026</v>
      </c>
      <c r="X16" s="25" t="str">
        <f ca="1">INDEX(WR!AA$3:AA$183,MATCH(S16,WR!$B$3:$B$183,0))</f>
        <v>WR6</v>
      </c>
      <c r="Y16" s="38">
        <f ca="1">IF(V16="",IFERROR(W16/(SUMIFS($W$5:$W$64,$W$5:$W$64,"&gt;0",$V$5:$V$64,"")),1),0)</f>
        <v>2.8266832822959963E-2</v>
      </c>
      <c r="Z16" s="31">
        <f ca="1">IF(LeagueInfo!$H$7="Starter/Bench",INDEX(WR!$T$3:$T$183,MATCH(S16,WR!$B$3:$B$183,0))*InflationPct,INDEX(WR!$AB$3:$AB$183,MATCH(S16,WR!$B$3:$B$183,0))*InflationPct)</f>
        <v>20.617431627160727</v>
      </c>
      <c r="AB16" s="24">
        <f t="shared" ca="1" si="1"/>
        <v>12</v>
      </c>
      <c r="AC16" s="107" t="str">
        <f t="shared" ca="1" si="2"/>
        <v>Travis Kelce</v>
      </c>
      <c r="AD16" s="107" t="str">
        <f t="shared" ca="1" si="0"/>
        <v>TE</v>
      </c>
      <c r="AE16" s="110">
        <f ca="1">LARGE(($E$5:$E$34,$E$37:$E$64,$N$5:$N$64,$W$5:$W$64),ROW(AE16)-4)</f>
        <v>112.26</v>
      </c>
    </row>
    <row r="17" spans="1:31" x14ac:dyDescent="0.25">
      <c r="A17" s="24" t="s">
        <v>145</v>
      </c>
      <c r="B17" s="60" t="str">
        <f>INDEX(QB!F$3:F$38,MATCH(A17,QB!B$3:B$38,0))</f>
        <v>DEN</v>
      </c>
      <c r="C17" s="29">
        <f>INDEX(QB!E$3:E$38,MATCH(A17,QB!B$3:B$38,0))</f>
        <v>9</v>
      </c>
      <c r="D17" s="181" t="str">
        <f>IF(INDEX(Auction!$H$13:$H$656,MATCH(A17,Auction!$A$13:$A$656,0))&gt;0,"x","")</f>
        <v/>
      </c>
      <c r="E17" s="25">
        <f ca="1">INDEX(QB!$Z$3:$Z$38,MATCH(A17,QB!$B$3:$B$38,0))</f>
        <v>23.829999999999984</v>
      </c>
      <c r="F17" s="25" t="str">
        <f ca="1">INDEX(QB!$AA$3:$AA$38,MATCH(A17,QB!$B$3:$B$38,0))</f>
        <v>QB5</v>
      </c>
      <c r="G17" s="39">
        <f ca="1">IF(D17="",IFERROR(E17/(SUMIFS($E$5:$E$34,$E$5:$E$34,"&gt;0",$D$5:$D$34,"")),1),0)</f>
        <v>3.044810980229808E-2</v>
      </c>
      <c r="H17" s="31">
        <f ca="1">IF(LeagueInfo!$H$7="Starter/Bench",INDEX(QB!$T$3:$T$38,MATCH(A17,QB!$B$3:$B$38,0))*InflationPct,INDEX(QB!$AB$3:$AB$38,MATCH(A17,QB!$B$3:$B$38,0))*InflationPct)</f>
        <v>8.6415635639367672</v>
      </c>
      <c r="I17" s="19"/>
      <c r="J17" s="47" t="s">
        <v>339</v>
      </c>
      <c r="K17" s="56" t="str">
        <f>INDEX('RB'!$F$3:$F$138,MATCH(J17,'RB'!$B$3:$B$138,0))</f>
        <v>ARI</v>
      </c>
      <c r="L17" s="48">
        <f>INDEX('RB'!$E$3:$E$138,MATCH(J17,'RB'!$B$3:$B$138,0))</f>
        <v>13</v>
      </c>
      <c r="M17" s="182" t="str">
        <f>IF(INDEX(Auction!$H$13:$H$656,MATCH(J17,Auction!$A$13:$A$656,0))&gt;0,"x","")</f>
        <v/>
      </c>
      <c r="N17" s="43">
        <f ca="1">INDEX('RB'!Z$3:Z$138,MATCH(J17,'RB'!$B$3:$B$138,0))</f>
        <v>95.39500000000001</v>
      </c>
      <c r="O17" s="43" t="str">
        <f ca="1">INDEX('RB'!AA$3:AA$138,MATCH(J17,'RB'!$B$3:$B$138,0))</f>
        <v>RB5</v>
      </c>
      <c r="P17" s="49">
        <f ca="1">IF(M17="",IFERROR(N17/(SUMIFS($N$5:$N$64,$N$5:$N$64,"&gt;0",$M$5:$M$64,"")),1),0)</f>
        <v>3.0341872865978291E-2</v>
      </c>
      <c r="Q17" s="50">
        <f ca="1">IF(LeagueInfo!$H$7="Starter/Bench",INDEX('RB'!$T$3:$T$138,MATCH(J17,'RB'!$B$3:$B$138,0))*InflationPct,INDEX('RB'!$AB$3:$AB$138,MATCH(J17,'RB'!$B$3:$B$138,0))*InflationPct)</f>
        <v>35.191625736819859</v>
      </c>
      <c r="S17" s="24" t="s">
        <v>129</v>
      </c>
      <c r="T17" s="58" t="str">
        <f>INDEX(WR!$F$1:$F$183,MATCH(S17,WR!$B$1:$B$183,0))</f>
        <v>LAC</v>
      </c>
      <c r="U17" s="29">
        <f>INDEX(WR!$E$1:$E$183,MATCH(S17,WR!$B$1:$B$183,0))</f>
        <v>8</v>
      </c>
      <c r="V17" s="184" t="str">
        <f>IF(INDEX(Auction!$H$13:$H$656,MATCH(S17,Auction!$A$13:$A$656,0))&gt;0,"x","")</f>
        <v/>
      </c>
      <c r="W17" s="25">
        <f ca="1">INDEX(WR!Z$3:Z$183,MATCH(S17,WR!$B$3:$B$183,0))</f>
        <v>53.510000000000034</v>
      </c>
      <c r="X17" s="25" t="str">
        <f ca="1">INDEX(WR!AA$3:AA$183,MATCH(S17,WR!$B$3:$B$183,0))</f>
        <v>WR6</v>
      </c>
      <c r="Y17" s="38">
        <f ca="1">IF(V17="",IFERROR(W17/(SUMIFS($W$5:$W$64,$W$5:$W$64,"&gt;0",$V$5:$V$64,"")),1),0)</f>
        <v>2.7106778214275769E-2</v>
      </c>
      <c r="Z17" s="31">
        <f ca="1">IF(LeagueInfo!$H$7="Starter/Bench",INDEX(WR!$T$3:$T$183,MATCH(S17,WR!$B$3:$B$183,0))*InflationPct,INDEX(WR!$AB$3:$AB$183,MATCH(S17,WR!$B$3:$B$183,0))*InflationPct)</f>
        <v>19.760808659419915</v>
      </c>
      <c r="AB17" s="24">
        <f t="shared" ca="1" si="1"/>
        <v>13</v>
      </c>
      <c r="AC17" s="107" t="str">
        <f t="shared" ca="1" si="2"/>
        <v>Mark Andrews</v>
      </c>
      <c r="AD17" s="107" t="str">
        <f t="shared" ca="1" si="0"/>
        <v>TE</v>
      </c>
      <c r="AE17" s="110">
        <f ca="1">LARGE(($E$5:$E$34,$E$37:$E$64,$N$5:$N$64,$W$5:$W$64),ROW(AE17)-4)</f>
        <v>109.13000000000001</v>
      </c>
    </row>
    <row r="18" spans="1:31" x14ac:dyDescent="0.25">
      <c r="A18" s="24" t="s">
        <v>168</v>
      </c>
      <c r="B18" s="60" t="str">
        <f>INDEX(QB!F$3:F$38,MATCH(A18,QB!B$3:B$38,0))</f>
        <v>MIN</v>
      </c>
      <c r="C18" s="29">
        <f>INDEX(QB!E$3:E$38,MATCH(A18,QB!B$3:B$38,0))</f>
        <v>7</v>
      </c>
      <c r="D18" s="181" t="str">
        <f>IF(INDEX(Auction!$H$13:$H$656,MATCH(A18,Auction!$A$13:$A$656,0))&gt;0,"x","")</f>
        <v/>
      </c>
      <c r="E18" s="25">
        <f ca="1">INDEX(QB!$Z$3:$Z$38,MATCH(A18,QB!$B$3:$B$38,0))</f>
        <v>19.608000000000033</v>
      </c>
      <c r="F18" s="25" t="str">
        <f ca="1">INDEX(QB!$AA$3:$AA$38,MATCH(A18,QB!$B$3:$B$38,0))</f>
        <v>QB5</v>
      </c>
      <c r="G18" s="39">
        <f ca="1">IF(D18="",IFERROR(E18/(SUMIFS($E$5:$E$34,$E$5:$E$34,"&gt;0",$D$5:$D$34,"")),1),0)</f>
        <v>2.5053568485248097E-2</v>
      </c>
      <c r="H18" s="31">
        <f ca="1">IF(LeagueInfo!$H$7="Starter/Bench",INDEX(QB!$T$3:$T$38,MATCH(A18,QB!$B$3:$B$38,0))*InflationPct,INDEX(QB!$AB$3:$AB$38,MATCH(A18,QB!$B$3:$B$38,0))*InflationPct)</f>
        <v>7.1105236408591077</v>
      </c>
      <c r="I18" s="23"/>
      <c r="J18" s="47" t="s">
        <v>927</v>
      </c>
      <c r="K18" s="56" t="str">
        <f>INDEX('RB'!$F$3:$F$138,MATCH(J18,'RB'!$B$3:$B$138,0))</f>
        <v>DEN</v>
      </c>
      <c r="L18" s="48">
        <f>INDEX('RB'!$E$3:$E$138,MATCH(J18,'RB'!$B$3:$B$138,0))</f>
        <v>9</v>
      </c>
      <c r="M18" s="182" t="str">
        <f>IF(INDEX(Auction!$H$13:$H$656,MATCH(J18,Auction!$A$13:$A$656,0))&gt;0,"x","")</f>
        <v/>
      </c>
      <c r="N18" s="43">
        <f ca="1">INDEX('RB'!Z$3:Z$138,MATCH(J18,'RB'!$B$3:$B$138,0))</f>
        <v>94.384999999999977</v>
      </c>
      <c r="O18" s="43" t="str">
        <f ca="1">INDEX('RB'!AA$3:AA$138,MATCH(J18,'RB'!$B$3:$B$138,0))</f>
        <v>RB5</v>
      </c>
      <c r="P18" s="49">
        <f ca="1">IF(M18="",IFERROR(N18/(SUMIFS($N$5:$N$64,$N$5:$N$64,"&gt;0",$M$5:$M$64,"")),1),0)</f>
        <v>3.0020626557527751E-2</v>
      </c>
      <c r="Q18" s="50">
        <f ca="1">IF(LeagueInfo!$H$7="Starter/Bench",INDEX('RB'!$T$3:$T$138,MATCH(J18,'RB'!$B$3:$B$138,0))*InflationPct,INDEX('RB'!$AB$3:$AB$138,MATCH(J18,'RB'!$B$3:$B$138,0))*InflationPct)</f>
        <v>34.813813860218005</v>
      </c>
      <c r="S18" s="24" t="s">
        <v>113</v>
      </c>
      <c r="T18" s="58" t="str">
        <f>INDEX(WR!$F$1:$F$183,MATCH(S18,WR!$B$1:$B$183,0))</f>
        <v>HOU</v>
      </c>
      <c r="U18" s="29">
        <f>INDEX(WR!$E$1:$E$183,MATCH(S18,WR!$B$1:$B$183,0))</f>
        <v>6</v>
      </c>
      <c r="V18" s="184" t="str">
        <f>IF(INDEX(Auction!$H$13:$H$656,MATCH(S18,Auction!$A$13:$A$656,0))&gt;0,"x","")</f>
        <v/>
      </c>
      <c r="W18" s="25">
        <f ca="1">INDEX(WR!Z$3:Z$183,MATCH(S18,WR!$B$3:$B$183,0))</f>
        <v>48.870000000000019</v>
      </c>
      <c r="X18" s="25" t="str">
        <f ca="1">INDEX(WR!AA$3:AA$183,MATCH(S18,WR!$B$3:$B$183,0))</f>
        <v>WR6</v>
      </c>
      <c r="Y18" s="38">
        <f ca="1">IF(V18="",IFERROR(W18/(SUMIFS($W$5:$W$64,$W$5:$W$64,"&gt;0",$V$5:$V$64,"")),1),0)</f>
        <v>2.4756274553011708E-2</v>
      </c>
      <c r="Z18" s="31">
        <f ca="1">IF(LeagueInfo!$H$7="Starter/Bench",INDEX(WR!$T$3:$T$183,MATCH(S18,WR!$B$3:$B$183,0))*InflationPct,INDEX(WR!$AB$3:$AB$183,MATCH(S18,WR!$B$3:$B$183,0))*InflationPct)</f>
        <v>18.025118454041142</v>
      </c>
      <c r="AB18" s="24">
        <f t="shared" ca="1" si="1"/>
        <v>14</v>
      </c>
      <c r="AC18" s="107" t="str">
        <f t="shared" ca="1" si="2"/>
        <v>Ja'Marr Chase</v>
      </c>
      <c r="AD18" s="107" t="str">
        <f t="shared" ca="1" si="0"/>
        <v>WR</v>
      </c>
      <c r="AE18" s="110">
        <f ca="1">LARGE(($E$5:$E$34,$E$37:$E$64,$N$5:$N$64,$W$5:$W$64),ROW(AE18)-4)</f>
        <v>109.12000000000005</v>
      </c>
    </row>
    <row r="19" spans="1:31" x14ac:dyDescent="0.25">
      <c r="A19" s="24" t="s">
        <v>166</v>
      </c>
      <c r="B19" s="60" t="str">
        <f>INDEX(QB!F$3:F$38,MATCH(A19,QB!B$3:B$38,0))</f>
        <v>LV</v>
      </c>
      <c r="C19" s="29">
        <f>INDEX(QB!E$3:E$38,MATCH(A19,QB!B$3:B$38,0))</f>
        <v>6</v>
      </c>
      <c r="D19" s="181" t="str">
        <f>IF(INDEX(Auction!$H$13:$H$656,MATCH(A19,Auction!$A$13:$A$656,0))&gt;0,"x","")</f>
        <v/>
      </c>
      <c r="E19" s="25">
        <f ca="1">INDEX(QB!$Z$3:$Z$38,MATCH(A19,QB!$B$3:$B$38,0))</f>
        <v>18.65500000000003</v>
      </c>
      <c r="F19" s="25" t="str">
        <f ca="1">INDEX(QB!$AA$3:$AA$38,MATCH(A19,QB!$B$3:$B$38,0))</f>
        <v>QB5</v>
      </c>
      <c r="G19" s="39">
        <f ca="1">IF(D19="",IFERROR(E19/(SUMIFS($E$5:$E$34,$E$5:$E$34,"&gt;0",$D$5:$D$34,"")),1),0)</f>
        <v>2.3835899637510365E-2</v>
      </c>
      <c r="H19" s="31">
        <f ca="1">IF(LeagueInfo!$H$7="Starter/Bench",INDEX(QB!$T$3:$T$38,MATCH(A19,QB!$B$3:$B$38,0))*InflationPct,INDEX(QB!$AB$3:$AB$38,MATCH(A19,QB!$B$3:$B$38,0))*InflationPct)</f>
        <v>6.7649336250625582</v>
      </c>
      <c r="I19" s="23"/>
      <c r="J19" s="47" t="s">
        <v>548</v>
      </c>
      <c r="K19" s="56" t="str">
        <f>INDEX('RB'!$F$3:$F$138,MATCH(J19,'RB'!$B$3:$B$138,0))</f>
        <v>CLE</v>
      </c>
      <c r="L19" s="48">
        <f>INDEX('RB'!$E$3:$E$138,MATCH(J19,'RB'!$B$3:$B$138,0))</f>
        <v>9</v>
      </c>
      <c r="M19" s="182" t="str">
        <f>IF(INDEX(Auction!$H$13:$H$656,MATCH(J19,Auction!$A$13:$A$656,0))&gt;0,"x","")</f>
        <v/>
      </c>
      <c r="N19" s="43">
        <f ca="1">INDEX('RB'!Z$3:Z$138,MATCH(J19,'RB'!$B$3:$B$138,0))</f>
        <v>84.39500000000001</v>
      </c>
      <c r="O19" s="43" t="str">
        <f ca="1">INDEX('RB'!AA$3:AA$138,MATCH(J19,'RB'!$B$3:$B$138,0))</f>
        <v>RB5</v>
      </c>
      <c r="P19" s="49">
        <f ca="1">IF(M19="",IFERROR(N19/(SUMIFS($N$5:$N$64,$N$5:$N$64,"&gt;0",$M$5:$M$64,"")),1),0)</f>
        <v>2.6843150694734922E-2</v>
      </c>
      <c r="Q19" s="50">
        <f ca="1">IF(LeagueInfo!$H$7="Starter/Bench",INDEX('RB'!$T$3:$T$138,MATCH(J19,'RB'!$B$3:$B$138,0))*InflationPct,INDEX('RB'!$AB$3:$AB$138,MATCH(J19,'RB'!$B$3:$B$138,0))*InflationPct)</f>
        <v>31.07684292234433</v>
      </c>
      <c r="S19" s="24" t="s">
        <v>185</v>
      </c>
      <c r="T19" s="58" t="str">
        <f>INDEX(WR!$F$1:$F$183,MATCH(S19,WR!$B$1:$B$183,0))</f>
        <v>LAC</v>
      </c>
      <c r="U19" s="29">
        <f>INDEX(WR!$E$1:$E$183,MATCH(S19,WR!$B$1:$B$183,0))</f>
        <v>8</v>
      </c>
      <c r="V19" s="184" t="str">
        <f>IF(INDEX(Auction!$H$13:$H$656,MATCH(S19,Auction!$A$13:$A$656,0))&gt;0,"x","")</f>
        <v/>
      </c>
      <c r="W19" s="25">
        <f ca="1">INDEX(WR!Z$3:Z$183,MATCH(S19,WR!$B$3:$B$183,0))</f>
        <v>48.40000000000002</v>
      </c>
      <c r="X19" s="25" t="str">
        <f ca="1">INDEX(WR!AA$3:AA$183,MATCH(S19,WR!$B$3:$B$183,0))</f>
        <v>WR6</v>
      </c>
      <c r="Y19" s="38">
        <f ca="1">IF(V19="",IFERROR(W19/(SUMIFS($W$5:$W$64,$W$5:$W$64,"&gt;0",$V$5:$V$64,"")),1),0)</f>
        <v>2.4518184742495737E-2</v>
      </c>
      <c r="Z19" s="31">
        <f ca="1">IF(LeagueInfo!$H$7="Starter/Bench",INDEX(WR!$T$3:$T$183,MATCH(S19,WR!$B$3:$B$183,0))*InflationPct,INDEX(WR!$AB$3:$AB$183,MATCH(S19,WR!$B$3:$B$183,0))*InflationPct)</f>
        <v>17.849305006513546</v>
      </c>
      <c r="AB19" s="24">
        <f t="shared" ca="1" si="1"/>
        <v>15</v>
      </c>
      <c r="AC19" s="107" t="str">
        <f t="shared" ca="1" si="2"/>
        <v>Aaron Jones</v>
      </c>
      <c r="AD19" s="107" t="str">
        <f t="shared" ca="1" si="0"/>
        <v>RB</v>
      </c>
      <c r="AE19" s="110">
        <f ca="1">LARGE(($E$5:$E$34,$E$37:$E$64,$N$5:$N$64,$W$5:$W$64),ROW(AE19)-4)</f>
        <v>107.27500000000002</v>
      </c>
    </row>
    <row r="20" spans="1:31" x14ac:dyDescent="0.25">
      <c r="A20" s="24" t="s">
        <v>872</v>
      </c>
      <c r="B20" s="60" t="str">
        <f>INDEX(QB!F$3:F$38,MATCH(A20,QB!B$3:B$38,0))</f>
        <v>MIA</v>
      </c>
      <c r="C20" s="29">
        <f>INDEX(QB!E$3:E$38,MATCH(A20,QB!B$3:B$38,0))</f>
        <v>11</v>
      </c>
      <c r="D20" s="181" t="str">
        <f>IF(INDEX(Auction!$H$13:$H$656,MATCH(A20,Auction!$A$13:$A$656,0))&gt;0,"x","")</f>
        <v/>
      </c>
      <c r="E20" s="25">
        <f ca="1">INDEX(QB!$Z$3:$Z$38,MATCH(A20,QB!$B$3:$B$38,0))</f>
        <v>12.79200000000003</v>
      </c>
      <c r="F20" s="25" t="str">
        <f ca="1">INDEX(QB!$AA$3:$AA$38,MATCH(A20,QB!$B$3:$B$38,0))</f>
        <v>QB5</v>
      </c>
      <c r="G20" s="39">
        <f ca="1">IF(D20="",IFERROR(E20/(SUMIFS($E$5:$E$34,$E$5:$E$34,"&gt;0",$D$5:$D$34,"")),1),0)</f>
        <v>1.6344616894292834E-2</v>
      </c>
      <c r="H20" s="31">
        <f ca="1">IF(LeagueInfo!$H$7="Starter/Bench",INDEX(QB!$T$3:$T$38,MATCH(A20,QB!$B$3:$B$38,0))*InflationPct,INDEX(QB!$AB$3:$AB$38,MATCH(A20,QB!$B$3:$B$38,0))*InflationPct)</f>
        <v>4.6388116286143291</v>
      </c>
      <c r="I20" s="23"/>
      <c r="J20" s="47" t="s">
        <v>661</v>
      </c>
      <c r="K20" s="56" t="str">
        <f>INDEX('RB'!$F$3:$F$138,MATCH(J20,'RB'!$B$3:$B$138,0))</f>
        <v>CHI</v>
      </c>
      <c r="L20" s="48">
        <f>INDEX('RB'!$E$3:$E$138,MATCH(J20,'RB'!$B$3:$B$138,0))</f>
        <v>14</v>
      </c>
      <c r="M20" s="182" t="str">
        <f>IF(INDEX(Auction!$H$13:$H$656,MATCH(J20,Auction!$A$13:$A$656,0))&gt;0,"x","")</f>
        <v/>
      </c>
      <c r="N20" s="43">
        <f ca="1">INDEX('RB'!Z$3:Z$138,MATCH(J20,'RB'!$B$3:$B$138,0))</f>
        <v>79.824999999999989</v>
      </c>
      <c r="O20" s="43" t="str">
        <f ca="1">INDEX('RB'!AA$3:AA$138,MATCH(J20,'RB'!$B$3:$B$138,0))</f>
        <v>RB5</v>
      </c>
      <c r="P20" s="49">
        <f ca="1">IF(M20="",IFERROR(N20/(SUMIFS($N$5:$N$64,$N$5:$N$64,"&gt;0",$M$5:$M$64,"")),1),0)</f>
        <v>2.5389590665409262E-2</v>
      </c>
      <c r="Q20" s="50">
        <f ca="1">IF(LeagueInfo!$H$7="Starter/Bench",INDEX('RB'!$T$3:$T$138,MATCH(J20,'RB'!$B$3:$B$138,0))*InflationPct,INDEX('RB'!$AB$3:$AB$138,MATCH(J20,'RB'!$B$3:$B$138,0))*InflationPct)</f>
        <v>29.367337698512216</v>
      </c>
      <c r="S20" s="24" t="s">
        <v>2409</v>
      </c>
      <c r="T20" s="58" t="str">
        <f>INDEX(WR!$F$1:$F$183,MATCH(S20,WR!$B$1:$B$183,0))</f>
        <v>CAR</v>
      </c>
      <c r="U20" s="29">
        <f>INDEX(WR!$E$1:$E$183,MATCH(S20,WR!$B$1:$B$183,0))</f>
        <v>13</v>
      </c>
      <c r="V20" s="184" t="str">
        <f>IF(INDEX(Auction!$H$13:$H$656,MATCH(S20,Auction!$A$13:$A$656,0))&gt;0,"x","")</f>
        <v/>
      </c>
      <c r="W20" s="25">
        <f ca="1">INDEX(WR!Z$3:Z$183,MATCH(S20,WR!$B$3:$B$183,0))</f>
        <v>47.820000000000036</v>
      </c>
      <c r="X20" s="25" t="str">
        <f ca="1">INDEX(WR!AA$3:AA$183,MATCH(S20,WR!$B$3:$B$183,0))</f>
        <v>WR6</v>
      </c>
      <c r="Y20" s="38">
        <f ca="1">IF(V20="",IFERROR(W20/(SUMIFS($W$5:$W$64,$W$5:$W$64,"&gt;0",$V$5:$V$64,"")),1),0)</f>
        <v>2.4224371784837738E-2</v>
      </c>
      <c r="Z20" s="31">
        <f ca="1">IF(LeagueInfo!$H$7="Starter/Bench",INDEX(WR!$T$3:$T$183,MATCH(S20,WR!$B$3:$B$183,0))*InflationPct,INDEX(WR!$AB$3:$AB$183,MATCH(S20,WR!$B$3:$B$183,0))*InflationPct)</f>
        <v>17.632343730841207</v>
      </c>
      <c r="AB20" s="24">
        <f t="shared" ca="1" si="1"/>
        <v>16</v>
      </c>
      <c r="AC20" s="107" t="str">
        <f t="shared" ca="1" si="2"/>
        <v>Leonard Fournette</v>
      </c>
      <c r="AD20" s="107" t="str">
        <f t="shared" ca="1" si="0"/>
        <v>RB</v>
      </c>
      <c r="AE20" s="110">
        <f ca="1">LARGE(($E$5:$E$34,$E$37:$E$64,$N$5:$N$64,$W$5:$W$64),ROW(AE20)-4)</f>
        <v>105.68499999999999</v>
      </c>
    </row>
    <row r="21" spans="1:31" x14ac:dyDescent="0.25">
      <c r="A21" s="24" t="s">
        <v>214</v>
      </c>
      <c r="B21" s="60" t="str">
        <f>INDEX(QB!F$3:F$38,MATCH(A21,QB!B$3:B$38,0))</f>
        <v>TEN</v>
      </c>
      <c r="C21" s="29">
        <f>INDEX(QB!E$3:E$38,MATCH(A21,QB!B$3:B$38,0))</f>
        <v>6</v>
      </c>
      <c r="D21" s="181" t="str">
        <f>IF(INDEX(Auction!$H$13:$H$656,MATCH(A21,Auction!$A$13:$A$656,0))&gt;0,"x","")</f>
        <v/>
      </c>
      <c r="E21" s="25">
        <f ca="1">INDEX(QB!$Z$3:$Z$38,MATCH(A21,QB!$B$3:$B$38,0))</f>
        <v>9.174000000000035</v>
      </c>
      <c r="F21" s="25" t="str">
        <f ca="1">INDEX(QB!$AA$3:$AA$38,MATCH(A21,QB!$B$3:$B$38,0))</f>
        <v>QB5</v>
      </c>
      <c r="G21" s="39">
        <f ca="1">IF(D21="",IFERROR(E21/(SUMIFS($E$5:$E$34,$E$5:$E$34,"&gt;0",$D$5:$D$34,"")),1),0)</f>
        <v>1.1721819526910779E-2</v>
      </c>
      <c r="H21" s="31">
        <f ca="1">IF(LeagueInfo!$H$7="Starter/Bench",INDEX(QB!$T$3:$T$38,MATCH(A21,QB!$B$3:$B$38,0))*InflationPct,INDEX(QB!$AB$3:$AB$38,MATCH(A21,QB!$B$3:$B$38,0))*InflationPct)</f>
        <v>3.3268025235231331</v>
      </c>
      <c r="I21" s="23"/>
      <c r="J21" s="47" t="s">
        <v>93</v>
      </c>
      <c r="K21" s="56" t="str">
        <f>INDEX('RB'!$F$3:$F$138,MATCH(J21,'RB'!$B$3:$B$138,0))</f>
        <v>DAL</v>
      </c>
      <c r="L21" s="48">
        <f>INDEX('RB'!$E$3:$E$138,MATCH(J21,'RB'!$B$3:$B$138,0))</f>
        <v>9</v>
      </c>
      <c r="M21" s="182" t="str">
        <f>IF(INDEX(Auction!$H$13:$H$656,MATCH(J21,Auction!$A$13:$A$656,0))&gt;0,"x","")</f>
        <v/>
      </c>
      <c r="N21" s="43">
        <f ca="1">INDEX('RB'!Z$3:Z$138,MATCH(J21,'RB'!$B$3:$B$138,0))</f>
        <v>72.315000000000026</v>
      </c>
      <c r="O21" s="43" t="str">
        <f ca="1">INDEX('RB'!AA$3:AA$138,MATCH(J21,'RB'!$B$3:$B$138,0))</f>
        <v>RB6</v>
      </c>
      <c r="P21" s="49">
        <f ca="1">IF(M21="",IFERROR(N21/(SUMIFS($N$5:$N$64,$N$5:$N$64,"&gt;0",$M$5:$M$64,"")),1),0)</f>
        <v>2.3000917619405845E-2</v>
      </c>
      <c r="Q21" s="50">
        <f ca="1">IF(LeagueInfo!$H$7="Starter/Bench",INDEX('RB'!$T$3:$T$138,MATCH(J21,'RB'!$B$3:$B$138,0))*InflationPct,INDEX('RB'!$AB$3:$AB$138,MATCH(J21,'RB'!$B$3:$B$138,0))*InflationPct)</f>
        <v>26.558063249720298</v>
      </c>
      <c r="S21" s="24" t="s">
        <v>718</v>
      </c>
      <c r="T21" s="58" t="str">
        <f>INDEX(WR!$F$1:$F$183,MATCH(S21,WR!$B$1:$B$183,0))</f>
        <v>PIT</v>
      </c>
      <c r="U21" s="29">
        <f>INDEX(WR!$E$1:$E$183,MATCH(S21,WR!$B$1:$B$183,0))</f>
        <v>9</v>
      </c>
      <c r="V21" s="184" t="str">
        <f>IF(INDEX(Auction!$H$13:$H$656,MATCH(S21,Auction!$A$13:$A$656,0))&gt;0,"x","")</f>
        <v/>
      </c>
      <c r="W21" s="25">
        <f ca="1">INDEX(WR!Z$3:Z$183,MATCH(S21,WR!$B$3:$B$183,0))</f>
        <v>45.120000000000019</v>
      </c>
      <c r="X21" s="25" t="str">
        <f ca="1">INDEX(WR!AA$3:AA$183,MATCH(S21,WR!$B$3:$B$183,0))</f>
        <v>WR6</v>
      </c>
      <c r="Y21" s="38">
        <f ca="1">IF(V21="",IFERROR(W21/(SUMIFS($W$5:$W$64,$W$5:$W$64,"&gt;0",$V$5:$V$64,"")),1),0)</f>
        <v>2.2856621809533215E-2</v>
      </c>
      <c r="Z21" s="31">
        <f ca="1">IF(LeagueInfo!$H$7="Starter/Bench",INDEX(WR!$T$3:$T$183,MATCH(S21,WR!$B$3:$B$183,0))*InflationPct,INDEX(WR!$AB$3:$AB$183,MATCH(S21,WR!$B$3:$B$183,0))*InflationPct)</f>
        <v>16.622351585469936</v>
      </c>
      <c r="AB21" s="24">
        <f t="shared" ca="1" si="1"/>
        <v>17</v>
      </c>
      <c r="AC21" s="107" t="str">
        <f t="shared" ca="1" si="2"/>
        <v>D'Andre Swift</v>
      </c>
      <c r="AD21" s="107" t="str">
        <f t="shared" ca="1" si="0"/>
        <v>RB</v>
      </c>
      <c r="AE21" s="110">
        <f ca="1">LARGE(($E$5:$E$34,$E$37:$E$64,$N$5:$N$64,$W$5:$W$64),ROW(AE21)-4)</f>
        <v>98.784999999999954</v>
      </c>
    </row>
    <row r="22" spans="1:31" x14ac:dyDescent="0.25">
      <c r="A22" s="24" t="s">
        <v>915</v>
      </c>
      <c r="B22" s="60" t="str">
        <f>INDEX(QB!F$3:F$38,MATCH(A22,QB!B$3:B$38,0))</f>
        <v>JAC</v>
      </c>
      <c r="C22" s="29">
        <f>INDEX(QB!E$3:E$38,MATCH(A22,QB!B$3:B$38,0))</f>
        <v>11</v>
      </c>
      <c r="D22" s="181" t="str">
        <f>IF(INDEX(Auction!$H$13:$H$656,MATCH(A22,Auction!$A$13:$A$656,0))&gt;0,"x","")</f>
        <v/>
      </c>
      <c r="E22" s="25">
        <f ca="1">INDEX(QB!$Z$3:$Z$38,MATCH(A22,QB!$B$3:$B$38,0))</f>
        <v>8.0660000000000025</v>
      </c>
      <c r="F22" s="25" t="str">
        <f ca="1">INDEX(QB!$AA$3:$AA$38,MATCH(A22,QB!$B$3:$B$38,0))</f>
        <v>QB5</v>
      </c>
      <c r="G22" s="39">
        <f ca="1">IF(D22="",IFERROR(E22/(SUMIFS($E$5:$E$34,$E$5:$E$34,"&gt;0",$D$5:$D$34,"")),1),0)</f>
        <v>1.0306103804672118E-2</v>
      </c>
      <c r="H22" s="31">
        <f ca="1">IF(LeagueInfo!$H$7="Starter/Bench",INDEX(QB!$T$3:$T$38,MATCH(A22,QB!$B$3:$B$38,0))*InflationPct,INDEX(QB!$AB$3:$AB$38,MATCH(A22,QB!$B$3:$B$38,0))*InflationPct)</f>
        <v>2.9250042680114996</v>
      </c>
      <c r="I22" s="23"/>
      <c r="J22" s="47" t="s">
        <v>2444</v>
      </c>
      <c r="K22" s="56" t="str">
        <f>INDEX('RB'!$F$3:$F$138,MATCH(J22,'RB'!$B$3:$B$138,0))</f>
        <v>JAC</v>
      </c>
      <c r="L22" s="48">
        <f>INDEX('RB'!$E$3:$E$138,MATCH(J22,'RB'!$B$3:$B$138,0))</f>
        <v>11</v>
      </c>
      <c r="M22" s="182" t="str">
        <f>IF(INDEX(Auction!$H$13:$H$656,MATCH(J22,Auction!$A$13:$A$656,0))&gt;0,"x","")</f>
        <v/>
      </c>
      <c r="N22" s="43">
        <f ca="1">INDEX('RB'!Z$3:Z$138,MATCH(J22,'RB'!$B$3:$B$138,0))</f>
        <v>64.555000000000007</v>
      </c>
      <c r="O22" s="43" t="str">
        <f ca="1">INDEX('RB'!AA$3:AA$138,MATCH(J22,'RB'!$B$3:$B$138,0))</f>
        <v>RB6</v>
      </c>
      <c r="P22" s="49">
        <f ca="1">IF(M22="",IFERROR(N22/(SUMIFS($N$5:$N$64,$N$5:$N$64,"&gt;0",$M$5:$M$64,"")),1),0)</f>
        <v>2.0532728160419608E-2</v>
      </c>
      <c r="Q22" s="50">
        <f ca="1">IF(LeagueInfo!$H$7="Starter/Bench",INDEX('RB'!$T$3:$T$138,MATCH(J22,'RB'!$B$3:$B$138,0))*InflationPct,INDEX('RB'!$AB$3:$AB$138,MATCH(J22,'RB'!$B$3:$B$138,0))*InflationPct)</f>
        <v>23.655271009690285</v>
      </c>
      <c r="S22" s="24" t="s">
        <v>2410</v>
      </c>
      <c r="T22" s="58" t="str">
        <f>INDEX(WR!$F$1:$F$183,MATCH(S22,WR!$B$1:$B$183,0))</f>
        <v>SEA</v>
      </c>
      <c r="U22" s="29">
        <f>INDEX(WR!$E$1:$E$183,MATCH(S22,WR!$B$1:$B$183,0))</f>
        <v>11</v>
      </c>
      <c r="V22" s="184" t="str">
        <f>IF(INDEX(Auction!$H$13:$H$656,MATCH(S22,Auction!$A$13:$A$656,0))&gt;0,"x","")</f>
        <v/>
      </c>
      <c r="W22" s="25">
        <f ca="1">INDEX(WR!Z$3:Z$183,MATCH(S22,WR!$B$3:$B$183,0))</f>
        <v>37.760000000000034</v>
      </c>
      <c r="X22" s="25" t="str">
        <f ca="1">INDEX(WR!AA$3:AA$183,MATCH(S22,WR!$B$3:$B$183,0))</f>
        <v>WR7</v>
      </c>
      <c r="Y22" s="38">
        <f ca="1">IF(V22="",IFERROR(W22/(SUMIFS($W$5:$W$64,$W$5:$W$64,"&gt;0",$V$5:$V$64,"")),1),0)</f>
        <v>1.9128236691666103E-2</v>
      </c>
      <c r="Z22" s="31">
        <f ca="1">IF(LeagueInfo!$H$7="Starter/Bench",INDEX(WR!$T$3:$T$183,MATCH(S22,WR!$B$3:$B$183,0))*InflationPct,INDEX(WR!$AB$3:$AB$183,MATCH(S22,WR!$B$3:$B$183,0))*InflationPct)</f>
        <v>13.869187811420861</v>
      </c>
      <c r="AB22" s="24">
        <f t="shared" ca="1" si="1"/>
        <v>18</v>
      </c>
      <c r="AC22" s="107" t="str">
        <f t="shared" ca="1" si="2"/>
        <v>Saquon Barkley</v>
      </c>
      <c r="AD22" s="107" t="str">
        <f t="shared" ref="AD22:AD64" ca="1" si="3">IF(IFERROR(INDEX($S$5:$S$64,MATCH($AC22,$S$5:$S$64,0)),0)&lt;&gt;0,"WR",IF(IFERROR(INDEX($J$5:$J$64,MATCH($AC22,$J$5:$J$64,0)),0)&lt;&gt;0,"RB",IF(IFERROR(INDEX($A$5:$A$34,MATCH($AC22,$A$5:$A$34,0)),0)&lt;&gt;0,"QB",IF(IFERROR(INDEX($A$37:$A$64,MATCH($AC22,$A$37:$A$64,0)),0)&lt;&gt;0,"TE"))))</f>
        <v>RB</v>
      </c>
      <c r="AE22" s="110">
        <f ca="1">LARGE(($E$5:$E$34,$E$37:$E$64,$N$5:$N$64,$W$5:$W$64),ROW(AE22)-4)</f>
        <v>97.194999999999979</v>
      </c>
    </row>
    <row r="23" spans="1:31" x14ac:dyDescent="0.25">
      <c r="A23" s="24" t="s">
        <v>917</v>
      </c>
      <c r="B23" s="60" t="str">
        <f>INDEX(QB!F$3:F$38,MATCH(A23,QB!B$3:B$38,0))</f>
        <v>CHI</v>
      </c>
      <c r="C23" s="29">
        <f>INDEX(QB!E$3:E$38,MATCH(A23,QB!B$3:B$38,0))</f>
        <v>14</v>
      </c>
      <c r="D23" s="181" t="str">
        <f>IF(INDEX(Auction!$H$13:$H$656,MATCH(A23,Auction!$A$13:$A$656,0))&gt;0,"x","")</f>
        <v/>
      </c>
      <c r="E23" s="25">
        <f ca="1">INDEX(QB!$Z$3:$Z$38,MATCH(A23,QB!$B$3:$B$38,0))</f>
        <v>5.6230000000000189</v>
      </c>
      <c r="F23" s="25" t="str">
        <f ca="1">INDEX(QB!$AA$3:$AA$38,MATCH(A23,QB!$B$3:$B$38,0))</f>
        <v>QB5</v>
      </c>
      <c r="G23" s="39">
        <f ca="1">IF(D23="",IFERROR(E23/(SUMIFS($E$5:$E$34,$E$5:$E$34,"&gt;0",$D$5:$D$34,"")),1),0)</f>
        <v>7.1846295181839191E-3</v>
      </c>
      <c r="H23" s="31">
        <f ca="1">IF(LeagueInfo!$H$7="Starter/Bench",INDEX(QB!$T$3:$T$38,MATCH(A23,QB!$B$3:$B$38,0))*InflationPct,INDEX(QB!$AB$3:$AB$38,MATCH(A23,QB!$B$3:$B$38,0))*InflationPct)</f>
        <v>2.0390898833410254</v>
      </c>
      <c r="I23" s="23"/>
      <c r="J23" s="47" t="s">
        <v>882</v>
      </c>
      <c r="K23" s="56" t="str">
        <f>INDEX('RB'!$F$3:$F$138,MATCH(J23,'RB'!$B$3:$B$138,0))</f>
        <v>BAL</v>
      </c>
      <c r="L23" s="48">
        <f>INDEX('RB'!$E$3:$E$138,MATCH(J23,'RB'!$B$3:$B$138,0))</f>
        <v>10</v>
      </c>
      <c r="M23" s="182" t="str">
        <f>IF(INDEX(Auction!$H$13:$H$656,MATCH(J23,Auction!$A$13:$A$656,0))&gt;0,"x","")</f>
        <v/>
      </c>
      <c r="N23" s="43">
        <f ca="1">INDEX('RB'!Z$3:Z$138,MATCH(J23,'RB'!$B$3:$B$138,0))</f>
        <v>63.865000000000002</v>
      </c>
      <c r="O23" s="43" t="str">
        <f ca="1">INDEX('RB'!AA$3:AA$138,MATCH(J23,'RB'!$B$3:$B$138,0))</f>
        <v>RB6</v>
      </c>
      <c r="P23" s="49">
        <f ca="1">IF(M23="",IFERROR(N23/(SUMIFS($N$5:$N$64,$N$5:$N$64,"&gt;0",$M$5:$M$64,"")),1),0)</f>
        <v>2.0313262860587069E-2</v>
      </c>
      <c r="Q23" s="50">
        <f ca="1">IF(LeagueInfo!$H$7="Starter/Bench",INDEX('RB'!$T$3:$T$138,MATCH(J23,'RB'!$B$3:$B$138,0))*InflationPct,INDEX('RB'!$AB$3:$AB$138,MATCH(J23,'RB'!$B$3:$B$138,0))*InflationPct)</f>
        <v>23.397161905873183</v>
      </c>
      <c r="S23" s="24" t="s">
        <v>948</v>
      </c>
      <c r="T23" s="58" t="str">
        <f>INDEX(WR!$F$1:$F$183,MATCH(S23,WR!$B$1:$B$183,0))</f>
        <v>MIA</v>
      </c>
      <c r="U23" s="29">
        <f>INDEX(WR!$E$1:$E$183,MATCH(S23,WR!$B$1:$B$183,0))</f>
        <v>11</v>
      </c>
      <c r="V23" s="184" t="str">
        <f>IF(INDEX(Auction!$H$13:$H$656,MATCH(S23,Auction!$A$13:$A$656,0))&gt;0,"x","")</f>
        <v/>
      </c>
      <c r="W23" s="25">
        <f ca="1">INDEX(WR!Z$3:Z$183,MATCH(S23,WR!$B$3:$B$183,0))</f>
        <v>36.870000000000019</v>
      </c>
      <c r="X23" s="25" t="str">
        <f ca="1">INDEX(WR!AA$3:AA$183,MATCH(S23,WR!$B$3:$B$183,0))</f>
        <v>WR7</v>
      </c>
      <c r="Y23" s="38">
        <f ca="1">IF(V23="",IFERROR(W23/(SUMIFS($W$5:$W$64,$W$5:$W$64,"&gt;0",$V$5:$V$64,"")),1),0)</f>
        <v>1.8677385773880534E-2</v>
      </c>
      <c r="Z23" s="31">
        <f ca="1">IF(LeagueInfo!$H$7="Starter/Bench",INDEX(WR!$T$3:$T$183,MATCH(S23,WR!$B$3:$B$183,0))*InflationPct,INDEX(WR!$AB$3:$AB$183,MATCH(S23,WR!$B$3:$B$183,0))*InflationPct)</f>
        <v>13.53626447461329</v>
      </c>
      <c r="AB23" s="24">
        <f t="shared" ca="1" si="1"/>
        <v>19</v>
      </c>
      <c r="AC23" s="107" t="str">
        <f t="shared" ca="1" si="2"/>
        <v>James Conner</v>
      </c>
      <c r="AD23" s="107" t="str">
        <f t="shared" ca="1" si="3"/>
        <v>RB</v>
      </c>
      <c r="AE23" s="110">
        <f ca="1">LARGE(($E$5:$E$34,$E$37:$E$64,$N$5:$N$64,$W$5:$W$64),ROW(AE23)-4)</f>
        <v>95.39500000000001</v>
      </c>
    </row>
    <row r="24" spans="1:31" x14ac:dyDescent="0.25">
      <c r="A24" s="24" t="s">
        <v>649</v>
      </c>
      <c r="B24" s="60" t="str">
        <f>INDEX(QB!F$3:F$38,MATCH(A24,QB!B$3:B$38,0))</f>
        <v>NYG</v>
      </c>
      <c r="C24" s="29">
        <f>INDEX(QB!E$3:E$38,MATCH(A24,QB!B$3:B$38,0))</f>
        <v>9</v>
      </c>
      <c r="D24" s="181" t="str">
        <f>IF(INDEX(Auction!$H$13:$H$656,MATCH(A24,Auction!$A$13:$A$656,0))&gt;0,"x","")</f>
        <v/>
      </c>
      <c r="E24" s="25">
        <f ca="1">INDEX(QB!$Z$3:$Z$38,MATCH(A24,QB!$B$3:$B$38,0))</f>
        <v>2.3760000000000332</v>
      </c>
      <c r="F24" s="25" t="str">
        <f ca="1">INDEX(QB!$AA$3:$AA$38,MATCH(A24,QB!$B$3:$B$38,0))</f>
        <v>QB6</v>
      </c>
      <c r="G24" s="39">
        <f ca="1">IF(D24="",IFERROR(E24/(SUMIFS($E$5:$E$34,$E$5:$E$34,"&gt;0",$D$5:$D$34,"")),1),0)</f>
        <v>3.0358669278330382E-3</v>
      </c>
      <c r="H24" s="31">
        <f ca="1">IF(LeagueInfo!$H$7="Starter/Bench",INDEX(QB!$T$3:$T$38,MATCH(A24,QB!$B$3:$B$38,0))*InflationPct,INDEX(QB!$AB$3:$AB$38,MATCH(A24,QB!$B$3:$B$38,0))*InflationPct)</f>
        <v>0.86161791976139568</v>
      </c>
      <c r="I24" s="23"/>
      <c r="J24" s="47" t="s">
        <v>881</v>
      </c>
      <c r="K24" s="56" t="str">
        <f>INDEX('RB'!$F$3:$F$138,MATCH(J24,'RB'!$B$3:$B$138,0))</f>
        <v>LAR</v>
      </c>
      <c r="L24" s="48">
        <f>INDEX('RB'!$E$3:$E$138,MATCH(J24,'RB'!$B$3:$B$138,0))</f>
        <v>7</v>
      </c>
      <c r="M24" s="182" t="str">
        <f>IF(INDEX(Auction!$H$13:$H$656,MATCH(J24,Auction!$A$13:$A$656,0))&gt;0,"x","")</f>
        <v/>
      </c>
      <c r="N24" s="43">
        <f ca="1">INDEX('RB'!Z$3:Z$138,MATCH(J24,'RB'!$B$3:$B$138,0))</f>
        <v>63.635000000000012</v>
      </c>
      <c r="O24" s="43" t="str">
        <f ca="1">INDEX('RB'!AA$3:AA$138,MATCH(J24,'RB'!$B$3:$B$138,0))</f>
        <v>RB6</v>
      </c>
      <c r="P24" s="49">
        <f ca="1">IF(M24="",IFERROR(N24/(SUMIFS($N$5:$N$64,$N$5:$N$64,"&gt;0",$M$5:$M$64,"")),1),0)</f>
        <v>2.0240107760642893E-2</v>
      </c>
      <c r="Q24" s="50">
        <f ca="1">IF(LeagueInfo!$H$7="Starter/Bench",INDEX('RB'!$T$3:$T$138,MATCH(J24,'RB'!$B$3:$B$138,0))*InflationPct,INDEX('RB'!$AB$3:$AB$138,MATCH(J24,'RB'!$B$3:$B$138,0))*InflationPct)</f>
        <v>23.311125537934153</v>
      </c>
      <c r="S24" s="24" t="s">
        <v>953</v>
      </c>
      <c r="T24" s="58" t="str">
        <f>INDEX(WR!$F$1:$F$183,MATCH(S24,WR!$B$1:$B$183,0))</f>
        <v>DET</v>
      </c>
      <c r="U24" s="29">
        <f>INDEX(WR!$E$1:$E$183,MATCH(S24,WR!$B$1:$B$183,0))</f>
        <v>6</v>
      </c>
      <c r="V24" s="184" t="str">
        <f>IF(INDEX(Auction!$H$13:$H$656,MATCH(S24,Auction!$A$13:$A$656,0))&gt;0,"x","")</f>
        <v/>
      </c>
      <c r="W24" s="25">
        <f ca="1">INDEX(WR!Z$3:Z$183,MATCH(S24,WR!$B$3:$B$183,0))</f>
        <v>35.42</v>
      </c>
      <c r="X24" s="25" t="str">
        <f ca="1">INDEX(WR!AA$3:AA$183,MATCH(S24,WR!$B$3:$B$183,0))</f>
        <v>WR7</v>
      </c>
      <c r="Y24" s="38">
        <f ca="1">IF(V24="",IFERROR(W24/(SUMIFS($W$5:$W$64,$W$5:$W$64,"&gt;0",$V$5:$V$64,"")),1),0)</f>
        <v>1.7942853379735509E-2</v>
      </c>
      <c r="Z24" s="31">
        <f ca="1">IF(LeagueInfo!$H$7="Starter/Bench",INDEX(WR!$T$3:$T$183,MATCH(S24,WR!$B$3:$B$183,0))*InflationPct,INDEX(WR!$AB$3:$AB$183,MATCH(S24,WR!$B$3:$B$183,0))*InflationPct)</f>
        <v>12.993861285432418</v>
      </c>
      <c r="AB24" s="24">
        <f t="shared" ca="1" si="1"/>
        <v>20</v>
      </c>
      <c r="AC24" s="107" t="str">
        <f t="shared" ca="1" si="2"/>
        <v>Davante Adams</v>
      </c>
      <c r="AD24" s="107" t="str">
        <f t="shared" ca="1" si="3"/>
        <v>WR</v>
      </c>
      <c r="AE24" s="110">
        <f ca="1">LARGE(($E$5:$E$34,$E$37:$E$64,$N$5:$N$64,$W$5:$W$64),ROW(AE24)-4)</f>
        <v>94.890000000000029</v>
      </c>
    </row>
    <row r="25" spans="1:31" x14ac:dyDescent="0.25">
      <c r="A25" s="24" t="s">
        <v>136</v>
      </c>
      <c r="B25" s="60" t="str">
        <f>INDEX(QB!F$3:F$38,MATCH(A25,QB!B$3:B$38,0))</f>
        <v>IND</v>
      </c>
      <c r="C25" s="29">
        <f>INDEX(QB!E$3:E$38,MATCH(A25,QB!B$3:B$38,0))</f>
        <v>14</v>
      </c>
      <c r="D25" s="181" t="str">
        <f>IF(INDEX(Auction!$H$13:$H$656,MATCH(A25,Auction!$A$13:$A$656,0))&gt;0,"x","")</f>
        <v/>
      </c>
      <c r="E25" s="25">
        <f ca="1">INDEX(QB!$Z$3:$Z$38,MATCH(A25,QB!$B$3:$B$38,0))</f>
        <v>2.2460000000000093</v>
      </c>
      <c r="F25" s="25" t="str">
        <f ca="1">INDEX(QB!$AA$3:$AA$38,MATCH(A25,QB!$B$3:$B$38,0))</f>
        <v>QB6</v>
      </c>
      <c r="G25" s="39">
        <f ca="1">IF(D25="",IFERROR(E25/(SUMIFS($E$5:$E$34,$E$5:$E$34,"&gt;0",$D$5:$D$34,"")),1),0)</f>
        <v>2.8697630976064546E-3</v>
      </c>
      <c r="H25" s="31">
        <f ca="1">IF(LeagueInfo!$H$7="Starter/Bench",INDEX(QB!$T$3:$T$38,MATCH(A25,QB!$B$3:$B$38,0))*InflationPct,INDEX(QB!$AB$3:$AB$38,MATCH(A25,QB!$B$3:$B$38,0))*InflationPct)</f>
        <v>0.81447552516164801</v>
      </c>
      <c r="I25" s="18"/>
      <c r="J25" s="47" t="s">
        <v>660</v>
      </c>
      <c r="K25" s="56" t="str">
        <f>INDEX('RB'!$F$3:$F$138,MATCH(J25,'RB'!$B$3:$B$138,0))</f>
        <v>LV</v>
      </c>
      <c r="L25" s="48">
        <f>INDEX('RB'!$E$3:$E$138,MATCH(J25,'RB'!$B$3:$B$138,0))</f>
        <v>6</v>
      </c>
      <c r="M25" s="182" t="str">
        <f>IF(INDEX(Auction!$H$13:$H$656,MATCH(J25,Auction!$A$13:$A$656,0))&gt;0,"x","")</f>
        <v/>
      </c>
      <c r="N25" s="43">
        <f ca="1">INDEX('RB'!Z$3:Z$138,MATCH(J25,'RB'!$B$3:$B$138,0))</f>
        <v>62.57500000000001</v>
      </c>
      <c r="O25" s="43" t="str">
        <f ca="1">INDEX('RB'!AA$3:AA$138,MATCH(J25,'RB'!$B$3:$B$138,0))</f>
        <v>RB6</v>
      </c>
      <c r="P25" s="49">
        <f ca="1">IF(M25="",IFERROR(N25/(SUMIFS($N$5:$N$64,$N$5:$N$64,"&gt;0",$M$5:$M$64,"")),1),0)</f>
        <v>1.9902958169595805E-2</v>
      </c>
      <c r="Q25" s="50">
        <f ca="1">IF(LeagueInfo!$H$7="Starter/Bench",INDEX('RB'!$T$3:$T$138,MATCH(J25,'RB'!$B$3:$B$138,0))*InflationPct,INDEX('RB'!$AB$3:$AB$138,MATCH(J25,'RB'!$B$3:$B$138,0))*InflationPct)</f>
        <v>22.914610103084691</v>
      </c>
      <c r="S25" s="24" t="s">
        <v>708</v>
      </c>
      <c r="T25" s="58" t="str">
        <f>INDEX(WR!$F$1:$F$183,MATCH(S25,WR!$B$1:$B$183,0))</f>
        <v>WAS</v>
      </c>
      <c r="U25" s="29">
        <f>INDEX(WR!$E$1:$E$183,MATCH(S25,WR!$B$1:$B$183,0))</f>
        <v>14</v>
      </c>
      <c r="V25" s="184" t="str">
        <f>IF(INDEX(Auction!$H$13:$H$656,MATCH(S25,Auction!$A$13:$A$656,0))&gt;0,"x","")</f>
        <v/>
      </c>
      <c r="W25" s="25">
        <f ca="1">INDEX(WR!Z$3:Z$183,MATCH(S25,WR!$B$3:$B$183,0))</f>
        <v>34.630000000000038</v>
      </c>
      <c r="X25" s="25" t="str">
        <f ca="1">INDEX(WR!AA$3:AA$183,MATCH(S25,WR!$B$3:$B$183,0))</f>
        <v>WR7</v>
      </c>
      <c r="Y25" s="38">
        <f ca="1">IF(V25="",IFERROR(W25/(SUMIFS($W$5:$W$64,$W$5:$W$64,"&gt;0",$V$5:$V$64,"")),1),0)</f>
        <v>1.7542659868442726E-2</v>
      </c>
      <c r="Z25" s="31">
        <f ca="1">IF(LeagueInfo!$H$7="Starter/Bench",INDEX(WR!$T$3:$T$183,MATCH(S25,WR!$B$3:$B$183,0))*InflationPct,INDEX(WR!$AB$3:$AB$183,MATCH(S25,WR!$B$3:$B$183,0))*InflationPct)</f>
        <v>12.698345065120098</v>
      </c>
      <c r="AB25" s="24">
        <f t="shared" ca="1" si="1"/>
        <v>21</v>
      </c>
      <c r="AC25" s="107" t="str">
        <f t="shared" ca="1" si="2"/>
        <v>Deebo Samuel</v>
      </c>
      <c r="AD25" s="107" t="str">
        <f t="shared" ca="1" si="3"/>
        <v>WR</v>
      </c>
      <c r="AE25" s="110">
        <f ca="1">LARGE(($E$5:$E$34,$E$37:$E$64,$N$5:$N$64,$W$5:$W$64),ROW(AE25)-4)</f>
        <v>94.54</v>
      </c>
    </row>
    <row r="26" spans="1:31" x14ac:dyDescent="0.25">
      <c r="A26" s="24" t="s">
        <v>162</v>
      </c>
      <c r="B26" s="60" t="str">
        <f>INDEX(QB!F$3:F$38,MATCH(A26,QB!B$3:B$38,0))</f>
        <v>NO</v>
      </c>
      <c r="C26" s="29">
        <f>INDEX(QB!E$3:E$38,MATCH(A26,QB!B$3:B$38,0))</f>
        <v>14</v>
      </c>
      <c r="D26" s="181" t="str">
        <f>IF(INDEX(Auction!$H$13:$H$656,MATCH(A26,Auction!$A$13:$A$656,0))&gt;0,"x","")</f>
        <v/>
      </c>
      <c r="E26" s="25">
        <f ca="1">INDEX(QB!$Z$3:$Z$38,MATCH(A26,QB!$B$3:$B$38,0))</f>
        <v>7.9000000000036152E-2</v>
      </c>
      <c r="F26" s="25" t="str">
        <f ca="1">INDEX(QB!$AA$3:$AA$38,MATCH(A26,QB!$B$3:$B$38,0))</f>
        <v>QB6</v>
      </c>
      <c r="G26" s="39">
        <f ca="1">IF(D26="",IFERROR(E26/(SUMIFS($E$5:$E$34,$E$5:$E$34,"&gt;0",$D$5:$D$34,"")),1),0)</f>
        <v>1.0094001990695135E-4</v>
      </c>
      <c r="H26" s="31">
        <f ca="1">IF(LeagueInfo!$H$7="Starter/Bench",INDEX(QB!$T$3:$T$38,MATCH(A26,QB!$B$3:$B$38,0))*InflationPct,INDEX(QB!$AB$3:$AB$38,MATCH(A26,QB!$B$3:$B$38,0))*InflationPct)</f>
        <v>2.8648070564469889E-2</v>
      </c>
      <c r="I26" s="18"/>
      <c r="J26" s="47" t="s">
        <v>935</v>
      </c>
      <c r="K26" s="56" t="str">
        <f>INDEX('RB'!$F$3:$F$138,MATCH(J26,'RB'!$B$3:$B$138,0))</f>
        <v>SF</v>
      </c>
      <c r="L26" s="48">
        <f>INDEX('RB'!$E$3:$E$138,MATCH(J26,'RB'!$B$3:$B$138,0))</f>
        <v>9</v>
      </c>
      <c r="M26" s="182" t="str">
        <f>IF(INDEX(Auction!$H$13:$H$656,MATCH(J26,Auction!$A$13:$A$656,0))&gt;0,"x","")</f>
        <v/>
      </c>
      <c r="N26" s="43">
        <f ca="1">INDEX('RB'!Z$3:Z$138,MATCH(J26,'RB'!$B$3:$B$138,0))</f>
        <v>59.184999999999995</v>
      </c>
      <c r="O26" s="43" t="str">
        <f ca="1">INDEX('RB'!AA$3:AA$138,MATCH(J26,'RB'!$B$3:$B$138,0))</f>
        <v>RB6</v>
      </c>
      <c r="P26" s="49">
        <f ca="1">IF(M26="",IFERROR(N26/(SUMIFS($N$5:$N$64,$N$5:$N$64,"&gt;0",$M$5:$M$64,"")),1),0)</f>
        <v>1.882471560954898E-2</v>
      </c>
      <c r="Q26" s="50">
        <f ca="1">IF(LeagueInfo!$H$7="Starter/Bench",INDEX('RB'!$T$3:$T$138,MATCH(J26,'RB'!$B$3:$B$138,0))*InflationPct,INDEX('RB'!$AB$3:$AB$138,MATCH(J26,'RB'!$B$3:$B$138,0))*InflationPct)</f>
        <v>21.646508853896322</v>
      </c>
      <c r="S26" s="24" t="s">
        <v>854</v>
      </c>
      <c r="T26" s="58" t="str">
        <f>INDEX(WR!$F$1:$F$183,MATCH(S26,WR!$B$1:$B$183,0))</f>
        <v>BUF</v>
      </c>
      <c r="U26" s="29">
        <f>INDEX(WR!$E$1:$E$183,MATCH(S26,WR!$B$1:$B$183,0))</f>
        <v>7</v>
      </c>
      <c r="V26" s="184" t="str">
        <f>IF(INDEX(Auction!$H$13:$H$656,MATCH(S26,Auction!$A$13:$A$656,0))&gt;0,"x","")</f>
        <v/>
      </c>
      <c r="W26" s="25">
        <f ca="1">INDEX(WR!Z$3:Z$183,MATCH(S26,WR!$B$3:$B$183,0))</f>
        <v>34.320000000000036</v>
      </c>
      <c r="X26" s="25" t="str">
        <f ca="1">INDEX(WR!AA$3:AA$183,MATCH(S26,WR!$B$3:$B$183,0))</f>
        <v>WR7</v>
      </c>
      <c r="Y26" s="38">
        <f ca="1">IF(V26="",IFERROR(W26/(SUMIFS($W$5:$W$64,$W$5:$W$64,"&gt;0",$V$5:$V$64,"")),1),0)</f>
        <v>1.738562190831517E-2</v>
      </c>
      <c r="Z26" s="31">
        <f ca="1">IF(LeagueInfo!$H$7="Starter/Bench",INDEX(WR!$T$3:$T$183,MATCH(S26,WR!$B$3:$B$183,0))*InflationPct,INDEX(WR!$AB$3:$AB$183,MATCH(S26,WR!$B$3:$B$183,0))*InflationPct)</f>
        <v>12.582383003984878</v>
      </c>
      <c r="AB26" s="24">
        <f t="shared" ca="1" si="1"/>
        <v>22</v>
      </c>
      <c r="AC26" s="107" t="str">
        <f t="shared" ca="1" si="2"/>
        <v>Javonte Williams</v>
      </c>
      <c r="AD26" s="107" t="str">
        <f t="shared" ca="1" si="3"/>
        <v>RB</v>
      </c>
      <c r="AE26" s="110">
        <f ca="1">LARGE(($E$5:$E$34,$E$37:$E$64,$N$5:$N$64,$W$5:$W$64),ROW(AE26)-4)</f>
        <v>94.384999999999977</v>
      </c>
    </row>
    <row r="27" spans="1:31" x14ac:dyDescent="0.25">
      <c r="A27" s="24" t="s">
        <v>919</v>
      </c>
      <c r="B27" s="60" t="str">
        <f>INDEX(QB!F$3:F$38,MATCH(A27,QB!B$3:B$38,0))</f>
        <v>NE</v>
      </c>
      <c r="C27" s="29">
        <f>INDEX(QB!E$3:E$38,MATCH(A27,QB!B$3:B$38,0))</f>
        <v>10</v>
      </c>
      <c r="D27" s="181" t="str">
        <f>IF(INDEX(Auction!$H$13:$H$656,MATCH(A27,Auction!$A$13:$A$656,0))&gt;0,"x","")</f>
        <v/>
      </c>
      <c r="E27" s="25">
        <f ca="1">INDEX(QB!$Z$3:$Z$38,MATCH(A27,QB!$B$3:$B$38,0))</f>
        <v>0</v>
      </c>
      <c r="F27" s="25" t="str">
        <f ca="1">INDEX(QB!$AA$3:$AA$38,MATCH(A27,QB!$B$3:$B$38,0))</f>
        <v>QB6</v>
      </c>
      <c r="G27" s="39">
        <f ca="1">IF(D27="",IFERROR(E27/(SUMIFS($E$5:$E$34,$E$5:$E$34,"&gt;0",$D$5:$D$34,"")),1),0)</f>
        <v>0</v>
      </c>
      <c r="H27" s="31">
        <f ca="1">IF(LeagueInfo!$H$7="Starter/Bench",INDEX(QB!$T$3:$T$38,MATCH(A27,QB!$B$3:$B$38,0))*InflationPct,INDEX(QB!$AB$3:$AB$38,MATCH(A27,QB!$B$3:$B$38,0))*InflationPct)</f>
        <v>0</v>
      </c>
      <c r="I27" s="23"/>
      <c r="J27" s="47" t="s">
        <v>665</v>
      </c>
      <c r="K27" s="56" t="str">
        <f>INDEX('RB'!$F$3:$F$138,MATCH(J27,'RB'!$B$3:$B$138,0))</f>
        <v>NE</v>
      </c>
      <c r="L27" s="48">
        <f>INDEX('RB'!$E$3:$E$138,MATCH(J27,'RB'!$B$3:$B$138,0))</f>
        <v>10</v>
      </c>
      <c r="M27" s="182" t="str">
        <f>IF(INDEX(Auction!$H$13:$H$656,MATCH(J27,Auction!$A$13:$A$656,0))&gt;0,"x","")</f>
        <v/>
      </c>
      <c r="N27" s="43">
        <f ca="1">INDEX('RB'!Z$3:Z$138,MATCH(J27,'RB'!$B$3:$B$138,0))</f>
        <v>57.564999999999962</v>
      </c>
      <c r="O27" s="43" t="str">
        <f ca="1">INDEX('RB'!AA$3:AA$138,MATCH(J27,'RB'!$B$3:$B$138,0))</f>
        <v>RB6</v>
      </c>
      <c r="P27" s="49">
        <f ca="1">IF(M27="",IFERROR(N27/(SUMIFS($N$5:$N$64,$N$5:$N$64,"&gt;0",$M$5:$M$64,"")),1),0)</f>
        <v>1.8309449253420398E-2</v>
      </c>
      <c r="Q27" s="50">
        <f ca="1">IF(LeagueInfo!$H$7="Starter/Bench",INDEX('RB'!$T$3:$T$138,MATCH(J27,'RB'!$B$3:$B$138,0))*InflationPct,INDEX('RB'!$AB$3:$AB$138,MATCH(J27,'RB'!$B$3:$B$138,0))*InflationPct)</f>
        <v>21.040513566673546</v>
      </c>
      <c r="S27" s="24" t="s">
        <v>103</v>
      </c>
      <c r="T27" s="58" t="str">
        <f>INDEX(WR!$F$1:$F$183,MATCH(S27,WR!$B$1:$B$183,0))</f>
        <v>NO</v>
      </c>
      <c r="U27" s="29">
        <f>INDEX(WR!$E$1:$E$183,MATCH(S27,WR!$B$1:$B$183,0))</f>
        <v>14</v>
      </c>
      <c r="V27" s="184" t="str">
        <f>IF(INDEX(Auction!$H$13:$H$656,MATCH(S27,Auction!$A$13:$A$656,0))&gt;0,"x","")</f>
        <v/>
      </c>
      <c r="W27" s="25">
        <f ca="1">INDEX(WR!Z$3:Z$183,MATCH(S27,WR!$B$3:$B$183,0))</f>
        <v>33.310000000000016</v>
      </c>
      <c r="X27" s="25" t="str">
        <f ca="1">INDEX(WR!AA$3:AA$183,MATCH(S27,WR!$B$3:$B$183,0))</f>
        <v>WR7</v>
      </c>
      <c r="Y27" s="38">
        <f ca="1">IF(V27="",IFERROR(W27/(SUMIFS($W$5:$W$64,$W$5:$W$64,"&gt;0",$V$5:$V$64,"")),1),0)</f>
        <v>1.6873982102738286E-2</v>
      </c>
      <c r="Z27" s="31">
        <f ca="1">IF(LeagueInfo!$H$7="Starter/Bench",INDEX(WR!$T$3:$T$183,MATCH(S27,WR!$B$3:$B$183,0))*InflationPct,INDEX(WR!$AB$3:$AB$183,MATCH(S27,WR!$B$3:$B$183,0))*InflationPct)</f>
        <v>12.204571127383026</v>
      </c>
      <c r="AB27" s="24">
        <f t="shared" ca="1" si="1"/>
        <v>23</v>
      </c>
      <c r="AC27" s="107" t="str">
        <f t="shared" ca="1" si="2"/>
        <v>Patrick Mahomes II</v>
      </c>
      <c r="AD27" s="107" t="str">
        <f t="shared" ca="1" si="3"/>
        <v>QB</v>
      </c>
      <c r="AE27" s="110">
        <f ca="1">LARGE(($E$5:$E$34,$E$37:$E$64,$N$5:$N$64,$W$5:$W$64),ROW(AE27)-4)</f>
        <v>85.688999999999965</v>
      </c>
    </row>
    <row r="28" spans="1:31" x14ac:dyDescent="0.25">
      <c r="A28" s="24" t="s">
        <v>203</v>
      </c>
      <c r="B28" s="60" t="str">
        <f>INDEX(QB!F$3:F$38,MATCH(A28,QB!B$3:B$38,0))</f>
        <v>WAS</v>
      </c>
      <c r="C28" s="29">
        <f>INDEX(QB!E$3:E$38,MATCH(A28,QB!B$3:B$38,0))</f>
        <v>14</v>
      </c>
      <c r="D28" s="181" t="str">
        <f>IF(INDEX(Auction!$H$13:$H$656,MATCH(A28,Auction!$A$13:$A$656,0))&gt;0,"x","")</f>
        <v/>
      </c>
      <c r="E28" s="25">
        <f ca="1">INDEX(QB!$Z$3:$Z$38,MATCH(A28,QB!$B$3:$B$38,0))</f>
        <v>-2.7339999999999804</v>
      </c>
      <c r="F28" s="25" t="str">
        <f ca="1">INDEX(QB!$AA$3:$AA$38,MATCH(A28,QB!$B$3:$B$38,0))</f>
        <v>QB6</v>
      </c>
      <c r="G28" s="39">
        <f ca="1">IF(D28="",IFERROR(E28/(SUMIFS($E$5:$E$34,$E$5:$E$34,"&gt;0",$D$5:$D$34,"")),1),0)</f>
        <v>-3.4932913218414774E-3</v>
      </c>
      <c r="H28" s="31">
        <f ca="1">IF(LeagueInfo!$H$7="Starter/Bench",INDEX(QB!$T$3:$T$38,MATCH(A28,QB!$B$3:$B$38,0))*InflationPct,INDEX(QB!$AB$3:$AB$38,MATCH(A28,QB!$B$3:$B$38,0))*InflationPct)</f>
        <v>-0.99144082181296556</v>
      </c>
      <c r="I28" s="18"/>
      <c r="J28" s="47" t="s">
        <v>663</v>
      </c>
      <c r="K28" s="56" t="str">
        <f>INDEX('RB'!$F$3:$F$138,MATCH(J28,'RB'!$B$3:$B$138,0))</f>
        <v>PHI</v>
      </c>
      <c r="L28" s="48">
        <f>INDEX('RB'!$E$3:$E$138,MATCH(J28,'RB'!$B$3:$B$138,0))</f>
        <v>7</v>
      </c>
      <c r="M28" s="182" t="str">
        <f>IF(INDEX(Auction!$H$13:$H$656,MATCH(J28,Auction!$A$13:$A$656,0))&gt;0,"x","")</f>
        <v/>
      </c>
      <c r="N28" s="43">
        <f ca="1">INDEX('RB'!Z$3:Z$138,MATCH(J28,'RB'!$B$3:$B$138,0))</f>
        <v>52.184999999999995</v>
      </c>
      <c r="O28" s="43" t="str">
        <f ca="1">INDEX('RB'!AA$3:AA$138,MATCH(J28,'RB'!$B$3:$B$138,0))</f>
        <v>RB7</v>
      </c>
      <c r="P28" s="49">
        <f ca="1">IF(M28="",IFERROR(N28/(SUMIFS($N$5:$N$64,$N$5:$N$64,"&gt;0",$M$5:$M$64,"")),1),0)</f>
        <v>1.659825604603047E-2</v>
      </c>
      <c r="Q28" s="50">
        <f ca="1">IF(LeagueInfo!$H$7="Starter/Bench",INDEX('RB'!$T$3:$T$138,MATCH(J28,'RB'!$B$3:$B$138,0))*InflationPct,INDEX('RB'!$AB$3:$AB$138,MATCH(J28,'RB'!$B$3:$B$138,0))*InflationPct)</f>
        <v>19.028010699230073</v>
      </c>
      <c r="S28" s="24" t="s">
        <v>700</v>
      </c>
      <c r="T28" s="58" t="str">
        <f>INDEX(WR!$F$1:$F$183,MATCH(S28,WR!$B$1:$B$183,0))</f>
        <v>ARI</v>
      </c>
      <c r="U28" s="29">
        <f>INDEX(WR!$E$1:$E$183,MATCH(S28,WR!$B$1:$B$183,0))</f>
        <v>13</v>
      </c>
      <c r="V28" s="184" t="str">
        <f>IF(INDEX(Auction!$H$13:$H$656,MATCH(S28,Auction!$A$13:$A$656,0))&gt;0,"x","")</f>
        <v/>
      </c>
      <c r="W28" s="25">
        <f ca="1">INDEX(WR!Z$3:Z$183,MATCH(S28,WR!$B$3:$B$183,0))</f>
        <v>30.120000000000047</v>
      </c>
      <c r="X28" s="25" t="str">
        <f ca="1">INDEX(WR!AA$3:AA$183,MATCH(S28,WR!$B$3:$B$183,0))</f>
        <v>WR7</v>
      </c>
      <c r="Y28" s="38">
        <f ca="1">IF(V28="",IFERROR(W28/(SUMIFS($W$5:$W$64,$W$5:$W$64,"&gt;0",$V$5:$V$64,"")),1),0)</f>
        <v>1.5258010835619265E-2</v>
      </c>
      <c r="Z28" s="31">
        <f ca="1">IF(LeagueInfo!$H$7="Starter/Bench",INDEX(WR!$T$3:$T$183,MATCH(S28,WR!$B$3:$B$183,0))*InflationPct,INDEX(WR!$AB$3:$AB$183,MATCH(S28,WR!$B$3:$B$183,0))*InflationPct)</f>
        <v>11.011284111185136</v>
      </c>
      <c r="AB28" s="24">
        <f t="shared" ca="1" si="1"/>
        <v>24</v>
      </c>
      <c r="AC28" s="107" t="str">
        <f t="shared" ca="1" si="2"/>
        <v>Nick Chubb</v>
      </c>
      <c r="AD28" s="107" t="str">
        <f t="shared" ca="1" si="3"/>
        <v>RB</v>
      </c>
      <c r="AE28" s="110">
        <f ca="1">LARGE(($E$5:$E$34,$E$37:$E$64,$N$5:$N$64,$W$5:$W$64),ROW(AE28)-4)</f>
        <v>84.39500000000001</v>
      </c>
    </row>
    <row r="29" spans="1:31" x14ac:dyDescent="0.25">
      <c r="A29" s="24" t="s">
        <v>302</v>
      </c>
      <c r="B29" s="60" t="str">
        <f>INDEX(QB!F$3:F$38,MATCH(A29,QB!B$3:B$38,0))</f>
        <v>DET</v>
      </c>
      <c r="C29" s="29">
        <f>INDEX(QB!E$3:E$38,MATCH(A29,QB!B$3:B$38,0))</f>
        <v>6</v>
      </c>
      <c r="D29" s="181" t="str">
        <f>IF(INDEX(Auction!$H$13:$H$656,MATCH(A29,Auction!$A$13:$A$656,0))&gt;0,"x","")</f>
        <v/>
      </c>
      <c r="E29" s="25">
        <f ca="1">INDEX(QB!$Z$3:$Z$38,MATCH(A29,QB!$B$3:$B$38,0))</f>
        <v>-4.2719999999999771</v>
      </c>
      <c r="F29" s="25" t="str">
        <f ca="1">INDEX(QB!$AA$3:$AA$38,MATCH(A29,QB!$B$3:$B$38,0))</f>
        <v>QB6</v>
      </c>
      <c r="G29" s="39">
        <f ca="1">IF(D29="",IFERROR(E29/(SUMIFS($E$5:$E$34,$E$5:$E$34,"&gt;0",$D$5:$D$34,"")),1),0)</f>
        <v>-5.4584274055986901E-3</v>
      </c>
      <c r="H29" s="31">
        <f ca="1">IF(LeagueInfo!$H$7="Starter/Bench",INDEX(QB!$T$3:$T$38,MATCH(A29,QB!$B$3:$B$38,0))*InflationPct,INDEX(QB!$AB$3:$AB$38,MATCH(A29,QB!$B$3:$B$38,0))*InflationPct)</f>
        <v>-1.5491716133083382</v>
      </c>
      <c r="I29" s="18"/>
      <c r="J29" s="47" t="s">
        <v>848</v>
      </c>
      <c r="K29" s="56" t="str">
        <f>INDEX('RB'!$F$3:$F$138,MATCH(J29,'RB'!$B$3:$B$138,0))</f>
        <v>WAS</v>
      </c>
      <c r="L29" s="48">
        <f>INDEX('RB'!$E$3:$E$138,MATCH(J29,'RB'!$B$3:$B$138,0))</f>
        <v>14</v>
      </c>
      <c r="M29" s="182" t="str">
        <f>IF(INDEX(Auction!$H$13:$H$656,MATCH(J29,Auction!$A$13:$A$656,0))&gt;0,"x","")</f>
        <v/>
      </c>
      <c r="N29" s="43">
        <f ca="1">INDEX('RB'!Z$3:Z$138,MATCH(J29,'RB'!$B$3:$B$138,0))</f>
        <v>49.515000000000036</v>
      </c>
      <c r="O29" s="43" t="str">
        <f ca="1">INDEX('RB'!AA$3:AA$138,MATCH(J29,'RB'!$B$3:$B$138,0))</f>
        <v>RB7</v>
      </c>
      <c r="P29" s="49">
        <f ca="1">IF(M29="",IFERROR(N29/(SUMIFS($N$5:$N$64,$N$5:$N$64,"&gt;0",$M$5:$M$64,"")),1),0)</f>
        <v>1.5749020755374141E-2</v>
      </c>
      <c r="Q29" s="50">
        <f ca="1">IF(LeagueInfo!$H$7="Starter/Bench",INDEX('RB'!$T$3:$T$138,MATCH(J29,'RB'!$B$3:$B$138,0))*InflationPct,INDEX('RB'!$AB$3:$AB$138,MATCH(J29,'RB'!$B$3:$B$138,0))*InflationPct)</f>
        <v>18.029240688807391</v>
      </c>
      <c r="S29" s="24" t="s">
        <v>565</v>
      </c>
      <c r="T29" s="58" t="str">
        <f>INDEX(WR!$F$1:$F$183,MATCH(S29,WR!$B$1:$B$183,0))</f>
        <v>DEN</v>
      </c>
      <c r="U29" s="29">
        <f>INDEX(WR!$E$1:$E$183,MATCH(S29,WR!$B$1:$B$183,0))</f>
        <v>9</v>
      </c>
      <c r="V29" s="184" t="str">
        <f>IF(INDEX(Auction!$H$13:$H$656,MATCH(S29,Auction!$A$13:$A$656,0))&gt;0,"x","")</f>
        <v/>
      </c>
      <c r="W29" s="25">
        <f ca="1">INDEX(WR!Z$3:Z$183,MATCH(S29,WR!$B$3:$B$183,0))</f>
        <v>29.710000000000022</v>
      </c>
      <c r="X29" s="25" t="str">
        <f ca="1">INDEX(WR!AA$3:AA$183,MATCH(S29,WR!$B$3:$B$183,0))</f>
        <v>WR7</v>
      </c>
      <c r="Y29" s="38">
        <f ca="1">IF(V29="",IFERROR(W29/(SUMIFS($W$5:$W$64,$W$5:$W$64,"&gt;0",$V$5:$V$64,"")),1),0)</f>
        <v>1.5050315468998937E-2</v>
      </c>
      <c r="Z29" s="31">
        <f ca="1">IF(LeagueInfo!$H$7="Starter/Bench",INDEX(WR!$T$3:$T$183,MATCH(S29,WR!$B$3:$B$183,0))*InflationPct,INDEX(WR!$AB$3:$AB$183,MATCH(S29,WR!$B$3:$B$183,0))*InflationPct)</f>
        <v>10.857914933554675</v>
      </c>
      <c r="AB29" s="24">
        <f t="shared" ca="1" si="1"/>
        <v>25</v>
      </c>
      <c r="AC29" s="107" t="str">
        <f t="shared" ca="1" si="2"/>
        <v>Stefon Diggs</v>
      </c>
      <c r="AD29" s="107" t="str">
        <f t="shared" ca="1" si="3"/>
        <v>WR</v>
      </c>
      <c r="AE29" s="110">
        <f ca="1">LARGE(($E$5:$E$34,$E$37:$E$64,$N$5:$N$64,$W$5:$W$64),ROW(AE29)-4)</f>
        <v>82.850000000000037</v>
      </c>
    </row>
    <row r="30" spans="1:31" x14ac:dyDescent="0.25">
      <c r="A30" s="24" t="s">
        <v>533</v>
      </c>
      <c r="B30" s="60" t="str">
        <f>INDEX(QB!F$3:F$38,MATCH(A30,QB!B$3:B$38,0))</f>
        <v>CAR</v>
      </c>
      <c r="C30" s="29">
        <f>INDEX(QB!E$3:E$38,MATCH(A30,QB!B$3:B$38,0))</f>
        <v>13</v>
      </c>
      <c r="D30" s="181" t="str">
        <f>IF(INDEX(Auction!$H$13:$H$656,MATCH(A30,Auction!$A$13:$A$656,0))&gt;0,"x","")</f>
        <v/>
      </c>
      <c r="E30" s="25">
        <f ca="1">INDEX(QB!$Z$3:$Z$38,MATCH(A30,QB!$B$3:$B$38,0))</f>
        <v>-8.826999999999984</v>
      </c>
      <c r="F30" s="25" t="str">
        <f ca="1">INDEX(QB!$AA$3:$AA$38,MATCH(A30,QB!$B$3:$B$38,0))</f>
        <v>QB6</v>
      </c>
      <c r="G30" s="39">
        <f ca="1">IF(D30="",IFERROR(E30/(SUMIFS($E$5:$E$34,$E$5:$E$34,"&gt;0",$D$5:$D$34,"")),1),0)</f>
        <v>-1.1278450072382915E-2</v>
      </c>
      <c r="H30" s="31">
        <f ca="1">IF(LeagueInfo!$H$7="Starter/Bench",INDEX(QB!$T$3:$T$38,MATCH(A30,QB!$B$3:$B$38,0))*InflationPct,INDEX(QB!$AB$3:$AB$38,MATCH(A30,QB!$B$3:$B$38,0))*InflationPct)</f>
        <v>-3.2009685933222727</v>
      </c>
      <c r="I30" s="18"/>
      <c r="J30" s="47" t="s">
        <v>898</v>
      </c>
      <c r="K30" s="56" t="str">
        <f>INDEX('RB'!$F$3:$F$138,MATCH(J30,'RB'!$B$3:$B$138,0))</f>
        <v>GB</v>
      </c>
      <c r="L30" s="48">
        <f>INDEX('RB'!$E$3:$E$138,MATCH(J30,'RB'!$B$3:$B$138,0))</f>
        <v>14</v>
      </c>
      <c r="M30" s="182" t="str">
        <f>IF(INDEX(Auction!$H$13:$H$656,MATCH(J30,Auction!$A$13:$A$656,0))&gt;0,"x","")</f>
        <v/>
      </c>
      <c r="N30" s="43">
        <f ca="1">INDEX('RB'!Z$3:Z$138,MATCH(J30,'RB'!$B$3:$B$138,0))</f>
        <v>45.385000000000012</v>
      </c>
      <c r="O30" s="43" t="str">
        <f ca="1">INDEX('RB'!AA$3:AA$138,MATCH(J30,'RB'!$B$3:$B$138,0))</f>
        <v>RB7</v>
      </c>
      <c r="P30" s="49">
        <f ca="1">IF(M30="",IFERROR(N30/(SUMIFS($N$5:$N$64,$N$5:$N$64,"&gt;0",$M$5:$M$64,"")),1),0)</f>
        <v>1.4435409612898213E-2</v>
      </c>
      <c r="Q30" s="50">
        <f ca="1">IF(LeagueInfo!$H$7="Starter/Bench",INDEX('RB'!$T$3:$T$138,MATCH(J30,'RB'!$B$3:$B$138,0))*InflationPct,INDEX('RB'!$AB$3:$AB$138,MATCH(J30,'RB'!$B$3:$B$138,0))*InflationPct)</f>
        <v>16.484326777554298</v>
      </c>
      <c r="S30" s="24" t="s">
        <v>859</v>
      </c>
      <c r="T30" s="58" t="str">
        <f>INDEX(WR!$F$1:$F$183,MATCH(S30,WR!$B$1:$B$183,0))</f>
        <v>CHI</v>
      </c>
      <c r="U30" s="29">
        <f>INDEX(WR!$E$1:$E$183,MATCH(S30,WR!$B$1:$B$183,0))</f>
        <v>14</v>
      </c>
      <c r="V30" s="184" t="str">
        <f>IF(INDEX(Auction!$H$13:$H$656,MATCH(S30,Auction!$A$13:$A$656,0))&gt;0,"x","")</f>
        <v/>
      </c>
      <c r="W30" s="25">
        <f ca="1">INDEX(WR!Z$3:Z$183,MATCH(S30,WR!$B$3:$B$183,0))</f>
        <v>28.340000000000018</v>
      </c>
      <c r="X30" s="25" t="str">
        <f ca="1">INDEX(WR!AA$3:AA$183,MATCH(S30,WR!$B$3:$B$183,0))</f>
        <v>WR7</v>
      </c>
      <c r="Y30" s="38">
        <f ca="1">IF(V30="",IFERROR(W30/(SUMIFS($W$5:$W$64,$W$5:$W$64,"&gt;0",$V$5:$V$64,"")),1),0)</f>
        <v>1.4356309000048126E-2</v>
      </c>
      <c r="Z30" s="31">
        <f ca="1">IF(LeagueInfo!$H$7="Starter/Bench",INDEX(WR!$T$3:$T$183,MATCH(S30,WR!$B$3:$B$183,0))*InflationPct,INDEX(WR!$AB$3:$AB$183,MATCH(S30,WR!$B$3:$B$183,0))*InflationPct)</f>
        <v>10.345437437569993</v>
      </c>
      <c r="AB30" s="24">
        <f t="shared" ca="1" si="1"/>
        <v>26</v>
      </c>
      <c r="AC30" s="107" t="str">
        <f t="shared" ca="1" si="2"/>
        <v>David Montgomery</v>
      </c>
      <c r="AD30" s="107" t="str">
        <f t="shared" ca="1" si="3"/>
        <v>RB</v>
      </c>
      <c r="AE30" s="110">
        <f ca="1">LARGE(($E$5:$E$34,$E$37:$E$64,$N$5:$N$64,$W$5:$W$64),ROW(AE30)-4)</f>
        <v>79.824999999999989</v>
      </c>
    </row>
    <row r="31" spans="1:31" x14ac:dyDescent="0.25">
      <c r="A31" s="24" t="s">
        <v>920</v>
      </c>
      <c r="B31" s="60" t="str">
        <f>INDEX(QB!F$3:F$38,MATCH(A31,QB!B$3:B$38,0))</f>
        <v>HOU</v>
      </c>
      <c r="C31" s="29">
        <f>INDEX(QB!E$3:E$38,MATCH(A31,QB!B$3:B$38,0))</f>
        <v>6</v>
      </c>
      <c r="D31" s="181" t="str">
        <f>IF(INDEX(Auction!$H$13:$H$656,MATCH(A31,Auction!$A$13:$A$656,0))&gt;0,"x","")</f>
        <v/>
      </c>
      <c r="E31" s="25">
        <f ca="1">INDEX(QB!$Z$3:$Z$38,MATCH(A31,QB!$B$3:$B$38,0))</f>
        <v>-13.815999999999974</v>
      </c>
      <c r="F31" s="25" t="str">
        <f ca="1">INDEX(QB!$AA$3:$AA$38,MATCH(A31,QB!$B$3:$B$38,0))</f>
        <v>QB6</v>
      </c>
      <c r="G31" s="39">
        <f ca="1">IF(D31="",IFERROR(E31/(SUMIFS($E$5:$E$34,$E$5:$E$34,"&gt;0",$D$5:$D$34,"")),1),0)</f>
        <v>-1.765300398776961E-2</v>
      </c>
      <c r="H31" s="31">
        <f ca="1">IF(LeagueInfo!$H$7="Starter/Bench",INDEX(QB!$T$3:$T$38,MATCH(A31,QB!$B$3:$B$38,0))*InflationPct,INDEX(QB!$AB$3:$AB$38,MATCH(A31,QB!$B$3:$B$38,0))*InflationPct)</f>
        <v>-5.0101486445384067</v>
      </c>
      <c r="I31" s="23"/>
      <c r="J31" s="47" t="s">
        <v>670</v>
      </c>
      <c r="K31" s="56" t="str">
        <f>INDEX('RB'!$F$3:$F$138,MATCH(J31,'RB'!$B$3:$B$138,0))</f>
        <v>DAL</v>
      </c>
      <c r="L31" s="48">
        <f>INDEX('RB'!$E$3:$E$138,MATCH(J31,'RB'!$B$3:$B$138,0))</f>
        <v>9</v>
      </c>
      <c r="M31" s="182" t="str">
        <f>IF(INDEX(Auction!$H$13:$H$656,MATCH(J31,Auction!$A$13:$A$656,0))&gt;0,"x","")</f>
        <v/>
      </c>
      <c r="N31" s="43">
        <f ca="1">INDEX('RB'!Z$3:Z$138,MATCH(J31,'RB'!$B$3:$B$138,0))</f>
        <v>44.425000000000004</v>
      </c>
      <c r="O31" s="43" t="str">
        <f ca="1">INDEX('RB'!AA$3:AA$138,MATCH(J31,'RB'!$B$3:$B$138,0))</f>
        <v>RB7</v>
      </c>
      <c r="P31" s="49">
        <f ca="1">IF(M31="",IFERROR(N31/(SUMIFS($N$5:$N$64,$N$5:$N$64,"&gt;0",$M$5:$M$64,"")),1),0)</f>
        <v>1.4130066587044243E-2</v>
      </c>
      <c r="Q31" s="50">
        <f ca="1">IF(LeagueInfo!$H$7="Starter/Bench",INDEX('RB'!$T$3:$T$138,MATCH(J31,'RB'!$B$3:$B$138,0))*InflationPct,INDEX('RB'!$AB$3:$AB$138,MATCH(J31,'RB'!$B$3:$B$138,0))*InflationPct)</f>
        <v>16.125218459200067</v>
      </c>
      <c r="S31" s="24" t="s">
        <v>834</v>
      </c>
      <c r="T31" s="58" t="str">
        <f>INDEX(WR!$F$1:$F$183,MATCH(S31,WR!$B$1:$B$183,0))</f>
        <v>DEN</v>
      </c>
      <c r="U31" s="29">
        <f>INDEX(WR!$E$1:$E$183,MATCH(S31,WR!$B$1:$B$183,0))</f>
        <v>9</v>
      </c>
      <c r="V31" s="184" t="str">
        <f>IF(INDEX(Auction!$H$13:$H$656,MATCH(S31,Auction!$A$13:$A$656,0))&gt;0,"x","")</f>
        <v/>
      </c>
      <c r="W31" s="25">
        <f ca="1">INDEX(WR!Z$3:Z$183,MATCH(S31,WR!$B$3:$B$183,0))</f>
        <v>28.290000000000006</v>
      </c>
      <c r="X31" s="25" t="str">
        <f ca="1">INDEX(WR!AA$3:AA$183,MATCH(S31,WR!$B$3:$B$183,0))</f>
        <v>WR7</v>
      </c>
      <c r="Y31" s="38">
        <f ca="1">IF(V31="",IFERROR(W31/(SUMIFS($W$5:$W$64,$W$5:$W$64,"&gt;0",$V$5:$V$64,"")),1),0)</f>
        <v>1.4330980296801741E-2</v>
      </c>
      <c r="Z31" s="31">
        <f ca="1">IF(LeagueInfo!$H$7="Starter/Bench",INDEX(WR!$T$3:$T$183,MATCH(S31,WR!$B$3:$B$183,0))*InflationPct,INDEX(WR!$AB$3:$AB$183,MATCH(S31,WR!$B$3:$B$183,0))*InflationPct)</f>
        <v>10.326733879322372</v>
      </c>
      <c r="AB31" s="24">
        <f t="shared" ca="1" si="1"/>
        <v>27</v>
      </c>
      <c r="AC31" s="107" t="str">
        <f t="shared" ca="1" si="2"/>
        <v>CeeDee Lamb</v>
      </c>
      <c r="AD31" s="107" t="str">
        <f t="shared" ca="1" si="3"/>
        <v>WR</v>
      </c>
      <c r="AE31" s="110">
        <f ca="1">LARGE(($E$5:$E$34,$E$37:$E$64,$N$5:$N$64,$W$5:$W$64),ROW(AE31)-4)</f>
        <v>72.960000000000022</v>
      </c>
    </row>
    <row r="32" spans="1:31" x14ac:dyDescent="0.25">
      <c r="A32" s="24" t="s">
        <v>916</v>
      </c>
      <c r="B32" s="60" t="str">
        <f>INDEX(QB!F$3:F$38,MATCH(A32,QB!B$3:B$38,0))</f>
        <v>NYJ</v>
      </c>
      <c r="C32" s="29">
        <f>INDEX(QB!E$3:E$38,MATCH(A32,QB!B$3:B$38,0))</f>
        <v>10</v>
      </c>
      <c r="D32" s="181" t="str">
        <f>IF(INDEX(Auction!$H$13:$H$656,MATCH(A32,Auction!$A$13:$A$656,0))&gt;0,"x","")</f>
        <v/>
      </c>
      <c r="E32" s="25">
        <f ca="1">INDEX(QB!$Z$3:$Z$38,MATCH(A32,QB!$B$3:$B$38,0))</f>
        <v>-18.589999999999975</v>
      </c>
      <c r="F32" s="25" t="str">
        <f ca="1">INDEX(QB!$AA$3:$AA$38,MATCH(A32,QB!$B$3:$B$38,0))</f>
        <v>QB6</v>
      </c>
      <c r="G32" s="39">
        <f ca="1">IF(D32="",IFERROR(E32/(SUMIFS($E$5:$E$34,$E$5:$E$34,"&gt;0",$D$5:$D$34,"")),1),0)</f>
        <v>-2.3752847722397018E-2</v>
      </c>
      <c r="H32" s="31">
        <f ca="1">IF(LeagueInfo!$H$7="Starter/Bench",INDEX(QB!$T$3:$T$38,MATCH(A32,QB!$B$3:$B$38,0))*InflationPct,INDEX(QB!$AB$3:$AB$38,MATCH(A32,QB!$B$3:$B$38,0))*InflationPct)</f>
        <v>-6.7413624277626685</v>
      </c>
      <c r="I32" s="23"/>
      <c r="J32" s="47" t="s">
        <v>2447</v>
      </c>
      <c r="K32" s="56" t="str">
        <f>INDEX('RB'!$F$3:$F$138,MATCH(J32,'RB'!$B$3:$B$138,0))</f>
        <v>HOU</v>
      </c>
      <c r="L32" s="48">
        <f>INDEX('RB'!$E$3:$E$138,MATCH(J32,'RB'!$B$3:$B$138,0))</f>
        <v>6</v>
      </c>
      <c r="M32" s="182" t="str">
        <f>IF(INDEX(Auction!$H$13:$H$656,MATCH(J32,Auction!$A$13:$A$656,0))&gt;0,"x","")</f>
        <v/>
      </c>
      <c r="N32" s="43">
        <f ca="1">INDEX('RB'!Z$3:Z$138,MATCH(J32,'RB'!$B$3:$B$138,0))</f>
        <v>43.895000000000032</v>
      </c>
      <c r="O32" s="43" t="str">
        <f ca="1">INDEX('RB'!AA$3:AA$138,MATCH(J32,'RB'!$B$3:$B$138,0))</f>
        <v>RB7</v>
      </c>
      <c r="P32" s="49">
        <f ca="1">IF(M32="",IFERROR(N32/(SUMIFS($N$5:$N$64,$N$5:$N$64,"&gt;0",$M$5:$M$64,"")),1),0)</f>
        <v>1.3961491791520708E-2</v>
      </c>
      <c r="Q32" s="50">
        <f ca="1">IF(LeagueInfo!$H$7="Starter/Bench",INDEX('RB'!$T$3:$T$138,MATCH(J32,'RB'!$B$3:$B$138,0))*InflationPct,INDEX('RB'!$AB$3:$AB$138,MATCH(J32,'RB'!$B$3:$B$138,0))*InflationPct)</f>
        <v>15.926960741775348</v>
      </c>
      <c r="S32" s="24" t="s">
        <v>381</v>
      </c>
      <c r="T32" s="58" t="str">
        <f>INDEX(WR!$F$1:$F$183,MATCH(S32,WR!$B$1:$B$183,0))</f>
        <v>TB</v>
      </c>
      <c r="U32" s="29">
        <f>INDEX(WR!$E$1:$E$183,MATCH(S32,WR!$B$1:$B$183,0))</f>
        <v>11</v>
      </c>
      <c r="V32" s="184" t="str">
        <f>IF(INDEX(Auction!$H$13:$H$656,MATCH(S32,Auction!$A$13:$A$656,0))&gt;0,"x","")</f>
        <v/>
      </c>
      <c r="W32" s="25">
        <f ca="1">INDEX(WR!Z$3:Z$183,MATCH(S32,WR!$B$3:$B$183,0))</f>
        <v>27.470000000000013</v>
      </c>
      <c r="X32" s="25" t="str">
        <f ca="1">INDEX(WR!AA$3:AA$183,MATCH(S32,WR!$B$3:$B$183,0))</f>
        <v>WR7</v>
      </c>
      <c r="Y32" s="38">
        <f ca="1">IF(V32="",IFERROR(W32/(SUMIFS($W$5:$W$64,$W$5:$W$64,"&gt;0",$V$5:$V$64,"")),1),0)</f>
        <v>1.3915589563561113E-2</v>
      </c>
      <c r="Z32" s="31">
        <f ca="1">IF(LeagueInfo!$H$7="Starter/Bench",INDEX(WR!$T$3:$T$183,MATCH(S32,WR!$B$3:$B$183,0))*InflationPct,INDEX(WR!$AB$3:$AB$183,MATCH(S32,WR!$B$3:$B$183,0))*InflationPct)</f>
        <v>10.019995524061471</v>
      </c>
      <c r="AB32" s="24">
        <f t="shared" ca="1" si="1"/>
        <v>28</v>
      </c>
      <c r="AC32" s="107" t="str">
        <f t="shared" ca="1" si="2"/>
        <v>Tyreek Hill</v>
      </c>
      <c r="AD32" s="107" t="str">
        <f t="shared" ca="1" si="3"/>
        <v>WR</v>
      </c>
      <c r="AE32" s="110">
        <f ca="1">LARGE(($E$5:$E$34,$E$37:$E$64,$N$5:$N$64,$W$5:$W$64),ROW(AE32)-4)</f>
        <v>72.600000000000009</v>
      </c>
    </row>
    <row r="33" spans="1:31" x14ac:dyDescent="0.25">
      <c r="A33" s="24" t="s">
        <v>144</v>
      </c>
      <c r="B33" s="60" t="str">
        <f>INDEX(QB!F$3:F$38,MATCH(A33,QB!B$3:B$38,0))</f>
        <v>ATL</v>
      </c>
      <c r="C33" s="29">
        <f>INDEX(QB!E$3:E$38,MATCH(A33,QB!B$3:B$38,0))</f>
        <v>14</v>
      </c>
      <c r="D33" s="181" t="str">
        <f>IF(INDEX(Auction!$H$13:$H$656,MATCH(A33,Auction!$A$13:$A$656,0))&gt;0,"x","")</f>
        <v/>
      </c>
      <c r="E33" s="25">
        <f ca="1">INDEX(QB!$Z$3:$Z$38,MATCH(A33,QB!$B$3:$B$38,0))</f>
        <v>-23.127999999999972</v>
      </c>
      <c r="F33" s="25" t="str">
        <f ca="1">INDEX(QB!$AA$3:$AA$38,MATCH(A33,QB!$B$3:$B$38,0))</f>
        <v>QB7</v>
      </c>
      <c r="G33" s="39">
        <f ca="1">IF(D33="",IFERROR(E33/(SUMIFS($E$5:$E$34,$E$5:$E$34,"&gt;0",$D$5:$D$34,"")),1),0)</f>
        <v>-2.9551149119074679E-2</v>
      </c>
      <c r="H33" s="31">
        <f ca="1">IF(LeagueInfo!$H$7="Starter/Bench",INDEX(QB!$T$3:$T$38,MATCH(A33,QB!$B$3:$B$38,0))*InflationPct,INDEX(QB!$AB$3:$AB$38,MATCH(A33,QB!$B$3:$B$38,0))*InflationPct)</f>
        <v>-8.3869946330981726</v>
      </c>
      <c r="I33" s="23"/>
      <c r="J33" s="47" t="s">
        <v>878</v>
      </c>
      <c r="K33" s="56" t="str">
        <f>INDEX('RB'!$F$3:$F$138,MATCH(J33,'RB'!$B$3:$B$138,0))</f>
        <v>KC</v>
      </c>
      <c r="L33" s="48">
        <f>INDEX('RB'!$E$3:$E$138,MATCH(J33,'RB'!$B$3:$B$138,0))</f>
        <v>8</v>
      </c>
      <c r="M33" s="182" t="str">
        <f>IF(INDEX(Auction!$H$13:$H$656,MATCH(J33,Auction!$A$13:$A$656,0))&gt;0,"x","")</f>
        <v/>
      </c>
      <c r="N33" s="43">
        <f ca="1">INDEX('RB'!Z$3:Z$138,MATCH(J33,'RB'!$B$3:$B$138,0))</f>
        <v>43.094999999999992</v>
      </c>
      <c r="O33" s="43" t="str">
        <f ca="1">INDEX('RB'!AA$3:AA$138,MATCH(J33,'RB'!$B$3:$B$138,0))</f>
        <v>RB7</v>
      </c>
      <c r="P33" s="49">
        <f ca="1">IF(M33="",IFERROR(N33/(SUMIFS($N$5:$N$64,$N$5:$N$64,"&gt;0",$M$5:$M$64,"")),1),0)</f>
        <v>1.3707039269975723E-2</v>
      </c>
      <c r="Q33" s="50">
        <f ca="1">IF(LeagueInfo!$H$7="Starter/Bench",INDEX('RB'!$T$3:$T$138,MATCH(J33,'RB'!$B$3:$B$138,0))*InflationPct,INDEX('RB'!$AB$3:$AB$138,MATCH(J33,'RB'!$B$3:$B$138,0))*InflationPct)</f>
        <v>15.627703809813477</v>
      </c>
      <c r="S33" s="24" t="s">
        <v>213</v>
      </c>
      <c r="T33" s="58" t="str">
        <f>INDEX(WR!$F$1:$F$183,MATCH(S33,WR!$B$1:$B$183,0))</f>
        <v>SEA</v>
      </c>
      <c r="U33" s="29">
        <f>INDEX(WR!$E$1:$E$183,MATCH(S33,WR!$B$1:$B$183,0))</f>
        <v>11</v>
      </c>
      <c r="V33" s="184" t="str">
        <f>IF(INDEX(Auction!$H$13:$H$656,MATCH(S33,Auction!$A$13:$A$656,0))&gt;0,"x","")</f>
        <v/>
      </c>
      <c r="W33" s="25">
        <f ca="1">INDEX(WR!Z$3:Z$183,MATCH(S33,WR!$B$3:$B$183,0))</f>
        <v>23.500000000000014</v>
      </c>
      <c r="X33" s="25" t="str">
        <f ca="1">INDEX(WR!AA$3:AA$183,MATCH(S33,WR!$B$3:$B$183,0))</f>
        <v>WR7</v>
      </c>
      <c r="Y33" s="38">
        <f ca="1">IF(V33="",IFERROR(W33/(SUMIFS($W$5:$W$64,$W$5:$W$64,"&gt;0",$V$5:$V$64,"")),1),0)</f>
        <v>1.1904490525798552E-2</v>
      </c>
      <c r="Z33" s="31">
        <f ca="1">IF(LeagueInfo!$H$7="Starter/Bench",INDEX(WR!$T$3:$T$183,MATCH(S33,WR!$B$3:$B$183,0))*InflationPct,INDEX(WR!$AB$3:$AB$183,MATCH(S33,WR!$B$3:$B$183,0))*InflationPct)</f>
        <v>8.534932999200759</v>
      </c>
      <c r="AB33" s="24">
        <f t="shared" ca="1" si="1"/>
        <v>29</v>
      </c>
      <c r="AC33" s="107" t="str">
        <f t="shared" ca="1" si="2"/>
        <v>Ezekiel Elliott</v>
      </c>
      <c r="AD33" s="107" t="str">
        <f t="shared" ca="1" si="3"/>
        <v>RB</v>
      </c>
      <c r="AE33" s="110">
        <f ca="1">LARGE(($E$5:$E$34,$E$37:$E$64,$N$5:$N$64,$W$5:$W$64),ROW(AE33)-4)</f>
        <v>72.315000000000026</v>
      </c>
    </row>
    <row r="34" spans="1:31" ht="15.75" thickBot="1" x14ac:dyDescent="0.3">
      <c r="A34" s="24" t="s">
        <v>309</v>
      </c>
      <c r="B34" s="60" t="str">
        <f>INDEX(QB!F$3:F$38,MATCH(A34,QB!B$3:B$38,0))</f>
        <v>PIT</v>
      </c>
      <c r="C34" s="29">
        <f>INDEX(QB!E$3:E$38,MATCH(A34,QB!B$3:B$38,0))</f>
        <v>9</v>
      </c>
      <c r="D34" s="181" t="str">
        <f>IF(INDEX(Auction!$H$13:$H$656,MATCH(A34,Auction!$A$13:$A$656,0))&gt;0,"x","")</f>
        <v/>
      </c>
      <c r="E34" s="25">
        <f ca="1">INDEX(QB!$Z$3:$Z$38,MATCH(A34,QB!$B$3:$B$38,0))</f>
        <v>-34.759999999999977</v>
      </c>
      <c r="F34" s="25" t="str">
        <f ca="1">INDEX(QB!$AA$3:$AA$38,MATCH(A34,QB!$B$3:$B$38,0))</f>
        <v>QB7</v>
      </c>
      <c r="G34" s="39">
        <f ca="1">IF(D34="",IFERROR(E34/(SUMIFS($E$5:$E$34,$E$5:$E$34,"&gt;0",$D$5:$D$34,"")),1),0)</f>
        <v>-4.4413608759038242E-2</v>
      </c>
      <c r="H34" s="31">
        <f ca="1">IF(LeagueInfo!$H$7="Starter/Bench",INDEX(QB!$T$3:$T$38,MATCH(A34,QB!$B$3:$B$38,0))*InflationPct,INDEX(QB!$AB$3:$AB$38,MATCH(A34,QB!$B$3:$B$38,0))*InflationPct)</f>
        <v>-12.605151048360975</v>
      </c>
      <c r="I34" s="18"/>
      <c r="J34" s="47" t="s">
        <v>2443</v>
      </c>
      <c r="K34" s="56" t="str">
        <f>INDEX('RB'!$F$3:$F$138,MATCH(J34,'RB'!$B$3:$B$138,0))</f>
        <v>NYJ</v>
      </c>
      <c r="L34" s="48">
        <f>INDEX('RB'!$E$3:$E$138,MATCH(J34,'RB'!$B$3:$B$138,0))</f>
        <v>10</v>
      </c>
      <c r="M34" s="182" t="str">
        <f>IF(INDEX(Auction!$H$13:$H$656,MATCH(J34,Auction!$A$13:$A$656,0))&gt;0,"x","")</f>
        <v/>
      </c>
      <c r="N34" s="43">
        <f ca="1">INDEX('RB'!Z$3:Z$138,MATCH(J34,'RB'!$B$3:$B$138,0))</f>
        <v>42.699999999999996</v>
      </c>
      <c r="O34" s="43" t="str">
        <f ca="1">INDEX('RB'!AA$3:AA$138,MATCH(J34,'RB'!$B$3:$B$138,0))</f>
        <v>RB7</v>
      </c>
      <c r="P34" s="49">
        <f ca="1">IF(M34="",IFERROR(N34/(SUMIFS($N$5:$N$64,$N$5:$N$64,"&gt;0",$M$5:$M$64,"")),1),0)</f>
        <v>1.3581403337462893E-2</v>
      </c>
      <c r="Q34" s="50">
        <f ca="1">IF(LeagueInfo!$H$7="Starter/Bench",INDEX('RB'!$T$3:$T$138,MATCH(J34,'RB'!$B$3:$B$138,0))*InflationPct,INDEX('RB'!$AB$3:$AB$138,MATCH(J34,'RB'!$B$3:$B$138,0))*InflationPct)</f>
        <v>15.484463456991195</v>
      </c>
      <c r="S34" s="24" t="s">
        <v>950</v>
      </c>
      <c r="T34" s="58" t="str">
        <f>INDEX(WR!$F$1:$F$183,MATCH(S34,WR!$B$1:$B$183,0))</f>
        <v>NYJ</v>
      </c>
      <c r="U34" s="29">
        <f>INDEX(WR!$E$1:$E$183,MATCH(S34,WR!$B$1:$B$183,0))</f>
        <v>10</v>
      </c>
      <c r="V34" s="184" t="str">
        <f>IF(INDEX(Auction!$H$13:$H$656,MATCH(S34,Auction!$A$13:$A$656,0))&gt;0,"x","")</f>
        <v/>
      </c>
      <c r="W34" s="25">
        <f ca="1">INDEX(WR!Z$3:Z$183,MATCH(S34,WR!$B$3:$B$183,0))</f>
        <v>23.090000000000018</v>
      </c>
      <c r="X34" s="25" t="str">
        <f ca="1">INDEX(WR!AA$3:AA$183,MATCH(S34,WR!$B$3:$B$183,0))</f>
        <v>WR7</v>
      </c>
      <c r="Y34" s="38">
        <f ca="1">IF(V34="",IFERROR(W34/(SUMIFS($W$5:$W$64,$W$5:$W$64,"&gt;0",$V$5:$V$64,"")),1),0)</f>
        <v>1.1696795159178239E-2</v>
      </c>
      <c r="Z34" s="31">
        <f ca="1">IF(LeagueInfo!$H$7="Starter/Bench",INDEX(WR!$T$3:$T$183,MATCH(S34,WR!$B$3:$B$183,0))*InflationPct,INDEX(WR!$AB$3:$AB$183,MATCH(S34,WR!$B$3:$B$183,0))*InflationPct)</f>
        <v>8.3815638215703085</v>
      </c>
      <c r="AB34" s="24">
        <f t="shared" ca="1" si="1"/>
        <v>30</v>
      </c>
      <c r="AC34" s="107" t="str">
        <f t="shared" ca="1" si="2"/>
        <v>Justin Herbert</v>
      </c>
      <c r="AD34" s="107" t="str">
        <f t="shared" ca="1" si="3"/>
        <v>QB</v>
      </c>
      <c r="AE34" s="110">
        <f ca="1">LARGE(($E$5:$E$34,$E$37:$E$64,$N$5:$N$64,$W$5:$W$64),ROW(AE34)-4)</f>
        <v>68.688999999999965</v>
      </c>
    </row>
    <row r="35" spans="1:31" x14ac:dyDescent="0.25">
      <c r="A35" s="279" t="str">
        <f ca="1">CONCATENATE("TE - Positional Scarcity ",TEXT(TE!$Y$3,"0.00%"))</f>
        <v>TE - Positional Scarcity 100.00%</v>
      </c>
      <c r="B35" s="280"/>
      <c r="C35" s="280"/>
      <c r="D35" s="280"/>
      <c r="E35" s="280"/>
      <c r="F35" s="280"/>
      <c r="G35" s="280"/>
      <c r="H35" s="281"/>
      <c r="I35" s="23"/>
      <c r="J35" s="47" t="s">
        <v>668</v>
      </c>
      <c r="K35" s="56" t="str">
        <f>INDEX('RB'!$F$3:$F$138,MATCH(J35,'RB'!$B$3:$B$138,0))</f>
        <v>BUF</v>
      </c>
      <c r="L35" s="48">
        <f>INDEX('RB'!$E$3:$E$138,MATCH(J35,'RB'!$B$3:$B$138,0))</f>
        <v>7</v>
      </c>
      <c r="M35" s="182" t="str">
        <f>IF(INDEX(Auction!$H$13:$H$656,MATCH(J35,Auction!$A$13:$A$656,0))&gt;0,"x","")</f>
        <v/>
      </c>
      <c r="N35" s="43">
        <f ca="1">INDEX('RB'!Z$3:Z$138,MATCH(J35,'RB'!$B$3:$B$138,0))</f>
        <v>41.265000000000008</v>
      </c>
      <c r="O35" s="43" t="str">
        <f ca="1">INDEX('RB'!AA$3:AA$138,MATCH(J35,'RB'!$B$3:$B$138,0))</f>
        <v>RB7</v>
      </c>
      <c r="P35" s="49">
        <f ca="1">IF(M35="",IFERROR(N35/(SUMIFS($N$5:$N$64,$N$5:$N$64,"&gt;0",$M$5:$M$64,"")),1),0)</f>
        <v>1.3124979126941603E-2</v>
      </c>
      <c r="Q35" s="50">
        <f ca="1">IF(LeagueInfo!$H$7="Starter/Bench",INDEX('RB'!$T$3:$T$138,MATCH(J35,'RB'!$B$3:$B$138,0))*InflationPct,INDEX('RB'!$AB$3:$AB$138,MATCH(J35,'RB'!$B$3:$B$138,0))*InflationPct)</f>
        <v>14.964083947371003</v>
      </c>
      <c r="S35" s="24" t="s">
        <v>709</v>
      </c>
      <c r="T35" s="58" t="str">
        <f>INDEX(WR!$F$1:$F$183,MATCH(S35,WR!$B$1:$B$183,0))</f>
        <v>LV</v>
      </c>
      <c r="U35" s="29">
        <f>INDEX(WR!$E$1:$E$183,MATCH(S35,WR!$B$1:$B$183,0))</f>
        <v>6</v>
      </c>
      <c r="V35" s="184" t="str">
        <f>IF(INDEX(Auction!$H$13:$H$656,MATCH(S35,Auction!$A$13:$A$656,0))&gt;0,"x","")</f>
        <v/>
      </c>
      <c r="W35" s="25">
        <f ca="1">INDEX(WR!Z$3:Z$183,MATCH(S35,WR!$B$3:$B$183,0))</f>
        <v>22.36</v>
      </c>
      <c r="X35" s="25" t="str">
        <f ca="1">INDEX(WR!AA$3:AA$183,MATCH(S35,WR!$B$3:$B$183,0))</f>
        <v>WR7</v>
      </c>
      <c r="Y35" s="38">
        <f ca="1">IF(V35="",IFERROR(W35/(SUMIFS($W$5:$W$64,$W$5:$W$64,"&gt;0",$V$5:$V$64,"")),1),0)</f>
        <v>1.1326996091781083E-2</v>
      </c>
      <c r="Z35" s="31">
        <f ca="1">IF(LeagueInfo!$H$7="Starter/Bench",INDEX(WR!$T$3:$T$183,MATCH(S35,WR!$B$3:$B$183,0))*InflationPct,INDEX(WR!$AB$3:$AB$183,MATCH(S35,WR!$B$3:$B$183,0))*InflationPct)</f>
        <v>8.1084918711551079</v>
      </c>
      <c r="AB35" s="24">
        <f t="shared" ca="1" si="1"/>
        <v>31</v>
      </c>
      <c r="AC35" s="107" t="str">
        <f t="shared" ca="1" si="2"/>
        <v>Mike Evans</v>
      </c>
      <c r="AD35" s="107" t="str">
        <f t="shared" ca="1" si="3"/>
        <v>WR</v>
      </c>
      <c r="AE35" s="110">
        <f ca="1">LARGE(($E$5:$E$34,$E$37:$E$64,$N$5:$N$64,$W$5:$W$64),ROW(AE35)-4)</f>
        <v>68.000000000000014</v>
      </c>
    </row>
    <row r="36" spans="1:31" ht="15.75" thickBot="1" x14ac:dyDescent="0.3">
      <c r="A36" s="101" t="s">
        <v>512</v>
      </c>
      <c r="B36" s="102" t="s">
        <v>256</v>
      </c>
      <c r="C36" s="102" t="s">
        <v>255</v>
      </c>
      <c r="D36" s="102" t="s">
        <v>513</v>
      </c>
      <c r="E36" s="102" t="s">
        <v>14</v>
      </c>
      <c r="F36" s="102" t="s">
        <v>273</v>
      </c>
      <c r="G36" s="102" t="s">
        <v>514</v>
      </c>
      <c r="H36" s="103" t="s">
        <v>267</v>
      </c>
      <c r="I36" s="23"/>
      <c r="J36" s="47" t="s">
        <v>391</v>
      </c>
      <c r="K36" s="56" t="str">
        <f>INDEX('RB'!$F$3:$F$138,MATCH(J36,'RB'!$B$3:$B$138,0))</f>
        <v>ATL</v>
      </c>
      <c r="L36" s="48">
        <f>INDEX('RB'!$E$3:$E$138,MATCH(J36,'RB'!$B$3:$B$138,0))</f>
        <v>14</v>
      </c>
      <c r="M36" s="182" t="str">
        <f>IF(INDEX(Auction!$H$13:$H$656,MATCH(J36,Auction!$A$13:$A$656,0))&gt;0,"x","")</f>
        <v/>
      </c>
      <c r="N36" s="43">
        <f ca="1">INDEX('RB'!Z$3:Z$138,MATCH(J36,'RB'!$B$3:$B$138,0))</f>
        <v>40.684999999999995</v>
      </c>
      <c r="O36" s="43" t="str">
        <f ca="1">INDEX('RB'!AA$3:AA$138,MATCH(J36,'RB'!$B$3:$B$138,0))</f>
        <v>RB7</v>
      </c>
      <c r="P36" s="49">
        <f ca="1">IF(M36="",IFERROR(N36/(SUMIFS($N$5:$N$64,$N$5:$N$64,"&gt;0",$M$5:$M$64,"")),1),0)</f>
        <v>1.2940501048821494E-2</v>
      </c>
      <c r="Q36" s="50">
        <f ca="1">IF(LeagueInfo!$H$7="Starter/Bench",INDEX('RB'!$T$3:$T$138,MATCH(J36,'RB'!$B$3:$B$138,0))*InflationPct,INDEX('RB'!$AB$3:$AB$138,MATCH(J36,'RB'!$B$3:$B$138,0))*InflationPct)</f>
        <v>14.75375634069524</v>
      </c>
      <c r="S36" s="24" t="s">
        <v>384</v>
      </c>
      <c r="T36" s="58" t="str">
        <f>INDEX(WR!$F$1:$F$183,MATCH(S36,WR!$B$1:$B$183,0))</f>
        <v>KC</v>
      </c>
      <c r="U36" s="29">
        <f>INDEX(WR!$E$1:$E$183,MATCH(S36,WR!$B$1:$B$183,0))</f>
        <v>8</v>
      </c>
      <c r="V36" s="184" t="str">
        <f>IF(INDEX(Auction!$H$13:$H$656,MATCH(S36,Auction!$A$13:$A$656,0))&gt;0,"x","")</f>
        <v/>
      </c>
      <c r="W36" s="25">
        <f ca="1">INDEX(WR!Z$3:Z$183,MATCH(S36,WR!$B$3:$B$183,0))</f>
        <v>21.585000000000008</v>
      </c>
      <c r="X36" s="25" t="str">
        <f ca="1">INDEX(WR!AA$3:AA$183,MATCH(S36,WR!$B$3:$B$183,0))</f>
        <v>WR8</v>
      </c>
      <c r="Y36" s="38">
        <f ca="1">IF(V36="",IFERROR(W36/(SUMIFS($W$5:$W$64,$W$5:$W$64,"&gt;0",$V$5:$V$64,"")),1),0)</f>
        <v>1.09344011914622E-2</v>
      </c>
      <c r="Z36" s="31">
        <f ca="1">IF(LeagueInfo!$H$7="Starter/Bench",INDEX(WR!$T$3:$T$183,MATCH(S36,WR!$B$3:$B$183,0))*InflationPct,INDEX(WR!$AB$3:$AB$183,MATCH(S36,WR!$B$3:$B$183,0))*InflationPct)</f>
        <v>7.8274506725797446</v>
      </c>
      <c r="AB36" s="24">
        <f t="shared" ca="1" si="1"/>
        <v>32</v>
      </c>
      <c r="AC36" s="107" t="str">
        <f t="shared" ca="1" si="2"/>
        <v>Lamar Jackson</v>
      </c>
      <c r="AD36" s="107" t="str">
        <f t="shared" ca="1" si="3"/>
        <v>QB</v>
      </c>
      <c r="AE36" s="110">
        <f ca="1">LARGE(($E$5:$E$34,$E$37:$E$64,$N$5:$N$64,$W$5:$W$64),ROW(AE36)-4)</f>
        <v>64.968999999999994</v>
      </c>
    </row>
    <row r="37" spans="1:31" x14ac:dyDescent="0.25">
      <c r="A37" s="22" t="s">
        <v>121</v>
      </c>
      <c r="B37" s="76" t="str">
        <f>INDEX(TE!F$3:F$113,MATCH(A37,TE!B$3:B$113,0))</f>
        <v>KC</v>
      </c>
      <c r="C37" s="29">
        <f>INDEX(TE!E$3:E$113,MATCH(A37,TE!B$3:B$113,0))</f>
        <v>8</v>
      </c>
      <c r="D37" s="186" t="str">
        <f>IF(INDEX(Auction!$H$13:$H$656,MATCH(A37,Auction!$A$13:$A$656,0))&gt;0,"x","")</f>
        <v/>
      </c>
      <c r="E37" s="25">
        <f ca="1">INDEX(TE!Z$3:Z$113,MATCH(A37,TE!$B$3:$B$113,0))</f>
        <v>112.26</v>
      </c>
      <c r="F37" s="25" t="str">
        <f ca="1">INDEX(TE!AA$3:AA$113,MATCH(A37,TE!$B$3:$B$113,0))</f>
        <v>TE1</v>
      </c>
      <c r="G37" s="38">
        <f ca="1">IF(D37="",IFERROR(E37/(SUMIFS($E$37:$E$64,$E$37:$E$64,"&gt;0",$D$37:$D$64,"")),1),0)</f>
        <v>0.20343405971095921</v>
      </c>
      <c r="H37" s="30">
        <f ca="1">IF(LeagueInfo!$H$7="Starter/Bench",INDEX(TE!$T$3:$T$113,MATCH(A37,TE!$B$3:$B$113,0))*InflationPct,INDEX(TE!$AB$3:$AB$113,MATCH(A37,TE!$B$3:$B$113,0))*InflationPct)</f>
        <v>41.899900117181751</v>
      </c>
      <c r="I37" s="23"/>
      <c r="J37" s="47" t="s">
        <v>552</v>
      </c>
      <c r="K37" s="56" t="str">
        <f>INDEX('RB'!$F$3:$F$138,MATCH(J37,'RB'!$B$3:$B$138,0))</f>
        <v>MIA</v>
      </c>
      <c r="L37" s="48">
        <f>INDEX('RB'!$E$3:$E$138,MATCH(J37,'RB'!$B$3:$B$138,0))</f>
        <v>11</v>
      </c>
      <c r="M37" s="182" t="str">
        <f>IF(INDEX(Auction!$H$13:$H$656,MATCH(J37,Auction!$A$13:$A$656,0))&gt;0,"x","")</f>
        <v/>
      </c>
      <c r="N37" s="43">
        <f ca="1">INDEX('RB'!Z$3:Z$138,MATCH(J37,'RB'!$B$3:$B$138,0))</f>
        <v>40.479999999999983</v>
      </c>
      <c r="O37" s="43" t="str">
        <f ca="1">INDEX('RB'!AA$3:AA$138,MATCH(J37,'RB'!$B$3:$B$138,0))</f>
        <v>RB7</v>
      </c>
      <c r="P37" s="49">
        <f ca="1">IF(M37="",IFERROR(N37/(SUMIFS($N$5:$N$64,$N$5:$N$64,"&gt;0",$M$5:$M$64,"")),1),0)</f>
        <v>1.2875297590175592E-2</v>
      </c>
      <c r="Q37" s="50">
        <f ca="1">IF(LeagueInfo!$H$7="Starter/Bench",INDEX('RB'!$T$3:$T$138,MATCH(J37,'RB'!$B$3:$B$138,0))*InflationPct,INDEX('RB'!$AB$3:$AB$138,MATCH(J37,'RB'!$B$3:$B$138,0))*InflationPct)</f>
        <v>14.679416410749493</v>
      </c>
      <c r="S37" s="24" t="s">
        <v>944</v>
      </c>
      <c r="T37" s="58" t="str">
        <f>INDEX(WR!$F$1:$F$183,MATCH(S37,WR!$B$1:$B$183,0))</f>
        <v>LAR</v>
      </c>
      <c r="U37" s="29">
        <f>INDEX(WR!$E$1:$E$183,MATCH(S37,WR!$B$1:$B$183,0))</f>
        <v>7</v>
      </c>
      <c r="V37" s="184" t="str">
        <f>IF(INDEX(Auction!$H$13:$H$656,MATCH(S37,Auction!$A$13:$A$656,0))&gt;0,"x","")</f>
        <v/>
      </c>
      <c r="W37" s="25">
        <f ca="1">INDEX(WR!Z$3:Z$183,MATCH(S37,WR!$B$3:$B$183,0))</f>
        <v>21.155000000000015</v>
      </c>
      <c r="X37" s="25" t="str">
        <f ca="1">INDEX(WR!AA$3:AA$183,MATCH(S37,WR!$B$3:$B$183,0))</f>
        <v>WR8</v>
      </c>
      <c r="Y37" s="38">
        <f ca="1">IF(V37="",IFERROR(W37/(SUMIFS($W$5:$W$64,$W$5:$W$64,"&gt;0",$V$5:$V$64,"")),1),0)</f>
        <v>1.0716574343543336E-2</v>
      </c>
      <c r="Z37" s="31">
        <f ca="1">IF(LeagueInfo!$H$7="Starter/Bench",INDEX(WR!$T$3:$T$183,MATCH(S37,WR!$B$3:$B$183,0))*InflationPct,INDEX(WR!$AB$3:$AB$183,MATCH(S37,WR!$B$3:$B$183,0))*InflationPct)</f>
        <v>7.6715181365959957</v>
      </c>
      <c r="AB37" s="24">
        <f t="shared" ca="1" si="1"/>
        <v>33</v>
      </c>
      <c r="AC37" s="107" t="str">
        <f t="shared" ca="1" si="2"/>
        <v>Travis Etienne Jr.</v>
      </c>
      <c r="AD37" s="107" t="str">
        <f t="shared" ca="1" si="3"/>
        <v>RB</v>
      </c>
      <c r="AE37" s="110">
        <f ca="1">LARGE(($E$5:$E$34,$E$37:$E$64,$N$5:$N$64,$W$5:$W$64),ROW(AE37)-4)</f>
        <v>64.555000000000007</v>
      </c>
    </row>
    <row r="38" spans="1:31" x14ac:dyDescent="0.25">
      <c r="A38" s="24" t="s">
        <v>591</v>
      </c>
      <c r="B38" s="58" t="str">
        <f>INDEX(TE!F$3:F$113,MATCH(A38,TE!B$3:B$113,0))</f>
        <v>BAL</v>
      </c>
      <c r="C38" s="29">
        <f>INDEX(TE!E$3:E$113,MATCH(A38,TE!B$3:B$113,0))</f>
        <v>10</v>
      </c>
      <c r="D38" s="181" t="str">
        <f>IF(INDEX(Auction!$H$13:$H$656,MATCH(A38,Auction!$A$13:$A$656,0))&gt;0,"x","")</f>
        <v/>
      </c>
      <c r="E38" s="25">
        <f ca="1">INDEX(TE!Z$3:Z$113,MATCH(A38,TE!$B$3:$B$113,0))</f>
        <v>109.13000000000001</v>
      </c>
      <c r="F38" s="34" t="str">
        <f ca="1">INDEX(TE!AA$3:AA$113,MATCH(A38,TE!$B$3:$B$113,0))</f>
        <v>TE1</v>
      </c>
      <c r="G38" s="39">
        <f ca="1">IF(D38="",IFERROR(E38/(SUMIFS($E$37:$E$64,$E$37:$E$64,"&gt;0",$D$37:$D$64,"")),1),0)</f>
        <v>0.19776197163955977</v>
      </c>
      <c r="H38" s="31">
        <f ca="1">IF(LeagueInfo!$H$7="Starter/Bench",INDEX(TE!$T$3:$T$113,MATCH(A38,TE!$B$3:$B$113,0))*InflationPct,INDEX(TE!$AB$3:$AB$113,MATCH(A38,TE!$B$3:$B$113,0))*InflationPct)</f>
        <v>40.729057370880987</v>
      </c>
      <c r="I38" s="23"/>
      <c r="J38" s="47" t="s">
        <v>543</v>
      </c>
      <c r="K38" s="56" t="str">
        <f>INDEX('RB'!$F$3:$F$138,MATCH(J38,'RB'!$B$3:$B$138,0))</f>
        <v>SEA</v>
      </c>
      <c r="L38" s="48">
        <f>INDEX('RB'!$E$3:$E$138,MATCH(J38,'RB'!$B$3:$B$138,0))</f>
        <v>11</v>
      </c>
      <c r="M38" s="182" t="str">
        <f>IF(INDEX(Auction!$H$13:$H$656,MATCH(J38,Auction!$A$13:$A$656,0))&gt;0,"x","")</f>
        <v/>
      </c>
      <c r="N38" s="43">
        <f ca="1">INDEX('RB'!Z$3:Z$138,MATCH(J38,'RB'!$B$3:$B$138,0))</f>
        <v>39.244999999999983</v>
      </c>
      <c r="O38" s="43" t="str">
        <f ca="1">INDEX('RB'!AA$3:AA$138,MATCH(J38,'RB'!$B$3:$B$138,0))</f>
        <v>RB7</v>
      </c>
      <c r="P38" s="49">
        <f ca="1">IF(M38="",IFERROR(N38/(SUMIFS($N$5:$N$64,$N$5:$N$64,"&gt;0",$M$5:$M$64,"")),1),0)</f>
        <v>1.248248651004054E-2</v>
      </c>
      <c r="Q38" s="50">
        <f ca="1">IF(LeagueInfo!$H$7="Starter/Bench",INDEX('RB'!$T$3:$T$138,MATCH(J38,'RB'!$B$3:$B$138,0))*InflationPct,INDEX('RB'!$AB$3:$AB$138,MATCH(J38,'RB'!$B$3:$B$138,0))*InflationPct)</f>
        <v>14.231563662051974</v>
      </c>
      <c r="S38" s="24" t="s">
        <v>210</v>
      </c>
      <c r="T38" s="58" t="str">
        <f>INDEX(WR!$F$1:$F$183,MATCH(S38,WR!$B$1:$B$183,0))</f>
        <v>MIN</v>
      </c>
      <c r="U38" s="29">
        <f>INDEX(WR!$E$1:$E$183,MATCH(S38,WR!$B$1:$B$183,0))</f>
        <v>7</v>
      </c>
      <c r="V38" s="184" t="str">
        <f>IF(INDEX(Auction!$H$13:$H$656,MATCH(S38,Auction!$A$13:$A$656,0))&gt;0,"x","")</f>
        <v/>
      </c>
      <c r="W38" s="25">
        <f ca="1">INDEX(WR!Z$3:Z$183,MATCH(S38,WR!$B$3:$B$183,0))</f>
        <v>21.135000000000005</v>
      </c>
      <c r="X38" s="25" t="str">
        <f ca="1">INDEX(WR!AA$3:AA$183,MATCH(S38,WR!$B$3:$B$183,0))</f>
        <v>WR8</v>
      </c>
      <c r="Y38" s="38">
        <f ca="1">IF(V38="",IFERROR(W38/(SUMIFS($W$5:$W$64,$W$5:$W$64,"&gt;0",$V$5:$V$64,"")),1),0)</f>
        <v>1.0706442862244779E-2</v>
      </c>
      <c r="Z38" s="31">
        <f ca="1">IF(LeagueInfo!$H$7="Starter/Bench",INDEX(WR!$T$3:$T$183,MATCH(S38,WR!$B$3:$B$183,0))*InflationPct,INDEX(WR!$AB$3:$AB$183,MATCH(S38,WR!$B$3:$B$183,0))*InflationPct)</f>
        <v>7.6642654605037244</v>
      </c>
      <c r="AB38" s="24">
        <f t="shared" ca="1" si="1"/>
        <v>34</v>
      </c>
      <c r="AC38" s="107" t="str">
        <f t="shared" ca="1" si="2"/>
        <v>J.K. Dobbins</v>
      </c>
      <c r="AD38" s="107" t="str">
        <f t="shared" ca="1" si="3"/>
        <v>RB</v>
      </c>
      <c r="AE38" s="110">
        <f ca="1">LARGE(($E$5:$E$34,$E$37:$E$64,$N$5:$N$64,$W$5:$W$64),ROW(AE38)-4)</f>
        <v>63.865000000000002</v>
      </c>
    </row>
    <row r="39" spans="1:31" x14ac:dyDescent="0.25">
      <c r="A39" s="24" t="s">
        <v>973</v>
      </c>
      <c r="B39" s="58" t="str">
        <f>INDEX(TE!F$3:F$113,MATCH(A39,TE!B$3:B$113,0))</f>
        <v>ATL</v>
      </c>
      <c r="C39" s="29">
        <f>INDEX(TE!E$3:E$113,MATCH(A39,TE!B$3:B$113,0))</f>
        <v>14</v>
      </c>
      <c r="D39" s="181" t="str">
        <f>IF(INDEX(Auction!$H$13:$H$656,MATCH(A39,Auction!$A$13:$A$656,0))&gt;0,"x","")</f>
        <v/>
      </c>
      <c r="E39" s="25">
        <f ca="1">INDEX(TE!Z$3:Z$113,MATCH(A39,TE!$B$3:$B$113,0))</f>
        <v>52.660000000000011</v>
      </c>
      <c r="F39" s="34" t="str">
        <f ca="1">INDEX(TE!AA$3:AA$113,MATCH(A39,TE!$B$3:$B$113,0))</f>
        <v>TE5</v>
      </c>
      <c r="G39" s="39">
        <f ca="1">IF(D39="",IFERROR(E39/(SUMIFS($E$37:$E$64,$E$37:$E$64,"&gt;0",$D$37:$D$64,"")),1),0)</f>
        <v>9.5428804421691729E-2</v>
      </c>
      <c r="H39" s="31">
        <f ca="1">IF(LeagueInfo!$H$7="Starter/Bench",INDEX(TE!$T$3:$T$113,MATCH(A39,TE!$B$3:$B$113,0))*InflationPct,INDEX(TE!$AB$3:$AB$113,MATCH(A39,TE!$B$3:$B$113,0))*InflationPct)</f>
        <v>19.605258686023436</v>
      </c>
      <c r="I39" s="23"/>
      <c r="J39" s="47" t="s">
        <v>933</v>
      </c>
      <c r="K39" s="56" t="str">
        <f>INDEX('RB'!$F$3:$F$138,MATCH(J39,'RB'!$B$3:$B$138,0))</f>
        <v>NE</v>
      </c>
      <c r="L39" s="48">
        <f>INDEX('RB'!$E$3:$E$138,MATCH(J39,'RB'!$B$3:$B$138,0))</f>
        <v>10</v>
      </c>
      <c r="M39" s="182" t="str">
        <f>IF(INDEX(Auction!$H$13:$H$656,MATCH(J39,Auction!$A$13:$A$656,0))&gt;0,"x","")</f>
        <v/>
      </c>
      <c r="N39" s="43">
        <f ca="1">INDEX('RB'!Z$3:Z$138,MATCH(J39,'RB'!$B$3:$B$138,0))</f>
        <v>38.179999999999986</v>
      </c>
      <c r="O39" s="43" t="str">
        <f ca="1">INDEX('RB'!AA$3:AA$138,MATCH(J39,'RB'!$B$3:$B$138,0))</f>
        <v>RB7</v>
      </c>
      <c r="P39" s="49">
        <f ca="1">IF(M39="",IFERROR(N39/(SUMIFS($N$5:$N$64,$N$5:$N$64,"&gt;0",$M$5:$M$64,"")),1),0)</f>
        <v>1.2143746590733797E-2</v>
      </c>
      <c r="Q39" s="50">
        <f ca="1">IF(LeagueInfo!$H$7="Starter/Bench",INDEX('RB'!$T$3:$T$138,MATCH(J39,'RB'!$B$3:$B$138,0))*InflationPct,INDEX('RB'!$AB$3:$AB$138,MATCH(J39,'RB'!$B$3:$B$138,0))*InflationPct)</f>
        <v>13.845358660138727</v>
      </c>
      <c r="S39" s="24" t="s">
        <v>105</v>
      </c>
      <c r="T39" s="58" t="str">
        <f>INDEX(WR!$F$1:$F$183,MATCH(S39,WR!$B$1:$B$183,0))</f>
        <v>CLE</v>
      </c>
      <c r="U39" s="29">
        <f>INDEX(WR!$E$1:$E$183,MATCH(S39,WR!$B$1:$B$183,0))</f>
        <v>9</v>
      </c>
      <c r="V39" s="184" t="str">
        <f>IF(INDEX(Auction!$H$13:$H$656,MATCH(S39,Auction!$A$13:$A$656,0))&gt;0,"x","")</f>
        <v/>
      </c>
      <c r="W39" s="25">
        <f ca="1">INDEX(WR!Z$3:Z$183,MATCH(S39,WR!$B$3:$B$183,0))</f>
        <v>20.795000000000002</v>
      </c>
      <c r="X39" s="25" t="str">
        <f ca="1">INDEX(WR!AA$3:AA$183,MATCH(S39,WR!$B$3:$B$183,0))</f>
        <v>WR8</v>
      </c>
      <c r="Y39" s="38">
        <f ca="1">IF(V39="",IFERROR(W39/(SUMIFS($W$5:$W$64,$W$5:$W$64,"&gt;0",$V$5:$V$64,"")),1),0)</f>
        <v>1.0534207680169393E-2</v>
      </c>
      <c r="Z39" s="31">
        <f ca="1">IF(LeagueInfo!$H$7="Starter/Bench",INDEX(WR!$T$3:$T$183,MATCH(S39,WR!$B$3:$B$183,0))*InflationPct,INDEX(WR!$AB$3:$AB$183,MATCH(S39,WR!$B$3:$B$183,0))*InflationPct)</f>
        <v>7.5409699669351742</v>
      </c>
      <c r="AB39" s="24">
        <f t="shared" ca="1" si="1"/>
        <v>35</v>
      </c>
      <c r="AC39" s="107" t="str">
        <f t="shared" ca="1" si="2"/>
        <v>Cam Akers</v>
      </c>
      <c r="AD39" s="107" t="str">
        <f t="shared" ca="1" si="3"/>
        <v>RB</v>
      </c>
      <c r="AE39" s="110">
        <f ca="1">LARGE(($E$5:$E$34,$E$37:$E$64,$N$5:$N$64,$W$5:$W$64),ROW(AE39)-4)</f>
        <v>63.635000000000012</v>
      </c>
    </row>
    <row r="40" spans="1:31" x14ac:dyDescent="0.25">
      <c r="A40" s="24" t="s">
        <v>743</v>
      </c>
      <c r="B40" s="58" t="str">
        <f>INDEX(TE!F$3:F$113,MATCH(A40,TE!B$3:B$113,0))</f>
        <v>LV</v>
      </c>
      <c r="C40" s="29">
        <f>INDEX(TE!E$3:E$113,MATCH(A40,TE!B$3:B$113,0))</f>
        <v>6</v>
      </c>
      <c r="D40" s="181" t="str">
        <f>IF(INDEX(Auction!$H$13:$H$656,MATCH(A40,Auction!$A$13:$A$656,0))&gt;0,"x","")</f>
        <v/>
      </c>
      <c r="E40" s="25">
        <f ca="1">INDEX(TE!Z$3:Z$113,MATCH(A40,TE!$B$3:$B$113,0))</f>
        <v>50.659999999999982</v>
      </c>
      <c r="F40" s="34" t="str">
        <f ca="1">INDEX(TE!AA$3:AA$113,MATCH(A40,TE!$B$3:$B$113,0))</f>
        <v>TE5</v>
      </c>
      <c r="G40" s="39">
        <f ca="1">IF(D40="",IFERROR(E40/(SUMIFS($E$37:$E$64,$E$37:$E$64,"&gt;0",$D$37:$D$64,"")),1),0)</f>
        <v>9.180446699587734E-2</v>
      </c>
      <c r="H40" s="31">
        <f ca="1">IF(LeagueInfo!$H$7="Starter/Bench",INDEX(TE!$T$3:$T$113,MATCH(A40,TE!$B$3:$B$113,0))*InflationPct,INDEX(TE!$AB$3:$AB$113,MATCH(A40,TE!$B$3:$B$113,0))*InflationPct)</f>
        <v>18.857116356118784</v>
      </c>
      <c r="I40" s="23"/>
      <c r="J40" s="47" t="s">
        <v>161</v>
      </c>
      <c r="K40" s="56" t="str">
        <f>INDEX('RB'!$F$3:$F$138,MATCH(J40,'RB'!$B$3:$B$138,0))</f>
        <v>CLE</v>
      </c>
      <c r="L40" s="48">
        <f>INDEX('RB'!$E$3:$E$138,MATCH(J40,'RB'!$B$3:$B$138,0))</f>
        <v>9</v>
      </c>
      <c r="M40" s="182" t="str">
        <f>IF(INDEX(Auction!$H$13:$H$656,MATCH(J40,Auction!$A$13:$A$656,0))&gt;0,"x","")</f>
        <v/>
      </c>
      <c r="N40" s="43">
        <f ca="1">INDEX('RB'!Z$3:Z$138,MATCH(J40,'RB'!$B$3:$B$138,0))</f>
        <v>32.574999999999996</v>
      </c>
      <c r="O40" s="43" t="str">
        <f ca="1">INDEX('RB'!AA$3:AA$138,MATCH(J40,'RB'!$B$3:$B$138,0))</f>
        <v>RB7</v>
      </c>
      <c r="P40" s="49">
        <f ca="1">IF(M40="",IFERROR(N40/(SUMIFS($N$5:$N$64,$N$5:$N$64,"&gt;0",$M$5:$M$64,"")),1),0)</f>
        <v>1.0360988611659338E-2</v>
      </c>
      <c r="Q40" s="50">
        <f ca="1">IF(LeagueInfo!$H$7="Starter/Bench",INDEX('RB'!$T$3:$T$138,MATCH(J40,'RB'!$B$3:$B$138,0))*InflationPct,INDEX('RB'!$AB$3:$AB$138,MATCH(J40,'RB'!$B$3:$B$138,0))*InflationPct)</f>
        <v>11.812796185280753</v>
      </c>
      <c r="S40" s="24" t="s">
        <v>364</v>
      </c>
      <c r="T40" s="58" t="str">
        <f>INDEX(WR!$F$1:$F$183,MATCH(S40,WR!$B$1:$B$183,0))</f>
        <v>TEN</v>
      </c>
      <c r="U40" s="29">
        <f>INDEX(WR!$E$1:$E$183,MATCH(S40,WR!$B$1:$B$183,0))</f>
        <v>6</v>
      </c>
      <c r="V40" s="184" t="str">
        <f>IF(INDEX(Auction!$H$13:$H$656,MATCH(S40,Auction!$A$13:$A$656,0))&gt;0,"x","")</f>
        <v/>
      </c>
      <c r="W40" s="25">
        <f ca="1">INDEX(WR!Z$3:Z$183,MATCH(S40,WR!$B$3:$B$183,0))</f>
        <v>19.990000000000023</v>
      </c>
      <c r="X40" s="25" t="str">
        <f ca="1">INDEX(WR!AA$3:AA$183,MATCH(S40,WR!$B$3:$B$183,0))</f>
        <v>WR8</v>
      </c>
      <c r="Y40" s="38">
        <f ca="1">IF(V40="",IFERROR(W40/(SUMIFS($W$5:$W$64,$W$5:$W$64,"&gt;0",$V$5:$V$64,"")),1),0)</f>
        <v>1.0126415557902689E-2</v>
      </c>
      <c r="Z40" s="31">
        <f ca="1">IF(LeagueInfo!$H$7="Starter/Bench",INDEX(WR!$T$3:$T$183,MATCH(S40,WR!$B$3:$B$183,0))*InflationPct,INDEX(WR!$AB$3:$AB$183,MATCH(S40,WR!$B$3:$B$183,0))*InflationPct)</f>
        <v>7.2490497542214136</v>
      </c>
      <c r="AB40" s="24">
        <f t="shared" ca="1" si="1"/>
        <v>36</v>
      </c>
      <c r="AC40" s="107" t="str">
        <f t="shared" ca="1" si="2"/>
        <v>Kyler Murray</v>
      </c>
      <c r="AD40" s="107" t="str">
        <f t="shared" ca="1" si="3"/>
        <v>QB</v>
      </c>
      <c r="AE40" s="110">
        <f ca="1">LARGE(($E$5:$E$34,$E$37:$E$64,$N$5:$N$64,$W$5:$W$64),ROW(AE40)-4)</f>
        <v>63.527000000000044</v>
      </c>
    </row>
    <row r="41" spans="1:31" x14ac:dyDescent="0.25">
      <c r="A41" s="24" t="s">
        <v>597</v>
      </c>
      <c r="B41" s="58" t="str">
        <f>INDEX(TE!F$3:F$113,MATCH(A41,TE!B$3:B$113,0))</f>
        <v>DAL</v>
      </c>
      <c r="C41" s="29">
        <f>INDEX(TE!E$3:E$113,MATCH(A41,TE!B$3:B$113,0))</f>
        <v>9</v>
      </c>
      <c r="D41" s="181" t="str">
        <f>IF(INDEX(Auction!$H$13:$H$656,MATCH(A41,Auction!$A$13:$A$656,0))&gt;0,"x","")</f>
        <v/>
      </c>
      <c r="E41" s="25">
        <f ca="1">INDEX(TE!Z$3:Z$113,MATCH(A41,TE!$B$3:$B$113,0))</f>
        <v>44.3</v>
      </c>
      <c r="F41" s="34" t="str">
        <f ca="1">INDEX(TE!AA$3:AA$113,MATCH(A41,TE!$B$3:$B$113,0))</f>
        <v>TE6</v>
      </c>
      <c r="G41" s="39">
        <f ca="1">IF(D41="",IFERROR(E41/(SUMIFS($E$37:$E$64,$E$37:$E$64,"&gt;0",$D$37:$D$64,"")),1),0)</f>
        <v>8.0279073981787741E-2</v>
      </c>
      <c r="H41" s="31">
        <f ca="1">IF(LeagueInfo!$H$7="Starter/Bench",INDEX(TE!$T$3:$T$113,MATCH(A41,TE!$B$3:$B$113,0))*InflationPct,INDEX(TE!$AB$3:$AB$113,MATCH(A41,TE!$B$3:$B$113,0))*InflationPct)</f>
        <v>16.478023747022029</v>
      </c>
      <c r="I41" s="23"/>
      <c r="J41" s="47" t="s">
        <v>929</v>
      </c>
      <c r="K41" s="56" t="str">
        <f>INDEX('RB'!$F$3:$F$138,MATCH(J41,'RB'!$B$3:$B$138,0))</f>
        <v>NYJ</v>
      </c>
      <c r="L41" s="48">
        <f>INDEX('RB'!$E$3:$E$138,MATCH(J41,'RB'!$B$3:$B$138,0))</f>
        <v>10</v>
      </c>
      <c r="M41" s="182" t="str">
        <f>IF(INDEX(Auction!$H$13:$H$656,MATCH(J41,Auction!$A$13:$A$656,0))&gt;0,"x","")</f>
        <v/>
      </c>
      <c r="N41" s="43">
        <f ca="1">INDEX('RB'!Z$3:Z$138,MATCH(J41,'RB'!$B$3:$B$138,0))</f>
        <v>29.864999999999988</v>
      </c>
      <c r="O41" s="43" t="str">
        <f ca="1">INDEX('RB'!AA$3:AA$138,MATCH(J41,'RB'!$B$3:$B$138,0))</f>
        <v>RB7</v>
      </c>
      <c r="P41" s="49">
        <f ca="1">IF(M41="",IFERROR(N41/(SUMIFS($N$5:$N$64,$N$5:$N$64,"&gt;0",$M$5:$M$64,"")),1),0)</f>
        <v>9.4990306949257423E-3</v>
      </c>
      <c r="Q41" s="50">
        <f ca="1">IF(LeagueInfo!$H$7="Starter/Bench",INDEX('RB'!$T$3:$T$138,MATCH(J41,'RB'!$B$3:$B$138,0))*InflationPct,INDEX('RB'!$AB$3:$AB$138,MATCH(J41,'RB'!$B$3:$B$138,0))*InflationPct)</f>
        <v>10.830058574778498</v>
      </c>
      <c r="S41" s="24" t="s">
        <v>949</v>
      </c>
      <c r="T41" s="58" t="str">
        <f>INDEX(WR!$F$1:$F$183,MATCH(S41,WR!$B$1:$B$183,0))</f>
        <v>BAL</v>
      </c>
      <c r="U41" s="29">
        <f>INDEX(WR!$E$1:$E$183,MATCH(S41,WR!$B$1:$B$183,0))</f>
        <v>10</v>
      </c>
      <c r="V41" s="184" t="str">
        <f>IF(INDEX(Auction!$H$13:$H$656,MATCH(S41,Auction!$A$13:$A$656,0))&gt;0,"x","")</f>
        <v/>
      </c>
      <c r="W41" s="25">
        <f ca="1">INDEX(WR!Z$3:Z$183,MATCH(S41,WR!$B$3:$B$183,0))</f>
        <v>18.990000000000023</v>
      </c>
      <c r="X41" s="25" t="str">
        <f ca="1">INDEX(WR!AA$3:AA$183,MATCH(S41,WR!$B$3:$B$183,0))</f>
        <v>WR8</v>
      </c>
      <c r="Y41" s="38">
        <f ca="1">IF(V41="",IFERROR(W41/(SUMIFS($W$5:$W$64,$W$5:$W$64,"&gt;0",$V$5:$V$64,"")),1),0)</f>
        <v>9.6198414929750918E-3</v>
      </c>
      <c r="Z41" s="31">
        <f ca="1">IF(LeagueInfo!$H$7="Starter/Bench",INDEX(WR!$T$3:$T$183,MATCH(S41,WR!$B$3:$B$183,0))*InflationPct,INDEX(WR!$AB$3:$AB$183,MATCH(S41,WR!$B$3:$B$183,0))*InflationPct)</f>
        <v>6.886415949608037</v>
      </c>
      <c r="AB41" s="24">
        <f t="shared" ca="1" si="1"/>
        <v>37</v>
      </c>
      <c r="AC41" s="107" t="str">
        <f t="shared" ca="1" si="2"/>
        <v>Josh Jacobs</v>
      </c>
      <c r="AD41" s="107" t="str">
        <f t="shared" ca="1" si="3"/>
        <v>RB</v>
      </c>
      <c r="AE41" s="110">
        <f ca="1">LARGE(($E$5:$E$34,$E$37:$E$64,$N$5:$N$64,$W$5:$W$64),ROW(AE41)-4)</f>
        <v>62.57500000000001</v>
      </c>
    </row>
    <row r="42" spans="1:31" x14ac:dyDescent="0.25">
      <c r="A42" s="24" t="s">
        <v>420</v>
      </c>
      <c r="B42" s="58" t="str">
        <f>INDEX(TE!F$3:F$113,MATCH(A42,TE!B$3:B$113,0))</f>
        <v>SF</v>
      </c>
      <c r="C42" s="29">
        <f>INDEX(TE!E$3:E$113,MATCH(A42,TE!B$3:B$113,0))</f>
        <v>9</v>
      </c>
      <c r="D42" s="181" t="str">
        <f>IF(INDEX(Auction!$H$13:$H$656,MATCH(A42,Auction!$A$13:$A$656,0))&gt;0,"x","")</f>
        <v/>
      </c>
      <c r="E42" s="25">
        <f ca="1">INDEX(TE!Z$3:Z$113,MATCH(A42,TE!$B$3:$B$113,0))</f>
        <v>43.510000000000005</v>
      </c>
      <c r="F42" s="34" t="str">
        <f ca="1">INDEX(TE!AA$3:AA$113,MATCH(A42,TE!$B$3:$B$113,0))</f>
        <v>TE6</v>
      </c>
      <c r="G42" s="39">
        <f ca="1">IF(D42="",IFERROR(E42/(SUMIFS($E$37:$E$64,$E$37:$E$64,"&gt;0",$D$37:$D$64,"")),1),0)</f>
        <v>7.8847460698591096E-2</v>
      </c>
      <c r="H42" s="31">
        <f ca="1">IF(LeagueInfo!$H$7="Starter/Bench",INDEX(TE!$T$3:$T$113,MATCH(A42,TE!$B$3:$B$113,0))*InflationPct,INDEX(TE!$AB$3:$AB$113,MATCH(A42,TE!$B$3:$B$113,0))*InflationPct)</f>
        <v>16.182507526709699</v>
      </c>
      <c r="I42" s="18"/>
      <c r="J42" s="47" t="s">
        <v>928</v>
      </c>
      <c r="K42" s="56" t="str">
        <f>INDEX('RB'!$F$3:$F$138,MATCH(J42,'RB'!$B$3:$B$138,0))</f>
        <v>DEN</v>
      </c>
      <c r="L42" s="48">
        <f>INDEX('RB'!$E$3:$E$138,MATCH(J42,'RB'!$B$3:$B$138,0))</f>
        <v>9</v>
      </c>
      <c r="M42" s="182" t="str">
        <f>IF(INDEX(Auction!$H$13:$H$656,MATCH(J42,Auction!$A$13:$A$656,0))&gt;0,"x","")</f>
        <v/>
      </c>
      <c r="N42" s="43">
        <f ca="1">INDEX('RB'!Z$3:Z$138,MATCH(J42,'RB'!$B$3:$B$138,0))</f>
        <v>29.440000000000005</v>
      </c>
      <c r="O42" s="43" t="str">
        <f ca="1">INDEX('RB'!AA$3:AA$138,MATCH(J42,'RB'!$B$3:$B$138,0))</f>
        <v>RB7</v>
      </c>
      <c r="P42" s="49">
        <f ca="1">IF(M42="",IFERROR(N42/(SUMIFS($N$5:$N$64,$N$5:$N$64,"&gt;0",$M$5:$M$64,"")),1),0)</f>
        <v>9.363852792854982E-3</v>
      </c>
      <c r="Q42" s="50">
        <f ca="1">IF(LeagueInfo!$H$7="Starter/Bench",INDEX('RB'!$T$3:$T$138,MATCH(J42,'RB'!$B$3:$B$138,0))*InflationPct,INDEX('RB'!$AB$3:$AB$138,MATCH(J42,'RB'!$B$3:$B$138,0))*InflationPct)</f>
        <v>10.675939207817819</v>
      </c>
      <c r="S42" s="24" t="s">
        <v>570</v>
      </c>
      <c r="T42" s="58" t="str">
        <f>INDEX(WR!$F$1:$F$183,MATCH(S42,WR!$B$1:$B$183,0))</f>
        <v>JAC</v>
      </c>
      <c r="U42" s="29">
        <f>INDEX(WR!$E$1:$E$183,MATCH(S42,WR!$B$1:$B$183,0))</f>
        <v>11</v>
      </c>
      <c r="V42" s="184" t="str">
        <f>IF(INDEX(Auction!$H$13:$H$656,MATCH(S42,Auction!$A$13:$A$656,0))&gt;0,"x","")</f>
        <v/>
      </c>
      <c r="W42" s="25">
        <f ca="1">INDEX(WR!Z$3:Z$183,MATCH(S42,WR!$B$3:$B$183,0))</f>
        <v>16.665000000000006</v>
      </c>
      <c r="X42" s="25" t="str">
        <f ca="1">INDEX(WR!AA$3:AA$183,MATCH(S42,WR!$B$3:$B$183,0))</f>
        <v>WR8</v>
      </c>
      <c r="Y42" s="38">
        <f ca="1">IF(V42="",IFERROR(W42/(SUMIFS($W$5:$W$64,$W$5:$W$64,"&gt;0",$V$5:$V$64,"")),1),0)</f>
        <v>8.4420567920184177E-3</v>
      </c>
      <c r="Z42" s="31">
        <f ca="1">IF(LeagueInfo!$H$7="Starter/Bench",INDEX(WR!$T$3:$T$183,MATCH(S42,WR!$B$3:$B$183,0))*InflationPct,INDEX(WR!$AB$3:$AB$183,MATCH(S42,WR!$B$3:$B$183,0))*InflationPct)</f>
        <v>6.0432923538819292</v>
      </c>
      <c r="AB42" s="24">
        <f t="shared" ca="1" si="1"/>
        <v>38</v>
      </c>
      <c r="AC42" s="107" t="str">
        <f t="shared" ca="1" si="2"/>
        <v>Jalen Hurts</v>
      </c>
      <c r="AD42" s="107" t="str">
        <f t="shared" ca="1" si="3"/>
        <v>QB</v>
      </c>
      <c r="AE42" s="110">
        <f ca="1">LARGE(($E$5:$E$34,$E$37:$E$64,$N$5:$N$64,$W$5:$W$64),ROW(AE42)-4)</f>
        <v>62.526999999999987</v>
      </c>
    </row>
    <row r="43" spans="1:31" x14ac:dyDescent="0.25">
      <c r="A43" s="24" t="s">
        <v>590</v>
      </c>
      <c r="B43" s="58" t="str">
        <f>INDEX(TE!F$3:F$113,MATCH(A43,TE!B$3:B$113,0))</f>
        <v>PHI</v>
      </c>
      <c r="C43" s="29">
        <f>INDEX(TE!E$3:E$113,MATCH(A43,TE!B$3:B$113,0))</f>
        <v>7</v>
      </c>
      <c r="D43" s="181" t="str">
        <f>IF(INDEX(Auction!$H$13:$H$656,MATCH(A43,Auction!$A$13:$A$656,0))&gt;0,"x","")</f>
        <v/>
      </c>
      <c r="E43" s="25">
        <f ca="1">INDEX(TE!Z$3:Z$113,MATCH(A43,TE!$B$3:$B$113,0))</f>
        <v>29.259999999999977</v>
      </c>
      <c r="F43" s="34" t="str">
        <f ca="1">INDEX(TE!AA$3:AA$113,MATCH(A43,TE!$B$3:$B$113,0))</f>
        <v>TE7</v>
      </c>
      <c r="G43" s="39">
        <f ca="1">IF(D43="",IFERROR(E43/(SUMIFS($E$37:$E$64,$E$37:$E$64,"&gt;0",$D$37:$D$64,"")),1),0)</f>
        <v>5.3024056539663827E-2</v>
      </c>
      <c r="H43" s="31">
        <f ca="1">IF(LeagueInfo!$H$7="Starter/Bench",INDEX(TE!$T$3:$T$113,MATCH(A43,TE!$B$3:$B$113,0))*InflationPct,INDEX(TE!$AB$3:$AB$113,MATCH(A43,TE!$B$3:$B$113,0))*InflationPct)</f>
        <v>10.851993426139117</v>
      </c>
      <c r="I43" s="18"/>
      <c r="J43" s="47" t="s">
        <v>893</v>
      </c>
      <c r="K43" s="56" t="str">
        <f>INDEX('RB'!$F$3:$F$138,MATCH(J43,'RB'!$B$3:$B$138,0))</f>
        <v>JAC</v>
      </c>
      <c r="L43" s="48">
        <f>INDEX('RB'!$E$3:$E$138,MATCH(J43,'RB'!$B$3:$B$138,0))</f>
        <v>11</v>
      </c>
      <c r="M43" s="182" t="str">
        <f>IF(INDEX(Auction!$H$13:$H$656,MATCH(J43,Auction!$A$13:$A$656,0))&gt;0,"x","")</f>
        <v/>
      </c>
      <c r="N43" s="43">
        <f ca="1">INDEX('RB'!Z$3:Z$138,MATCH(J43,'RB'!$B$3:$B$138,0))</f>
        <v>19.744999999999997</v>
      </c>
      <c r="O43" s="43" t="str">
        <f ca="1">INDEX('RB'!AA$3:AA$138,MATCH(J43,'RB'!$B$3:$B$138,0))</f>
        <v>RB8</v>
      </c>
      <c r="P43" s="49">
        <f ca="1">IF(M43="",IFERROR(N43/(SUMIFS($N$5:$N$64,$N$5:$N$64,"&gt;0",$M$5:$M$64,"")),1),0)</f>
        <v>6.2802062973818457E-3</v>
      </c>
      <c r="Q43" s="50">
        <f ca="1">IF(LeagueInfo!$H$7="Starter/Bench",INDEX('RB'!$T$3:$T$138,MATCH(J43,'RB'!$B$3:$B$138,0))*InflationPct,INDEX('RB'!$AB$3:$AB$138,MATCH(J43,'RB'!$B$3:$B$138,0))*InflationPct)</f>
        <v>7.1602044720911273</v>
      </c>
      <c r="S43" s="24" t="s">
        <v>946</v>
      </c>
      <c r="T43" s="58" t="str">
        <f>INDEX(WR!$F$1:$F$183,MATCH(S43,WR!$B$1:$B$183,0))</f>
        <v>PHI</v>
      </c>
      <c r="U43" s="29">
        <f>INDEX(WR!$E$1:$E$183,MATCH(S43,WR!$B$1:$B$183,0))</f>
        <v>7</v>
      </c>
      <c r="V43" s="184" t="str">
        <f>IF(INDEX(Auction!$H$13:$H$656,MATCH(S43,Auction!$A$13:$A$656,0))&gt;0,"x","")</f>
        <v/>
      </c>
      <c r="W43" s="25">
        <f ca="1">INDEX(WR!Z$3:Z$183,MATCH(S43,WR!$B$3:$B$183,0))</f>
        <v>14.210000000000008</v>
      </c>
      <c r="X43" s="25" t="str">
        <f ca="1">INDEX(WR!AA$3:AA$183,MATCH(S43,WR!$B$3:$B$183,0))</f>
        <v>WR8</v>
      </c>
      <c r="Y43" s="38">
        <f ca="1">IF(V43="",IFERROR(W43/(SUMIFS($W$5:$W$64,$W$5:$W$64,"&gt;0",$V$5:$V$64,"")),1),0)</f>
        <v>7.1984174626211666E-3</v>
      </c>
      <c r="Z43" s="31">
        <f ca="1">IF(LeagueInfo!$H$7="Starter/Bench",INDEX(WR!$T$3:$T$183,MATCH(S43,WR!$B$3:$B$183,0))*InflationPct,INDEX(WR!$AB$3:$AB$183,MATCH(S43,WR!$B$3:$B$183,0))*InflationPct)</f>
        <v>5.1530263635560898</v>
      </c>
      <c r="AB43" s="24">
        <f t="shared" ca="1" si="1"/>
        <v>39</v>
      </c>
      <c r="AC43" s="107" t="str">
        <f t="shared" ca="1" si="2"/>
        <v>Tee Higgins</v>
      </c>
      <c r="AD43" s="107" t="str">
        <f t="shared" ca="1" si="3"/>
        <v>WR</v>
      </c>
      <c r="AE43" s="110">
        <f ca="1">LARGE(($E$5:$E$34,$E$37:$E$64,$N$5:$N$64,$W$5:$W$64),ROW(AE43)-4)</f>
        <v>61.090000000000018</v>
      </c>
    </row>
    <row r="44" spans="1:31" x14ac:dyDescent="0.25">
      <c r="A44" s="24" t="s">
        <v>741</v>
      </c>
      <c r="B44" s="58" t="str">
        <f>INDEX(TE!F$3:F$113,MATCH(A44,TE!B$3:B$113,0))</f>
        <v>DET</v>
      </c>
      <c r="C44" s="29">
        <f>INDEX(TE!E$3:E$113,MATCH(A44,TE!B$3:B$113,0))</f>
        <v>6</v>
      </c>
      <c r="D44" s="181" t="str">
        <f>IF(INDEX(Auction!$H$13:$H$656,MATCH(A44,Auction!$A$13:$A$656,0))&gt;0,"x","")</f>
        <v/>
      </c>
      <c r="E44" s="25">
        <f ca="1">INDEX(TE!Z$3:Z$113,MATCH(A44,TE!$B$3:$B$113,0))</f>
        <v>23.229999999999976</v>
      </c>
      <c r="F44" s="34" t="str">
        <f ca="1">INDEX(TE!AA$3:AA$113,MATCH(A44,TE!$B$3:$B$113,0))</f>
        <v>TE7</v>
      </c>
      <c r="G44" s="39">
        <f ca="1">IF(D44="",IFERROR(E44/(SUMIFS($E$37:$E$64,$E$37:$E$64,"&gt;0",$D$37:$D$64,"")),1),0)</f>
        <v>4.2096679200833577E-2</v>
      </c>
      <c r="H44" s="31">
        <f ca="1">IF(LeagueInfo!$H$7="Starter/Bench",INDEX(TE!$T$3:$T$113,MATCH(A44,TE!$B$3:$B$113,0))*InflationPct,INDEX(TE!$AB$3:$AB$113,MATCH(A44,TE!$B$3:$B$113,0))*InflationPct)</f>
        <v>8.5963443014766199</v>
      </c>
      <c r="I44" s="18"/>
      <c r="J44" s="47" t="s">
        <v>2446</v>
      </c>
      <c r="K44" s="56" t="str">
        <f>INDEX('RB'!$F$3:$F$138,MATCH(J44,'RB'!$B$3:$B$138,0))</f>
        <v>BUF</v>
      </c>
      <c r="L44" s="48">
        <f>INDEX('RB'!$E$3:$E$138,MATCH(J44,'RB'!$B$3:$B$138,0))</f>
        <v>7</v>
      </c>
      <c r="M44" s="182" t="str">
        <f>IF(INDEX(Auction!$H$13:$H$656,MATCH(J44,Auction!$A$13:$A$656,0))&gt;0,"x","")</f>
        <v/>
      </c>
      <c r="N44" s="43">
        <f ca="1">INDEX('RB'!Z$3:Z$138,MATCH(J44,'RB'!$B$3:$B$138,0))</f>
        <v>16.274999999999991</v>
      </c>
      <c r="O44" s="43" t="str">
        <f ca="1">INDEX('RB'!AA$3:AA$138,MATCH(J44,'RB'!$B$3:$B$138,0))</f>
        <v>RB8</v>
      </c>
      <c r="P44" s="49">
        <f ca="1">IF(M44="",IFERROR(N44/(SUMIFS($N$5:$N$64,$N$5:$N$64,"&gt;0",$M$5:$M$64,"")),1),0)</f>
        <v>5.1765184851805266E-3</v>
      </c>
      <c r="Q44" s="50">
        <f ca="1">IF(LeagueInfo!$H$7="Starter/Bench",INDEX('RB'!$T$3:$T$138,MATCH(J44,'RB'!$B$3:$B$138,0))*InflationPct,INDEX('RB'!$AB$3:$AB$138,MATCH(J44,'RB'!$B$3:$B$138,0))*InflationPct)</f>
        <v>5.9018651700827069</v>
      </c>
      <c r="S44" s="24" t="s">
        <v>840</v>
      </c>
      <c r="T44" s="58" t="str">
        <f>INDEX(WR!$F$1:$F$183,MATCH(S44,WR!$B$1:$B$183,0))</f>
        <v>PIT</v>
      </c>
      <c r="U44" s="29">
        <f>INDEX(WR!$E$1:$E$183,MATCH(S44,WR!$B$1:$B$183,0))</f>
        <v>9</v>
      </c>
      <c r="V44" s="184" t="str">
        <f>IF(INDEX(Auction!$H$13:$H$656,MATCH(S44,Auction!$A$13:$A$656,0))&gt;0,"x","")</f>
        <v/>
      </c>
      <c r="W44" s="25">
        <f ca="1">INDEX(WR!Z$3:Z$183,MATCH(S44,WR!$B$3:$B$183,0))</f>
        <v>13.39500000000001</v>
      </c>
      <c r="X44" s="25" t="str">
        <f ca="1">INDEX(WR!AA$3:AA$183,MATCH(S44,WR!$B$3:$B$183,0))</f>
        <v>WR8</v>
      </c>
      <c r="Y44" s="38">
        <f ca="1">IF(V44="",IFERROR(W44/(SUMIFS($W$5:$W$64,$W$5:$W$64,"&gt;0",$V$5:$V$64,"")),1),0)</f>
        <v>6.7855595997051753E-3</v>
      </c>
      <c r="Z44" s="31">
        <f ca="1">IF(LeagueInfo!$H$7="Starter/Bench",INDEX(WR!$T$3:$T$183,MATCH(S44,WR!$B$3:$B$183,0))*InflationPct,INDEX(WR!$AB$3:$AB$183,MATCH(S44,WR!$B$3:$B$183,0))*InflationPct)</f>
        <v>4.8574798127961882</v>
      </c>
      <c r="AB44" s="24">
        <f t="shared" ca="1" si="1"/>
        <v>40</v>
      </c>
      <c r="AC44" s="107" t="str">
        <f t="shared" ca="1" si="2"/>
        <v>Elijah Mitchell</v>
      </c>
      <c r="AD44" s="107" t="str">
        <f t="shared" ca="1" si="3"/>
        <v>RB</v>
      </c>
      <c r="AE44" s="110">
        <f ca="1">LARGE(($E$5:$E$34,$E$37:$E$64,$N$5:$N$64,$W$5:$W$64),ROW(AE44)-4)</f>
        <v>59.184999999999995</v>
      </c>
    </row>
    <row r="45" spans="1:31" x14ac:dyDescent="0.25">
      <c r="A45" s="24" t="s">
        <v>186</v>
      </c>
      <c r="B45" s="58" t="str">
        <f>INDEX(TE!F$3:F$113,MATCH(A45,TE!B$3:B$113,0))</f>
        <v>ARI</v>
      </c>
      <c r="C45" s="29">
        <f>INDEX(TE!E$3:E$113,MATCH(A45,TE!B$3:B$113,0))</f>
        <v>13</v>
      </c>
      <c r="D45" s="181" t="str">
        <f>IF(INDEX(Auction!$H$13:$H$656,MATCH(A45,Auction!$A$13:$A$656,0))&gt;0,"x","")</f>
        <v/>
      </c>
      <c r="E45" s="25">
        <f ca="1">INDEX(TE!Z$3:Z$113,MATCH(A45,TE!$B$3:$B$113,0))</f>
        <v>15.549999999999997</v>
      </c>
      <c r="F45" s="34" t="str">
        <f ca="1">INDEX(TE!AA$3:AA$113,MATCH(A45,TE!$B$3:$B$113,0))</f>
        <v>TE8</v>
      </c>
      <c r="G45" s="39">
        <f ca="1">IF(D45="",IFERROR(E45/(SUMIFS($E$37:$E$64,$E$37:$E$64,"&gt;0",$D$37:$D$64,"")),1),0)</f>
        <v>2.817922348570653E-2</v>
      </c>
      <c r="H45" s="31">
        <f ca="1">IF(LeagueInfo!$H$7="Starter/Bench",INDEX(TE!$T$3:$T$113,MATCH(A45,TE!$B$3:$B$113,0))*InflationPct,INDEX(TE!$AB$3:$AB$113,MATCH(A45,TE!$B$3:$B$113,0))*InflationPct)</f>
        <v>5.7234777546428059</v>
      </c>
      <c r="I45" s="18"/>
      <c r="J45" s="47" t="s">
        <v>353</v>
      </c>
      <c r="K45" s="56" t="str">
        <f>INDEX('RB'!$F$3:$F$138,MATCH(J45,'RB'!$B$3:$B$138,0))</f>
        <v>MIA</v>
      </c>
      <c r="L45" s="48">
        <f>INDEX('RB'!$E$3:$E$138,MATCH(J45,'RB'!$B$3:$B$138,0))</f>
        <v>11</v>
      </c>
      <c r="M45" s="182" t="str">
        <f>IF(INDEX(Auction!$H$13:$H$656,MATCH(J45,Auction!$A$13:$A$656,0))&gt;0,"x","")</f>
        <v/>
      </c>
      <c r="N45" s="43">
        <f ca="1">INDEX('RB'!Z$3:Z$138,MATCH(J45,'RB'!$B$3:$B$138,0))</f>
        <v>16.120000000000005</v>
      </c>
      <c r="O45" s="43" t="str">
        <f ca="1">INDEX('RB'!AA$3:AA$138,MATCH(J45,'RB'!$B$3:$B$138,0))</f>
        <v>RB8</v>
      </c>
      <c r="P45" s="49">
        <f ca="1">IF(M45="",IFERROR(N45/(SUMIFS($N$5:$N$64,$N$5:$N$64,"&gt;0",$M$5:$M$64,"")),1),0)</f>
        <v>5.1272183091311931E-3</v>
      </c>
      <c r="Q45" s="50">
        <f ca="1">IF(LeagueInfo!$H$7="Starter/Bench",INDEX('RB'!$T$3:$T$138,MATCH(J45,'RB'!$B$3:$B$138,0))*InflationPct,INDEX('RB'!$AB$3:$AB$138,MATCH(J45,'RB'!$B$3:$B$138,0))*InflationPct)</f>
        <v>5.845656930367638</v>
      </c>
      <c r="S45" s="24" t="s">
        <v>837</v>
      </c>
      <c r="T45" s="58" t="str">
        <f>INDEX(WR!$F$1:$F$183,MATCH(S45,WR!$B$1:$B$183,0))</f>
        <v>SF</v>
      </c>
      <c r="U45" s="29">
        <f>INDEX(WR!$E$1:$E$183,MATCH(S45,WR!$B$1:$B$183,0))</f>
        <v>9</v>
      </c>
      <c r="V45" s="184" t="str">
        <f>IF(INDEX(Auction!$H$13:$H$656,MATCH(S45,Auction!$A$13:$A$656,0))&gt;0,"x","")</f>
        <v/>
      </c>
      <c r="W45" s="25">
        <f ca="1">INDEX(WR!Z$3:Z$183,MATCH(S45,WR!$B$3:$B$183,0))</f>
        <v>12.660000000000011</v>
      </c>
      <c r="X45" s="25" t="str">
        <f ca="1">INDEX(WR!AA$3:AA$183,MATCH(S45,WR!$B$3:$B$183,0))</f>
        <v>WR8</v>
      </c>
      <c r="Y45" s="38">
        <f ca="1">IF(V45="",IFERROR(W45/(SUMIFS($W$5:$W$64,$W$5:$W$64,"&gt;0",$V$5:$V$64,"")),1),0)</f>
        <v>6.4132276619833914E-3</v>
      </c>
      <c r="Z45" s="31">
        <f ca="1">IF(LeagueInfo!$H$7="Starter/Bench",INDEX(WR!$T$3:$T$183,MATCH(S45,WR!$B$3:$B$183,0))*InflationPct,INDEX(WR!$AB$3:$AB$183,MATCH(S45,WR!$B$3:$B$183,0))*InflationPct)</f>
        <v>4.590943966405356</v>
      </c>
      <c r="AB45" s="24">
        <f t="shared" ca="1" si="1"/>
        <v>41</v>
      </c>
      <c r="AC45" s="107" t="str">
        <f t="shared" ca="1" si="2"/>
        <v>Damien Harris</v>
      </c>
      <c r="AD45" s="107" t="str">
        <f t="shared" ca="1" si="3"/>
        <v>RB</v>
      </c>
      <c r="AE45" s="110">
        <f ca="1">LARGE(($E$5:$E$34,$E$37:$E$64,$N$5:$N$64,$W$5:$W$64),ROW(AE45)-4)</f>
        <v>57.564999999999962</v>
      </c>
    </row>
    <row r="46" spans="1:31" x14ac:dyDescent="0.25">
      <c r="A46" s="24" t="s">
        <v>739</v>
      </c>
      <c r="B46" s="58" t="str">
        <f>INDEX(TE!F$3:F$113,MATCH(A46,TE!B$3:B$113,0))</f>
        <v>NE</v>
      </c>
      <c r="C46" s="29">
        <f>INDEX(TE!E$3:E$113,MATCH(A46,TE!B$3:B$113,0))</f>
        <v>10</v>
      </c>
      <c r="D46" s="181" t="str">
        <f>IF(INDEX(Auction!$H$13:$H$656,MATCH(A46,Auction!$A$13:$A$656,0))&gt;0,"x","")</f>
        <v/>
      </c>
      <c r="E46" s="25">
        <f ca="1">INDEX(TE!Z$3:Z$113,MATCH(A46,TE!$B$3:$B$113,0))</f>
        <v>13.789999999999992</v>
      </c>
      <c r="F46" s="34" t="str">
        <f ca="1">INDEX(TE!AA$3:AA$113,MATCH(A46,TE!$B$3:$B$113,0))</f>
        <v>TE8</v>
      </c>
      <c r="G46" s="39">
        <f ca="1">IF(D46="",IFERROR(E46/(SUMIFS($E$37:$E$64,$E$37:$E$64,"&gt;0",$D$37:$D$64,"")),1),0)</f>
        <v>2.4989806550989896E-2</v>
      </c>
      <c r="H46" s="31">
        <f ca="1">IF(LeagueInfo!$H$7="Starter/Bench",INDEX(TE!$T$3:$T$113,MATCH(A46,TE!$B$3:$B$113,0))*InflationPct,INDEX(TE!$AB$3:$AB$113,MATCH(A46,TE!$B$3:$B$113,0))*InflationPct)</f>
        <v>5.0651125043267191</v>
      </c>
      <c r="I46" s="23"/>
      <c r="J46" s="47" t="s">
        <v>798</v>
      </c>
      <c r="K46" s="56" t="str">
        <f>INDEX('RB'!$F$3:$F$138,MATCH(J46,'RB'!$B$3:$B$138,0))</f>
        <v>LAR</v>
      </c>
      <c r="L46" s="48">
        <f>INDEX('RB'!$E$3:$E$138,MATCH(J46,'RB'!$B$3:$B$138,0))</f>
        <v>7</v>
      </c>
      <c r="M46" s="182" t="str">
        <f>IF(INDEX(Auction!$H$13:$H$656,MATCH(J46,Auction!$A$13:$A$656,0))&gt;0,"x","")</f>
        <v/>
      </c>
      <c r="N46" s="43">
        <f ca="1">INDEX('RB'!Z$3:Z$138,MATCH(J46,'RB'!$B$3:$B$138,0))</f>
        <v>15.659999999999989</v>
      </c>
      <c r="O46" s="43" t="str">
        <f ca="1">INDEX('RB'!AA$3:AA$138,MATCH(J46,'RB'!$B$3:$B$138,0))</f>
        <v>RB8</v>
      </c>
      <c r="P46" s="49">
        <f ca="1">IF(M46="",IFERROR(N46/(SUMIFS($N$5:$N$64,$N$5:$N$64,"&gt;0",$M$5:$M$64,"")),1),0)</f>
        <v>4.9809081092428292E-3</v>
      </c>
      <c r="Q46" s="50">
        <f ca="1">IF(LeagueInfo!$H$7="Starter/Bench",INDEX('RB'!$T$3:$T$138,MATCH(J46,'RB'!$B$3:$B$138,0))*InflationPct,INDEX('RB'!$AB$3:$AB$138,MATCH(J46,'RB'!$B$3:$B$138,0))*InflationPct)</f>
        <v>5.6788453802454795</v>
      </c>
      <c r="S46" s="24" t="s">
        <v>2412</v>
      </c>
      <c r="T46" s="58" t="str">
        <f>INDEX(WR!$F$1:$F$183,MATCH(S46,WR!$B$1:$B$183,0))</f>
        <v>ATL</v>
      </c>
      <c r="U46" s="29">
        <f>INDEX(WR!$E$1:$E$183,MATCH(S46,WR!$B$1:$B$183,0))</f>
        <v>14</v>
      </c>
      <c r="V46" s="184" t="str">
        <f>IF(INDEX(Auction!$H$13:$H$656,MATCH(S46,Auction!$A$13:$A$656,0))&gt;0,"x","")</f>
        <v/>
      </c>
      <c r="W46" s="25">
        <f ca="1">INDEX(WR!Z$3:Z$183,MATCH(S46,WR!$B$3:$B$183,0))</f>
        <v>12.000000000000014</v>
      </c>
      <c r="X46" s="25" t="str">
        <f ca="1">INDEX(WR!AA$3:AA$183,MATCH(S46,WR!$B$3:$B$183,0))</f>
        <v>WR8</v>
      </c>
      <c r="Y46" s="38">
        <f ca="1">IF(V46="",IFERROR(W46/(SUMIFS($W$5:$W$64,$W$5:$W$64,"&gt;0",$V$5:$V$64,"")),1),0)</f>
        <v>6.078888779131179E-3</v>
      </c>
      <c r="Z46" s="31">
        <f ca="1">IF(LeagueInfo!$H$7="Starter/Bench",INDEX(WR!$T$3:$T$183,MATCH(S46,WR!$B$3:$B$183,0))*InflationPct,INDEX(WR!$AB$3:$AB$183,MATCH(S46,WR!$B$3:$B$183,0))*InflationPct)</f>
        <v>4.3516056553605287</v>
      </c>
      <c r="AB46" s="24">
        <f t="shared" ca="1" si="1"/>
        <v>42</v>
      </c>
      <c r="AC46" s="107" t="str">
        <f t="shared" ca="1" si="2"/>
        <v>Michael Pittman Jr.</v>
      </c>
      <c r="AD46" s="107" t="str">
        <f t="shared" ca="1" si="3"/>
        <v>WR</v>
      </c>
      <c r="AE46" s="110">
        <f ca="1">LARGE(($E$5:$E$34,$E$37:$E$64,$N$5:$N$64,$W$5:$W$64),ROW(AE46)-4)</f>
        <v>56.11999999999999</v>
      </c>
    </row>
    <row r="47" spans="1:31" x14ac:dyDescent="0.25">
      <c r="A47" s="24" t="s">
        <v>749</v>
      </c>
      <c r="B47" s="58" t="str">
        <f>INDEX(TE!F$3:F$113,MATCH(A47,TE!B$3:B$113,0))</f>
        <v>BUF</v>
      </c>
      <c r="C47" s="29">
        <f>INDEX(TE!E$3:E$113,MATCH(A47,TE!B$3:B$113,0))</f>
        <v>7</v>
      </c>
      <c r="D47" s="181" t="str">
        <f>IF(INDEX(Auction!$H$13:$H$656,MATCH(A47,Auction!$A$13:$A$656,0))&gt;0,"x","")</f>
        <v/>
      </c>
      <c r="E47" s="25">
        <f ca="1">INDEX(TE!Z$3:Z$113,MATCH(A47,TE!$B$3:$B$113,0))</f>
        <v>12.749999999999986</v>
      </c>
      <c r="F47" s="34" t="str">
        <f ca="1">INDEX(TE!AA$3:AA$113,MATCH(A47,TE!$B$3:$B$113,0))</f>
        <v>TE8</v>
      </c>
      <c r="G47" s="39">
        <f ca="1">IF(D47="",IFERROR(E47/(SUMIFS($E$37:$E$64,$E$37:$E$64,"&gt;0",$D$37:$D$64,"")),1),0)</f>
        <v>2.3105151089566425E-2</v>
      </c>
      <c r="H47" s="31">
        <f ca="1">IF(LeagueInfo!$H$7="Starter/Bench",INDEX(TE!$T$3:$T$113,MATCH(A47,TE!$B$3:$B$113,0))*InflationPct,INDEX(TE!$AB$3:$AB$113,MATCH(A47,TE!$B$3:$B$113,0))*InflationPct)</f>
        <v>4.6760784927763028</v>
      </c>
      <c r="I47" s="23"/>
      <c r="J47" s="47" t="s">
        <v>2445</v>
      </c>
      <c r="K47" s="56" t="str">
        <f>INDEX('RB'!$F$3:$F$138,MATCH(J47,'RB'!$B$3:$B$138,0))</f>
        <v>SEA</v>
      </c>
      <c r="L47" s="48">
        <f>INDEX('RB'!$E$3:$E$138,MATCH(J47,'RB'!$B$3:$B$138,0))</f>
        <v>11</v>
      </c>
      <c r="M47" s="182" t="str">
        <f>IF(INDEX(Auction!$H$13:$H$656,MATCH(J47,Auction!$A$13:$A$656,0))&gt;0,"x","")</f>
        <v/>
      </c>
      <c r="N47" s="43">
        <f ca="1">INDEX('RB'!Z$3:Z$138,MATCH(J47,'RB'!$B$3:$B$138,0))</f>
        <v>14.310000000000002</v>
      </c>
      <c r="O47" s="43" t="str">
        <f ca="1">INDEX('RB'!AA$3:AA$138,MATCH(J47,'RB'!$B$3:$B$138,0))</f>
        <v>RB8</v>
      </c>
      <c r="P47" s="49">
        <f ca="1">IF(M47="",IFERROR(N47/(SUMIFS($N$5:$N$64,$N$5:$N$64,"&gt;0",$M$5:$M$64,"")),1),0)</f>
        <v>4.5515194791356925E-3</v>
      </c>
      <c r="Q47" s="50">
        <f ca="1">IF(LeagueInfo!$H$7="Starter/Bench",INDEX('RB'!$T$3:$T$138,MATCH(J47,'RB'!$B$3:$B$138,0))*InflationPct,INDEX('RB'!$AB$3:$AB$138,MATCH(J47,'RB'!$B$3:$B$138,0))*InflationPct)</f>
        <v>5.189289744017425</v>
      </c>
      <c r="S47" s="24" t="s">
        <v>730</v>
      </c>
      <c r="T47" s="58" t="str">
        <f>INDEX(WR!$F$1:$F$183,MATCH(S47,WR!$B$1:$B$183,0))</f>
        <v>GB</v>
      </c>
      <c r="U47" s="29">
        <f>INDEX(WR!$E$1:$E$183,MATCH(S47,WR!$B$1:$B$183,0))</f>
        <v>14</v>
      </c>
      <c r="V47" s="184" t="str">
        <f>IF(INDEX(Auction!$H$13:$H$656,MATCH(S47,Auction!$A$13:$A$656,0))&gt;0,"x","")</f>
        <v/>
      </c>
      <c r="W47" s="25">
        <f ca="1">INDEX(WR!Z$3:Z$183,MATCH(S47,WR!$B$3:$B$183,0))</f>
        <v>11.760000000000005</v>
      </c>
      <c r="X47" s="25" t="str">
        <f ca="1">INDEX(WR!AA$3:AA$183,MATCH(S47,WR!$B$3:$B$183,0))</f>
        <v>WR8</v>
      </c>
      <c r="Y47" s="38">
        <f ca="1">IF(V47="",IFERROR(W47/(SUMIFS($W$5:$W$64,$W$5:$W$64,"&gt;0",$V$5:$V$64,"")),1),0)</f>
        <v>5.9573110035485511E-3</v>
      </c>
      <c r="Z47" s="31">
        <f ca="1">IF(LeagueInfo!$H$7="Starter/Bench",INDEX(WR!$T$3:$T$183,MATCH(S47,WR!$B$3:$B$183,0))*InflationPct,INDEX(WR!$AB$3:$AB$183,MATCH(S47,WR!$B$3:$B$183,0))*InflationPct)</f>
        <v>4.2645735422533146</v>
      </c>
      <c r="AB47" s="24">
        <f t="shared" ca="1" si="1"/>
        <v>43</v>
      </c>
      <c r="AC47" s="107" t="str">
        <f t="shared" ca="1" si="2"/>
        <v>A.J. Brown</v>
      </c>
      <c r="AD47" s="107" t="str">
        <f t="shared" ca="1" si="3"/>
        <v>WR</v>
      </c>
      <c r="AE47" s="110">
        <f ca="1">LARGE(($E$5:$E$34,$E$37:$E$64,$N$5:$N$64,$W$5:$W$64),ROW(AE47)-4)</f>
        <v>55.800000000000026</v>
      </c>
    </row>
    <row r="48" spans="1:31" x14ac:dyDescent="0.25">
      <c r="A48" s="24" t="s">
        <v>587</v>
      </c>
      <c r="B48" s="58" t="str">
        <f>INDEX(TE!F$3:F$113,MATCH(A48,TE!B$3:B$113,0))</f>
        <v>MIA</v>
      </c>
      <c r="C48" s="29">
        <f>INDEX(TE!E$3:E$113,MATCH(A48,TE!B$3:B$113,0))</f>
        <v>11</v>
      </c>
      <c r="D48" s="181" t="str">
        <f>IF(INDEX(Auction!$H$13:$H$656,MATCH(A48,Auction!$A$13:$A$656,0))&gt;0,"x","")</f>
        <v/>
      </c>
      <c r="E48" s="25">
        <f ca="1">INDEX(TE!Z$3:Z$113,MATCH(A48,TE!$B$3:$B$113,0))</f>
        <v>8.1599999999999966</v>
      </c>
      <c r="F48" s="34" t="str">
        <f ca="1">INDEX(TE!AA$3:AA$113,MATCH(A48,TE!$B$3:$B$113,0))</f>
        <v>TE8</v>
      </c>
      <c r="G48" s="39">
        <f ca="1">IF(D48="",IFERROR(E48/(SUMIFS($E$37:$E$64,$E$37:$E$64,"&gt;0",$D$37:$D$64,"")),1),0)</f>
        <v>1.4787296697322523E-2</v>
      </c>
      <c r="H48" s="31">
        <f ca="1">IF(LeagueInfo!$H$7="Starter/Bench",INDEX(TE!$T$3:$T$113,MATCH(A48,TE!$B$3:$B$113,0))*InflationPct,INDEX(TE!$AB$3:$AB$113,MATCH(A48,TE!$B$3:$B$113,0))*InflationPct)</f>
        <v>2.9590918456451547</v>
      </c>
      <c r="I48" s="18"/>
      <c r="J48" s="47" t="s">
        <v>550</v>
      </c>
      <c r="K48" s="56" t="str">
        <f>INDEX('RB'!$F$3:$F$138,MATCH(J48,'RB'!$B$3:$B$138,0))</f>
        <v>IND</v>
      </c>
      <c r="L48" s="48">
        <f>INDEX('RB'!$E$3:$E$138,MATCH(J48,'RB'!$B$3:$B$138,0))</f>
        <v>14</v>
      </c>
      <c r="M48" s="182" t="str">
        <f>IF(INDEX(Auction!$H$13:$H$656,MATCH(J48,Auction!$A$13:$A$656,0))&gt;0,"x","")</f>
        <v/>
      </c>
      <c r="N48" s="43">
        <f ca="1">INDEX('RB'!Z$3:Z$138,MATCH(J48,'RB'!$B$3:$B$138,0))</f>
        <v>13.594999999999999</v>
      </c>
      <c r="O48" s="43" t="str">
        <f ca="1">INDEX('RB'!AA$3:AA$138,MATCH(J48,'RB'!$B$3:$B$138,0))</f>
        <v>RB8</v>
      </c>
      <c r="P48" s="49">
        <f ca="1">IF(M48="",IFERROR(N48/(SUMIFS($N$5:$N$64,$N$5:$N$64,"&gt;0",$M$5:$M$64,"")),1),0)</f>
        <v>4.3241025380048722E-3</v>
      </c>
      <c r="Q48" s="50">
        <f ca="1">IF(LeagueInfo!$H$7="Starter/Bench",INDEX('RB'!$T$3:$T$138,MATCH(J48,'RB'!$B$3:$B$138,0))*InflationPct,INDEX('RB'!$AB$3:$AB$138,MATCH(J48,'RB'!$B$3:$B$138,0))*InflationPct)</f>
        <v>4.9300065737188596</v>
      </c>
      <c r="S48" s="24" t="s">
        <v>796</v>
      </c>
      <c r="T48" s="58" t="str">
        <f>INDEX(WR!$F$1:$F$183,MATCH(S48,WR!$B$1:$B$183,0))</f>
        <v>NE</v>
      </c>
      <c r="U48" s="29">
        <f>INDEX(WR!$E$1:$E$183,MATCH(S48,WR!$B$1:$B$183,0))</f>
        <v>10</v>
      </c>
      <c r="V48" s="184" t="str">
        <f>IF(INDEX(Auction!$H$13:$H$656,MATCH(S48,Auction!$A$13:$A$656,0))&gt;0,"x","")</f>
        <v/>
      </c>
      <c r="W48" s="25">
        <f ca="1">INDEX(WR!Z$3:Z$183,MATCH(S48,WR!$B$3:$B$183,0))</f>
        <v>9.180000000000021</v>
      </c>
      <c r="X48" s="25" t="str">
        <f ca="1">INDEX(WR!AA$3:AA$183,MATCH(S48,WR!$B$3:$B$183,0))</f>
        <v>WR8</v>
      </c>
      <c r="Y48" s="38">
        <f ca="1">IF(V48="",IFERROR(W48/(SUMIFS($W$5:$W$64,$W$5:$W$64,"&gt;0",$V$5:$V$64,"")),1),0)</f>
        <v>4.6503499160353567E-3</v>
      </c>
      <c r="Z48" s="31">
        <f ca="1">IF(LeagueInfo!$H$7="Starter/Bench",INDEX(WR!$T$3:$T$183,MATCH(S48,WR!$B$3:$B$183,0))*InflationPct,INDEX(WR!$AB$3:$AB$183,MATCH(S48,WR!$B$3:$B$183,0))*InflationPct)</f>
        <v>3.3289783263508084</v>
      </c>
      <c r="AB48" s="24">
        <f t="shared" ca="1" si="1"/>
        <v>44</v>
      </c>
      <c r="AC48" s="107" t="str">
        <f t="shared" ca="1" si="2"/>
        <v>Keenan Allen</v>
      </c>
      <c r="AD48" s="107" t="str">
        <f t="shared" ca="1" si="3"/>
        <v>WR</v>
      </c>
      <c r="AE48" s="110">
        <f ca="1">LARGE(($E$5:$E$34,$E$37:$E$64,$N$5:$N$64,$W$5:$W$64),ROW(AE48)-4)</f>
        <v>53.510000000000034</v>
      </c>
    </row>
    <row r="49" spans="1:31" x14ac:dyDescent="0.25">
      <c r="A49" s="24" t="s">
        <v>416</v>
      </c>
      <c r="B49" s="58" t="str">
        <f>INDEX(TE!F$3:F$113,MATCH(A49,TE!B$3:B$113,0))</f>
        <v>LAR</v>
      </c>
      <c r="C49" s="29">
        <f>INDEX(TE!E$3:E$113,MATCH(A49,TE!B$3:B$113,0))</f>
        <v>7</v>
      </c>
      <c r="D49" s="181" t="str">
        <f>IF(INDEX(Auction!$H$13:$H$656,MATCH(A49,Auction!$A$13:$A$656,0))&gt;0,"x","")</f>
        <v/>
      </c>
      <c r="E49" s="25">
        <f ca="1">INDEX(TE!Z$3:Z$113,MATCH(A49,TE!$B$3:$B$113,0))</f>
        <v>6.9250000000000043</v>
      </c>
      <c r="F49" s="34" t="str">
        <f ca="1">INDEX(TE!AA$3:AA$113,MATCH(A49,TE!$B$3:$B$113,0))</f>
        <v>TE8</v>
      </c>
      <c r="G49" s="39">
        <f ca="1">IF(D49="",IFERROR(E49/(SUMIFS($E$37:$E$64,$E$37:$E$64,"&gt;0",$D$37:$D$64,"")),1),0)</f>
        <v>1.2549268336882179E-2</v>
      </c>
      <c r="H49" s="31">
        <f ca="1">IF(LeagueInfo!$H$7="Starter/Bench",INDEX(TE!$T$3:$T$113,MATCH(A49,TE!$B$3:$B$113,0))*InflationPct,INDEX(TE!$AB$3:$AB$113,MATCH(A49,TE!$B$3:$B$113,0))*InflationPct)</f>
        <v>2.5112390969476368</v>
      </c>
      <c r="I49" s="23"/>
      <c r="J49" s="47" t="s">
        <v>184</v>
      </c>
      <c r="K49" s="56" t="str">
        <f>INDEX('RB'!$F$3:$F$138,MATCH(J49,'RB'!$B$3:$B$138,0))</f>
        <v>DET</v>
      </c>
      <c r="L49" s="48">
        <f>INDEX('RB'!$E$3:$E$138,MATCH(J49,'RB'!$B$3:$B$138,0))</f>
        <v>6</v>
      </c>
      <c r="M49" s="182" t="str">
        <f>IF(INDEX(Auction!$H$13:$H$656,MATCH(J49,Auction!$A$13:$A$656,0))&gt;0,"x","")</f>
        <v/>
      </c>
      <c r="N49" s="43">
        <f ca="1">INDEX('RB'!Z$3:Z$138,MATCH(J49,'RB'!$B$3:$B$138,0))</f>
        <v>13.179999999999993</v>
      </c>
      <c r="O49" s="43" t="str">
        <f ca="1">INDEX('RB'!AA$3:AA$138,MATCH(J49,'RB'!$B$3:$B$138,0))</f>
        <v>RB8</v>
      </c>
      <c r="P49" s="49">
        <f ca="1">IF(M49="",IFERROR(N49/(SUMIFS($N$5:$N$64,$N$5:$N$64,"&gt;0",$M$5:$M$64,"")),1),0)</f>
        <v>4.1921052924534154E-3</v>
      </c>
      <c r="Q49" s="50">
        <f ca="1">IF(LeagueInfo!$H$7="Starter/Bench",INDEX('RB'!$T$3:$T$138,MATCH(J49,'RB'!$B$3:$B$138,0))*InflationPct,INDEX('RB'!$AB$3:$AB$138,MATCH(J49,'RB'!$B$3:$B$138,0))*InflationPct)</f>
        <v>4.7795135448043053</v>
      </c>
      <c r="S49" s="24" t="s">
        <v>2411</v>
      </c>
      <c r="T49" s="58" t="str">
        <f>INDEX(WR!$F$1:$F$183,MATCH(S49,WR!$B$1:$B$183,0))</f>
        <v>TEN</v>
      </c>
      <c r="U49" s="29">
        <f>INDEX(WR!$E$1:$E$183,MATCH(S49,WR!$B$1:$B$183,0))</f>
        <v>6</v>
      </c>
      <c r="V49" s="184" t="str">
        <f>IF(INDEX(Auction!$H$13:$H$656,MATCH(S49,Auction!$A$13:$A$656,0))&gt;0,"x","")</f>
        <v/>
      </c>
      <c r="W49" s="25">
        <f ca="1">INDEX(WR!Z$3:Z$183,MATCH(S49,WR!$B$3:$B$183,0))</f>
        <v>8.9050000000000153</v>
      </c>
      <c r="X49" s="25" t="str">
        <f ca="1">INDEX(WR!AA$3:AA$183,MATCH(S49,WR!$B$3:$B$183,0))</f>
        <v>WR8</v>
      </c>
      <c r="Y49" s="38">
        <f ca="1">IF(V49="",IFERROR(W49/(SUMIFS($W$5:$W$64,$W$5:$W$64,"&gt;0",$V$5:$V$64,"")),1),0)</f>
        <v>4.5110420481802652E-3</v>
      </c>
      <c r="Z49" s="31">
        <f ca="1">IF(LeagueInfo!$H$7="Starter/Bench",INDEX(WR!$T$3:$T$183,MATCH(S49,WR!$B$3:$B$183,0))*InflationPct,INDEX(WR!$AB$3:$AB$183,MATCH(S49,WR!$B$3:$B$183,0))*InflationPct)</f>
        <v>3.2292540300821275</v>
      </c>
      <c r="AB49" s="24">
        <f t="shared" ca="1" si="1"/>
        <v>45</v>
      </c>
      <c r="AC49" s="107" t="str">
        <f t="shared" ca="1" si="2"/>
        <v>Kyle Pitts</v>
      </c>
      <c r="AD49" s="107" t="str">
        <f t="shared" ca="1" si="3"/>
        <v>TE</v>
      </c>
      <c r="AE49" s="110">
        <f ca="1">LARGE(($E$5:$E$34,$E$37:$E$64,$N$5:$N$64,$W$5:$W$64),ROW(AE49)-4)</f>
        <v>52.660000000000011</v>
      </c>
    </row>
    <row r="50" spans="1:31" x14ac:dyDescent="0.25">
      <c r="A50" s="24" t="s">
        <v>975</v>
      </c>
      <c r="B50" s="58" t="str">
        <f>INDEX(TE!F$3:F$113,MATCH(A50,TE!B$3:B$113,0))</f>
        <v>PIT</v>
      </c>
      <c r="C50" s="29">
        <f>INDEX(TE!E$3:E$113,MATCH(A50,TE!B$3:B$113,0))</f>
        <v>9</v>
      </c>
      <c r="D50" s="181" t="str">
        <f>IF(INDEX(Auction!$H$13:$H$656,MATCH(A50,Auction!$A$13:$A$656,0))&gt;0,"x","")</f>
        <v/>
      </c>
      <c r="E50" s="25">
        <f ca="1">INDEX(TE!Z$3:Z$113,MATCH(A50,TE!$B$3:$B$113,0))</f>
        <v>6.9249999999999972</v>
      </c>
      <c r="F50" s="34" t="str">
        <f ca="1">INDEX(TE!AA$3:AA$113,MATCH(A50,TE!$B$3:$B$113,0))</f>
        <v>TE8</v>
      </c>
      <c r="G50" s="39">
        <f ca="1">IF(D50="",IFERROR(E50/(SUMIFS($E$37:$E$64,$E$37:$E$64,"&gt;0",$D$37:$D$64,"")),1),0)</f>
        <v>1.2549268336882165E-2</v>
      </c>
      <c r="H50" s="31">
        <f ca="1">IF(LeagueInfo!$H$7="Starter/Bench",INDEX(TE!$T$3:$T$113,MATCH(A50,TE!$B$3:$B$113,0))*InflationPct,INDEX(TE!$AB$3:$AB$113,MATCH(A50,TE!$B$3:$B$113,0))*InflationPct)</f>
        <v>2.5112390969476346</v>
      </c>
      <c r="I50" s="23"/>
      <c r="J50" s="47" t="s">
        <v>930</v>
      </c>
      <c r="K50" s="56" t="str">
        <f>INDEX('RB'!$F$3:$F$138,MATCH(J50,'RB'!$B$3:$B$138,0))</f>
        <v>PHI</v>
      </c>
      <c r="L50" s="48">
        <f>INDEX('RB'!$E$3:$E$138,MATCH(J50,'RB'!$B$3:$B$138,0))</f>
        <v>7</v>
      </c>
      <c r="M50" s="182" t="str">
        <f>IF(INDEX(Auction!$H$13:$H$656,MATCH(J50,Auction!$A$13:$A$656,0))&gt;0,"x","")</f>
        <v/>
      </c>
      <c r="N50" s="43">
        <f ca="1">INDEX('RB'!Z$3:Z$138,MATCH(J50,'RB'!$B$3:$B$138,0))</f>
        <v>12.899999999999991</v>
      </c>
      <c r="O50" s="43" t="str">
        <f ca="1">INDEX('RB'!AA$3:AA$138,MATCH(J50,'RB'!$B$3:$B$138,0))</f>
        <v>RB8</v>
      </c>
      <c r="P50" s="49">
        <f ca="1">IF(M50="",IFERROR(N50/(SUMIFS($N$5:$N$64,$N$5:$N$64,"&gt;0",$M$5:$M$64,"")),1),0)</f>
        <v>4.1030469099126755E-3</v>
      </c>
      <c r="Q50" s="50">
        <f ca="1">IF(LeagueInfo!$H$7="Starter/Bench",INDEX('RB'!$T$3:$T$138,MATCH(J50,'RB'!$B$3:$B$138,0))*InflationPct,INDEX('RB'!$AB$3:$AB$138,MATCH(J50,'RB'!$B$3:$B$138,0))*InflationPct)</f>
        <v>4.6779760795125593</v>
      </c>
      <c r="S50" s="24" t="s">
        <v>109</v>
      </c>
      <c r="T50" s="58" t="str">
        <f>INDEX(WR!$F$1:$F$183,MATCH(S50,WR!$B$1:$B$183,0))</f>
        <v>ARI</v>
      </c>
      <c r="U50" s="29">
        <f>INDEX(WR!$E$1:$E$183,MATCH(S50,WR!$B$1:$B$183,0))</f>
        <v>13</v>
      </c>
      <c r="V50" s="184" t="str">
        <f>IF(INDEX(Auction!$H$13:$H$656,MATCH(S50,Auction!$A$13:$A$656,0))&gt;0,"x","")</f>
        <v/>
      </c>
      <c r="W50" s="25">
        <f ca="1">INDEX(WR!Z$3:Z$183,MATCH(S50,WR!$B$3:$B$183,0))</f>
        <v>8.8000000000000114</v>
      </c>
      <c r="X50" s="25" t="str">
        <f ca="1">INDEX(WR!AA$3:AA$183,MATCH(S50,WR!$B$3:$B$183,0))</f>
        <v>WR8</v>
      </c>
      <c r="Y50" s="38">
        <f ca="1">IF(V50="",IFERROR(W50/(SUMIFS($W$5:$W$64,$W$5:$W$64,"&gt;0",$V$5:$V$64,"")),1),0)</f>
        <v>4.4578517713628647E-3</v>
      </c>
      <c r="Z50" s="31">
        <f ca="1">IF(LeagueInfo!$H$7="Starter/Bench",INDEX(WR!$T$3:$T$183,MATCH(S50,WR!$B$3:$B$183,0))*InflationPct,INDEX(WR!$AB$3:$AB$183,MATCH(S50,WR!$B$3:$B$183,0))*InflationPct)</f>
        <v>3.1911774805977213</v>
      </c>
      <c r="AB50" s="24">
        <f t="shared" ca="1" si="1"/>
        <v>46</v>
      </c>
      <c r="AC50" s="107" t="str">
        <f t="shared" ca="1" si="2"/>
        <v>Miles Sanders</v>
      </c>
      <c r="AD50" s="107" t="str">
        <f t="shared" ca="1" si="3"/>
        <v>RB</v>
      </c>
      <c r="AE50" s="110">
        <f ca="1">LARGE(($E$5:$E$34,$E$37:$E$64,$N$5:$N$64,$W$5:$W$64),ROW(AE50)-4)</f>
        <v>52.184999999999995</v>
      </c>
    </row>
    <row r="51" spans="1:31" x14ac:dyDescent="0.25">
      <c r="A51" s="24" t="s">
        <v>817</v>
      </c>
      <c r="B51" s="58" t="str">
        <f>INDEX(TE!F$3:F$113,MATCH(A51,TE!B$3:B$113,0))</f>
        <v>CHI</v>
      </c>
      <c r="C51" s="29">
        <f>INDEX(TE!E$3:E$113,MATCH(A51,TE!B$3:B$113,0))</f>
        <v>14</v>
      </c>
      <c r="D51" s="181" t="str">
        <f>IF(INDEX(Auction!$H$13:$H$656,MATCH(A51,Auction!$A$13:$A$656,0))&gt;0,"x","")</f>
        <v/>
      </c>
      <c r="E51" s="25">
        <f ca="1">INDEX(TE!Z$3:Z$113,MATCH(A51,TE!$B$3:$B$113,0))</f>
        <v>6.5449999999999946</v>
      </c>
      <c r="F51" s="34" t="str">
        <f ca="1">INDEX(TE!AA$3:AA$113,MATCH(A51,TE!$B$3:$B$113,0))</f>
        <v>TE8</v>
      </c>
      <c r="G51" s="39">
        <f ca="1">IF(D51="",IFERROR(E51/(SUMIFS($E$37:$E$64,$E$37:$E$64,"&gt;0",$D$37:$D$64,"")),1),0)</f>
        <v>1.1860644225977435E-2</v>
      </c>
      <c r="H51" s="31">
        <f ca="1">IF(LeagueInfo!$H$7="Starter/Bench",INDEX(TE!$T$3:$T$113,MATCH(A51,TE!$B$3:$B$113,0))*InflationPct,INDEX(TE!$AB$3:$AB$113,MATCH(A51,TE!$B$3:$B$113,0))*InflationPct)</f>
        <v>2.3734382511945502</v>
      </c>
      <c r="I51" s="23"/>
      <c r="J51" s="47" t="s">
        <v>2451</v>
      </c>
      <c r="K51" s="56" t="str">
        <f>INDEX('RB'!$F$3:$F$138,MATCH(J51,'RB'!$B$3:$B$138,0))</f>
        <v>WAS</v>
      </c>
      <c r="L51" s="48">
        <f>INDEX('RB'!$E$3:$E$138,MATCH(J51,'RB'!$B$3:$B$138,0))</f>
        <v>14</v>
      </c>
      <c r="M51" s="182" t="str">
        <f>IF(INDEX(Auction!$H$13:$H$656,MATCH(J51,Auction!$A$13:$A$656,0))&gt;0,"x","")</f>
        <v/>
      </c>
      <c r="N51" s="43">
        <f ca="1">INDEX('RB'!Z$3:Z$138,MATCH(J51,'RB'!$B$3:$B$138,0))</f>
        <v>11.419999999999995</v>
      </c>
      <c r="O51" s="43" t="str">
        <f ca="1">INDEX('RB'!AA$3:AA$138,MATCH(J51,'RB'!$B$3:$B$138,0))</f>
        <v>RB8</v>
      </c>
      <c r="P51" s="49">
        <f ca="1">IF(M51="",IFERROR(N51/(SUMIFS($N$5:$N$64,$N$5:$N$64,"&gt;0",$M$5:$M$64,"")),1),0)</f>
        <v>3.6323097450544775E-3</v>
      </c>
      <c r="Q51" s="50">
        <f ca="1">IF(LeagueInfo!$H$7="Starter/Bench",INDEX('RB'!$T$3:$T$138,MATCH(J51,'RB'!$B$3:$B$138,0))*InflationPct,INDEX('RB'!$AB$3:$AB$138,MATCH(J51,'RB'!$B$3:$B$138,0))*InflationPct)</f>
        <v>4.1412780486847627</v>
      </c>
      <c r="S51" s="24" t="s">
        <v>954</v>
      </c>
      <c r="T51" s="58" t="str">
        <f>INDEX(WR!$F$1:$F$183,MATCH(S51,WR!$B$1:$B$183,0))</f>
        <v>NYG</v>
      </c>
      <c r="U51" s="29">
        <f>INDEX(WR!$E$1:$E$183,MATCH(S51,WR!$B$1:$B$183,0))</f>
        <v>9</v>
      </c>
      <c r="V51" s="184" t="str">
        <f>IF(INDEX(Auction!$H$13:$H$656,MATCH(S51,Auction!$A$13:$A$656,0))&gt;0,"x","")</f>
        <v/>
      </c>
      <c r="W51" s="25">
        <f ca="1">INDEX(WR!Z$3:Z$183,MATCH(S51,WR!$B$3:$B$183,0))</f>
        <v>8.0250000000000057</v>
      </c>
      <c r="X51" s="25" t="str">
        <f ca="1">INDEX(WR!AA$3:AA$183,MATCH(S51,WR!$B$3:$B$183,0))</f>
        <v>WR8</v>
      </c>
      <c r="Y51" s="38">
        <f ca="1">IF(V51="",IFERROR(W51/(SUMIFS($W$5:$W$64,$W$5:$W$64,"&gt;0",$V$5:$V$64,"")),1),0)</f>
        <v>4.0652568710439737E-3</v>
      </c>
      <c r="Z51" s="31">
        <f ca="1">IF(LeagueInfo!$H$7="Starter/Bench",INDEX(WR!$T$3:$T$183,MATCH(S51,WR!$B$3:$B$183,0))*InflationPct,INDEX(WR!$AB$3:$AB$183,MATCH(S51,WR!$B$3:$B$183,0))*InflationPct)</f>
        <v>2.9101362820223522</v>
      </c>
      <c r="AB51" s="24">
        <f t="shared" ca="1" si="1"/>
        <v>47</v>
      </c>
      <c r="AC51" s="107" t="str">
        <f t="shared" ca="1" si="2"/>
        <v>Darren Waller</v>
      </c>
      <c r="AD51" s="107" t="str">
        <f t="shared" ca="1" si="3"/>
        <v>TE</v>
      </c>
      <c r="AE51" s="110">
        <f ca="1">LARGE(($E$5:$E$34,$E$37:$E$64,$N$5:$N$64,$W$5:$W$64),ROW(AE51)-4)</f>
        <v>50.659999999999982</v>
      </c>
    </row>
    <row r="52" spans="1:31" x14ac:dyDescent="0.25">
      <c r="A52" s="24" t="s">
        <v>740</v>
      </c>
      <c r="B52" s="58" t="str">
        <f>INDEX(TE!F$3:F$113,MATCH(A52,TE!B$3:B$113,0))</f>
        <v>SEA</v>
      </c>
      <c r="C52" s="29">
        <f>INDEX(TE!E$3:E$113,MATCH(A52,TE!B$3:B$113,0))</f>
        <v>11</v>
      </c>
      <c r="D52" s="181" t="str">
        <f>IF(INDEX(Auction!$H$13:$H$656,MATCH(A52,Auction!$A$13:$A$656,0))&gt;0,"x","")</f>
        <v/>
      </c>
      <c r="E52" s="25">
        <f ca="1">INDEX(TE!Z$3:Z$113,MATCH(A52,TE!$B$3:$B$113,0))</f>
        <v>6.1899999999999977</v>
      </c>
      <c r="F52" s="34" t="str">
        <f ca="1">INDEX(TE!AA$3:AA$113,MATCH(A52,TE!$B$3:$B$113,0))</f>
        <v>TE8</v>
      </c>
      <c r="G52" s="39">
        <f ca="1">IF(D52="",IFERROR(E52/(SUMIFS($E$37:$E$64,$E$37:$E$64,"&gt;0",$D$37:$D$64,"")),1),0)</f>
        <v>1.1217324332895394E-2</v>
      </c>
      <c r="H52" s="31">
        <f ca="1">IF(LeagueInfo!$H$7="Starter/Bench",INDEX(TE!$T$3:$T$113,MATCH(A52,TE!$B$3:$B$113,0))*InflationPct,INDEX(TE!$AB$3:$AB$113,MATCH(A52,TE!$B$3:$B$113,0))*InflationPct)</f>
        <v>2.2447032505568028</v>
      </c>
      <c r="I52" s="18"/>
      <c r="J52" s="47" t="s">
        <v>558</v>
      </c>
      <c r="K52" s="56" t="str">
        <f>INDEX('RB'!$F$3:$F$138,MATCH(J52,'RB'!$B$3:$B$138,0))</f>
        <v>WAS</v>
      </c>
      <c r="L52" s="48">
        <f>INDEX('RB'!$E$3:$E$138,MATCH(J52,'RB'!$B$3:$B$138,0))</f>
        <v>14</v>
      </c>
      <c r="M52" s="182" t="str">
        <f>IF(INDEX(Auction!$H$13:$H$656,MATCH(J52,Auction!$A$13:$A$656,0))&gt;0,"x","")</f>
        <v/>
      </c>
      <c r="N52" s="43">
        <f ca="1">INDEX('RB'!Z$3:Z$138,MATCH(J52,'RB'!$B$3:$B$138,0))</f>
        <v>10.975000000000001</v>
      </c>
      <c r="O52" s="43" t="str">
        <f ca="1">INDEX('RB'!AA$3:AA$138,MATCH(J52,'RB'!$B$3:$B$138,0))</f>
        <v>RB8</v>
      </c>
      <c r="P52" s="49">
        <f ca="1">IF(M52="",IFERROR(N52/(SUMIFS($N$5:$N$64,$N$5:$N$64,"&gt;0",$M$5:$M$64,"")),1),0)</f>
        <v>3.4907705299450889E-3</v>
      </c>
      <c r="Q52" s="50">
        <f ca="1">IF(LeagueInfo!$H$7="Starter/Bench",INDEX('RB'!$T$3:$T$138,MATCH(J52,'RB'!$B$3:$B$138,0))*InflationPct,INDEX('RB'!$AB$3:$AB$138,MATCH(J52,'RB'!$B$3:$B$138,0))*InflationPct)</f>
        <v>3.9799060056318125</v>
      </c>
      <c r="S52" s="24" t="s">
        <v>583</v>
      </c>
      <c r="T52" s="58" t="str">
        <f>INDEX(WR!$F$1:$F$183,MATCH(S52,WR!$B$1:$B$183,0))</f>
        <v>TB</v>
      </c>
      <c r="U52" s="29">
        <f>INDEX(WR!$E$1:$E$183,MATCH(S52,WR!$B$1:$B$183,0))</f>
        <v>11</v>
      </c>
      <c r="V52" s="184" t="str">
        <f>IF(INDEX(Auction!$H$13:$H$656,MATCH(S52,Auction!$A$13:$A$656,0))&gt;0,"x","")</f>
        <v/>
      </c>
      <c r="W52" s="25">
        <f ca="1">INDEX(WR!Z$3:Z$183,MATCH(S52,WR!$B$3:$B$183,0))</f>
        <v>6.6299999999999955</v>
      </c>
      <c r="X52" s="25" t="str">
        <f ca="1">INDEX(WR!AA$3:AA$183,MATCH(S52,WR!$B$3:$B$183,0))</f>
        <v>WR8</v>
      </c>
      <c r="Y52" s="38">
        <f ca="1">IF(V52="",IFERROR(W52/(SUMIFS($W$5:$W$64,$W$5:$W$64,"&gt;0",$V$5:$V$64,"")),1),0)</f>
        <v>3.35858605046997E-3</v>
      </c>
      <c r="Z52" s="31">
        <f ca="1">IF(LeagueInfo!$H$7="Starter/Bench",INDEX(WR!$T$3:$T$183,MATCH(S52,WR!$B$3:$B$183,0))*InflationPct,INDEX(WR!$AB$3:$AB$183,MATCH(S52,WR!$B$3:$B$183,0))*InflationPct)</f>
        <v>2.4042621245866878</v>
      </c>
      <c r="AB52" s="24">
        <f t="shared" ca="1" si="1"/>
        <v>48</v>
      </c>
      <c r="AC52" s="107" t="str">
        <f t="shared" ca="1" si="2"/>
        <v>Tom Brady</v>
      </c>
      <c r="AD52" s="107" t="str">
        <f t="shared" ca="1" si="3"/>
        <v>QB</v>
      </c>
      <c r="AE52" s="110">
        <f ca="1">LARGE(($E$5:$E$34,$E$37:$E$64,$N$5:$N$64,$W$5:$W$64),ROW(AE52)-4)</f>
        <v>49.758999999999958</v>
      </c>
    </row>
    <row r="53" spans="1:31" x14ac:dyDescent="0.25">
      <c r="A53" s="24" t="s">
        <v>217</v>
      </c>
      <c r="B53" s="58" t="str">
        <f>INDEX(TE!F$3:F$113,MATCH(A53,TE!B$3:B$113,0))</f>
        <v>CLE</v>
      </c>
      <c r="C53" s="29">
        <f>INDEX(TE!E$3:E$113,MATCH(A53,TE!B$3:B$113,0))</f>
        <v>9</v>
      </c>
      <c r="D53" s="181" t="str">
        <f>IF(INDEX(Auction!$H$13:$H$656,MATCH(A53,Auction!$A$13:$A$656,0))&gt;0,"x","")</f>
        <v/>
      </c>
      <c r="E53" s="25">
        <f ca="1">INDEX(TE!Z$3:Z$113,MATCH(A53,TE!$B$3:$B$113,0))</f>
        <v>3.9299999999999997</v>
      </c>
      <c r="F53" s="34" t="str">
        <f ca="1">INDEX(TE!AA$3:AA$113,MATCH(A53,TE!$B$3:$B$113,0))</f>
        <v>TE8</v>
      </c>
      <c r="G53" s="39">
        <f ca="1">IF(D53="",IFERROR(E53/(SUMIFS($E$37:$E$64,$E$37:$E$64,"&gt;0",$D$37:$D$64,"")),1),0)</f>
        <v>7.1218230417251878E-3</v>
      </c>
      <c r="H53" s="31">
        <f ca="1">IF(LeagueInfo!$H$7="Starter/Bench",INDEX(TE!$T$3:$T$113,MATCH(A53,TE!$B$3:$B$113,0))*InflationPct,INDEX(TE!$AB$3:$AB$113,MATCH(A53,TE!$B$3:$B$113,0))*InflationPct)</f>
        <v>1.4251508521305714</v>
      </c>
      <c r="I53" s="23"/>
      <c r="J53" s="47" t="s">
        <v>666</v>
      </c>
      <c r="K53" s="56" t="str">
        <f>INDEX('RB'!$F$3:$F$138,MATCH(J53,'RB'!$B$3:$B$138,0))</f>
        <v>MIN</v>
      </c>
      <c r="L53" s="48">
        <f>INDEX('RB'!$E$3:$E$138,MATCH(J53,'RB'!$B$3:$B$138,0))</f>
        <v>7</v>
      </c>
      <c r="M53" s="182" t="str">
        <f>IF(INDEX(Auction!$H$13:$H$656,MATCH(J53,Auction!$A$13:$A$656,0))&gt;0,"x","")</f>
        <v/>
      </c>
      <c r="N53" s="43">
        <f ca="1">INDEX('RB'!Z$3:Z$138,MATCH(J53,'RB'!$B$3:$B$138,0))</f>
        <v>7.8349999999999937</v>
      </c>
      <c r="O53" s="43" t="str">
        <f ca="1">INDEX('RB'!AA$3:AA$138,MATCH(J53,'RB'!$B$3:$B$138,0))</f>
        <v>RB8</v>
      </c>
      <c r="P53" s="49">
        <f ca="1">IF(M53="",IFERROR(N53/(SUMIFS($N$5:$N$64,$N$5:$N$64,"&gt;0",$M$5:$M$64,"")),1),0)</f>
        <v>2.4920443828810703E-3</v>
      </c>
      <c r="Q53" s="50">
        <f ca="1">IF(LeagueInfo!$H$7="Starter/Bench",INDEX('RB'!$T$3:$T$138,MATCH(J53,'RB'!$B$3:$B$138,0))*InflationPct,INDEX('RB'!$AB$3:$AB$138,MATCH(J53,'RB'!$B$3:$B$138,0))*InflationPct)</f>
        <v>2.8412358591458062</v>
      </c>
      <c r="S53" s="24" t="s">
        <v>705</v>
      </c>
      <c r="T53" s="58" t="str">
        <f>INDEX(WR!$F$1:$F$183,MATCH(S53,WR!$B$1:$B$183,0))</f>
        <v>KC</v>
      </c>
      <c r="U53" s="29">
        <f>INDEX(WR!$E$1:$E$183,MATCH(S53,WR!$B$1:$B$183,0))</f>
        <v>8</v>
      </c>
      <c r="V53" s="184" t="str">
        <f>IF(INDEX(Auction!$H$13:$H$656,MATCH(S53,Auction!$A$13:$A$656,0))&gt;0,"x","")</f>
        <v/>
      </c>
      <c r="W53" s="25">
        <f ca="1">INDEX(WR!Z$3:Z$183,MATCH(S53,WR!$B$3:$B$183,0))</f>
        <v>5.8650000000000091</v>
      </c>
      <c r="X53" s="25" t="str">
        <f ca="1">INDEX(WR!AA$3:AA$183,MATCH(S53,WR!$B$3:$B$183,0))</f>
        <v>WR8</v>
      </c>
      <c r="Y53" s="38">
        <f ca="1">IF(V53="",IFERROR(W53/(SUMIFS($W$5:$W$64,$W$5:$W$64,"&gt;0",$V$5:$V$64,"")),1),0)</f>
        <v>2.971056890800365E-3</v>
      </c>
      <c r="Z53" s="31">
        <f ca="1">IF(LeagueInfo!$H$7="Starter/Bench",INDEX(WR!$T$3:$T$183,MATCH(S53,WR!$B$3:$B$183,0))*InflationPct,INDEX(WR!$AB$3:$AB$183,MATCH(S53,WR!$B$3:$B$183,0))*InflationPct)</f>
        <v>2.1268472640574592</v>
      </c>
      <c r="AB53" s="24">
        <f t="shared" ca="1" si="1"/>
        <v>49</v>
      </c>
      <c r="AC53" s="107" t="str">
        <f t="shared" ca="1" si="2"/>
        <v>Antonio Gibson</v>
      </c>
      <c r="AD53" s="107" t="str">
        <f t="shared" ca="1" si="3"/>
        <v>RB</v>
      </c>
      <c r="AE53" s="110">
        <f ca="1">LARGE(($E$5:$E$34,$E$37:$E$64,$N$5:$N$64,$W$5:$W$64),ROW(AE53)-4)</f>
        <v>49.515000000000036</v>
      </c>
    </row>
    <row r="54" spans="1:31" x14ac:dyDescent="0.25">
      <c r="A54" s="24" t="s">
        <v>419</v>
      </c>
      <c r="B54" s="58" t="str">
        <f>INDEX(TE!F$3:F$113,MATCH(A54,TE!B$3:B$113,0))</f>
        <v>LAC</v>
      </c>
      <c r="C54" s="29">
        <f>INDEX(TE!E$3:E$113,MATCH(A54,TE!B$3:B$113,0))</f>
        <v>8</v>
      </c>
      <c r="D54" s="181" t="str">
        <f>IF(INDEX(Auction!$H$13:$H$656,MATCH(A54,Auction!$A$13:$A$656,0))&gt;0,"x","")</f>
        <v/>
      </c>
      <c r="E54" s="25">
        <f ca="1">INDEX(TE!Z$3:Z$113,MATCH(A54,TE!$B$3:$B$113,0))</f>
        <v>3.1199999999999974</v>
      </c>
      <c r="F54" s="34" t="str">
        <f ca="1">INDEX(TE!AA$3:AA$113,MATCH(A54,TE!$B$3:$B$113,0))</f>
        <v>TE8</v>
      </c>
      <c r="G54" s="39">
        <f ca="1">IF(D54="",IFERROR(E54/(SUMIFS($E$37:$E$64,$E$37:$E$64,"&gt;0",$D$37:$D$64,"")),1),0)</f>
        <v>5.6539663842703741E-3</v>
      </c>
      <c r="H54" s="31">
        <f ca="1">IF(LeagueInfo!$H$7="Starter/Bench",INDEX(TE!$T$3:$T$113,MATCH(A54,TE!$B$3:$B$113,0))*InflationPct,INDEX(TE!$AB$3:$AB$113,MATCH(A54,TE!$B$3:$B$113,0))*InflationPct)</f>
        <v>1.1314174703937352</v>
      </c>
      <c r="I54" s="23"/>
      <c r="J54" s="47" t="s">
        <v>797</v>
      </c>
      <c r="K54" s="56" t="str">
        <f>INDEX('RB'!$F$3:$F$138,MATCH(J54,'RB'!$B$3:$B$138,0))</f>
        <v>NO</v>
      </c>
      <c r="L54" s="48">
        <f>INDEX('RB'!$E$3:$E$138,MATCH(J54,'RB'!$B$3:$B$138,0))</f>
        <v>14</v>
      </c>
      <c r="M54" s="182" t="str">
        <f>IF(INDEX(Auction!$H$13:$H$656,MATCH(J54,Auction!$A$13:$A$656,0))&gt;0,"x","")</f>
        <v/>
      </c>
      <c r="N54" s="43">
        <f ca="1">INDEX('RB'!Z$3:Z$138,MATCH(J54,'RB'!$B$3:$B$138,0))</f>
        <v>6.2449999999999974</v>
      </c>
      <c r="O54" s="43" t="str">
        <f ca="1">INDEX('RB'!AA$3:AA$138,MATCH(J54,'RB'!$B$3:$B$138,0))</f>
        <v>RB8</v>
      </c>
      <c r="P54" s="49">
        <f ca="1">IF(M54="",IFERROR(N54/(SUMIFS($N$5:$N$64,$N$5:$N$64,"&gt;0",$M$5:$M$64,"")),1),0)</f>
        <v>1.9863199963104389E-3</v>
      </c>
      <c r="Q54" s="50">
        <f ca="1">IF(LeagueInfo!$H$7="Starter/Bench",INDEX('RB'!$T$3:$T$138,MATCH(J54,'RB'!$B$3:$B$138,0))*InflationPct,INDEX('RB'!$AB$3:$AB$138,MATCH(J54,'RB'!$B$3:$B$138,0))*InflationPct)</f>
        <v>2.2646481098105382</v>
      </c>
      <c r="S54" s="24" t="s">
        <v>770</v>
      </c>
      <c r="T54" s="58" t="str">
        <f>INDEX(WR!$F$1:$F$183,MATCH(S54,WR!$B$1:$B$183,0))</f>
        <v>NE</v>
      </c>
      <c r="U54" s="29">
        <f>INDEX(WR!$E$1:$E$183,MATCH(S54,WR!$B$1:$B$183,0))</f>
        <v>10</v>
      </c>
      <c r="V54" s="184" t="str">
        <f>IF(INDEX(Auction!$H$13:$H$656,MATCH(S54,Auction!$A$13:$A$656,0))&gt;0,"x","")</f>
        <v/>
      </c>
      <c r="W54" s="25">
        <f ca="1">INDEX(WR!Z$3:Z$183,MATCH(S54,WR!$B$3:$B$183,0))</f>
        <v>4.8349999999999937</v>
      </c>
      <c r="X54" s="25" t="str">
        <f ca="1">INDEX(WR!AA$3:AA$183,MATCH(S54,WR!$B$3:$B$183,0))</f>
        <v>WR8</v>
      </c>
      <c r="Y54" s="38">
        <f ca="1">IF(V54="",IFERROR(W54/(SUMIFS($W$5:$W$64,$W$5:$W$64,"&gt;0",$V$5:$V$64,"")),1),0)</f>
        <v>2.4492856039249316E-3</v>
      </c>
      <c r="Z54" s="31">
        <f ca="1">IF(LeagueInfo!$H$7="Starter/Bench",INDEX(WR!$T$3:$T$183,MATCH(S54,WR!$B$3:$B$183,0))*InflationPct,INDEX(WR!$AB$3:$AB$183,MATCH(S54,WR!$B$3:$B$183,0))*InflationPct)</f>
        <v>1.7533344453056754</v>
      </c>
      <c r="AB54" s="24">
        <f t="shared" ca="1" si="1"/>
        <v>50</v>
      </c>
      <c r="AC54" s="107" t="str">
        <f t="shared" ca="1" si="2"/>
        <v>Brandin Cooks</v>
      </c>
      <c r="AD54" s="107" t="str">
        <f t="shared" ca="1" si="3"/>
        <v>WR</v>
      </c>
      <c r="AE54" s="110">
        <f ca="1">LARGE(($E$5:$E$34,$E$37:$E$64,$N$5:$N$64,$W$5:$W$64),ROW(AE54)-4)</f>
        <v>48.870000000000019</v>
      </c>
    </row>
    <row r="55" spans="1:31" x14ac:dyDescent="0.25">
      <c r="A55" s="24" t="s">
        <v>747</v>
      </c>
      <c r="B55" s="58" t="str">
        <f>INDEX(TE!F$3:F$113,MATCH(A55,TE!B$3:B$113,0))</f>
        <v>MIN</v>
      </c>
      <c r="C55" s="29">
        <f>INDEX(TE!E$3:E$113,MATCH(A55,TE!B$3:B$113,0))</f>
        <v>7</v>
      </c>
      <c r="D55" s="181" t="str">
        <f>IF(INDEX(Auction!$H$13:$H$656,MATCH(A55,Auction!$A$13:$A$656,0))&gt;0,"x","")</f>
        <v/>
      </c>
      <c r="E55" s="25">
        <f ca="1">INDEX(TE!Z$3:Z$113,MATCH(A55,TE!$B$3:$B$113,0))</f>
        <v>2.5499999999999972</v>
      </c>
      <c r="F55" s="34" t="str">
        <f ca="1">INDEX(TE!AA$3:AA$113,MATCH(A55,TE!$B$3:$B$113,0))</f>
        <v>TE8</v>
      </c>
      <c r="G55" s="39">
        <f ca="1">IF(D55="",IFERROR(E55/(SUMIFS($E$37:$E$64,$E$37:$E$64,"&gt;0",$D$37:$D$64,"")),1),0)</f>
        <v>4.6210302179132854E-3</v>
      </c>
      <c r="H55" s="31">
        <f ca="1">IF(LeagueInfo!$H$7="Starter/Bench",INDEX(TE!$T$3:$T$113,MATCH(A55,TE!$B$3:$B$113,0))*InflationPct,INDEX(TE!$AB$3:$AB$113,MATCH(A55,TE!$B$3:$B$113,0))*InflationPct)</f>
        <v>0.92471620176411018</v>
      </c>
      <c r="I55" s="23"/>
      <c r="J55" s="47" t="s">
        <v>2450</v>
      </c>
      <c r="K55" s="56" t="str">
        <f>INDEX('RB'!$F$3:$F$138,MATCH(J55,'RB'!$B$3:$B$138,0))</f>
        <v>ATL</v>
      </c>
      <c r="L55" s="48">
        <f>INDEX('RB'!$E$3:$E$138,MATCH(J55,'RB'!$B$3:$B$138,0))</f>
        <v>14</v>
      </c>
      <c r="M55" s="182" t="str">
        <f>IF(INDEX(Auction!$H$13:$H$656,MATCH(J55,Auction!$A$13:$A$656,0))&gt;0,"x","")</f>
        <v/>
      </c>
      <c r="N55" s="43">
        <f ca="1">INDEX('RB'!Z$3:Z$138,MATCH(J55,'RB'!$B$3:$B$138,0))</f>
        <v>4.914999999999992</v>
      </c>
      <c r="O55" s="43" t="str">
        <f ca="1">INDEX('RB'!AA$3:AA$138,MATCH(J55,'RB'!$B$3:$B$138,0))</f>
        <v>RB8</v>
      </c>
      <c r="P55" s="49">
        <f ca="1">IF(M55="",IFERROR(N55/(SUMIFS($N$5:$N$64,$N$5:$N$64,"&gt;0",$M$5:$M$64,"")),1),0)</f>
        <v>1.5632926792419209E-3</v>
      </c>
      <c r="Q55" s="50">
        <f ca="1">IF(LeagueInfo!$H$7="Starter/Bench",INDEX('RB'!$T$3:$T$138,MATCH(J55,'RB'!$B$3:$B$138,0))*InflationPct,INDEX('RB'!$AB$3:$AB$138,MATCH(J55,'RB'!$B$3:$B$138,0))*InflationPct)</f>
        <v>1.7823451496747449</v>
      </c>
      <c r="S55" s="24" t="s">
        <v>579</v>
      </c>
      <c r="T55" s="58" t="str">
        <f>INDEX(WR!$F$1:$F$183,MATCH(S55,WR!$B$1:$B$183,0))</f>
        <v>KC</v>
      </c>
      <c r="U55" s="29">
        <f>INDEX(WR!$E$1:$E$183,MATCH(S55,WR!$B$1:$B$183,0))</f>
        <v>8</v>
      </c>
      <c r="V55" s="184" t="str">
        <f>IF(INDEX(Auction!$H$13:$H$656,MATCH(S55,Auction!$A$13:$A$656,0))&gt;0,"x","")</f>
        <v/>
      </c>
      <c r="W55" s="25">
        <f ca="1">INDEX(WR!Z$3:Z$183,MATCH(S55,WR!$B$3:$B$183,0))</f>
        <v>4.1750000000000114</v>
      </c>
      <c r="X55" s="25" t="str">
        <f ca="1">INDEX(WR!AA$3:AA$183,MATCH(S55,WR!$B$3:$B$183,0))</f>
        <v>WR8</v>
      </c>
      <c r="Y55" s="38">
        <f ca="1">IF(V55="",IFERROR(W55/(SUMIFS($W$5:$W$64,$W$5:$W$64,"&gt;0",$V$5:$V$64,"")),1),0)</f>
        <v>2.1149467210727258E-3</v>
      </c>
      <c r="Z55" s="31">
        <f ca="1">IF(LeagueInfo!$H$7="Starter/Bench",INDEX(WR!$T$3:$T$183,MATCH(S55,WR!$B$3:$B$183,0))*InflationPct,INDEX(WR!$AB$3:$AB$183,MATCH(S55,WR!$B$3:$B$183,0))*InflationPct)</f>
        <v>1.513996134260853</v>
      </c>
      <c r="AB55" s="24">
        <f t="shared" ca="1" si="1"/>
        <v>51</v>
      </c>
      <c r="AC55" s="107" t="str">
        <f t="shared" ca="1" si="2"/>
        <v>Mike Williams</v>
      </c>
      <c r="AD55" s="107" t="str">
        <f t="shared" ca="1" si="3"/>
        <v>WR</v>
      </c>
      <c r="AE55" s="110">
        <f ca="1">LARGE(($E$5:$E$34,$E$37:$E$64,$N$5:$N$64,$W$5:$W$64),ROW(AE55)-4)</f>
        <v>48.40000000000002</v>
      </c>
    </row>
    <row r="56" spans="1:31" x14ac:dyDescent="0.25">
      <c r="A56" s="24" t="s">
        <v>437</v>
      </c>
      <c r="B56" s="58" t="str">
        <f>INDEX(TE!F$3:F$113,MATCH(A56,TE!B$3:B$113,0))</f>
        <v>WAS</v>
      </c>
      <c r="C56" s="29">
        <f>INDEX(TE!E$3:E$113,MATCH(A56,TE!B$3:B$113,0))</f>
        <v>14</v>
      </c>
      <c r="D56" s="181" t="str">
        <f>IF(INDEX(Auction!$H$13:$H$656,MATCH(A56,Auction!$A$13:$A$656,0))&gt;0,"x","")</f>
        <v/>
      </c>
      <c r="E56" s="25">
        <f ca="1">INDEX(TE!Z$3:Z$113,MATCH(A56,TE!$B$3:$B$113,0))</f>
        <v>0.18999999999999773</v>
      </c>
      <c r="F56" s="34" t="str">
        <f ca="1">INDEX(TE!AA$3:AA$113,MATCH(A56,TE!$B$3:$B$113,0))</f>
        <v>TE9</v>
      </c>
      <c r="G56" s="39">
        <f ca="1">IF(D56="",IFERROR(E56/(SUMIFS($E$37:$E$64,$E$37:$E$64,"&gt;0",$D$37:$D$64,"")),1),0)</f>
        <v>3.4431205545235868E-4</v>
      </c>
      <c r="H56" s="31">
        <f ca="1">IF(LeagueInfo!$H$7="Starter/Bench",INDEX(TE!$T$3:$T$113,MATCH(A56,TE!$B$3:$B$113,0))*InflationPct,INDEX(TE!$AB$3:$AB$113,MATCH(A56,TE!$B$3:$B$113,0))*InflationPct)</f>
        <v>6.8900422876540801E-2</v>
      </c>
      <c r="I56" s="23"/>
      <c r="J56" s="47" t="s">
        <v>329</v>
      </c>
      <c r="K56" s="56" t="str">
        <f>INDEX('RB'!$F$3:$F$138,MATCH(J56,'RB'!$B$3:$B$138,0))</f>
        <v>HOU</v>
      </c>
      <c r="L56" s="48">
        <f>INDEX('RB'!$E$3:$E$138,MATCH(J56,'RB'!$B$3:$B$138,0))</f>
        <v>6</v>
      </c>
      <c r="M56" s="182" t="str">
        <f>IF(INDEX(Auction!$H$13:$H$656,MATCH(J56,Auction!$A$13:$A$656,0))&gt;0,"x","")</f>
        <v/>
      </c>
      <c r="N56" s="43">
        <f ca="1">INDEX('RB'!Z$3:Z$138,MATCH(J56,'RB'!$B$3:$B$138,0))</f>
        <v>4.3499999999999943</v>
      </c>
      <c r="O56" s="43" t="str">
        <f ca="1">INDEX('RB'!AA$3:AA$138,MATCH(J56,'RB'!$B$3:$B$138,0))</f>
        <v>RB8</v>
      </c>
      <c r="P56" s="49">
        <f ca="1">IF(M56="",IFERROR(N56/(SUMIFS($N$5:$N$64,$N$5:$N$64,"&gt;0",$M$5:$M$64,"")),1),0)</f>
        <v>1.383585585900785E-3</v>
      </c>
      <c r="Q56" s="50">
        <f ca="1">IF(LeagueInfo!$H$7="Starter/Bench",INDEX('RB'!$T$3:$T$138,MATCH(J56,'RB'!$B$3:$B$138,0))*InflationPct,INDEX('RB'!$AB$3:$AB$138,MATCH(J56,'RB'!$B$3:$B$138,0))*InflationPct)</f>
        <v>1.5774570500681877</v>
      </c>
      <c r="S56" s="24" t="s">
        <v>372</v>
      </c>
      <c r="T56" s="58" t="str">
        <f>INDEX(WR!$F$1:$F$183,MATCH(S56,WR!$B$1:$B$183,0))</f>
        <v>CIN</v>
      </c>
      <c r="U56" s="29">
        <f>INDEX(WR!$E$1:$E$183,MATCH(S56,WR!$B$1:$B$183,0))</f>
        <v>10</v>
      </c>
      <c r="V56" s="184" t="str">
        <f>IF(INDEX(Auction!$H$13:$H$656,MATCH(S56,Auction!$A$13:$A$656,0))&gt;0,"x","")</f>
        <v/>
      </c>
      <c r="W56" s="25">
        <f ca="1">INDEX(WR!Z$3:Z$183,MATCH(S56,WR!$B$3:$B$183,0))</f>
        <v>3.7150000000000176</v>
      </c>
      <c r="X56" s="25" t="str">
        <f ca="1">INDEX(WR!AA$3:AA$183,MATCH(S56,WR!$B$3:$B$183,0))</f>
        <v>WR8</v>
      </c>
      <c r="Y56" s="38">
        <f ca="1">IF(V56="",IFERROR(W56/(SUMIFS($W$5:$W$64,$W$5:$W$64,"&gt;0",$V$5:$V$64,"")),1),0)</f>
        <v>1.8819226512060343E-3</v>
      </c>
      <c r="Z56" s="31">
        <f ca="1">IF(LeagueInfo!$H$7="Starter/Bench",INDEX(WR!$T$3:$T$183,MATCH(S56,WR!$B$3:$B$183,0))*InflationPct,INDEX(WR!$AB$3:$AB$183,MATCH(S56,WR!$B$3:$B$183,0))*InflationPct)</f>
        <v>1.3471845841387018</v>
      </c>
      <c r="AB56" s="24">
        <f t="shared" ca="1" si="1"/>
        <v>52</v>
      </c>
      <c r="AC56" s="107" t="str">
        <f t="shared" ca="1" si="2"/>
        <v>DJ Moore</v>
      </c>
      <c r="AD56" s="107" t="str">
        <f t="shared" ca="1" si="3"/>
        <v>WR</v>
      </c>
      <c r="AE56" s="110">
        <f ca="1">LARGE(($E$5:$E$34,$E$37:$E$64,$N$5:$N$64,$W$5:$W$64),ROW(AE56)-4)</f>
        <v>47.820000000000036</v>
      </c>
    </row>
    <row r="57" spans="1:31" x14ac:dyDescent="0.25">
      <c r="A57" s="24" t="s">
        <v>826</v>
      </c>
      <c r="B57" s="58" t="str">
        <f>INDEX(TE!F$3:F$113,MATCH(A57,TE!B$3:B$113,0))</f>
        <v>DEN</v>
      </c>
      <c r="C57" s="29">
        <f>INDEX(TE!E$3:E$113,MATCH(A57,TE!B$3:B$113,0))</f>
        <v>9</v>
      </c>
      <c r="D57" s="181" t="str">
        <f>IF(INDEX(Auction!$H$13:$H$656,MATCH(A57,Auction!$A$13:$A$656,0))&gt;0,"x","")</f>
        <v/>
      </c>
      <c r="E57" s="25">
        <f ca="1">INDEX(TE!Z$3:Z$113,MATCH(A57,TE!$B$3:$B$113,0))</f>
        <v>0.16499999999999915</v>
      </c>
      <c r="F57" s="34" t="str">
        <f ca="1">INDEX(TE!AA$3:AA$113,MATCH(A57,TE!$B$3:$B$113,0))</f>
        <v>TE9</v>
      </c>
      <c r="G57" s="39">
        <f ca="1">IF(D57="",IFERROR(E57/(SUMIFS($E$37:$E$64,$E$37:$E$64,"&gt;0",$D$37:$D$64,"")),1),0)</f>
        <v>2.9900783762968193E-4</v>
      </c>
      <c r="H57" s="31">
        <f ca="1">IF(LeagueInfo!$H$7="Starter/Bench",INDEX(TE!$T$3:$T$113,MATCH(A57,TE!$B$3:$B$113,0))*InflationPct,INDEX(TE!$AB$3:$AB$113,MATCH(A57,TE!$B$3:$B$113,0))*InflationPct)</f>
        <v>5.9834577761206889E-2</v>
      </c>
      <c r="I57" s="23"/>
      <c r="J57" s="47" t="s">
        <v>2448</v>
      </c>
      <c r="K57" s="56" t="str">
        <f>INDEX('RB'!$F$3:$F$138,MATCH(J57,'RB'!$B$3:$B$138,0))</f>
        <v>TB</v>
      </c>
      <c r="L57" s="48">
        <f>INDEX('RB'!$E$3:$E$138,MATCH(J57,'RB'!$B$3:$B$138,0))</f>
        <v>11</v>
      </c>
      <c r="M57" s="182" t="str">
        <f>IF(INDEX(Auction!$H$13:$H$656,MATCH(J57,Auction!$A$13:$A$656,0))&gt;0,"x","")</f>
        <v/>
      </c>
      <c r="N57" s="43">
        <f ca="1">INDEX('RB'!Z$3:Z$138,MATCH(J57,'RB'!$B$3:$B$138,0))</f>
        <v>3.4399999999999977</v>
      </c>
      <c r="O57" s="43" t="str">
        <f ca="1">INDEX('RB'!AA$3:AA$138,MATCH(J57,'RB'!$B$3:$B$138,0))</f>
        <v>RB9</v>
      </c>
      <c r="P57" s="49">
        <f ca="1">IF(M57="",IFERROR(N57/(SUMIFS($N$5:$N$64,$N$5:$N$64,"&gt;0",$M$5:$M$64,"")),1),0)</f>
        <v>1.0941458426433801E-3</v>
      </c>
      <c r="Q57" s="50">
        <f ca="1">IF(LeagueInfo!$H$7="Starter/Bench",INDEX('RB'!$T$3:$T$138,MATCH(J57,'RB'!$B$3:$B$138,0))*InflationPct,INDEX('RB'!$AB$3:$AB$138,MATCH(J57,'RB'!$B$3:$B$138,0))*InflationPct)</f>
        <v>1.2474602878700158</v>
      </c>
      <c r="S57" s="24" t="s">
        <v>370</v>
      </c>
      <c r="T57" s="58" t="str">
        <f>INDEX(WR!$F$1:$F$183,MATCH(S57,WR!$B$1:$B$183,0))</f>
        <v>NYG</v>
      </c>
      <c r="U57" s="29">
        <f>INDEX(WR!$E$1:$E$183,MATCH(S57,WR!$B$1:$B$183,0))</f>
        <v>9</v>
      </c>
      <c r="V57" s="184" t="str">
        <f>IF(INDEX(Auction!$H$13:$H$656,MATCH(S57,Auction!$A$13:$A$656,0))&gt;0,"x","")</f>
        <v/>
      </c>
      <c r="W57" s="25">
        <f ca="1">INDEX(WR!Z$3:Z$183,MATCH(S57,WR!$B$3:$B$183,0))</f>
        <v>2.5150000000000006</v>
      </c>
      <c r="X57" s="25" t="str">
        <f ca="1">INDEX(WR!AA$3:AA$183,MATCH(S57,WR!$B$3:$B$183,0))</f>
        <v>WR8</v>
      </c>
      <c r="Y57" s="38">
        <f ca="1">IF(V57="",IFERROR(W57/(SUMIFS($W$5:$W$64,$W$5:$W$64,"&gt;0",$V$5:$V$64,"")),1),0)</f>
        <v>1.2740337732929084E-3</v>
      </c>
      <c r="Z57" s="31">
        <f ca="1">IF(LeagueInfo!$H$7="Starter/Bench",INDEX(WR!$T$3:$T$183,MATCH(S57,WR!$B$3:$B$183,0))*InflationPct,INDEX(WR!$AB$3:$AB$183,MATCH(S57,WR!$B$3:$B$183,0))*InflationPct)</f>
        <v>0.91202401860264326</v>
      </c>
      <c r="AB57" s="24">
        <f t="shared" ca="1" si="1"/>
        <v>53</v>
      </c>
      <c r="AC57" s="107" t="str">
        <f t="shared" ca="1" si="2"/>
        <v>Dak Prescott</v>
      </c>
      <c r="AD57" s="107" t="str">
        <f t="shared" ca="1" si="3"/>
        <v>QB</v>
      </c>
      <c r="AE57" s="110">
        <f ca="1">LARGE(($E$5:$E$34,$E$37:$E$64,$N$5:$N$64,$W$5:$W$64),ROW(AE57)-4)</f>
        <v>46.199000000000012</v>
      </c>
    </row>
    <row r="58" spans="1:31" x14ac:dyDescent="0.25">
      <c r="A58" s="24" t="s">
        <v>757</v>
      </c>
      <c r="B58" s="58" t="str">
        <f>INDEX(TE!F$3:F$113,MATCH(A58,TE!B$3:B$113,0))</f>
        <v>GB</v>
      </c>
      <c r="C58" s="29">
        <f>INDEX(TE!E$3:E$113,MATCH(A58,TE!B$3:B$113,0))</f>
        <v>14</v>
      </c>
      <c r="D58" s="181" t="str">
        <f>IF(INDEX(Auction!$H$13:$H$656,MATCH(A58,Auction!$A$13:$A$656,0))&gt;0,"x","")</f>
        <v/>
      </c>
      <c r="E58" s="25">
        <f ca="1">INDEX(TE!Z$3:Z$113,MATCH(A58,TE!$B$3:$B$113,0))</f>
        <v>2.4999999999991473E-2</v>
      </c>
      <c r="F58" s="34" t="str">
        <f ca="1">INDEX(TE!AA$3:AA$113,MATCH(A58,TE!$B$3:$B$113,0))</f>
        <v>TE9</v>
      </c>
      <c r="G58" s="39">
        <f ca="1">IF(D58="",IFERROR(E58/(SUMIFS($E$37:$E$64,$E$37:$E$64,"&gt;0",$D$37:$D$64,"")),1),0)</f>
        <v>4.5304217822663862E-5</v>
      </c>
      <c r="H58" s="31">
        <f ca="1">IF(LeagueInfo!$H$7="Starter/Bench",INDEX(TE!$T$3:$T$113,MATCH(A58,TE!$B$3:$B$113,0))*InflationPct,INDEX(TE!$AB$3:$AB$113,MATCH(A58,TE!$B$3:$B$113,0))*InflationPct)</f>
        <v>9.0658451153313325E-3</v>
      </c>
      <c r="I58" s="23"/>
      <c r="J58" s="47" t="s">
        <v>940</v>
      </c>
      <c r="K58" s="56" t="str">
        <f>INDEX('RB'!$F$3:$F$138,MATCH(J58,'RB'!$B$3:$B$138,0))</f>
        <v>CHI</v>
      </c>
      <c r="L58" s="48">
        <f>INDEX('RB'!$E$3:$E$138,MATCH(J58,'RB'!$B$3:$B$138,0))</f>
        <v>14</v>
      </c>
      <c r="M58" s="182" t="str">
        <f>IF(INDEX(Auction!$H$13:$H$656,MATCH(J58,Auction!$A$13:$A$656,0))&gt;0,"x","")</f>
        <v/>
      </c>
      <c r="N58" s="43">
        <f ca="1">INDEX('RB'!Z$3:Z$138,MATCH(J58,'RB'!$B$3:$B$138,0))</f>
        <v>0</v>
      </c>
      <c r="O58" s="43" t="str">
        <f ca="1">INDEX('RB'!AA$3:AA$138,MATCH(J58,'RB'!$B$3:$B$138,0))</f>
        <v>RB9</v>
      </c>
      <c r="P58" s="49">
        <f ca="1">IF(M58="",IFERROR(N58/(SUMIFS($N$5:$N$64,$N$5:$N$64,"&gt;0",$M$5:$M$64,"")),1),0)</f>
        <v>0</v>
      </c>
      <c r="Q58" s="50">
        <f ca="1">IF(LeagueInfo!$H$7="Starter/Bench",INDEX('RB'!$T$3:$T$138,MATCH(J58,'RB'!$B$3:$B$138,0))*InflationPct,INDEX('RB'!$AB$3:$AB$138,MATCH(J58,'RB'!$B$3:$B$138,0))*InflationPct)</f>
        <v>0</v>
      </c>
      <c r="S58" s="24" t="s">
        <v>947</v>
      </c>
      <c r="T58" s="58" t="str">
        <f>INDEX(WR!$F$1:$F$183,MATCH(S58,WR!$B$1:$B$183,0))</f>
        <v>JAC</v>
      </c>
      <c r="U58" s="29">
        <f>INDEX(WR!$E$1:$E$183,MATCH(S58,WR!$B$1:$B$183,0))</f>
        <v>11</v>
      </c>
      <c r="V58" s="184" t="str">
        <f>IF(INDEX(Auction!$H$13:$H$656,MATCH(S58,Auction!$A$13:$A$656,0))&gt;0,"x","")</f>
        <v/>
      </c>
      <c r="W58" s="25">
        <f ca="1">INDEX(WR!Z$3:Z$183,MATCH(S58,WR!$B$3:$B$183,0))</f>
        <v>2.2450000000000045</v>
      </c>
      <c r="X58" s="25" t="str">
        <f ca="1">INDEX(WR!AA$3:AA$183,MATCH(S58,WR!$B$3:$B$183,0))</f>
        <v>WR8</v>
      </c>
      <c r="Y58" s="38">
        <f ca="1">IF(V58="",IFERROR(W58/(SUMIFS($W$5:$W$64,$W$5:$W$64,"&gt;0",$V$5:$V$64,"")),1),0)</f>
        <v>1.137258775762459E-3</v>
      </c>
      <c r="Z58" s="31">
        <f ca="1">IF(LeagueInfo!$H$7="Starter/Bench",INDEX(WR!$T$3:$T$183,MATCH(S58,WR!$B$3:$B$183,0))*InflationPct,INDEX(WR!$AB$3:$AB$183,MATCH(S58,WR!$B$3:$B$183,0))*InflationPct)</f>
        <v>0.81411289135703291</v>
      </c>
      <c r="AB58" s="24">
        <f t="shared" ca="1" si="1"/>
        <v>54</v>
      </c>
      <c r="AC58" s="107" t="str">
        <f t="shared" ca="1" si="2"/>
        <v>AJ Dillon</v>
      </c>
      <c r="AD58" s="107" t="str">
        <f t="shared" ca="1" si="3"/>
        <v>RB</v>
      </c>
      <c r="AE58" s="110">
        <f ca="1">LARGE(($E$5:$E$34,$E$37:$E$64,$N$5:$N$64,$W$5:$W$64),ROW(AE58)-4)</f>
        <v>45.385000000000012</v>
      </c>
    </row>
    <row r="59" spans="1:31" x14ac:dyDescent="0.25">
      <c r="A59" s="24" t="s">
        <v>223</v>
      </c>
      <c r="B59" s="58" t="str">
        <f>INDEX(TE!F$3:F$113,MATCH(A59,TE!B$3:B$113,0))</f>
        <v>JAC</v>
      </c>
      <c r="C59" s="29">
        <f>INDEX(TE!E$3:E$113,MATCH(A59,TE!B$3:B$113,0))</f>
        <v>11</v>
      </c>
      <c r="D59" s="181" t="str">
        <f>IF(INDEX(Auction!$H$13:$H$656,MATCH(A59,Auction!$A$13:$A$656,0))&gt;0,"x","")</f>
        <v/>
      </c>
      <c r="E59" s="25">
        <f ca="1">INDEX(TE!Z$3:Z$113,MATCH(A59,TE!$B$3:$B$113,0))</f>
        <v>0</v>
      </c>
      <c r="F59" s="34" t="str">
        <f ca="1">INDEX(TE!AA$3:AA$113,MATCH(A59,TE!$B$3:$B$113,0))</f>
        <v>TE9</v>
      </c>
      <c r="G59" s="39">
        <f ca="1">IF(D59="",IFERROR(E59/(SUMIFS($E$37:$E$64,$E$37:$E$64,"&gt;0",$D$37:$D$64,"")),1),0)</f>
        <v>0</v>
      </c>
      <c r="H59" s="31">
        <f ca="1">IF(LeagueInfo!$H$7="Starter/Bench",INDEX(TE!$T$3:$T$113,MATCH(A59,TE!$B$3:$B$113,0))*InflationPct,INDEX(TE!$AB$3:$AB$113,MATCH(A59,TE!$B$3:$B$113,0))*InflationPct)</f>
        <v>0</v>
      </c>
      <c r="I59" s="18"/>
      <c r="J59" s="47" t="s">
        <v>333</v>
      </c>
      <c r="K59" s="56" t="str">
        <f>INDEX('RB'!$F$3:$F$138,MATCH(J59,'RB'!$B$3:$B$138,0))</f>
        <v>KC</v>
      </c>
      <c r="L59" s="48">
        <f>INDEX('RB'!$E$3:$E$138,MATCH(J59,'RB'!$B$3:$B$138,0))</f>
        <v>8</v>
      </c>
      <c r="M59" s="182" t="str">
        <f>IF(INDEX(Auction!$H$13:$H$656,MATCH(J59,Auction!$A$13:$A$656,0))&gt;0,"x","")</f>
        <v/>
      </c>
      <c r="N59" s="43">
        <f ca="1">INDEX('RB'!Z$3:Z$138,MATCH(J59,'RB'!$B$3:$B$138,0))</f>
        <v>-3.2850000000000037</v>
      </c>
      <c r="O59" s="43" t="str">
        <f ca="1">INDEX('RB'!AA$3:AA$138,MATCH(J59,'RB'!$B$3:$B$138,0))</f>
        <v>RB9</v>
      </c>
      <c r="P59" s="49">
        <f ca="1">IF(M59="",IFERROR(N59/(SUMIFS($N$5:$N$64,$N$5:$N$64,"&gt;0",$M$5:$M$64,"")),1),0)</f>
        <v>-1.0448456665940436E-3</v>
      </c>
      <c r="Q59" s="50">
        <f ca="1">IF(LeagueInfo!$H$7="Starter/Bench",INDEX('RB'!$T$3:$T$138,MATCH(J59,'RB'!$B$3:$B$138,0))*InflationPct,INDEX('RB'!$AB$3:$AB$138,MATCH(J59,'RB'!$B$3:$B$138,0))*InflationPct)</f>
        <v>-1.1912520481549447</v>
      </c>
      <c r="S59" s="24" t="s">
        <v>567</v>
      </c>
      <c r="T59" s="58" t="str">
        <f>INDEX(WR!$F$1:$F$183,MATCH(S59,WR!$B$1:$B$183,0))</f>
        <v>DAL</v>
      </c>
      <c r="U59" s="29">
        <f>INDEX(WR!$E$1:$E$183,MATCH(S59,WR!$B$1:$B$183,0))</f>
        <v>9</v>
      </c>
      <c r="V59" s="184" t="str">
        <f>IF(INDEX(Auction!$H$13:$H$656,MATCH(S59,Auction!$A$13:$A$656,0))&gt;0,"x","")</f>
        <v/>
      </c>
      <c r="W59" s="25">
        <f ca="1">INDEX(WR!Z$3:Z$183,MATCH(S59,WR!$B$3:$B$183,0))</f>
        <v>1.9800000000000111</v>
      </c>
      <c r="X59" s="25" t="str">
        <f ca="1">INDEX(WR!AA$3:AA$183,MATCH(S59,WR!$B$3:$B$183,0))</f>
        <v>WR9</v>
      </c>
      <c r="Y59" s="38">
        <f ca="1">IF(V59="",IFERROR(W59/(SUMIFS($W$5:$W$64,$W$5:$W$64,"&gt;0",$V$5:$V$64,"")),1),0)</f>
        <v>1.0030166485566489E-3</v>
      </c>
      <c r="Z59" s="31">
        <f ca="1">IF(LeagueInfo!$H$7="Starter/Bench",INDEX(WR!$T$3:$T$183,MATCH(S59,WR!$B$3:$B$183,0))*InflationPct,INDEX(WR!$AB$3:$AB$183,MATCH(S59,WR!$B$3:$B$183,0))*InflationPct)</f>
        <v>0.71801493313449039</v>
      </c>
      <c r="AB59" s="24">
        <f t="shared" ca="1" si="1"/>
        <v>55</v>
      </c>
      <c r="AC59" s="107" t="str">
        <f t="shared" ca="1" si="2"/>
        <v>Diontae Johnson</v>
      </c>
      <c r="AD59" s="107" t="str">
        <f t="shared" ca="1" si="3"/>
        <v>WR</v>
      </c>
      <c r="AE59" s="110">
        <f ca="1">LARGE(($E$5:$E$34,$E$37:$E$64,$N$5:$N$64,$W$5:$W$64),ROW(AE59)-4)</f>
        <v>45.120000000000019</v>
      </c>
    </row>
    <row r="60" spans="1:31" x14ac:dyDescent="0.25">
      <c r="A60" s="24" t="s">
        <v>228</v>
      </c>
      <c r="B60" s="58" t="str">
        <f>INDEX(TE!F$3:F$113,MATCH(A60,TE!B$3:B$113,0))</f>
        <v>TEN</v>
      </c>
      <c r="C60" s="29">
        <f>INDEX(TE!E$3:E$113,MATCH(A60,TE!B$3:B$113,0))</f>
        <v>6</v>
      </c>
      <c r="D60" s="181" t="str">
        <f>IF(INDEX(Auction!$H$13:$H$656,MATCH(A60,Auction!$A$13:$A$656,0))&gt;0,"x","")</f>
        <v/>
      </c>
      <c r="E60" s="25">
        <f ca="1">INDEX(TE!Z$3:Z$113,MATCH(A60,TE!$B$3:$B$113,0))</f>
        <v>-1.8150000000000048</v>
      </c>
      <c r="F60" s="34" t="str">
        <f ca="1">INDEX(TE!AA$3:AA$113,MATCH(A60,TE!$B$3:$B$113,0))</f>
        <v>TE9</v>
      </c>
      <c r="G60" s="39">
        <f ca="1">IF(D60="",IFERROR(E60/(SUMIFS($E$37:$E$64,$E$37:$E$64,"&gt;0",$D$37:$D$64,"")),1),0)</f>
        <v>-3.2890862139265272E-3</v>
      </c>
      <c r="H60" s="31">
        <f ca="1">IF(LeagueInfo!$H$7="Starter/Bench",INDEX(TE!$T$3:$T$113,MATCH(A60,TE!$B$3:$B$113,0))*InflationPct,INDEX(TE!$AB$3:$AB$113,MATCH(A60,TE!$B$3:$B$113,0))*InflationPct)</f>
        <v>-0.6581803553732809</v>
      </c>
      <c r="I60" s="18"/>
      <c r="J60" s="47" t="s">
        <v>2452</v>
      </c>
      <c r="K60" s="56" t="str">
        <f>INDEX('RB'!$F$3:$F$138,MATCH(J60,'RB'!$B$3:$B$138,0))</f>
        <v>LV</v>
      </c>
      <c r="L60" s="48">
        <f>INDEX('RB'!$E$3:$E$138,MATCH(J60,'RB'!$B$3:$B$138,0))</f>
        <v>6</v>
      </c>
      <c r="M60" s="182" t="str">
        <f>IF(INDEX(Auction!$H$13:$H$656,MATCH(J60,Auction!$A$13:$A$656,0))&gt;0,"x","")</f>
        <v/>
      </c>
      <c r="N60" s="43">
        <f ca="1">INDEX('RB'!Z$3:Z$138,MATCH(J60,'RB'!$B$3:$B$138,0))</f>
        <v>-4.7850000000000037</v>
      </c>
      <c r="O60" s="43" t="str">
        <f ca="1">INDEX('RB'!AA$3:AA$138,MATCH(J60,'RB'!$B$3:$B$138,0))</f>
        <v>RB9</v>
      </c>
      <c r="P60" s="49">
        <f ca="1">IF(M60="",IFERROR(N60/(SUMIFS($N$5:$N$64,$N$5:$N$64,"&gt;0",$M$5:$M$64,"")),1),0)</f>
        <v>-1.5219441444908667E-3</v>
      </c>
      <c r="Q60" s="50">
        <f ca="1">IF(LeagueInfo!$H$7="Starter/Bench",INDEX('RB'!$T$3:$T$138,MATCH(J60,'RB'!$B$3:$B$138,0))*InflationPct,INDEX('RB'!$AB$3:$AB$138,MATCH(J60,'RB'!$B$3:$B$138,0))*InflationPct)</f>
        <v>-1.7352027550750102</v>
      </c>
      <c r="S60" s="24" t="s">
        <v>135</v>
      </c>
      <c r="T60" s="58" t="str">
        <f>INDEX(WR!$F$1:$F$183,MATCH(S60,WR!$B$1:$B$183,0))</f>
        <v>NO</v>
      </c>
      <c r="U60" s="29">
        <f>INDEX(WR!$E$1:$E$183,MATCH(S60,WR!$B$1:$B$183,0))</f>
        <v>14</v>
      </c>
      <c r="V60" s="184" t="str">
        <f>IF(INDEX(Auction!$H$13:$H$656,MATCH(S60,Auction!$A$13:$A$656,0))&gt;0,"x","")</f>
        <v/>
      </c>
      <c r="W60" s="25">
        <f ca="1">INDEX(WR!Z$3:Z$183,MATCH(S60,WR!$B$3:$B$183,0))</f>
        <v>1.0950000000000131</v>
      </c>
      <c r="X60" s="25" t="str">
        <f ca="1">INDEX(WR!AA$3:AA$183,MATCH(S60,WR!$B$3:$B$183,0))</f>
        <v>WR9</v>
      </c>
      <c r="Y60" s="38">
        <f ca="1">IF(V60="",IFERROR(W60/(SUMIFS($W$5:$W$64,$W$5:$W$64,"&gt;0",$V$5:$V$64,"")),1),0)</f>
        <v>5.546986010957261E-4</v>
      </c>
      <c r="Z60" s="31">
        <f ca="1">IF(LeagueInfo!$H$7="Starter/Bench",INDEX(WR!$T$3:$T$183,MATCH(S60,WR!$B$3:$B$183,0))*InflationPct,INDEX(WR!$AB$3:$AB$183,MATCH(S60,WR!$B$3:$B$183,0))*InflationPct)</f>
        <v>0.3970840160516525</v>
      </c>
      <c r="AB60" s="24">
        <f t="shared" ca="1" si="1"/>
        <v>56</v>
      </c>
      <c r="AC60" s="107" t="str">
        <f t="shared" ca="1" si="2"/>
        <v>Tony Pollard</v>
      </c>
      <c r="AD60" s="107" t="str">
        <f t="shared" ca="1" si="3"/>
        <v>RB</v>
      </c>
      <c r="AE60" s="110">
        <f ca="1">LARGE(($E$5:$E$34,$E$37:$E$64,$N$5:$N$64,$W$5:$W$64),ROW(AE60)-4)</f>
        <v>44.425000000000004</v>
      </c>
    </row>
    <row r="61" spans="1:31" x14ac:dyDescent="0.25">
      <c r="A61" s="24" t="s">
        <v>588</v>
      </c>
      <c r="B61" s="58" t="str">
        <f>INDEX(TE!F$3:F$113,MATCH(A61,TE!B$3:B$113,0))</f>
        <v>CIN</v>
      </c>
      <c r="C61" s="29">
        <f>INDEX(TE!E$3:E$113,MATCH(A61,TE!B$3:B$113,0))</f>
        <v>10</v>
      </c>
      <c r="D61" s="181" t="str">
        <f>IF(INDEX(Auction!$H$13:$H$656,MATCH(A61,Auction!$A$13:$A$656,0))&gt;0,"x","")</f>
        <v/>
      </c>
      <c r="E61" s="25">
        <f ca="1">INDEX(TE!Z$3:Z$113,MATCH(A61,TE!$B$3:$B$113,0))</f>
        <v>-7.3250000000000028</v>
      </c>
      <c r="F61" s="34" t="str">
        <f ca="1">INDEX(TE!AA$3:AA$113,MATCH(A61,TE!$B$3:$B$113,0))</f>
        <v>TE9</v>
      </c>
      <c r="G61" s="39">
        <f ca="1">IF(D61="",IFERROR(E61/(SUMIFS($E$37:$E$64,$E$37:$E$64,"&gt;0",$D$37:$D$64,"")),1),0)</f>
        <v>-1.3274135822045044E-2</v>
      </c>
      <c r="H61" s="31">
        <f ca="1">IF(LeagueInfo!$H$7="Starter/Bench",INDEX(TE!$T$3:$T$113,MATCH(A61,TE!$B$3:$B$113,0))*InflationPct,INDEX(TE!$AB$3:$AB$113,MATCH(A61,TE!$B$3:$B$113,0))*InflationPct)</f>
        <v>-2.6562926187929872</v>
      </c>
      <c r="I61" s="23"/>
      <c r="J61" s="47" t="s">
        <v>637</v>
      </c>
      <c r="K61" s="56" t="str">
        <f>INDEX('RB'!$F$3:$F$138,MATCH(J61,'RB'!$B$3:$B$138,0))</f>
        <v>BAL</v>
      </c>
      <c r="L61" s="48">
        <f>INDEX('RB'!$E$3:$E$138,MATCH(J61,'RB'!$B$3:$B$138,0))</f>
        <v>10</v>
      </c>
      <c r="M61" s="182" t="str">
        <f>IF(INDEX(Auction!$H$13:$H$656,MATCH(J61,Auction!$A$13:$A$656,0))&gt;0,"x","")</f>
        <v/>
      </c>
      <c r="N61" s="43">
        <f ca="1">INDEX('RB'!Z$3:Z$138,MATCH(J61,'RB'!$B$3:$B$138,0))</f>
        <v>-4.8100000000000023</v>
      </c>
      <c r="O61" s="43" t="str">
        <f ca="1">INDEX('RB'!AA$3:AA$138,MATCH(J61,'RB'!$B$3:$B$138,0))</f>
        <v>RB9</v>
      </c>
      <c r="P61" s="49">
        <f ca="1">IF(M61="",IFERROR(N61/(SUMIFS($N$5:$N$64,$N$5:$N$64,"&gt;0",$M$5:$M$64,"")),1),0)</f>
        <v>-1.5298957857891465E-3</v>
      </c>
      <c r="Q61" s="50">
        <f ca="1">IF(LeagueInfo!$H$7="Starter/Bench",INDEX('RB'!$T$3:$T$138,MATCH(J61,'RB'!$B$3:$B$138,0))*InflationPct,INDEX('RB'!$AB$3:$AB$138,MATCH(J61,'RB'!$B$3:$B$138,0))*InflationPct)</f>
        <v>-1.744268600190344</v>
      </c>
      <c r="S61" s="24" t="s">
        <v>2413</v>
      </c>
      <c r="T61" s="58" t="str">
        <f>INDEX(WR!$F$1:$F$183,MATCH(S61,WR!$B$1:$B$183,0))</f>
        <v>CAR</v>
      </c>
      <c r="U61" s="29">
        <f>INDEX(WR!$E$1:$E$183,MATCH(S61,WR!$B$1:$B$183,0))</f>
        <v>13</v>
      </c>
      <c r="V61" s="184" t="str">
        <f>IF(INDEX(Auction!$H$13:$H$656,MATCH(S61,Auction!$A$13:$A$656,0))&gt;0,"x","")</f>
        <v/>
      </c>
      <c r="W61" s="25">
        <f ca="1">INDEX(WR!Z$3:Z$183,MATCH(S61,WR!$B$3:$B$183,0))</f>
        <v>0.57000000000000739</v>
      </c>
      <c r="X61" s="25" t="str">
        <f ca="1">INDEX(WR!AA$3:AA$183,MATCH(S61,WR!$B$3:$B$183,0))</f>
        <v>WR9</v>
      </c>
      <c r="Y61" s="38">
        <f ca="1">IF(V61="",IFERROR(W61/(SUMIFS($W$5:$W$64,$W$5:$W$64,"&gt;0",$V$5:$V$64,"")),1),0)</f>
        <v>2.8874721700873439E-4</v>
      </c>
      <c r="Z61" s="31">
        <f ca="1">IF(LeagueInfo!$H$7="Starter/Bench",INDEX(WR!$T$3:$T$183,MATCH(S61,WR!$B$3:$B$183,0))*InflationPct,INDEX(WR!$AB$3:$AB$183,MATCH(S61,WR!$B$3:$B$183,0))*InflationPct)</f>
        <v>0.20670126862962754</v>
      </c>
      <c r="AB61" s="24">
        <f t="shared" ca="1" si="1"/>
        <v>57</v>
      </c>
      <c r="AC61" s="107" t="str">
        <f t="shared" ca="1" si="2"/>
        <v>Dalton Schultz</v>
      </c>
      <c r="AD61" s="107" t="str">
        <f t="shared" ca="1" si="3"/>
        <v>TE</v>
      </c>
      <c r="AE61" s="110">
        <f ca="1">LARGE(($E$5:$E$34,$E$37:$E$64,$N$5:$N$64,$W$5:$W$64),ROW(AE61)-4)</f>
        <v>44.3</v>
      </c>
    </row>
    <row r="62" spans="1:31" x14ac:dyDescent="0.25">
      <c r="A62" s="24" t="s">
        <v>748</v>
      </c>
      <c r="B62" s="58" t="str">
        <f>INDEX(TE!F$3:F$113,MATCH(A62,TE!B$3:B$113,0))</f>
        <v>IND</v>
      </c>
      <c r="C62" s="29">
        <f>INDEX(TE!E$3:E$113,MATCH(A62,TE!B$3:B$113,0))</f>
        <v>14</v>
      </c>
      <c r="D62" s="181" t="str">
        <f>IF(INDEX(Auction!$H$13:$H$656,MATCH(A62,Auction!$A$13:$A$656,0))&gt;0,"x","")</f>
        <v/>
      </c>
      <c r="E62" s="25">
        <f ca="1">INDEX(TE!Z$3:Z$113,MATCH(A62,TE!$B$3:$B$113,0))</f>
        <v>-9.835000000000008</v>
      </c>
      <c r="F62" s="34" t="str">
        <f ca="1">INDEX(TE!AA$3:AA$113,MATCH(A62,TE!$B$3:$B$113,0))</f>
        <v>TE9</v>
      </c>
      <c r="G62" s="39">
        <f ca="1">IF(D62="",IFERROR(E62/(SUMIFS($E$37:$E$64,$E$37:$E$64,"&gt;0",$D$37:$D$64,"")),1),0)</f>
        <v>-1.7822679291442056E-2</v>
      </c>
      <c r="H62" s="31">
        <f ca="1">IF(LeagueInfo!$H$7="Starter/Bench",INDEX(TE!$T$3:$T$113,MATCH(A62,TE!$B$3:$B$113,0))*InflationPct,INDEX(TE!$AB$3:$AB$113,MATCH(A62,TE!$B$3:$B$113,0))*InflationPct)</f>
        <v>-3.5665034683725652</v>
      </c>
      <c r="I62" s="18"/>
      <c r="J62" s="47" t="s">
        <v>159</v>
      </c>
      <c r="K62" s="56" t="str">
        <f>INDEX('RB'!$F$3:$F$138,MATCH(J62,'RB'!$B$3:$B$138,0))</f>
        <v>LV</v>
      </c>
      <c r="L62" s="48">
        <f>INDEX('RB'!$E$3:$E$138,MATCH(J62,'RB'!$B$3:$B$138,0))</f>
        <v>6</v>
      </c>
      <c r="M62" s="182" t="str">
        <f>IF(INDEX(Auction!$H$13:$H$656,MATCH(J62,Auction!$A$13:$A$656,0))&gt;0,"x","")</f>
        <v/>
      </c>
      <c r="N62" s="43">
        <f ca="1">INDEX('RB'!Z$3:Z$138,MATCH(J62,'RB'!$B$3:$B$138,0))</f>
        <v>-5.4950000000000045</v>
      </c>
      <c r="O62" s="43" t="str">
        <f ca="1">INDEX('RB'!AA$3:AA$138,MATCH(J62,'RB'!$B$3:$B$138,0))</f>
        <v>RB9</v>
      </c>
      <c r="P62" s="49">
        <f ca="1">IF(M62="",IFERROR(N62/(SUMIFS($N$5:$N$64,$N$5:$N$64,"&gt;0",$M$5:$M$64,"")),1),0)</f>
        <v>-1.7477707573620297E-3</v>
      </c>
      <c r="Q62" s="50">
        <f ca="1">IF(LeagueInfo!$H$7="Starter/Bench",INDEX('RB'!$T$3:$T$138,MATCH(J62,'RB'!$B$3:$B$138,0))*InflationPct,INDEX('RB'!$AB$3:$AB$138,MATCH(J62,'RB'!$B$3:$B$138,0))*InflationPct)</f>
        <v>-1.992672756350508</v>
      </c>
      <c r="S62" s="24" t="s">
        <v>2414</v>
      </c>
      <c r="T62" s="58" t="str">
        <f>INDEX(WR!$F$1:$F$183,MATCH(S62,WR!$B$1:$B$183,0))</f>
        <v>NO</v>
      </c>
      <c r="U62" s="29">
        <f>INDEX(WR!$E$1:$E$183,MATCH(S62,WR!$B$1:$B$183,0))</f>
        <v>14</v>
      </c>
      <c r="V62" s="184" t="str">
        <f>IF(INDEX(Auction!$H$13:$H$656,MATCH(S62,Auction!$A$13:$A$656,0))&gt;0,"x","")</f>
        <v/>
      </c>
      <c r="W62" s="25">
        <f ca="1">INDEX(WR!Z$3:Z$183,MATCH(S62,WR!$B$3:$B$183,0))</f>
        <v>0</v>
      </c>
      <c r="X62" s="25" t="str">
        <f ca="1">INDEX(WR!AA$3:AA$183,MATCH(S62,WR!$B$3:$B$183,0))</f>
        <v>WR9</v>
      </c>
      <c r="Y62" s="38">
        <f ca="1">IF(V62="",IFERROR(W62/(SUMIFS($W$5:$W$64,$W$5:$W$64,"&gt;0",$V$5:$V$64,"")),1),0)</f>
        <v>0</v>
      </c>
      <c r="Z62" s="31">
        <f ca="1">IF(LeagueInfo!$H$7="Starter/Bench",INDEX(WR!$T$3:$T$183,MATCH(S62,WR!$B$3:$B$183,0))*InflationPct,INDEX(WR!$AB$3:$AB$183,MATCH(S62,WR!$B$3:$B$183,0))*InflationPct)</f>
        <v>0</v>
      </c>
      <c r="AB62" s="24">
        <f t="shared" ca="1" si="1"/>
        <v>58</v>
      </c>
      <c r="AC62" s="107" t="str">
        <f t="shared" ca="1" si="2"/>
        <v>Dameon Pierce</v>
      </c>
      <c r="AD62" s="107" t="str">
        <f t="shared" ca="1" si="3"/>
        <v>RB</v>
      </c>
      <c r="AE62" s="110">
        <f ca="1">LARGE(($E$5:$E$34,$E$37:$E$64,$N$5:$N$64,$W$5:$W$64),ROW(AE62)-4)</f>
        <v>43.895000000000032</v>
      </c>
    </row>
    <row r="63" spans="1:31" x14ac:dyDescent="0.25">
      <c r="A63" s="24" t="s">
        <v>979</v>
      </c>
      <c r="B63" s="58" t="str">
        <f>INDEX(TE!F$3:F$113,MATCH(A63,TE!B$3:B$113,0))</f>
        <v>HOU</v>
      </c>
      <c r="C63" s="29">
        <f>INDEX(TE!E$3:E$113,MATCH(A63,TE!B$3:B$113,0))</f>
        <v>6</v>
      </c>
      <c r="D63" s="181" t="str">
        <f>IF(INDEX(Auction!$H$13:$H$656,MATCH(A63,Auction!$A$13:$A$656,0))&gt;0,"x","")</f>
        <v/>
      </c>
      <c r="E63" s="25">
        <f ca="1">INDEX(TE!Z$3:Z$113,MATCH(A63,TE!$B$3:$B$113,0))</f>
        <v>-11.150000000000006</v>
      </c>
      <c r="F63" s="34" t="str">
        <f ca="1">INDEX(TE!AA$3:AA$113,MATCH(A63,TE!$B$3:$B$113,0))</f>
        <v>TE9</v>
      </c>
      <c r="G63" s="39">
        <f ca="1">IF(D63="",IFERROR(E63/(SUMIFS($E$37:$E$64,$E$37:$E$64,"&gt;0",$D$37:$D$64,"")),1),0)</f>
        <v>-2.0205681148914984E-2</v>
      </c>
      <c r="H63" s="31">
        <f ca="1">IF(LeagueInfo!$H$7="Starter/Bench",INDEX(TE!$T$3:$T$113,MATCH(A63,TE!$B$3:$B$113,0))*InflationPct,INDEX(TE!$AB$3:$AB$113,MATCH(A63,TE!$B$3:$B$113,0))*InflationPct)</f>
        <v>-4.043366921439155</v>
      </c>
      <c r="I63" s="23"/>
      <c r="J63" s="47" t="s">
        <v>337</v>
      </c>
      <c r="K63" s="56" t="str">
        <f>INDEX('RB'!$F$3:$F$138,MATCH(J63,'RB'!$B$3:$B$138,0))</f>
        <v>ATL</v>
      </c>
      <c r="L63" s="48">
        <f>INDEX('RB'!$E$3:$E$138,MATCH(J63,'RB'!$B$3:$B$138,0))</f>
        <v>14</v>
      </c>
      <c r="M63" s="182" t="str">
        <f>IF(INDEX(Auction!$H$13:$H$656,MATCH(J63,Auction!$A$13:$A$656,0))&gt;0,"x","")</f>
        <v/>
      </c>
      <c r="N63" s="43">
        <f ca="1">INDEX('RB'!Z$3:Z$138,MATCH(J63,'RB'!$B$3:$B$138,0))</f>
        <v>-6.4300000000000068</v>
      </c>
      <c r="O63" s="43" t="str">
        <f ca="1">INDEX('RB'!AA$3:AA$138,MATCH(J63,'RB'!$B$3:$B$138,0))</f>
        <v>RB9</v>
      </c>
      <c r="P63" s="49">
        <f ca="1">IF(M63="",IFERROR(N63/(SUMIFS($N$5:$N$64,$N$5:$N$64,"&gt;0",$M$5:$M$64,"")),1),0)</f>
        <v>-2.0451621419177168E-3</v>
      </c>
      <c r="Q63" s="50">
        <f ca="1">IF(LeagueInfo!$H$7="Starter/Bench",INDEX('RB'!$T$3:$T$138,MATCH(J63,'RB'!$B$3:$B$138,0))*InflationPct,INDEX('RB'!$AB$3:$AB$138,MATCH(J63,'RB'!$B$3:$B$138,0))*InflationPct)</f>
        <v>-2.3317353636640163</v>
      </c>
      <c r="S63" s="24" t="s">
        <v>2415</v>
      </c>
      <c r="T63" s="58" t="str">
        <f>INDEX(WR!$F$1:$F$183,MATCH(S63,WR!$B$1:$B$183,0))</f>
        <v>NYJ</v>
      </c>
      <c r="U63" s="29">
        <f>INDEX(WR!$E$1:$E$183,MATCH(S63,WR!$B$1:$B$183,0))</f>
        <v>10</v>
      </c>
      <c r="V63" s="184" t="str">
        <f>IF(INDEX(Auction!$H$13:$H$656,MATCH(S63,Auction!$A$13:$A$656,0))&gt;0,"x","")</f>
        <v/>
      </c>
      <c r="W63" s="25">
        <f ca="1">INDEX(WR!Z$3:Z$183,MATCH(S63,WR!$B$3:$B$183,0))</f>
        <v>-1.0749999999999886</v>
      </c>
      <c r="X63" s="25" t="str">
        <f ca="1">INDEX(WR!AA$3:AA$183,MATCH(S63,WR!$B$3:$B$183,0))</f>
        <v>WR9</v>
      </c>
      <c r="Y63" s="38">
        <f ca="1">IF(V63="",IFERROR(W63/(SUMIFS($W$5:$W$64,$W$5:$W$64,"&gt;0",$V$5:$V$64,"")),1),0)</f>
        <v>-5.445671197971617E-4</v>
      </c>
      <c r="Z63" s="31">
        <f ca="1">IF(LeagueInfo!$H$7="Starter/Bench",INDEX(WR!$T$3:$T$183,MATCH(S63,WR!$B$3:$B$183,0))*InflationPct,INDEX(WR!$AB$3:$AB$183,MATCH(S63,WR!$B$3:$B$183,0))*InflationPct)</f>
        <v>-0.38983133995937613</v>
      </c>
      <c r="AB63" s="24">
        <f t="shared" ca="1" si="1"/>
        <v>59</v>
      </c>
      <c r="AC63" s="107" t="str">
        <f t="shared" ca="1" si="2"/>
        <v>George Kittle</v>
      </c>
      <c r="AD63" s="107" t="str">
        <f t="shared" ca="1" si="3"/>
        <v>TE</v>
      </c>
      <c r="AE63" s="110">
        <f ca="1">LARGE(($E$5:$E$34,$E$37:$E$64,$N$5:$N$64,$W$5:$W$64),ROW(AE63)-4)</f>
        <v>43.510000000000005</v>
      </c>
    </row>
    <row r="64" spans="1:31" ht="15.75" thickBot="1" x14ac:dyDescent="0.3">
      <c r="A64" s="26" t="s">
        <v>434</v>
      </c>
      <c r="B64" s="59" t="str">
        <f>INDEX(TE!F$3:F$113,MATCH(A64,TE!B$3:B$113,0))</f>
        <v>NYJ</v>
      </c>
      <c r="C64" s="77">
        <f>INDEX(TE!E$3:E$113,MATCH(A64,TE!B$3:B$113,0))</f>
        <v>10</v>
      </c>
      <c r="D64" s="187" t="str">
        <f>IF(INDEX(Auction!$H$13:$H$656,MATCH(A64,Auction!$A$13:$A$656,0))&gt;0,"x","")</f>
        <v/>
      </c>
      <c r="E64" s="27">
        <f ca="1">INDEX(TE!Z$3:Z$113,MATCH(A64,TE!$B$3:$B$113,0))</f>
        <v>-16.580000000000005</v>
      </c>
      <c r="F64" s="27" t="str">
        <f ca="1">INDEX(TE!AA$3:AA$113,MATCH(A64,TE!$B$3:$B$113,0))</f>
        <v>TE10</v>
      </c>
      <c r="G64" s="40">
        <f ca="1">IF(D64="",IFERROR(E64/(SUMIFS($E$37:$E$64,$E$37:$E$64,"&gt;0",$D$37:$D$64,"")),1),0)</f>
        <v>-3.0045757260000933E-2</v>
      </c>
      <c r="H64" s="32">
        <f ca="1">IF(LeagueInfo!$H$7="Starter/Bench",INDEX(TE!$T$3:$T$113,MATCH(A64,TE!$B$3:$B$113,0))*InflationPct,INDEX(TE!$AB$3:$AB$113,MATCH(A64,TE!$B$3:$B$113,0))*InflationPct)</f>
        <v>-6.0124684804897921</v>
      </c>
      <c r="I64" s="23"/>
      <c r="J64" s="51" t="s">
        <v>688</v>
      </c>
      <c r="K64" s="57" t="str">
        <f>INDEX('RB'!$F$3:$F$138,MATCH(J64,'RB'!$B$3:$B$138,0))</f>
        <v>TEN</v>
      </c>
      <c r="L64" s="52">
        <f>INDEX('RB'!$E$3:$E$138,MATCH(J64,'RB'!$B$3:$B$138,0))</f>
        <v>6</v>
      </c>
      <c r="M64" s="183" t="str">
        <f>IF(INDEX(Auction!$H$13:$H$656,MATCH(J64,Auction!$A$13:$A$656,0))&gt;0,"x","")</f>
        <v/>
      </c>
      <c r="N64" s="53">
        <f ca="1">INDEX('RB'!Z$3:Z$138,MATCH(J64,'RB'!$B$3:$B$138,0))</f>
        <v>-8.4850000000000065</v>
      </c>
      <c r="O64" s="53" t="str">
        <f ca="1">INDEX('RB'!AA$3:AA$138,MATCH(J64,'RB'!$B$3:$B$138,0))</f>
        <v>RB9</v>
      </c>
      <c r="P64" s="54">
        <f ca="1">IF(M64="",IFERROR(N64/(SUMIFS($N$5:$N$64,$N$5:$N$64,"&gt;0",$M$5:$M$64,"")),1),0)</f>
        <v>-2.6987870566363642E-3</v>
      </c>
      <c r="Q64" s="55">
        <f ca="1">IF(LeagueInfo!$H$7="Starter/Bench",INDEX('RB'!$T$3:$T$138,MATCH(J64,'RB'!$B$3:$B$138,0))*InflationPct,INDEX('RB'!$AB$3:$AB$138,MATCH(J64,'RB'!$B$3:$B$138,0))*InflationPct)</f>
        <v>-3.0769478321445058</v>
      </c>
      <c r="S64" s="26" t="s">
        <v>2416</v>
      </c>
      <c r="T64" s="59" t="str">
        <f>INDEX(WR!$F$1:$F$183,MATCH(S64,WR!$B$1:$B$183,0))</f>
        <v>DET</v>
      </c>
      <c r="U64" s="77">
        <f>INDEX(WR!$E$1:$E$183,MATCH(S64,WR!$B$1:$B$183,0))</f>
        <v>6</v>
      </c>
      <c r="V64" s="185" t="str">
        <f>IF(INDEX(Auction!$H$13:$H$656,MATCH(S64,Auction!$A$13:$A$656,0))&gt;0,"x","")</f>
        <v/>
      </c>
      <c r="W64" s="27">
        <f ca="1">INDEX(WR!Z$3:Z$183,MATCH(S64,WR!$B$3:$B$183,0))</f>
        <v>-2.2349999999999923</v>
      </c>
      <c r="X64" s="27" t="str">
        <f ca="1">INDEX(WR!AA$3:AA$183,MATCH(S64,WR!$B$3:$B$183,0))</f>
        <v>WR9</v>
      </c>
      <c r="Y64" s="40">
        <f ca="1">IF(V64="",IFERROR(W64/(SUMIFS($W$5:$W$64,$W$5:$W$64,"&gt;0",$V$5:$V$64,"")),1),0)</f>
        <v>-1.1321930351131768E-3</v>
      </c>
      <c r="Z64" s="32">
        <f ca="1">IF(LeagueInfo!$H$7="Starter/Bench",INDEX(WR!$T$3:$T$183,MATCH(S64,WR!$B$3:$B$183,0))*InflationPct,INDEX(WR!$AB$3:$AB$183,MATCH(S64,WR!$B$3:$B$183,0))*InflationPct)</f>
        <v>-0.8104865533108947</v>
      </c>
      <c r="AB64" s="26">
        <f t="shared" ca="1" si="1"/>
        <v>60</v>
      </c>
      <c r="AC64" s="108" t="str">
        <f t="shared" ca="1" si="2"/>
        <v>Clyde Edwards-Helaire</v>
      </c>
      <c r="AD64" s="108" t="str">
        <f t="shared" ca="1" si="3"/>
        <v>RB</v>
      </c>
      <c r="AE64" s="111">
        <f ca="1">LARGE(($E$5:$E$34,$E$37:$E$64,$N$5:$N$64,$W$5:$W$64),ROW(AE64)-4)</f>
        <v>43.094999999999992</v>
      </c>
    </row>
  </sheetData>
  <sortState xmlns:xlrd2="http://schemas.microsoft.com/office/spreadsheetml/2017/richdata2" ref="S5:Z64">
    <sortCondition descending="1" ref="W5:W64"/>
  </sortState>
  <mergeCells count="6">
    <mergeCell ref="A1:AE1"/>
    <mergeCell ref="A35:H35"/>
    <mergeCell ref="AB3:AE3"/>
    <mergeCell ref="J3:Q3"/>
    <mergeCell ref="S3:Z3"/>
    <mergeCell ref="A3:H3"/>
  </mergeCells>
  <phoneticPr fontId="20" type="noConversion"/>
  <conditionalFormatting sqref="J5:Q64">
    <cfRule type="expression" dxfId="29" priority="3">
      <formula>NOT($M5="")</formula>
    </cfRule>
    <cfRule type="expression" dxfId="28" priority="12">
      <formula>$N5&gt;=MAX(MAX(IF(($V$5:$V$64=""),$W$5:$W$64)),MAX(IF(($M$5:$M$64=""),$N$5:$N$64)),MAX(IF(($D$5:$D$34=""),$E$5:$E$34)),MAX(IF(($D$37:$D$64=""),$E$37:$E$64)))</formula>
    </cfRule>
    <cfRule type="expression" dxfId="27" priority="22">
      <formula>IF(INDEX(INDIRECT(""&amp;LEFT($J$3,2)&amp;"!$w$2:$w$489"),MATCH($J5,INDIRECT(""&amp;LEFT($J$3,2)&amp;"!$B$2:$B$489"),0))="Upside",TRUE,FALSE)</formula>
    </cfRule>
    <cfRule type="expression" dxfId="26" priority="23">
      <formula>IF(INDEX(INDIRECT(""&amp;LEFT($J$3,2)&amp;"!$w$2:$w$489"),MATCH($J5,INDIRECT(""&amp;LEFT($J$3,2)&amp;"!$B$2:$B$489"),0))="Target",TRUE,FALSE)</formula>
    </cfRule>
    <cfRule type="expression" dxfId="25" priority="38">
      <formula>IF(INDEX(INDIRECT(""&amp;LEFT($J$3,2)&amp;"!$w$2:$w$489"),MATCH($J5,INDIRECT(""&amp;LEFT($J$3,2)&amp;"!$B$2:$B$489"),0))="Sleeper",TRUE,FALSE)</formula>
    </cfRule>
    <cfRule type="expression" dxfId="24" priority="39">
      <formula>IF(INDEX(INDIRECT(""&amp;LEFT($J$3,2)&amp;"!$w$2:$w$489"),MATCH($J5,INDIRECT(""&amp;LEFT($J$3,2)&amp;"!$B$2:$B$489"),0))="Avoid",TRUE,FALSE)</formula>
    </cfRule>
  </conditionalFormatting>
  <conditionalFormatting sqref="S5:Z64">
    <cfRule type="expression" dxfId="23" priority="9">
      <formula>NOT($V5="")</formula>
    </cfRule>
    <cfRule type="expression" dxfId="22" priority="10">
      <formula>$W5&gt;=MAX(MAX(IF(($V$5:$V$64=""),$W$5:$W$64)),MAX(IF(($M$5:$M$64=""),$N$5:$N$64)),MAX(IF(($D$5:$D$34=""),$E$5:$E$34)),MAX(IF(($D$37:$D$64=""),$E$37:$E$64)))</formula>
    </cfRule>
    <cfRule type="expression" dxfId="21" priority="18">
      <formula>IF(INDEX(INDIRECT(""&amp;LEFT($S$3,2)&amp;"!$w$2:$w$489"),MATCH($S5,INDIRECT(""&amp;LEFT($S$3,2)&amp;"!$B$2:$B$489"),0))="Upside",TRUE,FALSE)</formula>
    </cfRule>
    <cfRule type="expression" dxfId="20" priority="21">
      <formula>IF(INDEX(INDIRECT(""&amp;LEFT($S$3,2)&amp;"!$w$2:$w$489"),MATCH($S5,INDIRECT(""&amp;LEFT($S$3,2)&amp;"!$B$2:$B$489"),0))="Target",TRUE,FALSE)</formula>
    </cfRule>
    <cfRule type="expression" dxfId="19" priority="42">
      <formula>IF(INDEX(INDIRECT(""&amp;LEFT($S$3,2)&amp;"!$w$2:$w$489"),MATCH($S5,INDIRECT(""&amp;LEFT($S$3,2)&amp;"!$B$2:$B$489"),0))="Sleeper",TRUE,FALSE)</formula>
    </cfRule>
    <cfRule type="expression" dxfId="18" priority="43">
      <formula>IF(INDEX(INDIRECT(""&amp;LEFT($S$3,2)&amp;"!$w$2:$w$489"),MATCH($S5,INDIRECT(""&amp;LEFT($S$3,2)&amp;"!$B$2:$B$489"),0))="Avoid",TRUE,FALSE)</formula>
    </cfRule>
  </conditionalFormatting>
  <conditionalFormatting sqref="A5:H34">
    <cfRule type="expression" dxfId="17" priority="5">
      <formula>NOT($D5="")</formula>
    </cfRule>
    <cfRule type="expression" dxfId="16" priority="7">
      <formula>$E5&gt;=MAX(MAX(IF(($V$5:$V$64=""),$W$5:$W$64)),MAX(IF(($M$5:$M$64=""),$N$5:$N$64)),MAX(IF(($D$5:$D$34=""),$E$5:$E$34)),MAX(IF(($D$37:$D$64=""),$E$37:$E$64)))</formula>
    </cfRule>
    <cfRule type="expression" dxfId="15" priority="13">
      <formula>IF(INDEX(INDIRECT(""&amp;LEFT($A$3,2)&amp;"!$w$2:$w$489"),MATCH($A5,INDIRECT(""&amp;LEFT($A$3,2)&amp;"!$B$2:$B$489"),0))="Upside",TRUE,FALSE)</formula>
    </cfRule>
    <cfRule type="expression" dxfId="14" priority="24">
      <formula>IF(INDEX(INDIRECT(""&amp;LEFT($A$3,2)&amp;"!$w$2:$w$489"),MATCH($A5,INDIRECT(""&amp;LEFT($A$3,2)&amp;"!$B$2:$B$489"),0))="Target",TRUE,FALSE)</formula>
    </cfRule>
    <cfRule type="expression" dxfId="13" priority="36">
      <formula>IF(INDEX(INDIRECT(""&amp;LEFT($A$3,2)&amp;"!$w$2:$w$489"),MATCH($A5,INDIRECT(""&amp;LEFT($A$3,2)&amp;"!$B$2:$B$489"),0))="Sleeper",TRUE,FALSE)</formula>
    </cfRule>
    <cfRule type="expression" dxfId="12" priority="37">
      <formula>IF(INDEX(INDIRECT(""&amp;LEFT($A$3,2)&amp;"!$w$2:$w$489"),MATCH($A5,INDIRECT(""&amp;LEFT($A$3,2)&amp;"!$B$2:$B$489"),0))="Avoid",TRUE,FALSE)</formula>
    </cfRule>
  </conditionalFormatting>
  <conditionalFormatting sqref="A37:H64">
    <cfRule type="expression" dxfId="11" priority="6">
      <formula>NOT($D37="")</formula>
    </cfRule>
    <cfRule type="expression" dxfId="10" priority="11">
      <formula>$E37&gt;=MAX(MAX(IF(($V$5:$V$64=""),$W$5:$W$64)),MAX(IF(($M$5:$M$64=""),$N$5:$N$64)),MAX(IF(($D$5:$D$34=""),$E$5:$E$34)),MAX(IF(($D$37:$D$64=""),$E$37:$E$64)))</formula>
    </cfRule>
    <cfRule type="expression" dxfId="9" priority="19">
      <formula>IF(INDEX(INDIRECT(""&amp;LEFT($A$35,2)&amp;"!$w$2:$w$489"),MATCH($A37,INDIRECT(""&amp;LEFT($A$35,2)&amp;"!$B$2:$B$489"),0))="Upside",TRUE,FALSE)</formula>
    </cfRule>
    <cfRule type="expression" dxfId="8" priority="20">
      <formula>IF(INDEX(INDIRECT(""&amp;LEFT($A$35,2)&amp;"!$w$2:$w$489"),MATCH($A37,INDIRECT(""&amp;LEFT($A$35,2)&amp;"!$B$2:$B$489"),0))="Target",TRUE,FALSE)</formula>
    </cfRule>
    <cfRule type="expression" dxfId="7" priority="40">
      <formula>IF(INDEX(INDIRECT(""&amp;LEFT($A$35,2)&amp;"!$w$2:$w$489"),MATCH($A37,INDIRECT(""&amp;LEFT($A$35,2)&amp;"!$B$2:$B$489"),0))="Sleeper",TRUE,FALSE)</formula>
    </cfRule>
    <cfRule type="expression" dxfId="6" priority="41">
      <formula>IF(INDEX(INDIRECT(""&amp;LEFT($A$35,2)&amp;"!$w$2:$w$489"),MATCH($A37,INDIRECT(""&amp;LEFT($A$35,2)&amp;"!$B$2:$B$489"),0))="Avoid",TRUE,FALSE)</formula>
    </cfRule>
  </conditionalFormatting>
  <conditionalFormatting sqref="AB5:AE64">
    <cfRule type="expression" dxfId="5" priority="14">
      <formula>IF(INDEX(INDIRECT(""&amp;$AD5&amp;"!$w$2:$w$489"),MATCH($AC5,INDIRECT(""&amp;$AD5&amp;"!$B$2:$B$489"),0))="Upside",TRUE,FALSE)</formula>
    </cfRule>
    <cfRule type="expression" dxfId="4" priority="15">
      <formula>IF(INDEX(INDIRECT(""&amp;$AD5&amp;"!$w$2:$w$489"),MATCH($AC5,INDIRECT(""&amp;$AD5&amp;"!$B$2:$B$489"),0))="Sleeper",TRUE,FALSE)</formula>
    </cfRule>
    <cfRule type="expression" dxfId="3" priority="16">
      <formula>IF(INDEX(INDIRECT(""&amp;$AD5&amp;"!$w$2:$w$489"),MATCH($AC5,INDIRECT(""&amp;$AD5&amp;"!$B$2:$B$489"),0))="Avoid",TRUE,FALSE)</formula>
    </cfRule>
    <cfRule type="expression" dxfId="2" priority="17">
      <formula>IF(INDEX(INDIRECT(""&amp;$AD5&amp;"!$w$2:$w$489"),MATCH($AC5,INDIRECT(""&amp;$AD5&amp;"!$B$2:$B$489"),0))="Target",TRUE,FALSE)</formula>
    </cfRule>
    <cfRule type="expression" dxfId="1" priority="25">
      <formula>IF($AD5="RB",IF(INDEX($M$5:$M$64,MATCH($AC5,$J$5:$J$64,0))&lt;&gt;"",TRUE),IF($AD5="WR",IF(INDEX($V$5:$V$64,MATCH($AC5,$S$5:$S$64,0))&lt;&gt;"",TRUE),IF($AD5="QB",IF(INDEX($D$5:$D$34,MATCH($AC5,$A$5:$A$64,0))&lt;&gt;"",TRUE),IF($AD5="TE",IF(INDEX($D$37:$D$64,MATCH($AC5,$A$37:$A$64,0))&lt;&gt;"",TRU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295275</xdr:colOff>
                    <xdr:row>1</xdr:row>
                    <xdr:rowOff>76200</xdr:rowOff>
                  </from>
                  <to>
                    <xdr:col>18</xdr:col>
                    <xdr:colOff>38100</xdr:colOff>
                    <xdr:row>1</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70" id="{8DADE75A-9A78-4311-9094-633E64BBB4F3}">
            <xm:f>IF(VLOOKUP(A5,QB!$B$3:$W$38,22,FALSE)="Upside",TRUE,FALSE)</xm:f>
            <x14:dxf>
              <fill>
                <patternFill>
                  <bgColor theme="9"/>
                </patternFill>
              </fill>
            </x14:dxf>
          </x14:cfRule>
          <xm:sqref>A5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A426BB-3EC1-4540-A7EA-4AD9C1351E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49</vt:i4>
      </vt:variant>
    </vt:vector>
  </HeadingPairs>
  <TitlesOfParts>
    <vt:vector size="74" baseType="lpstr">
      <vt:lpstr>Intro</vt:lpstr>
      <vt:lpstr>LeagueInfo</vt:lpstr>
      <vt:lpstr>DefaultAuctionValues</vt:lpstr>
      <vt:lpstr>QB</vt:lpstr>
      <vt:lpstr>QB_Raw</vt:lpstr>
      <vt:lpstr>RB</vt:lpstr>
      <vt:lpstr>RB_Raw</vt:lpstr>
      <vt:lpstr>WR</vt:lpstr>
      <vt:lpstr>WR_Raw</vt:lpstr>
      <vt:lpstr>FlexQBWRRBTE</vt:lpstr>
      <vt:lpstr>FlexWRRB</vt:lpstr>
      <vt:lpstr>FlexWRRBTE</vt:lpstr>
      <vt:lpstr>FlexWRTE</vt:lpstr>
      <vt:lpstr>TE</vt:lpstr>
      <vt:lpstr>TE_Raw</vt:lpstr>
      <vt:lpstr>K_Raw</vt:lpstr>
      <vt:lpstr>K</vt:lpstr>
      <vt:lpstr>DEF</vt:lpstr>
      <vt:lpstr>BYEs</vt:lpstr>
      <vt:lpstr>DEF_Raw</vt:lpstr>
      <vt:lpstr>DepthChart_RAW</vt:lpstr>
      <vt:lpstr>DepthChart</vt:lpstr>
      <vt:lpstr>Auction</vt:lpstr>
      <vt:lpstr>Teams</vt:lpstr>
      <vt:lpstr>CheatSheet</vt:lpstr>
      <vt:lpstr>AllowNegative</vt:lpstr>
      <vt:lpstr>BenchPF</vt:lpstr>
      <vt:lpstr>FlexOn</vt:lpstr>
      <vt:lpstr>FlexType</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University of Central Florida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2022-09-06T21:02:34Z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